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codeName="ThisWorkbook" autoCompressPictures="0"/>
  <mc:AlternateContent xmlns:mc="http://schemas.openxmlformats.org/markup-compatibility/2006">
    <mc:Choice Requires="x15">
      <x15ac:absPath xmlns:x15ac="http://schemas.microsoft.com/office/spreadsheetml/2010/11/ac" url="https://appriver3651005261.sharepoint.com/sites/FactBook2020updates/Shared Documents/DataExchange/DE2019-20/Summary Data/"/>
    </mc:Choice>
  </mc:AlternateContent>
  <xr:revisionPtr revIDLastSave="63" documentId="13_ncr:1_{8BC9BB67-BFE2-4D94-958D-6A2CF9BEB1DE}" xr6:coauthVersionLast="46" xr6:coauthVersionMax="46" xr10:uidLastSave="{BCC94948-1AB2-43B4-8037-866F83A25F2E}"/>
  <bookViews>
    <workbookView xWindow="-28920" yWindow="-120" windowWidth="29040" windowHeight="15840" xr2:uid="{00000000-000D-0000-FFFF-FFFF00000000}"/>
  </bookViews>
  <sheets>
    <sheet name="NEW-Tables 80-86" sheetId="16" r:id="rId1"/>
    <sheet name="OLD Tables" sheetId="18" r:id="rId2"/>
    <sheet name="FTE Pivot for regular counts" sheetId="12" r:id="rId3"/>
    <sheet name="Pivot-HS Student % of Undergrad" sheetId="17" r:id="rId4"/>
    <sheet name="04SCH_FTE" sheetId="6" r:id="rId5"/>
    <sheet name="Format for FTE" sheetId="13" r:id="rId6"/>
    <sheet name="Format for HS%" sheetId="14" r:id="rId7"/>
  </sheets>
  <definedNames>
    <definedName name="APPHEAD" localSheetId="1">#REF!</definedName>
    <definedName name="CHHEAD" localSheetId="1">#REF!</definedName>
    <definedName name="Dual07_1" localSheetId="4">'04SCH_FTE'!$T$310:$T$325</definedName>
    <definedName name="Dual07_3" localSheetId="4">'04SCH_FTE'!$T$310:$T$325</definedName>
    <definedName name="PAGE_17" localSheetId="1">#REF!</definedName>
    <definedName name="PAGE1" localSheetId="1">#REF!</definedName>
    <definedName name="PAGE10" localSheetId="1">#REF!</definedName>
    <definedName name="PAGE11" localSheetId="1">#REF!</definedName>
    <definedName name="PAGE12" localSheetId="1">#REF!</definedName>
    <definedName name="PAGE13" localSheetId="1">#REF!</definedName>
    <definedName name="PAGE14" localSheetId="1">#REF!</definedName>
    <definedName name="PAGE15" localSheetId="1">#REF!</definedName>
    <definedName name="PAGE16" localSheetId="1">#REF!</definedName>
    <definedName name="PAGE17" localSheetId="1">#REF!</definedName>
    <definedName name="PAGE18" localSheetId="1">#REF!</definedName>
    <definedName name="PAGE19" localSheetId="1">#REF!</definedName>
    <definedName name="PAGE2" localSheetId="1">#REF!</definedName>
    <definedName name="PAGE20" localSheetId="1">#REF!</definedName>
    <definedName name="PAGE3" localSheetId="1">#REF!</definedName>
    <definedName name="PAGE4" localSheetId="1">#REF!</definedName>
    <definedName name="PAGE5" localSheetId="1">#REF!</definedName>
    <definedName name="PAGE6" localSheetId="1">#REF!</definedName>
    <definedName name="PAGE7" localSheetId="1">#REF!</definedName>
    <definedName name="PAGE8" localSheetId="1">#REF!</definedName>
    <definedName name="PAGE9" localSheetId="1">#REF!</definedName>
    <definedName name="PART1" localSheetId="1">#REF!</definedName>
    <definedName name="PART2" localSheetId="1">#REF!</definedName>
    <definedName name="PART3" localSheetId="1">#REF!</definedName>
    <definedName name="PART4A" localSheetId="1">#REF!</definedName>
    <definedName name="PART4B" localSheetId="1">#REF!</definedName>
    <definedName name="PART5" localSheetId="1">#REF!</definedName>
    <definedName name="PART6A" localSheetId="1">#REF!</definedName>
    <definedName name="PART6B" localSheetId="1">#REF!</definedName>
    <definedName name="PART6C" localSheetId="1">#REF!</definedName>
    <definedName name="PART7B" localSheetId="1">#REF!</definedName>
    <definedName name="PART7C" localSheetId="1">#REF!</definedName>
    <definedName name="PART8" localSheetId="1">#REF!</definedName>
    <definedName name="_xlnm.Print_Area" localSheetId="4">'04SCH_FTE'!$A$3:$A$3</definedName>
    <definedName name="_xlnm.Print_Area" localSheetId="0">'NEW-Tables 80-86'!$A$1:$O$216</definedName>
    <definedName name="_xlnm.Print_Area" localSheetId="1">'OLD Tables'!$A$1:$O$214</definedName>
    <definedName name="_xlnm.Print_Area" localSheetId="3">'Pivot-HS Student % of Undergrad'!$C$6:$T$101</definedName>
    <definedName name="_xlnm.Print_Area">#REF!</definedName>
    <definedName name="_xlnm.Print_Titles" localSheetId="4">'04SCH_FTE'!B:B</definedName>
    <definedName name="_xlnm.Print_Titles" localSheetId="3">'Pivot-HS Student % of Undergrad'!$A:$B,'Pivot-HS Student % of Undergrad'!$4:$5</definedName>
    <definedName name="RATIONALE" localSheetId="1">#REF!</definedName>
    <definedName name="RATIONALE2" localSheetId="1">#REF!</definedName>
    <definedName name="SALHEAD" localSheetId="1">#REF!</definedName>
    <definedName name="SCH15ug1" localSheetId="4">'04SCH_FTE'!$I$505:$I$619</definedName>
  </definedNames>
  <calcPr calcId="191029"/>
  <pivotCaches>
    <pivotCache cacheId="20" r:id="rId8"/>
    <pivotCache cacheId="24" r:id="rId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X672" i="6" l="1"/>
  <c r="AY672" i="6" s="1"/>
  <c r="BA672" i="6" s="1"/>
  <c r="AV672" i="6"/>
  <c r="AW672" i="6" s="1"/>
  <c r="AZ672" i="6" s="1"/>
  <c r="AX671" i="6"/>
  <c r="AY671" i="6" s="1"/>
  <c r="AV671" i="6"/>
  <c r="AW671" i="6" s="1"/>
  <c r="AM671" i="6"/>
  <c r="AL671" i="6"/>
  <c r="AH671" i="6"/>
  <c r="AI671" i="6" s="1"/>
  <c r="AF671" i="6"/>
  <c r="AG671" i="6" s="1"/>
  <c r="R671" i="6"/>
  <c r="P671" i="6"/>
  <c r="AX670" i="6"/>
  <c r="AY670" i="6" s="1"/>
  <c r="AV670" i="6"/>
  <c r="AW670" i="6" s="1"/>
  <c r="AM670" i="6"/>
  <c r="AL670" i="6"/>
  <c r="AH670" i="6"/>
  <c r="AI670" i="6" s="1"/>
  <c r="AF670" i="6"/>
  <c r="AG670" i="6" s="1"/>
  <c r="V670" i="6"/>
  <c r="R670" i="6"/>
  <c r="P670" i="6"/>
  <c r="Q670" i="6" s="1"/>
  <c r="AX669" i="6"/>
  <c r="AY669" i="6" s="1"/>
  <c r="AV669" i="6"/>
  <c r="AW669" i="6" s="1"/>
  <c r="AM669" i="6"/>
  <c r="AL669" i="6"/>
  <c r="AH669" i="6"/>
  <c r="AI669" i="6" s="1"/>
  <c r="AF669" i="6"/>
  <c r="AG669" i="6" s="1"/>
  <c r="V669" i="6"/>
  <c r="R669" i="6"/>
  <c r="P669" i="6"/>
  <c r="Q669" i="6" s="1"/>
  <c r="AX668" i="6"/>
  <c r="AY668" i="6" s="1"/>
  <c r="AV668" i="6"/>
  <c r="AW668" i="6" s="1"/>
  <c r="AM668" i="6"/>
  <c r="AL668" i="6"/>
  <c r="AH668" i="6"/>
  <c r="AI668" i="6" s="1"/>
  <c r="AF668" i="6"/>
  <c r="AG668" i="6" s="1"/>
  <c r="R668" i="6"/>
  <c r="W668" i="6" s="1"/>
  <c r="P668" i="6"/>
  <c r="AX667" i="6"/>
  <c r="AY667" i="6" s="1"/>
  <c r="AV667" i="6"/>
  <c r="AW667" i="6" s="1"/>
  <c r="AM667" i="6"/>
  <c r="AL667" i="6"/>
  <c r="AH667" i="6"/>
  <c r="AI667" i="6" s="1"/>
  <c r="AF667" i="6"/>
  <c r="AG667" i="6" s="1"/>
  <c r="R667" i="6"/>
  <c r="P667" i="6"/>
  <c r="AX666" i="6"/>
  <c r="AY666" i="6" s="1"/>
  <c r="AV666" i="6"/>
  <c r="AW666" i="6" s="1"/>
  <c r="AM666" i="6"/>
  <c r="AL666" i="6"/>
  <c r="AH666" i="6"/>
  <c r="AI666" i="6" s="1"/>
  <c r="AF666" i="6"/>
  <c r="AG666" i="6" s="1"/>
  <c r="R666" i="6"/>
  <c r="P666" i="6"/>
  <c r="Q666" i="6" s="1"/>
  <c r="AZ666" i="6" s="1"/>
  <c r="AX665" i="6"/>
  <c r="AY665" i="6" s="1"/>
  <c r="AV665" i="6"/>
  <c r="AW665" i="6" s="1"/>
  <c r="AM665" i="6"/>
  <c r="AL665" i="6"/>
  <c r="AH665" i="6"/>
  <c r="AI665" i="6" s="1"/>
  <c r="AF665" i="6"/>
  <c r="AG665" i="6" s="1"/>
  <c r="V665" i="6"/>
  <c r="R665" i="6"/>
  <c r="P665" i="6"/>
  <c r="Q665" i="6" s="1"/>
  <c r="AZ665" i="6" s="1"/>
  <c r="AX664" i="6"/>
  <c r="AY664" i="6" s="1"/>
  <c r="AV664" i="6"/>
  <c r="AW664" i="6" s="1"/>
  <c r="AM664" i="6"/>
  <c r="AL664" i="6"/>
  <c r="AH664" i="6"/>
  <c r="AI664" i="6" s="1"/>
  <c r="AF664" i="6"/>
  <c r="AG664" i="6" s="1"/>
  <c r="R664" i="6"/>
  <c r="W664" i="6" s="1"/>
  <c r="P664" i="6"/>
  <c r="AX663" i="6"/>
  <c r="AY663" i="6" s="1"/>
  <c r="AV663" i="6"/>
  <c r="AW663" i="6" s="1"/>
  <c r="AM663" i="6"/>
  <c r="AL663" i="6"/>
  <c r="AH663" i="6"/>
  <c r="AI663" i="6" s="1"/>
  <c r="AF663" i="6"/>
  <c r="AG663" i="6" s="1"/>
  <c r="R663" i="6"/>
  <c r="P663" i="6"/>
  <c r="AX662" i="6"/>
  <c r="AY662" i="6" s="1"/>
  <c r="AV662" i="6"/>
  <c r="AW662" i="6" s="1"/>
  <c r="AM662" i="6"/>
  <c r="AL662" i="6"/>
  <c r="AH662" i="6"/>
  <c r="AI662" i="6" s="1"/>
  <c r="AF662" i="6"/>
  <c r="AG662" i="6" s="1"/>
  <c r="AZ662" i="6" s="1"/>
  <c r="V662" i="6"/>
  <c r="R662" i="6"/>
  <c r="P662" i="6"/>
  <c r="Q662" i="6" s="1"/>
  <c r="AX661" i="6"/>
  <c r="AY661" i="6" s="1"/>
  <c r="AV661" i="6"/>
  <c r="AW661" i="6" s="1"/>
  <c r="AM661" i="6"/>
  <c r="AL661" i="6"/>
  <c r="AH661" i="6"/>
  <c r="AI661" i="6" s="1"/>
  <c r="AF661" i="6"/>
  <c r="AG661" i="6" s="1"/>
  <c r="V661" i="6"/>
  <c r="R661" i="6"/>
  <c r="P661" i="6"/>
  <c r="Q661" i="6" s="1"/>
  <c r="AZ660" i="6"/>
  <c r="AX660" i="6"/>
  <c r="AY660" i="6" s="1"/>
  <c r="AV660" i="6"/>
  <c r="AW660" i="6" s="1"/>
  <c r="AM660" i="6"/>
  <c r="AL660" i="6"/>
  <c r="AH660" i="6"/>
  <c r="AI660" i="6" s="1"/>
  <c r="AF660" i="6"/>
  <c r="AG660" i="6" s="1"/>
  <c r="R660" i="6"/>
  <c r="W660" i="6" s="1"/>
  <c r="P660" i="6"/>
  <c r="Q660" i="6" s="1"/>
  <c r="AX659" i="6"/>
  <c r="AY659" i="6" s="1"/>
  <c r="AV659" i="6"/>
  <c r="AW659" i="6" s="1"/>
  <c r="AM659" i="6"/>
  <c r="AL659" i="6"/>
  <c r="AH659" i="6"/>
  <c r="AI659" i="6" s="1"/>
  <c r="AF659" i="6"/>
  <c r="AG659" i="6" s="1"/>
  <c r="R659" i="6"/>
  <c r="P659" i="6"/>
  <c r="AX658" i="6"/>
  <c r="AY658" i="6" s="1"/>
  <c r="AV658" i="6"/>
  <c r="AW658" i="6" s="1"/>
  <c r="AM658" i="6"/>
  <c r="AL658" i="6"/>
  <c r="AH658" i="6"/>
  <c r="AI658" i="6" s="1"/>
  <c r="AF658" i="6"/>
  <c r="AG658" i="6" s="1"/>
  <c r="R658" i="6"/>
  <c r="P658" i="6"/>
  <c r="AX657" i="6"/>
  <c r="AY657" i="6" s="1"/>
  <c r="AV657" i="6"/>
  <c r="AW657" i="6" s="1"/>
  <c r="AM657" i="6"/>
  <c r="AL657" i="6"/>
  <c r="AH657" i="6"/>
  <c r="AI657" i="6" s="1"/>
  <c r="AF657" i="6"/>
  <c r="AG657" i="6" s="1"/>
  <c r="V657" i="6"/>
  <c r="R657" i="6"/>
  <c r="P657" i="6"/>
  <c r="Q657" i="6" s="1"/>
  <c r="AZ657" i="6" s="1"/>
  <c r="AX656" i="6"/>
  <c r="AY656" i="6" s="1"/>
  <c r="AV656" i="6"/>
  <c r="AW656" i="6" s="1"/>
  <c r="AM656" i="6"/>
  <c r="AL656" i="6"/>
  <c r="AH656" i="6"/>
  <c r="AI656" i="6" s="1"/>
  <c r="AF656" i="6"/>
  <c r="AG656" i="6" s="1"/>
  <c r="V656" i="6"/>
  <c r="R656" i="6"/>
  <c r="W656" i="6" s="1"/>
  <c r="P656" i="6"/>
  <c r="Q656" i="6" s="1"/>
  <c r="AX655" i="6"/>
  <c r="AY655" i="6" s="1"/>
  <c r="AV655" i="6"/>
  <c r="AW655" i="6" s="1"/>
  <c r="AM655" i="6"/>
  <c r="AL655" i="6"/>
  <c r="AH655" i="6"/>
  <c r="AI655" i="6" s="1"/>
  <c r="AF655" i="6"/>
  <c r="AG655" i="6" s="1"/>
  <c r="R655" i="6"/>
  <c r="P655" i="6"/>
  <c r="AX654" i="6"/>
  <c r="AY654" i="6" s="1"/>
  <c r="AV654" i="6"/>
  <c r="AW654" i="6" s="1"/>
  <c r="AZ654" i="6" s="1"/>
  <c r="AM654" i="6"/>
  <c r="AL654" i="6"/>
  <c r="AH654" i="6"/>
  <c r="AI654" i="6" s="1"/>
  <c r="AF654" i="6"/>
  <c r="AG654" i="6" s="1"/>
  <c r="V654" i="6"/>
  <c r="R654" i="6"/>
  <c r="P654" i="6"/>
  <c r="Q654" i="6" s="1"/>
  <c r="AX653" i="6"/>
  <c r="AY653" i="6" s="1"/>
  <c r="AV653" i="6"/>
  <c r="AW653" i="6" s="1"/>
  <c r="AM653" i="6"/>
  <c r="AL653" i="6"/>
  <c r="AH653" i="6"/>
  <c r="AI653" i="6" s="1"/>
  <c r="AF653" i="6"/>
  <c r="AG653" i="6" s="1"/>
  <c r="V653" i="6"/>
  <c r="R653" i="6"/>
  <c r="P653" i="6"/>
  <c r="Q653" i="6" s="1"/>
  <c r="AZ653" i="6" s="1"/>
  <c r="AX652" i="6"/>
  <c r="AY652" i="6" s="1"/>
  <c r="AV652" i="6"/>
  <c r="AW652" i="6" s="1"/>
  <c r="AM652" i="6"/>
  <c r="AL652" i="6"/>
  <c r="AH652" i="6"/>
  <c r="AI652" i="6" s="1"/>
  <c r="AF652" i="6"/>
  <c r="AG652" i="6" s="1"/>
  <c r="R652" i="6"/>
  <c r="W652" i="6" s="1"/>
  <c r="P652" i="6"/>
  <c r="Q652" i="6" s="1"/>
  <c r="AZ652" i="6" s="1"/>
  <c r="AX651" i="6"/>
  <c r="AY651" i="6" s="1"/>
  <c r="AV651" i="6"/>
  <c r="AW651" i="6" s="1"/>
  <c r="AM651" i="6"/>
  <c r="AL651" i="6"/>
  <c r="AH651" i="6"/>
  <c r="AI651" i="6" s="1"/>
  <c r="AF651" i="6"/>
  <c r="AG651" i="6" s="1"/>
  <c r="V651" i="6"/>
  <c r="U651" i="6"/>
  <c r="Q651" i="6"/>
  <c r="AZ651" i="6" s="1"/>
  <c r="P651" i="6"/>
  <c r="O651" i="6"/>
  <c r="M651" i="6"/>
  <c r="K651" i="6"/>
  <c r="R651" i="6" s="1"/>
  <c r="S651" i="6" s="1"/>
  <c r="BA651" i="6" s="1"/>
  <c r="AZ650" i="6"/>
  <c r="AX650" i="6"/>
  <c r="AY650" i="6" s="1"/>
  <c r="AV650" i="6"/>
  <c r="AW650" i="6" s="1"/>
  <c r="AM650" i="6"/>
  <c r="AL650" i="6"/>
  <c r="AH650" i="6"/>
  <c r="AI650" i="6" s="1"/>
  <c r="AF650" i="6"/>
  <c r="AG650" i="6" s="1"/>
  <c r="V650" i="6"/>
  <c r="U650" i="6"/>
  <c r="Q650" i="6"/>
  <c r="P650" i="6"/>
  <c r="O650" i="6"/>
  <c r="M650" i="6"/>
  <c r="K650" i="6"/>
  <c r="AX649" i="6"/>
  <c r="AY649" i="6" s="1"/>
  <c r="AV649" i="6"/>
  <c r="AW649" i="6" s="1"/>
  <c r="AM649" i="6"/>
  <c r="AL649" i="6"/>
  <c r="AH649" i="6"/>
  <c r="AI649" i="6" s="1"/>
  <c r="AF649" i="6"/>
  <c r="AG649" i="6" s="1"/>
  <c r="V649" i="6"/>
  <c r="U649" i="6"/>
  <c r="S649" i="6"/>
  <c r="BA649" i="6" s="1"/>
  <c r="Q649" i="6"/>
  <c r="AZ649" i="6" s="1"/>
  <c r="P649" i="6"/>
  <c r="O649" i="6"/>
  <c r="M649" i="6"/>
  <c r="K649" i="6"/>
  <c r="R649" i="6" s="1"/>
  <c r="AX648" i="6"/>
  <c r="AY648" i="6" s="1"/>
  <c r="AV648" i="6"/>
  <c r="AW648" i="6" s="1"/>
  <c r="AM648" i="6"/>
  <c r="AL648" i="6"/>
  <c r="AH648" i="6"/>
  <c r="AI648" i="6" s="1"/>
  <c r="AF648" i="6"/>
  <c r="AG648" i="6" s="1"/>
  <c r="V648" i="6"/>
  <c r="U648" i="6"/>
  <c r="W648" i="6" s="1"/>
  <c r="S648" i="6"/>
  <c r="BA648" i="6" s="1"/>
  <c r="Q648" i="6"/>
  <c r="AZ648" i="6" s="1"/>
  <c r="P648" i="6"/>
  <c r="O648" i="6"/>
  <c r="M648" i="6"/>
  <c r="K648" i="6"/>
  <c r="R648" i="6" s="1"/>
  <c r="AZ647" i="6"/>
  <c r="AX647" i="6"/>
  <c r="AY647" i="6" s="1"/>
  <c r="AV647" i="6"/>
  <c r="AW647" i="6" s="1"/>
  <c r="AM647" i="6"/>
  <c r="AL647" i="6"/>
  <c r="AH647" i="6"/>
  <c r="AI647" i="6" s="1"/>
  <c r="AF647" i="6"/>
  <c r="AG647" i="6" s="1"/>
  <c r="V647" i="6"/>
  <c r="U647" i="6"/>
  <c r="Q647" i="6"/>
  <c r="P647" i="6"/>
  <c r="O647" i="6"/>
  <c r="M647" i="6"/>
  <c r="K647" i="6"/>
  <c r="AX646" i="6"/>
  <c r="AY646" i="6" s="1"/>
  <c r="AV646" i="6"/>
  <c r="AW646" i="6" s="1"/>
  <c r="AM646" i="6"/>
  <c r="AL646" i="6"/>
  <c r="AH646" i="6"/>
  <c r="AI646" i="6" s="1"/>
  <c r="AF646" i="6"/>
  <c r="AG646" i="6" s="1"/>
  <c r="R646" i="6"/>
  <c r="W646" i="6" s="1"/>
  <c r="P646" i="6"/>
  <c r="Q646" i="6" s="1"/>
  <c r="AZ646" i="6" s="1"/>
  <c r="AX645" i="6"/>
  <c r="AY645" i="6" s="1"/>
  <c r="AV645" i="6"/>
  <c r="AW645" i="6" s="1"/>
  <c r="AM645" i="6"/>
  <c r="AL645" i="6"/>
  <c r="AH645" i="6"/>
  <c r="AI645" i="6" s="1"/>
  <c r="AF645" i="6"/>
  <c r="AG645" i="6" s="1"/>
  <c r="R645" i="6"/>
  <c r="P645" i="6"/>
  <c r="AX644" i="6"/>
  <c r="AY644" i="6" s="1"/>
  <c r="AV644" i="6"/>
  <c r="AW644" i="6" s="1"/>
  <c r="AM644" i="6"/>
  <c r="AL644" i="6"/>
  <c r="AH644" i="6"/>
  <c r="AI644" i="6" s="1"/>
  <c r="AF644" i="6"/>
  <c r="AG644" i="6" s="1"/>
  <c r="R644" i="6"/>
  <c r="P644" i="6"/>
  <c r="AX643" i="6"/>
  <c r="AY643" i="6" s="1"/>
  <c r="AV643" i="6"/>
  <c r="AW643" i="6" s="1"/>
  <c r="AM643" i="6"/>
  <c r="AL643" i="6"/>
  <c r="AH643" i="6"/>
  <c r="AI643" i="6" s="1"/>
  <c r="AF643" i="6"/>
  <c r="AG643" i="6" s="1"/>
  <c r="R643" i="6"/>
  <c r="P643" i="6"/>
  <c r="AZ642" i="6"/>
  <c r="AX642" i="6"/>
  <c r="AY642" i="6" s="1"/>
  <c r="AV642" i="6"/>
  <c r="AW642" i="6" s="1"/>
  <c r="AM642" i="6"/>
  <c r="AL642" i="6"/>
  <c r="AH642" i="6"/>
  <c r="AI642" i="6" s="1"/>
  <c r="AF642" i="6"/>
  <c r="AG642" i="6" s="1"/>
  <c r="V642" i="6"/>
  <c r="R642" i="6"/>
  <c r="P642" i="6"/>
  <c r="Q642" i="6" s="1"/>
  <c r="AX641" i="6"/>
  <c r="AY641" i="6" s="1"/>
  <c r="AV641" i="6"/>
  <c r="AW641" i="6" s="1"/>
  <c r="AM641" i="6"/>
  <c r="AL641" i="6"/>
  <c r="AH641" i="6"/>
  <c r="AI641" i="6" s="1"/>
  <c r="AF641" i="6"/>
  <c r="AG641" i="6" s="1"/>
  <c r="R641" i="6"/>
  <c r="P641" i="6"/>
  <c r="Q641" i="6" s="1"/>
  <c r="AX640" i="6"/>
  <c r="AY640" i="6" s="1"/>
  <c r="AV640" i="6"/>
  <c r="AW640" i="6" s="1"/>
  <c r="AM640" i="6"/>
  <c r="AL640" i="6"/>
  <c r="AH640" i="6"/>
  <c r="AI640" i="6" s="1"/>
  <c r="AF640" i="6"/>
  <c r="AG640" i="6" s="1"/>
  <c r="V640" i="6"/>
  <c r="R640" i="6"/>
  <c r="P640" i="6"/>
  <c r="Q640" i="6" s="1"/>
  <c r="AZ640" i="6" s="1"/>
  <c r="AX639" i="6"/>
  <c r="AY639" i="6" s="1"/>
  <c r="AV639" i="6"/>
  <c r="AW639" i="6" s="1"/>
  <c r="AM639" i="6"/>
  <c r="AL639" i="6"/>
  <c r="AH639" i="6"/>
  <c r="AI639" i="6" s="1"/>
  <c r="AF639" i="6"/>
  <c r="AG639" i="6" s="1"/>
  <c r="R639" i="6"/>
  <c r="P639" i="6"/>
  <c r="AZ638" i="6"/>
  <c r="AX638" i="6"/>
  <c r="AY638" i="6" s="1"/>
  <c r="AV638" i="6"/>
  <c r="AW638" i="6" s="1"/>
  <c r="AM638" i="6"/>
  <c r="AL638" i="6"/>
  <c r="AH638" i="6"/>
  <c r="AI638" i="6" s="1"/>
  <c r="AF638" i="6"/>
  <c r="AG638" i="6" s="1"/>
  <c r="V638" i="6"/>
  <c r="R638" i="6"/>
  <c r="P638" i="6"/>
  <c r="Q638" i="6" s="1"/>
  <c r="AX637" i="6"/>
  <c r="AY637" i="6" s="1"/>
  <c r="AV637" i="6"/>
  <c r="AW637" i="6" s="1"/>
  <c r="AM637" i="6"/>
  <c r="AL637" i="6"/>
  <c r="AH637" i="6"/>
  <c r="AI637" i="6" s="1"/>
  <c r="AF637" i="6"/>
  <c r="AG637" i="6" s="1"/>
  <c r="R637" i="6"/>
  <c r="P637" i="6"/>
  <c r="Q637" i="6" s="1"/>
  <c r="AZ637" i="6" s="1"/>
  <c r="AX636" i="6"/>
  <c r="AY636" i="6" s="1"/>
  <c r="AV636" i="6"/>
  <c r="AW636" i="6" s="1"/>
  <c r="AM636" i="6"/>
  <c r="AL636" i="6"/>
  <c r="AH636" i="6"/>
  <c r="AI636" i="6" s="1"/>
  <c r="AF636" i="6"/>
  <c r="AG636" i="6" s="1"/>
  <c r="V636" i="6"/>
  <c r="R636" i="6"/>
  <c r="P636" i="6"/>
  <c r="Q636" i="6" s="1"/>
  <c r="AZ635" i="6"/>
  <c r="AX635" i="6"/>
  <c r="AY635" i="6" s="1"/>
  <c r="AV635" i="6"/>
  <c r="AW635" i="6" s="1"/>
  <c r="AM635" i="6"/>
  <c r="AL635" i="6"/>
  <c r="AI635" i="6"/>
  <c r="AH635" i="6"/>
  <c r="AF635" i="6"/>
  <c r="AG635" i="6" s="1"/>
  <c r="V635" i="6"/>
  <c r="R635" i="6"/>
  <c r="Q635" i="6"/>
  <c r="P635" i="6"/>
  <c r="AX634" i="6"/>
  <c r="AY634" i="6" s="1"/>
  <c r="AV634" i="6"/>
  <c r="AW634" i="6" s="1"/>
  <c r="AM634" i="6"/>
  <c r="AL634" i="6"/>
  <c r="AH634" i="6"/>
  <c r="AI634" i="6" s="1"/>
  <c r="AF634" i="6"/>
  <c r="AG634" i="6" s="1"/>
  <c r="R634" i="6"/>
  <c r="W634" i="6" s="1"/>
  <c r="P634" i="6"/>
  <c r="Q634" i="6" s="1"/>
  <c r="AZ634" i="6" s="1"/>
  <c r="AX633" i="6"/>
  <c r="AY633" i="6" s="1"/>
  <c r="AW633" i="6"/>
  <c r="AV633" i="6"/>
  <c r="AM633" i="6"/>
  <c r="AL633" i="6"/>
  <c r="AH633" i="6"/>
  <c r="AI633" i="6" s="1"/>
  <c r="AF633" i="6"/>
  <c r="AG633" i="6" s="1"/>
  <c r="V633" i="6"/>
  <c r="R633" i="6"/>
  <c r="Q633" i="6"/>
  <c r="AZ633" i="6" s="1"/>
  <c r="P633" i="6"/>
  <c r="AY632" i="6"/>
  <c r="AX632" i="6"/>
  <c r="AV632" i="6"/>
  <c r="AW632" i="6" s="1"/>
  <c r="AM632" i="6"/>
  <c r="AL632" i="6"/>
  <c r="AH632" i="6"/>
  <c r="AI632" i="6" s="1"/>
  <c r="AG632" i="6"/>
  <c r="AF632" i="6"/>
  <c r="R632" i="6"/>
  <c r="W632" i="6" s="1"/>
  <c r="P632" i="6"/>
  <c r="AX631" i="6"/>
  <c r="AY631" i="6" s="1"/>
  <c r="AV631" i="6"/>
  <c r="AW631" i="6" s="1"/>
  <c r="AM631" i="6"/>
  <c r="AL631" i="6"/>
  <c r="AH631" i="6"/>
  <c r="AI631" i="6" s="1"/>
  <c r="BA631" i="6" s="1"/>
  <c r="AF631" i="6"/>
  <c r="AG631" i="6" s="1"/>
  <c r="R631" i="6"/>
  <c r="S631" i="6" s="1"/>
  <c r="P631" i="6"/>
  <c r="V631" i="6" s="1"/>
  <c r="AY630" i="6"/>
  <c r="AX630" i="6"/>
  <c r="AV630" i="6"/>
  <c r="AW630" i="6" s="1"/>
  <c r="AM630" i="6"/>
  <c r="AL630" i="6"/>
  <c r="AH630" i="6"/>
  <c r="AI630" i="6" s="1"/>
  <c r="AF630" i="6"/>
  <c r="AG630" i="6" s="1"/>
  <c r="AZ630" i="6" s="1"/>
  <c r="V630" i="6"/>
  <c r="S630" i="6"/>
  <c r="BA630" i="6" s="1"/>
  <c r="R630" i="6"/>
  <c r="W630" i="6" s="1"/>
  <c r="P630" i="6"/>
  <c r="Q630" i="6" s="1"/>
  <c r="AX629" i="6"/>
  <c r="AY629" i="6" s="1"/>
  <c r="AW629" i="6"/>
  <c r="AV629" i="6"/>
  <c r="AM629" i="6"/>
  <c r="AL629" i="6"/>
  <c r="AH629" i="6"/>
  <c r="AI629" i="6" s="1"/>
  <c r="AG629" i="6"/>
  <c r="AF629" i="6"/>
  <c r="W629" i="6"/>
  <c r="V629" i="6"/>
  <c r="S629" i="6"/>
  <c r="R629" i="6"/>
  <c r="P629" i="6"/>
  <c r="Q629" i="6" s="1"/>
  <c r="AZ629" i="6" s="1"/>
  <c r="AY628" i="6"/>
  <c r="AX628" i="6"/>
  <c r="AW628" i="6"/>
  <c r="AV628" i="6"/>
  <c r="AM628" i="6"/>
  <c r="AL628" i="6"/>
  <c r="AI628" i="6"/>
  <c r="AH628" i="6"/>
  <c r="AG628" i="6"/>
  <c r="AF628" i="6"/>
  <c r="W628" i="6"/>
  <c r="R628" i="6"/>
  <c r="S628" i="6" s="1"/>
  <c r="BA628" i="6" s="1"/>
  <c r="Q628" i="6"/>
  <c r="P628" i="6"/>
  <c r="V628" i="6" s="1"/>
  <c r="AY627" i="6"/>
  <c r="AX627" i="6"/>
  <c r="AV627" i="6"/>
  <c r="AW627" i="6" s="1"/>
  <c r="AM627" i="6"/>
  <c r="AL627" i="6"/>
  <c r="AH627" i="6"/>
  <c r="AI627" i="6" s="1"/>
  <c r="BA627" i="6" s="1"/>
  <c r="AG627" i="6"/>
  <c r="AF627" i="6"/>
  <c r="S627" i="6"/>
  <c r="R627" i="6"/>
  <c r="W627" i="6" s="1"/>
  <c r="Q627" i="6"/>
  <c r="AZ627" i="6" s="1"/>
  <c r="P627" i="6"/>
  <c r="V627" i="6" s="1"/>
  <c r="AX626" i="6"/>
  <c r="AY626" i="6" s="1"/>
  <c r="AW626" i="6"/>
  <c r="AV626" i="6"/>
  <c r="AM626" i="6"/>
  <c r="AL626" i="6"/>
  <c r="AI626" i="6"/>
  <c r="AH626" i="6"/>
  <c r="AF626" i="6"/>
  <c r="AG626" i="6" s="1"/>
  <c r="V626" i="6"/>
  <c r="R626" i="6"/>
  <c r="Q626" i="6"/>
  <c r="AZ626" i="6" s="1"/>
  <c r="P626" i="6"/>
  <c r="AY625" i="6"/>
  <c r="AX625" i="6"/>
  <c r="AV625" i="6"/>
  <c r="AW625" i="6" s="1"/>
  <c r="AM625" i="6"/>
  <c r="AL625" i="6"/>
  <c r="AH625" i="6"/>
  <c r="AI625" i="6" s="1"/>
  <c r="AG625" i="6"/>
  <c r="AF625" i="6"/>
  <c r="W625" i="6"/>
  <c r="V625" i="6"/>
  <c r="S625" i="6"/>
  <c r="R625" i="6"/>
  <c r="P625" i="6"/>
  <c r="Q625" i="6" s="1"/>
  <c r="AY624" i="6"/>
  <c r="AX624" i="6"/>
  <c r="AW624" i="6"/>
  <c r="AV624" i="6"/>
  <c r="AM624" i="6"/>
  <c r="AL624" i="6"/>
  <c r="AI624" i="6"/>
  <c r="AH624" i="6"/>
  <c r="AG624" i="6"/>
  <c r="AF624" i="6"/>
  <c r="W624" i="6"/>
  <c r="R624" i="6"/>
  <c r="S624" i="6" s="1"/>
  <c r="Q624" i="6"/>
  <c r="P624" i="6"/>
  <c r="V624" i="6" s="1"/>
  <c r="AY623" i="6"/>
  <c r="AX623" i="6"/>
  <c r="AV623" i="6"/>
  <c r="AW623" i="6" s="1"/>
  <c r="AM623" i="6"/>
  <c r="AL623" i="6"/>
  <c r="AI623" i="6"/>
  <c r="AH623" i="6"/>
  <c r="AG623" i="6"/>
  <c r="AF623" i="6"/>
  <c r="S623" i="6"/>
  <c r="R623" i="6"/>
  <c r="W623" i="6" s="1"/>
  <c r="Q623" i="6"/>
  <c r="P623" i="6"/>
  <c r="V623" i="6" s="1"/>
  <c r="AX622" i="6"/>
  <c r="AY622" i="6" s="1"/>
  <c r="AW622" i="6"/>
  <c r="AV622" i="6"/>
  <c r="AM622" i="6"/>
  <c r="AL622" i="6"/>
  <c r="AI622" i="6"/>
  <c r="AH622" i="6"/>
  <c r="AF622" i="6"/>
  <c r="AG622" i="6" s="1"/>
  <c r="R622" i="6"/>
  <c r="Q622" i="6"/>
  <c r="AZ622" i="6" s="1"/>
  <c r="P622" i="6"/>
  <c r="V622" i="6" s="1"/>
  <c r="AY621" i="6"/>
  <c r="AX621" i="6"/>
  <c r="AV621" i="6"/>
  <c r="AW621" i="6" s="1"/>
  <c r="AM621" i="6"/>
  <c r="AL621" i="6"/>
  <c r="AH621" i="6"/>
  <c r="AI621" i="6" s="1"/>
  <c r="AG621" i="6"/>
  <c r="AF621" i="6"/>
  <c r="W621" i="6"/>
  <c r="V621" i="6"/>
  <c r="S621" i="6"/>
  <c r="R621" i="6"/>
  <c r="P621" i="6"/>
  <c r="Q621" i="6" s="1"/>
  <c r="AY620" i="6"/>
  <c r="AX620" i="6"/>
  <c r="AW620" i="6"/>
  <c r="AV620" i="6"/>
  <c r="AM620" i="6"/>
  <c r="AL620" i="6"/>
  <c r="AI620" i="6"/>
  <c r="AH620" i="6"/>
  <c r="AG620" i="6"/>
  <c r="AF620" i="6"/>
  <c r="W620" i="6"/>
  <c r="V620" i="6"/>
  <c r="R620" i="6"/>
  <c r="S620" i="6" s="1"/>
  <c r="Q620" i="6"/>
  <c r="P620" i="6"/>
  <c r="BA619" i="6"/>
  <c r="AY619" i="6"/>
  <c r="AX619" i="6"/>
  <c r="AV619" i="6"/>
  <c r="AW619" i="6" s="1"/>
  <c r="AM619" i="6"/>
  <c r="AL619" i="6"/>
  <c r="AH619" i="6"/>
  <c r="AI619" i="6" s="1"/>
  <c r="AG619" i="6"/>
  <c r="AF619" i="6"/>
  <c r="S619" i="6"/>
  <c r="R619" i="6"/>
  <c r="W619" i="6" s="1"/>
  <c r="P619" i="6"/>
  <c r="V619" i="6" s="1"/>
  <c r="AX618" i="6"/>
  <c r="AY618" i="6" s="1"/>
  <c r="AW618" i="6"/>
  <c r="AV618" i="6"/>
  <c r="AM618" i="6"/>
  <c r="AL618" i="6"/>
  <c r="AI618" i="6"/>
  <c r="AH618" i="6"/>
  <c r="AF618" i="6"/>
  <c r="AG618" i="6" s="1"/>
  <c r="R618" i="6"/>
  <c r="W618" i="6" s="1"/>
  <c r="Q618" i="6"/>
  <c r="P618" i="6"/>
  <c r="V618" i="6" s="1"/>
  <c r="AY617" i="6"/>
  <c r="AX617" i="6"/>
  <c r="AW617" i="6"/>
  <c r="AV617" i="6"/>
  <c r="AM617" i="6"/>
  <c r="AL617" i="6"/>
  <c r="AH617" i="6"/>
  <c r="AI617" i="6" s="1"/>
  <c r="AG617" i="6"/>
  <c r="AF617" i="6"/>
  <c r="W617" i="6"/>
  <c r="V617" i="6"/>
  <c r="S617" i="6"/>
  <c r="BA617" i="6" s="1"/>
  <c r="R617" i="6"/>
  <c r="P617" i="6"/>
  <c r="Q617" i="6" s="1"/>
  <c r="AZ617" i="6" s="1"/>
  <c r="AX616" i="6"/>
  <c r="AY616" i="6" s="1"/>
  <c r="AW616" i="6"/>
  <c r="AV616" i="6"/>
  <c r="AM616" i="6"/>
  <c r="AL616" i="6"/>
  <c r="AI616" i="6"/>
  <c r="AH616" i="6"/>
  <c r="AF616" i="6"/>
  <c r="AG616" i="6" s="1"/>
  <c r="W616" i="6"/>
  <c r="V616" i="6"/>
  <c r="R616" i="6"/>
  <c r="S616" i="6" s="1"/>
  <c r="Q616" i="6"/>
  <c r="P616" i="6"/>
  <c r="AY615" i="6"/>
  <c r="AX615" i="6"/>
  <c r="AV615" i="6"/>
  <c r="AW615" i="6" s="1"/>
  <c r="AM615" i="6"/>
  <c r="AL615" i="6"/>
  <c r="AI615" i="6"/>
  <c r="BA615" i="6" s="1"/>
  <c r="AH615" i="6"/>
  <c r="AG615" i="6"/>
  <c r="AF615" i="6"/>
  <c r="S615" i="6"/>
  <c r="R615" i="6"/>
  <c r="W615" i="6" s="1"/>
  <c r="Q615" i="6"/>
  <c r="AZ615" i="6" s="1"/>
  <c r="P615" i="6"/>
  <c r="V615" i="6" s="1"/>
  <c r="BA614" i="6"/>
  <c r="AX614" i="6"/>
  <c r="AY614" i="6" s="1"/>
  <c r="AW614" i="6"/>
  <c r="AV614" i="6"/>
  <c r="AM614" i="6"/>
  <c r="AL614" i="6"/>
  <c r="AI614" i="6"/>
  <c r="AH614" i="6"/>
  <c r="AF614" i="6"/>
  <c r="AG614" i="6" s="1"/>
  <c r="S614" i="6"/>
  <c r="R614" i="6"/>
  <c r="W614" i="6" s="1"/>
  <c r="Q614" i="6"/>
  <c r="AZ614" i="6" s="1"/>
  <c r="P614" i="6"/>
  <c r="V614" i="6" s="1"/>
  <c r="AY613" i="6"/>
  <c r="AX613" i="6"/>
  <c r="AV613" i="6"/>
  <c r="AW613" i="6" s="1"/>
  <c r="AM613" i="6"/>
  <c r="AL613" i="6"/>
  <c r="AH613" i="6"/>
  <c r="AI613" i="6" s="1"/>
  <c r="AG613" i="6"/>
  <c r="AF613" i="6"/>
  <c r="W613" i="6"/>
  <c r="V613" i="6"/>
  <c r="S613" i="6"/>
  <c r="R613" i="6"/>
  <c r="P613" i="6"/>
  <c r="Q613" i="6" s="1"/>
  <c r="AY612" i="6"/>
  <c r="AX612" i="6"/>
  <c r="AW612" i="6"/>
  <c r="AV612" i="6"/>
  <c r="AM612" i="6"/>
  <c r="AL612" i="6"/>
  <c r="AI612" i="6"/>
  <c r="AH612" i="6"/>
  <c r="AG612" i="6"/>
  <c r="AF612" i="6"/>
  <c r="W612" i="6"/>
  <c r="V612" i="6"/>
  <c r="R612" i="6"/>
  <c r="S612" i="6" s="1"/>
  <c r="Q612" i="6"/>
  <c r="P612" i="6"/>
  <c r="AY611" i="6"/>
  <c r="AX611" i="6"/>
  <c r="AV611" i="6"/>
  <c r="AW611" i="6" s="1"/>
  <c r="AM611" i="6"/>
  <c r="AL611" i="6"/>
  <c r="AI611" i="6"/>
  <c r="BA611" i="6" s="1"/>
  <c r="AH611" i="6"/>
  <c r="AG611" i="6"/>
  <c r="AF611" i="6"/>
  <c r="S611" i="6"/>
  <c r="R611" i="6"/>
  <c r="W611" i="6" s="1"/>
  <c r="P611" i="6"/>
  <c r="AX610" i="6"/>
  <c r="AY610" i="6" s="1"/>
  <c r="AW610" i="6"/>
  <c r="AV610" i="6"/>
  <c r="AM610" i="6"/>
  <c r="AL610" i="6"/>
  <c r="AI610" i="6"/>
  <c r="AH610" i="6"/>
  <c r="AF610" i="6"/>
  <c r="AG610" i="6" s="1"/>
  <c r="R610" i="6"/>
  <c r="Q610" i="6"/>
  <c r="P610" i="6"/>
  <c r="V610" i="6" s="1"/>
  <c r="AY609" i="6"/>
  <c r="AX609" i="6"/>
  <c r="AW609" i="6"/>
  <c r="AV609" i="6"/>
  <c r="AM609" i="6"/>
  <c r="AL609" i="6"/>
  <c r="AH609" i="6"/>
  <c r="AI609" i="6" s="1"/>
  <c r="AG609" i="6"/>
  <c r="AF609" i="6"/>
  <c r="W609" i="6"/>
  <c r="V609" i="6"/>
  <c r="S609" i="6"/>
  <c r="BA609" i="6" s="1"/>
  <c r="R609" i="6"/>
  <c r="P609" i="6"/>
  <c r="Q609" i="6" s="1"/>
  <c r="AY608" i="6"/>
  <c r="AX608" i="6"/>
  <c r="AW608" i="6"/>
  <c r="AV608" i="6"/>
  <c r="AM608" i="6"/>
  <c r="AL608" i="6"/>
  <c r="AF608" i="6"/>
  <c r="AG608" i="6" s="1"/>
  <c r="AE608" i="6"/>
  <c r="AC608" i="6"/>
  <c r="AA608" i="6"/>
  <c r="Y608" i="6"/>
  <c r="AH608" i="6" s="1"/>
  <c r="AI608" i="6" s="1"/>
  <c r="V608" i="6"/>
  <c r="U608" i="6"/>
  <c r="U601" i="6" s="1"/>
  <c r="Q608" i="6"/>
  <c r="P608" i="6"/>
  <c r="O608" i="6"/>
  <c r="M608" i="6"/>
  <c r="K608" i="6"/>
  <c r="I608" i="6"/>
  <c r="AZ607" i="6"/>
  <c r="AY607" i="6"/>
  <c r="AX607" i="6"/>
  <c r="AW607" i="6"/>
  <c r="AV607" i="6"/>
  <c r="AM607" i="6"/>
  <c r="AL607" i="6"/>
  <c r="AH607" i="6"/>
  <c r="AI607" i="6" s="1"/>
  <c r="AG607" i="6"/>
  <c r="AF607" i="6"/>
  <c r="AE607" i="6"/>
  <c r="AC607" i="6"/>
  <c r="AA607" i="6"/>
  <c r="Y607" i="6"/>
  <c r="Y599" i="6" s="1"/>
  <c r="V607" i="6"/>
  <c r="U607" i="6"/>
  <c r="Q607" i="6"/>
  <c r="P607" i="6"/>
  <c r="O607" i="6"/>
  <c r="O599" i="6" s="1"/>
  <c r="M607" i="6"/>
  <c r="K607" i="6"/>
  <c r="R607" i="6" s="1"/>
  <c r="I607" i="6"/>
  <c r="AY606" i="6"/>
  <c r="AX606" i="6"/>
  <c r="AV606" i="6"/>
  <c r="AW606" i="6" s="1"/>
  <c r="AM606" i="6"/>
  <c r="AL606" i="6"/>
  <c r="AG606" i="6"/>
  <c r="AF606" i="6"/>
  <c r="AE606" i="6"/>
  <c r="AE601" i="6" s="1"/>
  <c r="AC606" i="6"/>
  <c r="AC601" i="6" s="1"/>
  <c r="AA606" i="6"/>
  <c r="Y606" i="6"/>
  <c r="U606" i="6"/>
  <c r="R606" i="6"/>
  <c r="Q606" i="6"/>
  <c r="P606" i="6"/>
  <c r="V606" i="6" s="1"/>
  <c r="O606" i="6"/>
  <c r="M606" i="6"/>
  <c r="K606" i="6"/>
  <c r="K601" i="6" s="1"/>
  <c r="I606" i="6"/>
  <c r="AX605" i="6"/>
  <c r="AY605" i="6" s="1"/>
  <c r="AW605" i="6"/>
  <c r="AV605" i="6"/>
  <c r="AM605" i="6"/>
  <c r="AL605" i="6"/>
  <c r="AH605" i="6"/>
  <c r="AI605" i="6" s="1"/>
  <c r="AF605" i="6"/>
  <c r="AG605" i="6" s="1"/>
  <c r="AE605" i="6"/>
  <c r="AC605" i="6"/>
  <c r="AA605" i="6"/>
  <c r="Y605" i="6"/>
  <c r="V605" i="6"/>
  <c r="U605" i="6"/>
  <c r="U600" i="6" s="1"/>
  <c r="P605" i="6"/>
  <c r="Q605" i="6" s="1"/>
  <c r="AZ605" i="6" s="1"/>
  <c r="O605" i="6"/>
  <c r="M605" i="6"/>
  <c r="K605" i="6"/>
  <c r="K600" i="6" s="1"/>
  <c r="I605" i="6"/>
  <c r="AX604" i="6"/>
  <c r="AY604" i="6" s="1"/>
  <c r="AW604" i="6"/>
  <c r="AV604" i="6"/>
  <c r="AM604" i="6"/>
  <c r="AL604" i="6"/>
  <c r="AF604" i="6"/>
  <c r="AG604" i="6" s="1"/>
  <c r="AE604" i="6"/>
  <c r="AC604" i="6"/>
  <c r="AA604" i="6"/>
  <c r="AA600" i="6" s="1"/>
  <c r="Y604" i="6"/>
  <c r="U604" i="6"/>
  <c r="P604" i="6"/>
  <c r="O604" i="6"/>
  <c r="O600" i="6" s="1"/>
  <c r="M604" i="6"/>
  <c r="K604" i="6"/>
  <c r="I604" i="6"/>
  <c r="AX603" i="6"/>
  <c r="AY603" i="6" s="1"/>
  <c r="AW603" i="6"/>
  <c r="AV603" i="6"/>
  <c r="AM603" i="6"/>
  <c r="AL603" i="6"/>
  <c r="AF603" i="6"/>
  <c r="AG603" i="6" s="1"/>
  <c r="AE603" i="6"/>
  <c r="AE599" i="6" s="1"/>
  <c r="AC603" i="6"/>
  <c r="AA603" i="6"/>
  <c r="Y603" i="6"/>
  <c r="V603" i="6"/>
  <c r="U603" i="6"/>
  <c r="S603" i="6"/>
  <c r="R603" i="6"/>
  <c r="W603" i="6" s="1"/>
  <c r="Q603" i="6"/>
  <c r="P603" i="6"/>
  <c r="O603" i="6"/>
  <c r="M603" i="6"/>
  <c r="K603" i="6"/>
  <c r="I603" i="6"/>
  <c r="AY602" i="6"/>
  <c r="AX602" i="6"/>
  <c r="AV602" i="6"/>
  <c r="AW602" i="6" s="1"/>
  <c r="AM602" i="6"/>
  <c r="AL602" i="6"/>
  <c r="AI602" i="6"/>
  <c r="BA602" i="6" s="1"/>
  <c r="AH602" i="6"/>
  <c r="AG602" i="6"/>
  <c r="AF602" i="6"/>
  <c r="W602" i="6"/>
  <c r="S602" i="6"/>
  <c r="R602" i="6"/>
  <c r="P602" i="6"/>
  <c r="AX601" i="6"/>
  <c r="AY601" i="6" s="1"/>
  <c r="AW601" i="6"/>
  <c r="AV601" i="6"/>
  <c r="AM601" i="6"/>
  <c r="AL601" i="6"/>
  <c r="AF601" i="6"/>
  <c r="AG601" i="6" s="1"/>
  <c r="AA601" i="6"/>
  <c r="Y601" i="6"/>
  <c r="P601" i="6"/>
  <c r="O601" i="6"/>
  <c r="M601" i="6"/>
  <c r="AX600" i="6"/>
  <c r="AY600" i="6" s="1"/>
  <c r="AW600" i="6"/>
  <c r="AV600" i="6"/>
  <c r="AM600" i="6"/>
  <c r="AL600" i="6"/>
  <c r="AF600" i="6"/>
  <c r="AG600" i="6" s="1"/>
  <c r="AE600" i="6"/>
  <c r="AC600" i="6"/>
  <c r="V600" i="6"/>
  <c r="Q600" i="6"/>
  <c r="P600" i="6"/>
  <c r="AY599" i="6"/>
  <c r="AX599" i="6"/>
  <c r="AV599" i="6"/>
  <c r="AW599" i="6" s="1"/>
  <c r="AM599" i="6"/>
  <c r="AL599" i="6"/>
  <c r="AG599" i="6"/>
  <c r="AZ599" i="6" s="1"/>
  <c r="AF599" i="6"/>
  <c r="AA599" i="6"/>
  <c r="V599" i="6"/>
  <c r="U599" i="6"/>
  <c r="Q599" i="6"/>
  <c r="P599" i="6"/>
  <c r="M599" i="6"/>
  <c r="I599" i="6"/>
  <c r="AY598" i="6"/>
  <c r="AX598" i="6"/>
  <c r="AV598" i="6"/>
  <c r="AW598" i="6" s="1"/>
  <c r="AM598" i="6"/>
  <c r="AL598" i="6"/>
  <c r="AH598" i="6"/>
  <c r="AI598" i="6" s="1"/>
  <c r="AG598" i="6"/>
  <c r="AF598" i="6"/>
  <c r="V598" i="6"/>
  <c r="S598" i="6"/>
  <c r="R598" i="6"/>
  <c r="W598" i="6" s="1"/>
  <c r="P598" i="6"/>
  <c r="Q598" i="6" s="1"/>
  <c r="AZ598" i="6" s="1"/>
  <c r="AX597" i="6"/>
  <c r="AY597" i="6" s="1"/>
  <c r="AW597" i="6"/>
  <c r="AV597" i="6"/>
  <c r="AM597" i="6"/>
  <c r="AL597" i="6"/>
  <c r="AI597" i="6"/>
  <c r="AH597" i="6"/>
  <c r="AF597" i="6"/>
  <c r="AG597" i="6" s="1"/>
  <c r="W597" i="6"/>
  <c r="V597" i="6"/>
  <c r="R597" i="6"/>
  <c r="S597" i="6" s="1"/>
  <c r="BA597" i="6" s="1"/>
  <c r="Q597" i="6"/>
  <c r="P597" i="6"/>
  <c r="AX596" i="6"/>
  <c r="AY596" i="6" s="1"/>
  <c r="AV596" i="6"/>
  <c r="AW596" i="6" s="1"/>
  <c r="AM596" i="6"/>
  <c r="AL596" i="6"/>
  <c r="AH596" i="6"/>
  <c r="AI596" i="6" s="1"/>
  <c r="AG596" i="6"/>
  <c r="AF596" i="6"/>
  <c r="S596" i="6"/>
  <c r="R596" i="6"/>
  <c r="W596" i="6" s="1"/>
  <c r="P596" i="6"/>
  <c r="AX595" i="6"/>
  <c r="AY595" i="6" s="1"/>
  <c r="AW595" i="6"/>
  <c r="AV595" i="6"/>
  <c r="AM595" i="6"/>
  <c r="AL595" i="6"/>
  <c r="AH595" i="6"/>
  <c r="AI595" i="6" s="1"/>
  <c r="AF595" i="6"/>
  <c r="AG595" i="6" s="1"/>
  <c r="R595" i="6"/>
  <c r="Q595" i="6"/>
  <c r="AZ595" i="6" s="1"/>
  <c r="P595" i="6"/>
  <c r="V595" i="6" s="1"/>
  <c r="AY594" i="6"/>
  <c r="AX594" i="6"/>
  <c r="AV594" i="6"/>
  <c r="AW594" i="6" s="1"/>
  <c r="AM594" i="6"/>
  <c r="AL594" i="6"/>
  <c r="AH594" i="6"/>
  <c r="AI594" i="6" s="1"/>
  <c r="AG594" i="6"/>
  <c r="AF594" i="6"/>
  <c r="V594" i="6"/>
  <c r="S594" i="6"/>
  <c r="BA594" i="6" s="1"/>
  <c r="R594" i="6"/>
  <c r="W594" i="6" s="1"/>
  <c r="P594" i="6"/>
  <c r="Q594" i="6" s="1"/>
  <c r="AZ594" i="6" s="1"/>
  <c r="AX593" i="6"/>
  <c r="AY593" i="6" s="1"/>
  <c r="AV593" i="6"/>
  <c r="AW593" i="6" s="1"/>
  <c r="AM593" i="6"/>
  <c r="AL593" i="6"/>
  <c r="AI593" i="6"/>
  <c r="AH593" i="6"/>
  <c r="AF593" i="6"/>
  <c r="AG593" i="6" s="1"/>
  <c r="W593" i="6"/>
  <c r="V593" i="6"/>
  <c r="R593" i="6"/>
  <c r="S593" i="6" s="1"/>
  <c r="Q593" i="6"/>
  <c r="P593" i="6"/>
  <c r="AX592" i="6"/>
  <c r="AY592" i="6" s="1"/>
  <c r="AV592" i="6"/>
  <c r="AW592" i="6" s="1"/>
  <c r="AM592" i="6"/>
  <c r="AL592" i="6"/>
  <c r="AH592" i="6"/>
  <c r="AI592" i="6" s="1"/>
  <c r="AF592" i="6"/>
  <c r="AG592" i="6" s="1"/>
  <c r="S592" i="6"/>
  <c r="R592" i="6"/>
  <c r="W592" i="6" s="1"/>
  <c r="P592" i="6"/>
  <c r="AX591" i="6"/>
  <c r="AY591" i="6" s="1"/>
  <c r="AW591" i="6"/>
  <c r="AV591" i="6"/>
  <c r="AM591" i="6"/>
  <c r="AL591" i="6"/>
  <c r="AI591" i="6"/>
  <c r="BA591" i="6" s="1"/>
  <c r="AH591" i="6"/>
  <c r="AF591" i="6"/>
  <c r="AG591" i="6" s="1"/>
  <c r="AZ591" i="6" s="1"/>
  <c r="W591" i="6"/>
  <c r="R591" i="6"/>
  <c r="S591" i="6" s="1"/>
  <c r="Q591" i="6"/>
  <c r="P591" i="6"/>
  <c r="V591" i="6" s="1"/>
  <c r="AY590" i="6"/>
  <c r="AX590" i="6"/>
  <c r="AV590" i="6"/>
  <c r="AW590" i="6" s="1"/>
  <c r="AM590" i="6"/>
  <c r="AL590" i="6"/>
  <c r="AH590" i="6"/>
  <c r="AI590" i="6" s="1"/>
  <c r="AG590" i="6"/>
  <c r="AF590" i="6"/>
  <c r="V590" i="6"/>
  <c r="S590" i="6"/>
  <c r="R590" i="6"/>
  <c r="W590" i="6" s="1"/>
  <c r="P590" i="6"/>
  <c r="Q590" i="6" s="1"/>
  <c r="AZ590" i="6" s="1"/>
  <c r="AX589" i="6"/>
  <c r="AY589" i="6" s="1"/>
  <c r="AW589" i="6"/>
  <c r="AV589" i="6"/>
  <c r="AM589" i="6"/>
  <c r="AL589" i="6"/>
  <c r="AI589" i="6"/>
  <c r="AH589" i="6"/>
  <c r="AF589" i="6"/>
  <c r="AG589" i="6" s="1"/>
  <c r="W589" i="6"/>
  <c r="V589" i="6"/>
  <c r="R589" i="6"/>
  <c r="S589" i="6" s="1"/>
  <c r="BA589" i="6" s="1"/>
  <c r="Q589" i="6"/>
  <c r="AZ589" i="6" s="1"/>
  <c r="P589" i="6"/>
  <c r="AY588" i="6"/>
  <c r="AX588" i="6"/>
  <c r="AV588" i="6"/>
  <c r="AW588" i="6" s="1"/>
  <c r="AM588" i="6"/>
  <c r="AL588" i="6"/>
  <c r="AH588" i="6"/>
  <c r="AI588" i="6" s="1"/>
  <c r="AG588" i="6"/>
  <c r="AF588" i="6"/>
  <c r="S588" i="6"/>
  <c r="BA588" i="6" s="1"/>
  <c r="R588" i="6"/>
  <c r="W588" i="6" s="1"/>
  <c r="P588" i="6"/>
  <c r="AX587" i="6"/>
  <c r="AY587" i="6" s="1"/>
  <c r="AW587" i="6"/>
  <c r="AV587" i="6"/>
  <c r="AM587" i="6"/>
  <c r="AL587" i="6"/>
  <c r="AH587" i="6"/>
  <c r="AI587" i="6" s="1"/>
  <c r="AF587" i="6"/>
  <c r="AG587" i="6" s="1"/>
  <c r="W587" i="6"/>
  <c r="R587" i="6"/>
  <c r="S587" i="6" s="1"/>
  <c r="BA587" i="6" s="1"/>
  <c r="P587" i="6"/>
  <c r="AY586" i="6"/>
  <c r="AX586" i="6"/>
  <c r="AV586" i="6"/>
  <c r="AW586" i="6" s="1"/>
  <c r="AM586" i="6"/>
  <c r="AL586" i="6"/>
  <c r="AH586" i="6"/>
  <c r="AI586" i="6" s="1"/>
  <c r="AG586" i="6"/>
  <c r="AF586" i="6"/>
  <c r="V586" i="6"/>
  <c r="R586" i="6"/>
  <c r="W586" i="6" s="1"/>
  <c r="P586" i="6"/>
  <c r="Q586" i="6" s="1"/>
  <c r="AX585" i="6"/>
  <c r="AY585" i="6" s="1"/>
  <c r="AV585" i="6"/>
  <c r="AW585" i="6" s="1"/>
  <c r="AM585" i="6"/>
  <c r="AL585" i="6"/>
  <c r="AI585" i="6"/>
  <c r="AH585" i="6"/>
  <c r="AF585" i="6"/>
  <c r="AG585" i="6" s="1"/>
  <c r="W585" i="6"/>
  <c r="V585" i="6"/>
  <c r="R585" i="6"/>
  <c r="S585" i="6" s="1"/>
  <c r="BA585" i="6" s="1"/>
  <c r="Q585" i="6"/>
  <c r="P585" i="6"/>
  <c r="AX584" i="6"/>
  <c r="AY584" i="6" s="1"/>
  <c r="AV584" i="6"/>
  <c r="AW584" i="6" s="1"/>
  <c r="AM584" i="6"/>
  <c r="AL584" i="6"/>
  <c r="AH584" i="6"/>
  <c r="AI584" i="6" s="1"/>
  <c r="AF584" i="6"/>
  <c r="AG584" i="6" s="1"/>
  <c r="S584" i="6"/>
  <c r="R584" i="6"/>
  <c r="W584" i="6" s="1"/>
  <c r="P584" i="6"/>
  <c r="AX583" i="6"/>
  <c r="AY583" i="6" s="1"/>
  <c r="AW583" i="6"/>
  <c r="AV583" i="6"/>
  <c r="AM583" i="6"/>
  <c r="AL583" i="6"/>
  <c r="AI583" i="6"/>
  <c r="BA583" i="6" s="1"/>
  <c r="AH583" i="6"/>
  <c r="AF583" i="6"/>
  <c r="AG583" i="6" s="1"/>
  <c r="AZ583" i="6" s="1"/>
  <c r="W583" i="6"/>
  <c r="R583" i="6"/>
  <c r="S583" i="6" s="1"/>
  <c r="Q583" i="6"/>
  <c r="P583" i="6"/>
  <c r="V583" i="6" s="1"/>
  <c r="AY582" i="6"/>
  <c r="AX582" i="6"/>
  <c r="AV582" i="6"/>
  <c r="AW582" i="6" s="1"/>
  <c r="AM582" i="6"/>
  <c r="AL582" i="6"/>
  <c r="AH582" i="6"/>
  <c r="AI582" i="6" s="1"/>
  <c r="AG582" i="6"/>
  <c r="AF582" i="6"/>
  <c r="V582" i="6"/>
  <c r="S582" i="6"/>
  <c r="R582" i="6"/>
  <c r="W582" i="6" s="1"/>
  <c r="P582" i="6"/>
  <c r="Q582" i="6" s="1"/>
  <c r="AZ582" i="6" s="1"/>
  <c r="AX581" i="6"/>
  <c r="AY581" i="6" s="1"/>
  <c r="AV581" i="6"/>
  <c r="AW581" i="6" s="1"/>
  <c r="AM581" i="6"/>
  <c r="AL581" i="6"/>
  <c r="AI581" i="6"/>
  <c r="AH581" i="6"/>
  <c r="AF581" i="6"/>
  <c r="AG581" i="6" s="1"/>
  <c r="V581" i="6"/>
  <c r="R581" i="6"/>
  <c r="Q581" i="6"/>
  <c r="AZ581" i="6" s="1"/>
  <c r="P581" i="6"/>
  <c r="AZ580" i="6"/>
  <c r="AY580" i="6"/>
  <c r="AX580" i="6"/>
  <c r="AV580" i="6"/>
  <c r="AW580" i="6" s="1"/>
  <c r="AM580" i="6"/>
  <c r="AL580" i="6"/>
  <c r="AH580" i="6"/>
  <c r="AI580" i="6" s="1"/>
  <c r="AF580" i="6"/>
  <c r="AG580" i="6" s="1"/>
  <c r="R580" i="6"/>
  <c r="W580" i="6" s="1"/>
  <c r="P580" i="6"/>
  <c r="Q580" i="6" s="1"/>
  <c r="AX579" i="6"/>
  <c r="AY579" i="6" s="1"/>
  <c r="AW579" i="6"/>
  <c r="AV579" i="6"/>
  <c r="AM579" i="6"/>
  <c r="AL579" i="6"/>
  <c r="AH579" i="6"/>
  <c r="AI579" i="6" s="1"/>
  <c r="BA579" i="6" s="1"/>
  <c r="AF579" i="6"/>
  <c r="AG579" i="6" s="1"/>
  <c r="W579" i="6"/>
  <c r="V579" i="6"/>
  <c r="R579" i="6"/>
  <c r="S579" i="6" s="1"/>
  <c r="P579" i="6"/>
  <c r="Q579" i="6" s="1"/>
  <c r="AZ579" i="6" s="1"/>
  <c r="AX578" i="6"/>
  <c r="AY578" i="6" s="1"/>
  <c r="AV578" i="6"/>
  <c r="AW578" i="6" s="1"/>
  <c r="AM578" i="6"/>
  <c r="AL578" i="6"/>
  <c r="AH578" i="6"/>
  <c r="AI578" i="6" s="1"/>
  <c r="AG578" i="6"/>
  <c r="AF578" i="6"/>
  <c r="V578" i="6"/>
  <c r="S578" i="6"/>
  <c r="BA578" i="6" s="1"/>
  <c r="R578" i="6"/>
  <c r="W578" i="6" s="1"/>
  <c r="P578" i="6"/>
  <c r="Q578" i="6" s="1"/>
  <c r="AZ578" i="6" s="1"/>
  <c r="AX577" i="6"/>
  <c r="AY577" i="6" s="1"/>
  <c r="AV577" i="6"/>
  <c r="AW577" i="6" s="1"/>
  <c r="AM577" i="6"/>
  <c r="AL577" i="6"/>
  <c r="AI577" i="6"/>
  <c r="AH577" i="6"/>
  <c r="AF577" i="6"/>
  <c r="AG577" i="6" s="1"/>
  <c r="V577" i="6"/>
  <c r="R577" i="6"/>
  <c r="Q577" i="6"/>
  <c r="AZ577" i="6" s="1"/>
  <c r="P577" i="6"/>
  <c r="AY576" i="6"/>
  <c r="AX576" i="6"/>
  <c r="AW576" i="6"/>
  <c r="AV576" i="6"/>
  <c r="AM576" i="6"/>
  <c r="AL576" i="6"/>
  <c r="AH576" i="6"/>
  <c r="AI576" i="6" s="1"/>
  <c r="AG576" i="6"/>
  <c r="AF576" i="6"/>
  <c r="R576" i="6"/>
  <c r="P576" i="6"/>
  <c r="AY575" i="6"/>
  <c r="AX575" i="6"/>
  <c r="AW575" i="6"/>
  <c r="AV575" i="6"/>
  <c r="AM575" i="6"/>
  <c r="AL575" i="6"/>
  <c r="AH575" i="6"/>
  <c r="AI575" i="6" s="1"/>
  <c r="AG575" i="6"/>
  <c r="AF575" i="6"/>
  <c r="R575" i="6"/>
  <c r="W575" i="6" s="1"/>
  <c r="P575" i="6"/>
  <c r="AY574" i="6"/>
  <c r="AX574" i="6"/>
  <c r="AW574" i="6"/>
  <c r="AV574" i="6"/>
  <c r="AM574" i="6"/>
  <c r="AL574" i="6"/>
  <c r="AI574" i="6"/>
  <c r="AH574" i="6"/>
  <c r="AG574" i="6"/>
  <c r="AF574" i="6"/>
  <c r="W574" i="6"/>
  <c r="V574" i="6"/>
  <c r="R574" i="6"/>
  <c r="S574" i="6" s="1"/>
  <c r="BA574" i="6" s="1"/>
  <c r="P574" i="6"/>
  <c r="Q574" i="6" s="1"/>
  <c r="AY573" i="6"/>
  <c r="AX573" i="6"/>
  <c r="AV573" i="6"/>
  <c r="AW573" i="6" s="1"/>
  <c r="AM573" i="6"/>
  <c r="AL573" i="6"/>
  <c r="AI573" i="6"/>
  <c r="AH573" i="6"/>
  <c r="AF573" i="6"/>
  <c r="AG573" i="6" s="1"/>
  <c r="W573" i="6"/>
  <c r="V573" i="6"/>
  <c r="R573" i="6"/>
  <c r="S573" i="6" s="1"/>
  <c r="BA573" i="6" s="1"/>
  <c r="Q573" i="6"/>
  <c r="AZ573" i="6" s="1"/>
  <c r="P573" i="6"/>
  <c r="AX572" i="6"/>
  <c r="AY572" i="6" s="1"/>
  <c r="AV572" i="6"/>
  <c r="AW572" i="6" s="1"/>
  <c r="AM572" i="6"/>
  <c r="AL572" i="6"/>
  <c r="AI572" i="6"/>
  <c r="BA572" i="6" s="1"/>
  <c r="AH572" i="6"/>
  <c r="AF572" i="6"/>
  <c r="AG572" i="6" s="1"/>
  <c r="S572" i="6"/>
  <c r="R572" i="6"/>
  <c r="W572" i="6" s="1"/>
  <c r="P572" i="6"/>
  <c r="V572" i="6" s="1"/>
  <c r="AX571" i="6"/>
  <c r="AY571" i="6" s="1"/>
  <c r="AW571" i="6"/>
  <c r="AV571" i="6"/>
  <c r="AM571" i="6"/>
  <c r="AL571" i="6"/>
  <c r="AH571" i="6"/>
  <c r="AI571" i="6" s="1"/>
  <c r="AF571" i="6"/>
  <c r="AG571" i="6" s="1"/>
  <c r="R571" i="6"/>
  <c r="W571" i="6" s="1"/>
  <c r="P571" i="6"/>
  <c r="AY570" i="6"/>
  <c r="AX570" i="6"/>
  <c r="AW570" i="6"/>
  <c r="AV570" i="6"/>
  <c r="AM570" i="6"/>
  <c r="AL570" i="6"/>
  <c r="AH570" i="6"/>
  <c r="AI570" i="6" s="1"/>
  <c r="AG570" i="6"/>
  <c r="AF570" i="6"/>
  <c r="V570" i="6"/>
  <c r="R570" i="6"/>
  <c r="S570" i="6" s="1"/>
  <c r="P570" i="6"/>
  <c r="Q570" i="6" s="1"/>
  <c r="AX569" i="6"/>
  <c r="AY569" i="6" s="1"/>
  <c r="AV569" i="6"/>
  <c r="AW569" i="6" s="1"/>
  <c r="AM569" i="6"/>
  <c r="AL569" i="6"/>
  <c r="AI569" i="6"/>
  <c r="AH569" i="6"/>
  <c r="AF569" i="6"/>
  <c r="AG569" i="6" s="1"/>
  <c r="W569" i="6"/>
  <c r="V569" i="6"/>
  <c r="R569" i="6"/>
  <c r="S569" i="6" s="1"/>
  <c r="Q569" i="6"/>
  <c r="P569" i="6"/>
  <c r="AX568" i="6"/>
  <c r="AY568" i="6" s="1"/>
  <c r="AV568" i="6"/>
  <c r="AW568" i="6" s="1"/>
  <c r="AM568" i="6"/>
  <c r="AL568" i="6"/>
  <c r="AH568" i="6"/>
  <c r="AI568" i="6" s="1"/>
  <c r="AF568" i="6"/>
  <c r="AG568" i="6" s="1"/>
  <c r="S568" i="6"/>
  <c r="R568" i="6"/>
  <c r="W568" i="6" s="1"/>
  <c r="Q568" i="6"/>
  <c r="AZ568" i="6" s="1"/>
  <c r="P568" i="6"/>
  <c r="V568" i="6" s="1"/>
  <c r="AX567" i="6"/>
  <c r="AY567" i="6" s="1"/>
  <c r="AW567" i="6"/>
  <c r="AV567" i="6"/>
  <c r="AM567" i="6"/>
  <c r="AL567" i="6"/>
  <c r="AH567" i="6"/>
  <c r="AI567" i="6" s="1"/>
  <c r="AF567" i="6"/>
  <c r="AG567" i="6" s="1"/>
  <c r="S567" i="6"/>
  <c r="R567" i="6"/>
  <c r="W567" i="6" s="1"/>
  <c r="P567" i="6"/>
  <c r="AY566" i="6"/>
  <c r="AX566" i="6"/>
  <c r="AW566" i="6"/>
  <c r="AV566" i="6"/>
  <c r="AM566" i="6"/>
  <c r="AL566" i="6"/>
  <c r="AH566" i="6"/>
  <c r="AI566" i="6" s="1"/>
  <c r="AG566" i="6"/>
  <c r="AF566" i="6"/>
  <c r="V566" i="6"/>
  <c r="R566" i="6"/>
  <c r="P566" i="6"/>
  <c r="Q566" i="6" s="1"/>
  <c r="AY565" i="6"/>
  <c r="AX565" i="6"/>
  <c r="AV565" i="6"/>
  <c r="AW565" i="6" s="1"/>
  <c r="AM565" i="6"/>
  <c r="AL565" i="6"/>
  <c r="AI565" i="6"/>
  <c r="AH565" i="6"/>
  <c r="AG565" i="6"/>
  <c r="AF565" i="6"/>
  <c r="W565" i="6"/>
  <c r="V565" i="6"/>
  <c r="R565" i="6"/>
  <c r="S565" i="6" s="1"/>
  <c r="BA565" i="6" s="1"/>
  <c r="Q565" i="6"/>
  <c r="P565" i="6"/>
  <c r="BA564" i="6"/>
  <c r="AX564" i="6"/>
  <c r="AY564" i="6" s="1"/>
  <c r="AV564" i="6"/>
  <c r="AW564" i="6" s="1"/>
  <c r="AM564" i="6"/>
  <c r="AL564" i="6"/>
  <c r="AH564" i="6"/>
  <c r="AI564" i="6" s="1"/>
  <c r="AF564" i="6"/>
  <c r="AG564" i="6" s="1"/>
  <c r="S564" i="6"/>
  <c r="R564" i="6"/>
  <c r="W564" i="6" s="1"/>
  <c r="P564" i="6"/>
  <c r="V564" i="6" s="1"/>
  <c r="AX563" i="6"/>
  <c r="AY563" i="6" s="1"/>
  <c r="AW563" i="6"/>
  <c r="AV563" i="6"/>
  <c r="AM563" i="6"/>
  <c r="AL563" i="6"/>
  <c r="AH563" i="6"/>
  <c r="AI563" i="6" s="1"/>
  <c r="AF563" i="6"/>
  <c r="AG563" i="6" s="1"/>
  <c r="R563" i="6"/>
  <c r="W563" i="6" s="1"/>
  <c r="P563" i="6"/>
  <c r="AX562" i="6"/>
  <c r="AY562" i="6" s="1"/>
  <c r="AV562" i="6"/>
  <c r="AW562" i="6" s="1"/>
  <c r="AM562" i="6"/>
  <c r="AL562" i="6"/>
  <c r="AH562" i="6"/>
  <c r="AI562" i="6" s="1"/>
  <c r="AF562" i="6"/>
  <c r="AG562" i="6" s="1"/>
  <c r="W562" i="6"/>
  <c r="V562" i="6"/>
  <c r="R562" i="6"/>
  <c r="S562" i="6" s="1"/>
  <c r="P562" i="6"/>
  <c r="Q562" i="6" s="1"/>
  <c r="AX561" i="6"/>
  <c r="AY561" i="6" s="1"/>
  <c r="AV561" i="6"/>
  <c r="AW561" i="6" s="1"/>
  <c r="AM561" i="6"/>
  <c r="AL561" i="6"/>
  <c r="AH561" i="6"/>
  <c r="AI561" i="6" s="1"/>
  <c r="AF561" i="6"/>
  <c r="AG561" i="6" s="1"/>
  <c r="W561" i="6"/>
  <c r="V561" i="6"/>
  <c r="R561" i="6"/>
  <c r="S561" i="6" s="1"/>
  <c r="P561" i="6"/>
  <c r="Q561" i="6" s="1"/>
  <c r="AX560" i="6"/>
  <c r="AY560" i="6" s="1"/>
  <c r="AV560" i="6"/>
  <c r="AW560" i="6" s="1"/>
  <c r="AM560" i="6"/>
  <c r="AL560" i="6"/>
  <c r="AH560" i="6"/>
  <c r="AI560" i="6" s="1"/>
  <c r="AF560" i="6"/>
  <c r="AG560" i="6" s="1"/>
  <c r="R560" i="6"/>
  <c r="W560" i="6" s="1"/>
  <c r="P560" i="6"/>
  <c r="V560" i="6" s="1"/>
  <c r="AX559" i="6"/>
  <c r="AY559" i="6" s="1"/>
  <c r="AV559" i="6"/>
  <c r="AW559" i="6" s="1"/>
  <c r="AM559" i="6"/>
  <c r="AL559" i="6"/>
  <c r="AH559" i="6"/>
  <c r="AI559" i="6" s="1"/>
  <c r="AF559" i="6"/>
  <c r="AG559" i="6" s="1"/>
  <c r="S559" i="6"/>
  <c r="R559" i="6"/>
  <c r="W559" i="6" s="1"/>
  <c r="P559" i="6"/>
  <c r="AX558" i="6"/>
  <c r="AY558" i="6" s="1"/>
  <c r="AV558" i="6"/>
  <c r="AW558" i="6" s="1"/>
  <c r="AM558" i="6"/>
  <c r="AL558" i="6"/>
  <c r="AH558" i="6"/>
  <c r="AI558" i="6" s="1"/>
  <c r="AF558" i="6"/>
  <c r="AG558" i="6" s="1"/>
  <c r="W558" i="6"/>
  <c r="V558" i="6"/>
  <c r="R558" i="6"/>
  <c r="S558" i="6" s="1"/>
  <c r="BA558" i="6" s="1"/>
  <c r="P558" i="6"/>
  <c r="Q558" i="6" s="1"/>
  <c r="AZ558" i="6" s="1"/>
  <c r="AY557" i="6"/>
  <c r="AX557" i="6"/>
  <c r="AV557" i="6"/>
  <c r="AW557" i="6" s="1"/>
  <c r="AM557" i="6"/>
  <c r="AL557" i="6"/>
  <c r="AH557" i="6"/>
  <c r="AI557" i="6" s="1"/>
  <c r="AF557" i="6"/>
  <c r="AG557" i="6" s="1"/>
  <c r="W557" i="6"/>
  <c r="V557" i="6"/>
  <c r="R557" i="6"/>
  <c r="S557" i="6" s="1"/>
  <c r="P557" i="6"/>
  <c r="Q557" i="6" s="1"/>
  <c r="AX556" i="6"/>
  <c r="AY556" i="6" s="1"/>
  <c r="AV556" i="6"/>
  <c r="AW556" i="6" s="1"/>
  <c r="AM556" i="6"/>
  <c r="AL556" i="6"/>
  <c r="AI556" i="6"/>
  <c r="AH556" i="6"/>
  <c r="AF556" i="6"/>
  <c r="AG556" i="6" s="1"/>
  <c r="R556" i="6"/>
  <c r="W556" i="6" s="1"/>
  <c r="P556" i="6"/>
  <c r="AX555" i="6"/>
  <c r="AY555" i="6" s="1"/>
  <c r="AV555" i="6"/>
  <c r="AW555" i="6" s="1"/>
  <c r="AM555" i="6"/>
  <c r="AL555" i="6"/>
  <c r="AH555" i="6"/>
  <c r="AI555" i="6" s="1"/>
  <c r="AF555" i="6"/>
  <c r="AG555" i="6" s="1"/>
  <c r="R555" i="6"/>
  <c r="P555" i="6"/>
  <c r="AX554" i="6"/>
  <c r="AY554" i="6" s="1"/>
  <c r="AV554" i="6"/>
  <c r="AW554" i="6" s="1"/>
  <c r="AM554" i="6"/>
  <c r="AL554" i="6"/>
  <c r="AH554" i="6"/>
  <c r="AI554" i="6" s="1"/>
  <c r="AF554" i="6"/>
  <c r="AG554" i="6" s="1"/>
  <c r="W554" i="6"/>
  <c r="V554" i="6"/>
  <c r="R554" i="6"/>
  <c r="S554" i="6" s="1"/>
  <c r="P554" i="6"/>
  <c r="Q554" i="6" s="1"/>
  <c r="AX553" i="6"/>
  <c r="AY553" i="6" s="1"/>
  <c r="AV553" i="6"/>
  <c r="AW553" i="6" s="1"/>
  <c r="AM553" i="6"/>
  <c r="AL553" i="6"/>
  <c r="AH553" i="6"/>
  <c r="AI553" i="6" s="1"/>
  <c r="AF553" i="6"/>
  <c r="AG553" i="6" s="1"/>
  <c r="W553" i="6"/>
  <c r="V553" i="6"/>
  <c r="R553" i="6"/>
  <c r="S553" i="6" s="1"/>
  <c r="BA553" i="6" s="1"/>
  <c r="P553" i="6"/>
  <c r="Q553" i="6" s="1"/>
  <c r="AX552" i="6"/>
  <c r="AY552" i="6" s="1"/>
  <c r="AV552" i="6"/>
  <c r="AW552" i="6" s="1"/>
  <c r="AM552" i="6"/>
  <c r="AL552" i="6"/>
  <c r="AI552" i="6"/>
  <c r="AH552" i="6"/>
  <c r="AF552" i="6"/>
  <c r="AG552" i="6" s="1"/>
  <c r="R552" i="6"/>
  <c r="W552" i="6" s="1"/>
  <c r="P552" i="6"/>
  <c r="V552" i="6" s="1"/>
  <c r="AX551" i="6"/>
  <c r="AY551" i="6" s="1"/>
  <c r="AV551" i="6"/>
  <c r="AW551" i="6" s="1"/>
  <c r="AM551" i="6"/>
  <c r="AL551" i="6"/>
  <c r="AH551" i="6"/>
  <c r="AI551" i="6" s="1"/>
  <c r="AF551" i="6"/>
  <c r="AG551" i="6" s="1"/>
  <c r="S551" i="6"/>
  <c r="BA551" i="6" s="1"/>
  <c r="R551" i="6"/>
  <c r="W551" i="6" s="1"/>
  <c r="P551" i="6"/>
  <c r="AX550" i="6"/>
  <c r="AY550" i="6" s="1"/>
  <c r="AW550" i="6"/>
  <c r="AV550" i="6"/>
  <c r="AM550" i="6"/>
  <c r="AL550" i="6"/>
  <c r="AH550" i="6"/>
  <c r="AI550" i="6" s="1"/>
  <c r="AF550" i="6"/>
  <c r="AG550" i="6" s="1"/>
  <c r="V550" i="6"/>
  <c r="R550" i="6"/>
  <c r="P550" i="6"/>
  <c r="Q550" i="6" s="1"/>
  <c r="AY549" i="6"/>
  <c r="AX549" i="6"/>
  <c r="AV549" i="6"/>
  <c r="AW549" i="6" s="1"/>
  <c r="AM549" i="6"/>
  <c r="AL549" i="6"/>
  <c r="AH549" i="6"/>
  <c r="AI549" i="6" s="1"/>
  <c r="AG549" i="6"/>
  <c r="AF549" i="6"/>
  <c r="W549" i="6"/>
  <c r="V549" i="6"/>
  <c r="R549" i="6"/>
  <c r="S549" i="6" s="1"/>
  <c r="P549" i="6"/>
  <c r="Q549" i="6" s="1"/>
  <c r="AX548" i="6"/>
  <c r="AY548" i="6" s="1"/>
  <c r="AV548" i="6"/>
  <c r="AW548" i="6" s="1"/>
  <c r="AM548" i="6"/>
  <c r="AL548" i="6"/>
  <c r="AI548" i="6"/>
  <c r="AH548" i="6"/>
  <c r="AF548" i="6"/>
  <c r="AG548" i="6" s="1"/>
  <c r="W548" i="6"/>
  <c r="R548" i="6"/>
  <c r="S548" i="6" s="1"/>
  <c r="BA548" i="6" s="1"/>
  <c r="P548" i="6"/>
  <c r="V548" i="6" s="1"/>
  <c r="AX547" i="6"/>
  <c r="AY547" i="6" s="1"/>
  <c r="AV547" i="6"/>
  <c r="AW547" i="6" s="1"/>
  <c r="AM547" i="6"/>
  <c r="AL547" i="6"/>
  <c r="AH547" i="6"/>
  <c r="AI547" i="6" s="1"/>
  <c r="AF547" i="6"/>
  <c r="AG547" i="6" s="1"/>
  <c r="S547" i="6"/>
  <c r="R547" i="6"/>
  <c r="W547" i="6" s="1"/>
  <c r="P547" i="6"/>
  <c r="AX546" i="6"/>
  <c r="AY546" i="6" s="1"/>
  <c r="AV546" i="6"/>
  <c r="AW546" i="6" s="1"/>
  <c r="AM546" i="6"/>
  <c r="AL546" i="6"/>
  <c r="AH546" i="6"/>
  <c r="AI546" i="6" s="1"/>
  <c r="AF546" i="6"/>
  <c r="AG546" i="6" s="1"/>
  <c r="W546" i="6"/>
  <c r="V546" i="6"/>
  <c r="R546" i="6"/>
  <c r="S546" i="6" s="1"/>
  <c r="BA546" i="6" s="1"/>
  <c r="P546" i="6"/>
  <c r="Q546" i="6" s="1"/>
  <c r="AZ546" i="6" s="1"/>
  <c r="AY545" i="6"/>
  <c r="AX545" i="6"/>
  <c r="AV545" i="6"/>
  <c r="AW545" i="6" s="1"/>
  <c r="AM545" i="6"/>
  <c r="AL545" i="6"/>
  <c r="AH545" i="6"/>
  <c r="AI545" i="6" s="1"/>
  <c r="AF545" i="6"/>
  <c r="AG545" i="6" s="1"/>
  <c r="W545" i="6"/>
  <c r="V545" i="6"/>
  <c r="R545" i="6"/>
  <c r="S545" i="6" s="1"/>
  <c r="P545" i="6"/>
  <c r="Q545" i="6" s="1"/>
  <c r="AX544" i="6"/>
  <c r="AY544" i="6" s="1"/>
  <c r="AV544" i="6"/>
  <c r="AW544" i="6" s="1"/>
  <c r="AM544" i="6"/>
  <c r="AL544" i="6"/>
  <c r="AI544" i="6"/>
  <c r="AH544" i="6"/>
  <c r="AF544" i="6"/>
  <c r="AG544" i="6" s="1"/>
  <c r="R544" i="6"/>
  <c r="W544" i="6" s="1"/>
  <c r="P544" i="6"/>
  <c r="AX543" i="6"/>
  <c r="AY543" i="6" s="1"/>
  <c r="AV543" i="6"/>
  <c r="AW543" i="6" s="1"/>
  <c r="AM543" i="6"/>
  <c r="AL543" i="6"/>
  <c r="AH543" i="6"/>
  <c r="AI543" i="6" s="1"/>
  <c r="AF543" i="6"/>
  <c r="AG543" i="6" s="1"/>
  <c r="S543" i="6"/>
  <c r="BA543" i="6" s="1"/>
  <c r="R543" i="6"/>
  <c r="W543" i="6" s="1"/>
  <c r="P543" i="6"/>
  <c r="V543" i="6" s="1"/>
  <c r="AX542" i="6"/>
  <c r="AY542" i="6" s="1"/>
  <c r="AW542" i="6"/>
  <c r="AV542" i="6"/>
  <c r="AM542" i="6"/>
  <c r="AL542" i="6"/>
  <c r="AI542" i="6"/>
  <c r="AH542" i="6"/>
  <c r="AG542" i="6"/>
  <c r="AF542" i="6"/>
  <c r="V542" i="6"/>
  <c r="R542" i="6"/>
  <c r="S542" i="6" s="1"/>
  <c r="Q542" i="6"/>
  <c r="AZ542" i="6" s="1"/>
  <c r="P542" i="6"/>
  <c r="AY541" i="6"/>
  <c r="AX541" i="6"/>
  <c r="AV541" i="6"/>
  <c r="AW541" i="6" s="1"/>
  <c r="AM541" i="6"/>
  <c r="AL541" i="6"/>
  <c r="AI541" i="6"/>
  <c r="AH541" i="6"/>
  <c r="AG541" i="6"/>
  <c r="AF541" i="6"/>
  <c r="W541" i="6"/>
  <c r="V541" i="6"/>
  <c r="S541" i="6"/>
  <c r="R541" i="6"/>
  <c r="Q541" i="6"/>
  <c r="P541" i="6"/>
  <c r="BA540" i="6"/>
  <c r="AX540" i="6"/>
  <c r="AY540" i="6" s="1"/>
  <c r="AW540" i="6"/>
  <c r="AV540" i="6"/>
  <c r="AM540" i="6"/>
  <c r="AL540" i="6"/>
  <c r="AI540" i="6"/>
  <c r="AH540" i="6"/>
  <c r="AF540" i="6"/>
  <c r="AG540" i="6" s="1"/>
  <c r="W540" i="6"/>
  <c r="S540" i="6"/>
  <c r="R540" i="6"/>
  <c r="Q540" i="6"/>
  <c r="P540" i="6"/>
  <c r="V540" i="6" s="1"/>
  <c r="AY539" i="6"/>
  <c r="AX539" i="6"/>
  <c r="AW539" i="6"/>
  <c r="AV539" i="6"/>
  <c r="AM539" i="6"/>
  <c r="AL539" i="6"/>
  <c r="AH539" i="6"/>
  <c r="AI539" i="6" s="1"/>
  <c r="AG539" i="6"/>
  <c r="AF539" i="6"/>
  <c r="S539" i="6"/>
  <c r="BA539" i="6" s="1"/>
  <c r="R539" i="6"/>
  <c r="W539" i="6" s="1"/>
  <c r="P539" i="6"/>
  <c r="AY538" i="6"/>
  <c r="AX538" i="6"/>
  <c r="AW538" i="6"/>
  <c r="AV538" i="6"/>
  <c r="AM538" i="6"/>
  <c r="AL538" i="6"/>
  <c r="AI538" i="6"/>
  <c r="AH538" i="6"/>
  <c r="AG538" i="6"/>
  <c r="AF538" i="6"/>
  <c r="V538" i="6"/>
  <c r="R538" i="6"/>
  <c r="Q538" i="6"/>
  <c r="AZ538" i="6" s="1"/>
  <c r="P538" i="6"/>
  <c r="AY537" i="6"/>
  <c r="AX537" i="6"/>
  <c r="AV537" i="6"/>
  <c r="AW537" i="6" s="1"/>
  <c r="AM537" i="6"/>
  <c r="AL537" i="6"/>
  <c r="AI537" i="6"/>
  <c r="AH537" i="6"/>
  <c r="AG537" i="6"/>
  <c r="AF537" i="6"/>
  <c r="W537" i="6"/>
  <c r="V537" i="6"/>
  <c r="S537" i="6"/>
  <c r="BA537" i="6" s="1"/>
  <c r="R537" i="6"/>
  <c r="Q537" i="6"/>
  <c r="AZ537" i="6" s="1"/>
  <c r="P537" i="6"/>
  <c r="AX536" i="6"/>
  <c r="AY536" i="6" s="1"/>
  <c r="AW536" i="6"/>
  <c r="AV536" i="6"/>
  <c r="AM536" i="6"/>
  <c r="AL536" i="6"/>
  <c r="AI536" i="6"/>
  <c r="BA536" i="6" s="1"/>
  <c r="AH536" i="6"/>
  <c r="AF536" i="6"/>
  <c r="AG536" i="6" s="1"/>
  <c r="W536" i="6"/>
  <c r="S536" i="6"/>
  <c r="R536" i="6"/>
  <c r="Q536" i="6"/>
  <c r="P536" i="6"/>
  <c r="V536" i="6" s="1"/>
  <c r="AY535" i="6"/>
  <c r="AX535" i="6"/>
  <c r="AW535" i="6"/>
  <c r="AV535" i="6"/>
  <c r="AM535" i="6"/>
  <c r="AL535" i="6"/>
  <c r="AH535" i="6"/>
  <c r="AI535" i="6" s="1"/>
  <c r="AG535" i="6"/>
  <c r="AF535" i="6"/>
  <c r="S535" i="6"/>
  <c r="BA535" i="6" s="1"/>
  <c r="R535" i="6"/>
  <c r="W535" i="6" s="1"/>
  <c r="P535" i="6"/>
  <c r="AY534" i="6"/>
  <c r="AX534" i="6"/>
  <c r="AW534" i="6"/>
  <c r="AV534" i="6"/>
  <c r="AM534" i="6"/>
  <c r="AL534" i="6"/>
  <c r="AI534" i="6"/>
  <c r="AH534" i="6"/>
  <c r="AG534" i="6"/>
  <c r="AF534" i="6"/>
  <c r="W534" i="6"/>
  <c r="V534" i="6"/>
  <c r="R534" i="6"/>
  <c r="S534" i="6" s="1"/>
  <c r="BA534" i="6" s="1"/>
  <c r="Q534" i="6"/>
  <c r="P534" i="6"/>
  <c r="AY533" i="6"/>
  <c r="AX533" i="6"/>
  <c r="AV533" i="6"/>
  <c r="AW533" i="6" s="1"/>
  <c r="AM533" i="6"/>
  <c r="AL533" i="6"/>
  <c r="AI533" i="6"/>
  <c r="AH533" i="6"/>
  <c r="AG533" i="6"/>
  <c r="AF533" i="6"/>
  <c r="W533" i="6"/>
  <c r="V533" i="6"/>
  <c r="S533" i="6"/>
  <c r="BA533" i="6" s="1"/>
  <c r="R533" i="6"/>
  <c r="Q533" i="6"/>
  <c r="AZ533" i="6" s="1"/>
  <c r="P533" i="6"/>
  <c r="AX532" i="6"/>
  <c r="AY532" i="6" s="1"/>
  <c r="AW532" i="6"/>
  <c r="AV532" i="6"/>
  <c r="AM532" i="6"/>
  <c r="AL532" i="6"/>
  <c r="AI532" i="6"/>
  <c r="BA532" i="6" s="1"/>
  <c r="AH532" i="6"/>
  <c r="AF532" i="6"/>
  <c r="AG532" i="6" s="1"/>
  <c r="W532" i="6"/>
  <c r="S532" i="6"/>
  <c r="R532" i="6"/>
  <c r="Q532" i="6"/>
  <c r="AZ532" i="6" s="1"/>
  <c r="P532" i="6"/>
  <c r="V532" i="6" s="1"/>
  <c r="AY531" i="6"/>
  <c r="AX531" i="6"/>
  <c r="AW531" i="6"/>
  <c r="AV531" i="6"/>
  <c r="AM531" i="6"/>
  <c r="AL531" i="6"/>
  <c r="AH531" i="6"/>
  <c r="AI531" i="6" s="1"/>
  <c r="AG531" i="6"/>
  <c r="AF531" i="6"/>
  <c r="S531" i="6"/>
  <c r="R531" i="6"/>
  <c r="W531" i="6" s="1"/>
  <c r="P531" i="6"/>
  <c r="AY530" i="6"/>
  <c r="AX530" i="6"/>
  <c r="AW530" i="6"/>
  <c r="AV530" i="6"/>
  <c r="AM530" i="6"/>
  <c r="AL530" i="6"/>
  <c r="AI530" i="6"/>
  <c r="BA530" i="6" s="1"/>
  <c r="AH530" i="6"/>
  <c r="AG530" i="6"/>
  <c r="AF530" i="6"/>
  <c r="W530" i="6"/>
  <c r="V530" i="6"/>
  <c r="R530" i="6"/>
  <c r="S530" i="6" s="1"/>
  <c r="Q530" i="6"/>
  <c r="P530" i="6"/>
  <c r="AY529" i="6"/>
  <c r="AX529" i="6"/>
  <c r="AV529" i="6"/>
  <c r="AW529" i="6" s="1"/>
  <c r="AM529" i="6"/>
  <c r="AL529" i="6"/>
  <c r="AI529" i="6"/>
  <c r="AH529" i="6"/>
  <c r="AG529" i="6"/>
  <c r="AF529" i="6"/>
  <c r="W529" i="6"/>
  <c r="V529" i="6"/>
  <c r="S529" i="6"/>
  <c r="BA529" i="6" s="1"/>
  <c r="R529" i="6"/>
  <c r="Q529" i="6"/>
  <c r="P529" i="6"/>
  <c r="AX528" i="6"/>
  <c r="AY528" i="6" s="1"/>
  <c r="BA528" i="6" s="1"/>
  <c r="AW528" i="6"/>
  <c r="AV528" i="6"/>
  <c r="AM528" i="6"/>
  <c r="AL528" i="6"/>
  <c r="AI528" i="6"/>
  <c r="AH528" i="6"/>
  <c r="AF528" i="6"/>
  <c r="AG528" i="6" s="1"/>
  <c r="W528" i="6"/>
  <c r="S528" i="6"/>
  <c r="R528" i="6"/>
  <c r="Q528" i="6"/>
  <c r="AZ528" i="6" s="1"/>
  <c r="P528" i="6"/>
  <c r="V528" i="6" s="1"/>
  <c r="AY527" i="6"/>
  <c r="AX527" i="6"/>
  <c r="AW527" i="6"/>
  <c r="AV527" i="6"/>
  <c r="AM527" i="6"/>
  <c r="AL527" i="6"/>
  <c r="AH527" i="6"/>
  <c r="AI527" i="6" s="1"/>
  <c r="AG527" i="6"/>
  <c r="AF527" i="6"/>
  <c r="S527" i="6"/>
  <c r="BA527" i="6" s="1"/>
  <c r="R527" i="6"/>
  <c r="W527" i="6" s="1"/>
  <c r="P527" i="6"/>
  <c r="AY526" i="6"/>
  <c r="AX526" i="6"/>
  <c r="AW526" i="6"/>
  <c r="AV526" i="6"/>
  <c r="AM526" i="6"/>
  <c r="AL526" i="6"/>
  <c r="AI526" i="6"/>
  <c r="BA526" i="6" s="1"/>
  <c r="AH526" i="6"/>
  <c r="AF526" i="6"/>
  <c r="AG526" i="6" s="1"/>
  <c r="W526" i="6"/>
  <c r="V526" i="6"/>
  <c r="R526" i="6"/>
  <c r="S526" i="6" s="1"/>
  <c r="Q526" i="6"/>
  <c r="P526" i="6"/>
  <c r="AY525" i="6"/>
  <c r="AX525" i="6"/>
  <c r="AV525" i="6"/>
  <c r="AW525" i="6" s="1"/>
  <c r="AM525" i="6"/>
  <c r="AL525" i="6"/>
  <c r="AH525" i="6"/>
  <c r="AI525" i="6" s="1"/>
  <c r="AG525" i="6"/>
  <c r="AF525" i="6"/>
  <c r="W525" i="6"/>
  <c r="V525" i="6"/>
  <c r="S525" i="6"/>
  <c r="R525" i="6"/>
  <c r="P525" i="6"/>
  <c r="Q525" i="6" s="1"/>
  <c r="AX524" i="6"/>
  <c r="AY524" i="6" s="1"/>
  <c r="AW524" i="6"/>
  <c r="AV524" i="6"/>
  <c r="AM524" i="6"/>
  <c r="AL524" i="6"/>
  <c r="AI524" i="6"/>
  <c r="AH524" i="6"/>
  <c r="AF524" i="6"/>
  <c r="AG524" i="6" s="1"/>
  <c r="W524" i="6"/>
  <c r="R524" i="6"/>
  <c r="S524" i="6" s="1"/>
  <c r="BA524" i="6" s="1"/>
  <c r="Q524" i="6"/>
  <c r="AZ524" i="6" s="1"/>
  <c r="P524" i="6"/>
  <c r="V524" i="6" s="1"/>
  <c r="AY523" i="6"/>
  <c r="AX523" i="6"/>
  <c r="AV523" i="6"/>
  <c r="AW523" i="6" s="1"/>
  <c r="AM523" i="6"/>
  <c r="AL523" i="6"/>
  <c r="AH523" i="6"/>
  <c r="AI523" i="6" s="1"/>
  <c r="AG523" i="6"/>
  <c r="AF523" i="6"/>
  <c r="S523" i="6"/>
  <c r="R523" i="6"/>
  <c r="W523" i="6" s="1"/>
  <c r="P523" i="6"/>
  <c r="AX522" i="6"/>
  <c r="AY522" i="6" s="1"/>
  <c r="AW522" i="6"/>
  <c r="AV522" i="6"/>
  <c r="AM522" i="6"/>
  <c r="AL522" i="6"/>
  <c r="AI522" i="6"/>
  <c r="AH522" i="6"/>
  <c r="AF522" i="6"/>
  <c r="AG522" i="6" s="1"/>
  <c r="V522" i="6"/>
  <c r="R522" i="6"/>
  <c r="S522" i="6" s="1"/>
  <c r="BA522" i="6" s="1"/>
  <c r="Q522" i="6"/>
  <c r="AZ522" i="6" s="1"/>
  <c r="P522" i="6"/>
  <c r="AY521" i="6"/>
  <c r="AX521" i="6"/>
  <c r="AV521" i="6"/>
  <c r="AW521" i="6" s="1"/>
  <c r="AM521" i="6"/>
  <c r="AL521" i="6"/>
  <c r="AH521" i="6"/>
  <c r="AI521" i="6" s="1"/>
  <c r="AG521" i="6"/>
  <c r="AF521" i="6"/>
  <c r="W521" i="6"/>
  <c r="V521" i="6"/>
  <c r="S521" i="6"/>
  <c r="R521" i="6"/>
  <c r="P521" i="6"/>
  <c r="Q521" i="6" s="1"/>
  <c r="AZ521" i="6" s="1"/>
  <c r="AX520" i="6"/>
  <c r="AY520" i="6" s="1"/>
  <c r="BA520" i="6" s="1"/>
  <c r="AW520" i="6"/>
  <c r="AV520" i="6"/>
  <c r="AM520" i="6"/>
  <c r="AL520" i="6"/>
  <c r="AI520" i="6"/>
  <c r="AH520" i="6"/>
  <c r="AF520" i="6"/>
  <c r="AG520" i="6" s="1"/>
  <c r="W520" i="6"/>
  <c r="R520" i="6"/>
  <c r="S520" i="6" s="1"/>
  <c r="Q520" i="6"/>
  <c r="P520" i="6"/>
  <c r="V520" i="6" s="1"/>
  <c r="AY519" i="6"/>
  <c r="AX519" i="6"/>
  <c r="AV519" i="6"/>
  <c r="AW519" i="6" s="1"/>
  <c r="AM519" i="6"/>
  <c r="AL519" i="6"/>
  <c r="AH519" i="6"/>
  <c r="AI519" i="6" s="1"/>
  <c r="AG519" i="6"/>
  <c r="AF519" i="6"/>
  <c r="S519" i="6"/>
  <c r="BA519" i="6" s="1"/>
  <c r="R519" i="6"/>
  <c r="W519" i="6" s="1"/>
  <c r="P519" i="6"/>
  <c r="BA518" i="6"/>
  <c r="AX518" i="6"/>
  <c r="AY518" i="6" s="1"/>
  <c r="AW518" i="6"/>
  <c r="AV518" i="6"/>
  <c r="AM518" i="6"/>
  <c r="AL518" i="6"/>
  <c r="AI518" i="6"/>
  <c r="AH518" i="6"/>
  <c r="AF518" i="6"/>
  <c r="AG518" i="6" s="1"/>
  <c r="W518" i="6"/>
  <c r="V518" i="6"/>
  <c r="R518" i="6"/>
  <c r="S518" i="6" s="1"/>
  <c r="Q518" i="6"/>
  <c r="P518" i="6"/>
  <c r="BA517" i="6"/>
  <c r="AY517" i="6"/>
  <c r="AX517" i="6"/>
  <c r="AV517" i="6"/>
  <c r="AW517" i="6" s="1"/>
  <c r="AM517" i="6"/>
  <c r="AL517" i="6"/>
  <c r="AI517" i="6"/>
  <c r="AH517" i="6"/>
  <c r="AG517" i="6"/>
  <c r="AF517" i="6"/>
  <c r="W517" i="6"/>
  <c r="V517" i="6"/>
  <c r="S517" i="6"/>
  <c r="R517" i="6"/>
  <c r="Q517" i="6"/>
  <c r="P517" i="6"/>
  <c r="AX516" i="6"/>
  <c r="AY516" i="6" s="1"/>
  <c r="AW516" i="6"/>
  <c r="AV516" i="6"/>
  <c r="AM516" i="6"/>
  <c r="AL516" i="6"/>
  <c r="AI516" i="6"/>
  <c r="AH516" i="6"/>
  <c r="AF516" i="6"/>
  <c r="AG516" i="6" s="1"/>
  <c r="W516" i="6"/>
  <c r="S516" i="6"/>
  <c r="BA516" i="6" s="1"/>
  <c r="R516" i="6"/>
  <c r="Q516" i="6"/>
  <c r="P516" i="6"/>
  <c r="V516" i="6" s="1"/>
  <c r="AY515" i="6"/>
  <c r="AX515" i="6"/>
  <c r="AW515" i="6"/>
  <c r="AV515" i="6"/>
  <c r="AM515" i="6"/>
  <c r="AL515" i="6"/>
  <c r="AH515" i="6"/>
  <c r="AI515" i="6" s="1"/>
  <c r="AG515" i="6"/>
  <c r="AF515" i="6"/>
  <c r="W515" i="6"/>
  <c r="S515" i="6"/>
  <c r="BA515" i="6" s="1"/>
  <c r="R515" i="6"/>
  <c r="P515" i="6"/>
  <c r="AY514" i="6"/>
  <c r="AX514" i="6"/>
  <c r="AW514" i="6"/>
  <c r="AV514" i="6"/>
  <c r="AM514" i="6"/>
  <c r="AL514" i="6"/>
  <c r="AI514" i="6"/>
  <c r="AH514" i="6"/>
  <c r="AG514" i="6"/>
  <c r="AF514" i="6"/>
  <c r="V514" i="6"/>
  <c r="R514" i="6"/>
  <c r="S514" i="6" s="1"/>
  <c r="BA514" i="6" s="1"/>
  <c r="Q514" i="6"/>
  <c r="AZ514" i="6" s="1"/>
  <c r="P514" i="6"/>
  <c r="AY513" i="6"/>
  <c r="AX513" i="6"/>
  <c r="AV513" i="6"/>
  <c r="AW513" i="6" s="1"/>
  <c r="AM513" i="6"/>
  <c r="AL513" i="6"/>
  <c r="AI513" i="6"/>
  <c r="AH513" i="6"/>
  <c r="AG513" i="6"/>
  <c r="AF513" i="6"/>
  <c r="W513" i="6"/>
  <c r="V513" i="6"/>
  <c r="S513" i="6"/>
  <c r="BA513" i="6" s="1"/>
  <c r="R513" i="6"/>
  <c r="Q513" i="6"/>
  <c r="AZ513" i="6" s="1"/>
  <c r="P513" i="6"/>
  <c r="AX512" i="6"/>
  <c r="AY512" i="6" s="1"/>
  <c r="AW512" i="6"/>
  <c r="AV512" i="6"/>
  <c r="AM512" i="6"/>
  <c r="AL512" i="6"/>
  <c r="AI512" i="6"/>
  <c r="AH512" i="6"/>
  <c r="AF512" i="6"/>
  <c r="AG512" i="6" s="1"/>
  <c r="W512" i="6"/>
  <c r="S512" i="6"/>
  <c r="BA512" i="6" s="1"/>
  <c r="R512" i="6"/>
  <c r="Q512" i="6"/>
  <c r="AZ512" i="6" s="1"/>
  <c r="P512" i="6"/>
  <c r="V512" i="6" s="1"/>
  <c r="AY511" i="6"/>
  <c r="AX511" i="6"/>
  <c r="AW511" i="6"/>
  <c r="AV511" i="6"/>
  <c r="AM511" i="6"/>
  <c r="AL511" i="6"/>
  <c r="AH511" i="6"/>
  <c r="AI511" i="6" s="1"/>
  <c r="AG511" i="6"/>
  <c r="AF511" i="6"/>
  <c r="W511" i="6"/>
  <c r="S511" i="6"/>
  <c r="R511" i="6"/>
  <c r="P511" i="6"/>
  <c r="BA510" i="6"/>
  <c r="AY510" i="6"/>
  <c r="AX510" i="6"/>
  <c r="AW510" i="6"/>
  <c r="AV510" i="6"/>
  <c r="AM510" i="6"/>
  <c r="AL510" i="6"/>
  <c r="AI510" i="6"/>
  <c r="AH510" i="6"/>
  <c r="AG510" i="6"/>
  <c r="AF510" i="6"/>
  <c r="W510" i="6"/>
  <c r="R510" i="6"/>
  <c r="S510" i="6" s="1"/>
  <c r="Q510" i="6"/>
  <c r="P510" i="6"/>
  <c r="V510" i="6" s="1"/>
  <c r="AY509" i="6"/>
  <c r="BA509" i="6" s="1"/>
  <c r="AX509" i="6"/>
  <c r="AV509" i="6"/>
  <c r="AW509" i="6" s="1"/>
  <c r="AM509" i="6"/>
  <c r="AL509" i="6"/>
  <c r="AI509" i="6"/>
  <c r="AH509" i="6"/>
  <c r="AG509" i="6"/>
  <c r="AF509" i="6"/>
  <c r="W509" i="6"/>
  <c r="V509" i="6"/>
  <c r="S509" i="6"/>
  <c r="R509" i="6"/>
  <c r="Q509" i="6"/>
  <c r="P509" i="6"/>
  <c r="AX508" i="6"/>
  <c r="AY508" i="6" s="1"/>
  <c r="AW508" i="6"/>
  <c r="AV508" i="6"/>
  <c r="AM508" i="6"/>
  <c r="AL508" i="6"/>
  <c r="AI508" i="6"/>
  <c r="AH508" i="6"/>
  <c r="AF508" i="6"/>
  <c r="AG508" i="6" s="1"/>
  <c r="W508" i="6"/>
  <c r="S508" i="6"/>
  <c r="BA508" i="6" s="1"/>
  <c r="R508" i="6"/>
  <c r="Q508" i="6"/>
  <c r="P508" i="6"/>
  <c r="V508" i="6" s="1"/>
  <c r="AY507" i="6"/>
  <c r="AX507" i="6"/>
  <c r="AW507" i="6"/>
  <c r="AV507" i="6"/>
  <c r="AM507" i="6"/>
  <c r="AL507" i="6"/>
  <c r="AH507" i="6"/>
  <c r="AI507" i="6" s="1"/>
  <c r="AG507" i="6"/>
  <c r="AF507" i="6"/>
  <c r="W507" i="6"/>
  <c r="S507" i="6"/>
  <c r="BA507" i="6" s="1"/>
  <c r="R507" i="6"/>
  <c r="P507" i="6"/>
  <c r="AY506" i="6"/>
  <c r="AX506" i="6"/>
  <c r="AW506" i="6"/>
  <c r="AV506" i="6"/>
  <c r="AM506" i="6"/>
  <c r="AL506" i="6"/>
  <c r="AI506" i="6"/>
  <c r="AH506" i="6"/>
  <c r="AG506" i="6"/>
  <c r="AF506" i="6"/>
  <c r="V506" i="6"/>
  <c r="R506" i="6"/>
  <c r="Q506" i="6"/>
  <c r="AZ506" i="6" s="1"/>
  <c r="P506" i="6"/>
  <c r="AY505" i="6"/>
  <c r="AX505" i="6"/>
  <c r="AV505" i="6"/>
  <c r="AW505" i="6" s="1"/>
  <c r="AM505" i="6"/>
  <c r="AL505" i="6"/>
  <c r="AI505" i="6"/>
  <c r="BA505" i="6" s="1"/>
  <c r="AH505" i="6"/>
  <c r="AG505" i="6"/>
  <c r="AF505" i="6"/>
  <c r="W505" i="6"/>
  <c r="V505" i="6"/>
  <c r="S505" i="6"/>
  <c r="R505" i="6"/>
  <c r="Q505" i="6"/>
  <c r="AZ505" i="6" s="1"/>
  <c r="P505" i="6"/>
  <c r="AX504" i="6"/>
  <c r="AY504" i="6" s="1"/>
  <c r="AW504" i="6"/>
  <c r="AV504" i="6"/>
  <c r="AM504" i="6"/>
  <c r="AL504" i="6"/>
  <c r="AI504" i="6"/>
  <c r="BA504" i="6" s="1"/>
  <c r="AH504" i="6"/>
  <c r="AF504" i="6"/>
  <c r="AG504" i="6" s="1"/>
  <c r="W504" i="6"/>
  <c r="S504" i="6"/>
  <c r="R504" i="6"/>
  <c r="Q504" i="6"/>
  <c r="P504" i="6"/>
  <c r="V504" i="6" s="1"/>
  <c r="AY503" i="6"/>
  <c r="AX503" i="6"/>
  <c r="AV503" i="6"/>
  <c r="AW503" i="6" s="1"/>
  <c r="AM503" i="6"/>
  <c r="AL503" i="6"/>
  <c r="AI503" i="6"/>
  <c r="AH503" i="6"/>
  <c r="AG503" i="6"/>
  <c r="AF503" i="6"/>
  <c r="V503" i="6"/>
  <c r="R503" i="6"/>
  <c r="Q503" i="6"/>
  <c r="P503" i="6"/>
  <c r="AX502" i="6"/>
  <c r="AY502" i="6" s="1"/>
  <c r="AV502" i="6"/>
  <c r="AW502" i="6" s="1"/>
  <c r="AM502" i="6"/>
  <c r="AL502" i="6"/>
  <c r="AH502" i="6"/>
  <c r="AI502" i="6" s="1"/>
  <c r="AF502" i="6"/>
  <c r="AG502" i="6" s="1"/>
  <c r="W502" i="6"/>
  <c r="V502" i="6"/>
  <c r="S502" i="6"/>
  <c r="BA502" i="6" s="1"/>
  <c r="R502" i="6"/>
  <c r="P502" i="6"/>
  <c r="Q502" i="6" s="1"/>
  <c r="AZ502" i="6" s="1"/>
  <c r="AX501" i="6"/>
  <c r="AY501" i="6" s="1"/>
  <c r="AW501" i="6"/>
  <c r="AV501" i="6"/>
  <c r="AM501" i="6"/>
  <c r="AL501" i="6"/>
  <c r="AH501" i="6"/>
  <c r="AI501" i="6" s="1"/>
  <c r="AF501" i="6"/>
  <c r="AG501" i="6" s="1"/>
  <c r="W501" i="6"/>
  <c r="R501" i="6"/>
  <c r="S501" i="6" s="1"/>
  <c r="P501" i="6"/>
  <c r="AY500" i="6"/>
  <c r="AX500" i="6"/>
  <c r="AV500" i="6"/>
  <c r="AW500" i="6" s="1"/>
  <c r="AM500" i="6"/>
  <c r="AL500" i="6"/>
  <c r="AH500" i="6"/>
  <c r="AI500" i="6" s="1"/>
  <c r="AG500" i="6"/>
  <c r="AF500" i="6"/>
  <c r="R500" i="6"/>
  <c r="P500" i="6"/>
  <c r="AX499" i="6"/>
  <c r="AY499" i="6" s="1"/>
  <c r="AV499" i="6"/>
  <c r="AW499" i="6" s="1"/>
  <c r="AM499" i="6"/>
  <c r="AL499" i="6"/>
  <c r="AI499" i="6"/>
  <c r="AH499" i="6"/>
  <c r="AF499" i="6"/>
  <c r="AG499" i="6" s="1"/>
  <c r="V499" i="6"/>
  <c r="R499" i="6"/>
  <c r="Q499" i="6"/>
  <c r="AZ499" i="6" s="1"/>
  <c r="P499" i="6"/>
  <c r="AX498" i="6"/>
  <c r="AY498" i="6" s="1"/>
  <c r="AV498" i="6"/>
  <c r="AW498" i="6" s="1"/>
  <c r="AM498" i="6"/>
  <c r="AL498" i="6"/>
  <c r="AI498" i="6"/>
  <c r="AH498" i="6"/>
  <c r="AF498" i="6"/>
  <c r="AG498" i="6" s="1"/>
  <c r="W498" i="6"/>
  <c r="V498" i="6"/>
  <c r="S498" i="6"/>
  <c r="BA498" i="6" s="1"/>
  <c r="R498" i="6"/>
  <c r="Q498" i="6"/>
  <c r="P498" i="6"/>
  <c r="AX497" i="6"/>
  <c r="AY497" i="6" s="1"/>
  <c r="AW497" i="6"/>
  <c r="AV497" i="6"/>
  <c r="AM497" i="6"/>
  <c r="AL497" i="6"/>
  <c r="AH497" i="6"/>
  <c r="AI497" i="6" s="1"/>
  <c r="AF497" i="6"/>
  <c r="AG497" i="6" s="1"/>
  <c r="W497" i="6"/>
  <c r="S497" i="6"/>
  <c r="BA497" i="6" s="1"/>
  <c r="R497" i="6"/>
  <c r="P497" i="6"/>
  <c r="AY496" i="6"/>
  <c r="AX496" i="6"/>
  <c r="AW496" i="6"/>
  <c r="AV496" i="6"/>
  <c r="AM496" i="6"/>
  <c r="AL496" i="6"/>
  <c r="AH496" i="6"/>
  <c r="AI496" i="6" s="1"/>
  <c r="AG496" i="6"/>
  <c r="AF496" i="6"/>
  <c r="R496" i="6"/>
  <c r="P496" i="6"/>
  <c r="AY495" i="6"/>
  <c r="AX495" i="6"/>
  <c r="AV495" i="6"/>
  <c r="AW495" i="6" s="1"/>
  <c r="AM495" i="6"/>
  <c r="AL495" i="6"/>
  <c r="AI495" i="6"/>
  <c r="AH495" i="6"/>
  <c r="AG495" i="6"/>
  <c r="AF495" i="6"/>
  <c r="V495" i="6"/>
  <c r="R495" i="6"/>
  <c r="Q495" i="6"/>
  <c r="P495" i="6"/>
  <c r="AX494" i="6"/>
  <c r="AY494" i="6" s="1"/>
  <c r="AV494" i="6"/>
  <c r="AW494" i="6" s="1"/>
  <c r="AM494" i="6"/>
  <c r="AL494" i="6"/>
  <c r="AI494" i="6"/>
  <c r="BA494" i="6" s="1"/>
  <c r="AH494" i="6"/>
  <c r="AF494" i="6"/>
  <c r="AG494" i="6" s="1"/>
  <c r="W494" i="6"/>
  <c r="V494" i="6"/>
  <c r="S494" i="6"/>
  <c r="R494" i="6"/>
  <c r="Q494" i="6"/>
  <c r="AZ494" i="6" s="1"/>
  <c r="P494" i="6"/>
  <c r="AX493" i="6"/>
  <c r="AY493" i="6" s="1"/>
  <c r="AW493" i="6"/>
  <c r="AV493" i="6"/>
  <c r="AM493" i="6"/>
  <c r="AL493" i="6"/>
  <c r="AH493" i="6"/>
  <c r="AI493" i="6" s="1"/>
  <c r="AF493" i="6"/>
  <c r="AG493" i="6" s="1"/>
  <c r="W493" i="6"/>
  <c r="S493" i="6"/>
  <c r="R493" i="6"/>
  <c r="P493" i="6"/>
  <c r="AZ492" i="6"/>
  <c r="AY492" i="6"/>
  <c r="AX492" i="6"/>
  <c r="AW492" i="6"/>
  <c r="AV492" i="6"/>
  <c r="AM492" i="6"/>
  <c r="AL492" i="6"/>
  <c r="AH492" i="6"/>
  <c r="AI492" i="6" s="1"/>
  <c r="AG492" i="6"/>
  <c r="AF492" i="6"/>
  <c r="W492" i="6"/>
  <c r="V492" i="6"/>
  <c r="R492" i="6"/>
  <c r="S492" i="6" s="1"/>
  <c r="BA492" i="6" s="1"/>
  <c r="P492" i="6"/>
  <c r="Q492" i="6" s="1"/>
  <c r="AY491" i="6"/>
  <c r="AX491" i="6"/>
  <c r="AV491" i="6"/>
  <c r="AW491" i="6" s="1"/>
  <c r="AM491" i="6"/>
  <c r="AL491" i="6"/>
  <c r="AI491" i="6"/>
  <c r="AH491" i="6"/>
  <c r="AG491" i="6"/>
  <c r="AF491" i="6"/>
  <c r="W491" i="6"/>
  <c r="V491" i="6"/>
  <c r="R491" i="6"/>
  <c r="S491" i="6" s="1"/>
  <c r="BA491" i="6" s="1"/>
  <c r="Q491" i="6"/>
  <c r="AZ491" i="6" s="1"/>
  <c r="P491" i="6"/>
  <c r="AX490" i="6"/>
  <c r="AY490" i="6" s="1"/>
  <c r="AV490" i="6"/>
  <c r="AW490" i="6" s="1"/>
  <c r="AM490" i="6"/>
  <c r="AL490" i="6"/>
  <c r="AI490" i="6"/>
  <c r="BA490" i="6" s="1"/>
  <c r="AH490" i="6"/>
  <c r="AF490" i="6"/>
  <c r="AG490" i="6" s="1"/>
  <c r="W490" i="6"/>
  <c r="V490" i="6"/>
  <c r="S490" i="6"/>
  <c r="R490" i="6"/>
  <c r="Q490" i="6"/>
  <c r="P490" i="6"/>
  <c r="AZ489" i="6"/>
  <c r="AX489" i="6"/>
  <c r="AY489" i="6" s="1"/>
  <c r="AW489" i="6"/>
  <c r="AV489" i="6"/>
  <c r="AM489" i="6"/>
  <c r="AL489" i="6"/>
  <c r="AH489" i="6"/>
  <c r="AI489" i="6" s="1"/>
  <c r="AF489" i="6"/>
  <c r="AG489" i="6" s="1"/>
  <c r="W489" i="6"/>
  <c r="V489" i="6"/>
  <c r="S489" i="6"/>
  <c r="BA489" i="6" s="1"/>
  <c r="R489" i="6"/>
  <c r="P489" i="6"/>
  <c r="Q489" i="6" s="1"/>
  <c r="AY488" i="6"/>
  <c r="AX488" i="6"/>
  <c r="AW488" i="6"/>
  <c r="AV488" i="6"/>
  <c r="AM488" i="6"/>
  <c r="AL488" i="6"/>
  <c r="AH488" i="6"/>
  <c r="AI488" i="6" s="1"/>
  <c r="AG488" i="6"/>
  <c r="AF488" i="6"/>
  <c r="W488" i="6"/>
  <c r="V488" i="6"/>
  <c r="R488" i="6"/>
  <c r="S488" i="6" s="1"/>
  <c r="BA488" i="6" s="1"/>
  <c r="P488" i="6"/>
  <c r="Q488" i="6" s="1"/>
  <c r="AZ488" i="6" s="1"/>
  <c r="AY487" i="6"/>
  <c r="AX487" i="6"/>
  <c r="AV487" i="6"/>
  <c r="AW487" i="6" s="1"/>
  <c r="AM487" i="6"/>
  <c r="AL487" i="6"/>
  <c r="AI487" i="6"/>
  <c r="AH487" i="6"/>
  <c r="AG487" i="6"/>
  <c r="AF487" i="6"/>
  <c r="W487" i="6"/>
  <c r="V487" i="6"/>
  <c r="R487" i="6"/>
  <c r="S487" i="6" s="1"/>
  <c r="BA487" i="6" s="1"/>
  <c r="Q487" i="6"/>
  <c r="AZ487" i="6" s="1"/>
  <c r="P487" i="6"/>
  <c r="AX486" i="6"/>
  <c r="AY486" i="6" s="1"/>
  <c r="AV486" i="6"/>
  <c r="AW486" i="6" s="1"/>
  <c r="AM486" i="6"/>
  <c r="AL486" i="6"/>
  <c r="AI486" i="6"/>
  <c r="AH486" i="6"/>
  <c r="AF486" i="6"/>
  <c r="AG486" i="6" s="1"/>
  <c r="W486" i="6"/>
  <c r="V486" i="6"/>
  <c r="S486" i="6"/>
  <c r="R486" i="6"/>
  <c r="Q486" i="6"/>
  <c r="P486" i="6"/>
  <c r="AX485" i="6"/>
  <c r="AY485" i="6" s="1"/>
  <c r="AW485" i="6"/>
  <c r="AV485" i="6"/>
  <c r="AM485" i="6"/>
  <c r="AL485" i="6"/>
  <c r="AH485" i="6"/>
  <c r="AI485" i="6" s="1"/>
  <c r="AF485" i="6"/>
  <c r="AG485" i="6" s="1"/>
  <c r="W485" i="6"/>
  <c r="V485" i="6"/>
  <c r="S485" i="6"/>
  <c r="BA485" i="6" s="1"/>
  <c r="R485" i="6"/>
  <c r="P485" i="6"/>
  <c r="Q485" i="6" s="1"/>
  <c r="AZ485" i="6" s="1"/>
  <c r="AY484" i="6"/>
  <c r="AX484" i="6"/>
  <c r="AW484" i="6"/>
  <c r="AV484" i="6"/>
  <c r="AM484" i="6"/>
  <c r="AL484" i="6"/>
  <c r="AH484" i="6"/>
  <c r="AI484" i="6" s="1"/>
  <c r="AG484" i="6"/>
  <c r="AF484" i="6"/>
  <c r="W484" i="6"/>
  <c r="V484" i="6"/>
  <c r="R484" i="6"/>
  <c r="S484" i="6" s="1"/>
  <c r="P484" i="6"/>
  <c r="Q484" i="6" s="1"/>
  <c r="AZ484" i="6" s="1"/>
  <c r="AY483" i="6"/>
  <c r="AX483" i="6"/>
  <c r="AV483" i="6"/>
  <c r="AW483" i="6" s="1"/>
  <c r="AM483" i="6"/>
  <c r="AL483" i="6"/>
  <c r="AI483" i="6"/>
  <c r="AH483" i="6"/>
  <c r="AG483" i="6"/>
  <c r="AF483" i="6"/>
  <c r="W483" i="6"/>
  <c r="V483" i="6"/>
  <c r="R483" i="6"/>
  <c r="S483" i="6" s="1"/>
  <c r="BA483" i="6" s="1"/>
  <c r="Q483" i="6"/>
  <c r="P483" i="6"/>
  <c r="AX482" i="6"/>
  <c r="AY482" i="6" s="1"/>
  <c r="AV482" i="6"/>
  <c r="AW482" i="6" s="1"/>
  <c r="AM482" i="6"/>
  <c r="AL482" i="6"/>
  <c r="AI482" i="6"/>
  <c r="AH482" i="6"/>
  <c r="AF482" i="6"/>
  <c r="AG482" i="6" s="1"/>
  <c r="W482" i="6"/>
  <c r="V482" i="6"/>
  <c r="S482" i="6"/>
  <c r="R482" i="6"/>
  <c r="Q482" i="6"/>
  <c r="P482" i="6"/>
  <c r="AX481" i="6"/>
  <c r="AY481" i="6" s="1"/>
  <c r="AW481" i="6"/>
  <c r="AV481" i="6"/>
  <c r="AM481" i="6"/>
  <c r="AL481" i="6"/>
  <c r="AH481" i="6"/>
  <c r="AI481" i="6" s="1"/>
  <c r="AF481" i="6"/>
  <c r="AG481" i="6" s="1"/>
  <c r="W481" i="6"/>
  <c r="V481" i="6"/>
  <c r="S481" i="6"/>
  <c r="R481" i="6"/>
  <c r="P481" i="6"/>
  <c r="Q481" i="6" s="1"/>
  <c r="AZ481" i="6" s="1"/>
  <c r="AZ480" i="6"/>
  <c r="AY480" i="6"/>
  <c r="AX480" i="6"/>
  <c r="AW480" i="6"/>
  <c r="AV480" i="6"/>
  <c r="AM480" i="6"/>
  <c r="AL480" i="6"/>
  <c r="AH480" i="6"/>
  <c r="AI480" i="6" s="1"/>
  <c r="AG480" i="6"/>
  <c r="AF480" i="6"/>
  <c r="W480" i="6"/>
  <c r="V480" i="6"/>
  <c r="R480" i="6"/>
  <c r="S480" i="6" s="1"/>
  <c r="P480" i="6"/>
  <c r="Q480" i="6" s="1"/>
  <c r="AY479" i="6"/>
  <c r="AX479" i="6"/>
  <c r="AV479" i="6"/>
  <c r="AW479" i="6" s="1"/>
  <c r="AM479" i="6"/>
  <c r="AL479" i="6"/>
  <c r="AI479" i="6"/>
  <c r="AH479" i="6"/>
  <c r="AG479" i="6"/>
  <c r="AF479" i="6"/>
  <c r="W479" i="6"/>
  <c r="V479" i="6"/>
  <c r="R479" i="6"/>
  <c r="S479" i="6" s="1"/>
  <c r="BA479" i="6" s="1"/>
  <c r="Q479" i="6"/>
  <c r="P479" i="6"/>
  <c r="AX478" i="6"/>
  <c r="AY478" i="6" s="1"/>
  <c r="AV478" i="6"/>
  <c r="AW478" i="6" s="1"/>
  <c r="AM478" i="6"/>
  <c r="AL478" i="6"/>
  <c r="AI478" i="6"/>
  <c r="BA478" i="6" s="1"/>
  <c r="AH478" i="6"/>
  <c r="AF478" i="6"/>
  <c r="AG478" i="6" s="1"/>
  <c r="W478" i="6"/>
  <c r="V478" i="6"/>
  <c r="S478" i="6"/>
  <c r="R478" i="6"/>
  <c r="Q478" i="6"/>
  <c r="AZ478" i="6" s="1"/>
  <c r="P478" i="6"/>
  <c r="AZ477" i="6"/>
  <c r="AX477" i="6"/>
  <c r="AY477" i="6" s="1"/>
  <c r="AW477" i="6"/>
  <c r="AV477" i="6"/>
  <c r="AM477" i="6"/>
  <c r="AL477" i="6"/>
  <c r="AH477" i="6"/>
  <c r="AI477" i="6" s="1"/>
  <c r="AF477" i="6"/>
  <c r="AG477" i="6" s="1"/>
  <c r="W477" i="6"/>
  <c r="V477" i="6"/>
  <c r="S477" i="6"/>
  <c r="R477" i="6"/>
  <c r="P477" i="6"/>
  <c r="Q477" i="6" s="1"/>
  <c r="AZ476" i="6"/>
  <c r="AY476" i="6"/>
  <c r="AX476" i="6"/>
  <c r="AW476" i="6"/>
  <c r="AV476" i="6"/>
  <c r="AM476" i="6"/>
  <c r="AL476" i="6"/>
  <c r="AH476" i="6"/>
  <c r="AI476" i="6" s="1"/>
  <c r="AG476" i="6"/>
  <c r="AF476" i="6"/>
  <c r="W476" i="6"/>
  <c r="V476" i="6"/>
  <c r="R476" i="6"/>
  <c r="S476" i="6" s="1"/>
  <c r="BA476" i="6" s="1"/>
  <c r="P476" i="6"/>
  <c r="Q476" i="6" s="1"/>
  <c r="AY475" i="6"/>
  <c r="AX475" i="6"/>
  <c r="AV475" i="6"/>
  <c r="AW475" i="6" s="1"/>
  <c r="AM475" i="6"/>
  <c r="AL475" i="6"/>
  <c r="AI475" i="6"/>
  <c r="AH475" i="6"/>
  <c r="AG475" i="6"/>
  <c r="AF475" i="6"/>
  <c r="W475" i="6"/>
  <c r="V475" i="6"/>
  <c r="R475" i="6"/>
  <c r="S475" i="6" s="1"/>
  <c r="BA475" i="6" s="1"/>
  <c r="Q475" i="6"/>
  <c r="AZ475" i="6" s="1"/>
  <c r="P475" i="6"/>
  <c r="AX474" i="6"/>
  <c r="AY474" i="6" s="1"/>
  <c r="AV474" i="6"/>
  <c r="AW474" i="6" s="1"/>
  <c r="AM474" i="6"/>
  <c r="AL474" i="6"/>
  <c r="AI474" i="6"/>
  <c r="AH474" i="6"/>
  <c r="AF474" i="6"/>
  <c r="AG474" i="6" s="1"/>
  <c r="W474" i="6"/>
  <c r="V474" i="6"/>
  <c r="R474" i="6"/>
  <c r="S474" i="6" s="1"/>
  <c r="Q474" i="6"/>
  <c r="P474" i="6"/>
  <c r="AX473" i="6"/>
  <c r="AY473" i="6" s="1"/>
  <c r="AV473" i="6"/>
  <c r="AW473" i="6" s="1"/>
  <c r="AM473" i="6"/>
  <c r="AL473" i="6"/>
  <c r="AH473" i="6"/>
  <c r="AI473" i="6" s="1"/>
  <c r="AF473" i="6"/>
  <c r="AG473" i="6" s="1"/>
  <c r="W473" i="6"/>
  <c r="V473" i="6"/>
  <c r="S473" i="6"/>
  <c r="BA473" i="6" s="1"/>
  <c r="R473" i="6"/>
  <c r="P473" i="6"/>
  <c r="Q473" i="6" s="1"/>
  <c r="AZ473" i="6" s="1"/>
  <c r="AX472" i="6"/>
  <c r="AY472" i="6" s="1"/>
  <c r="AW472" i="6"/>
  <c r="AV472" i="6"/>
  <c r="AM472" i="6"/>
  <c r="AL472" i="6"/>
  <c r="AH472" i="6"/>
  <c r="AI472" i="6" s="1"/>
  <c r="AF472" i="6"/>
  <c r="AG472" i="6" s="1"/>
  <c r="AZ472" i="6" s="1"/>
  <c r="W472" i="6"/>
  <c r="V472" i="6"/>
  <c r="R472" i="6"/>
  <c r="S472" i="6" s="1"/>
  <c r="P472" i="6"/>
  <c r="Q472" i="6" s="1"/>
  <c r="AY471" i="6"/>
  <c r="AX471" i="6"/>
  <c r="AV471" i="6"/>
  <c r="AW471" i="6" s="1"/>
  <c r="AM471" i="6"/>
  <c r="AL471" i="6"/>
  <c r="AH471" i="6"/>
  <c r="AI471" i="6" s="1"/>
  <c r="AG471" i="6"/>
  <c r="AF471" i="6"/>
  <c r="W471" i="6"/>
  <c r="V471" i="6"/>
  <c r="R471" i="6"/>
  <c r="S471" i="6" s="1"/>
  <c r="BA471" i="6" s="1"/>
  <c r="P471" i="6"/>
  <c r="Q471" i="6" s="1"/>
  <c r="AZ471" i="6" s="1"/>
  <c r="AX470" i="6"/>
  <c r="AY470" i="6" s="1"/>
  <c r="AV470" i="6"/>
  <c r="AW470" i="6" s="1"/>
  <c r="AM470" i="6"/>
  <c r="AL470" i="6"/>
  <c r="AI470" i="6"/>
  <c r="AH470" i="6"/>
  <c r="AF470" i="6"/>
  <c r="AG470" i="6" s="1"/>
  <c r="W470" i="6"/>
  <c r="V470" i="6"/>
  <c r="R470" i="6"/>
  <c r="S470" i="6" s="1"/>
  <c r="Q470" i="6"/>
  <c r="P470" i="6"/>
  <c r="AX469" i="6"/>
  <c r="AY469" i="6" s="1"/>
  <c r="AV469" i="6"/>
  <c r="AW469" i="6" s="1"/>
  <c r="AM469" i="6"/>
  <c r="AL469" i="6"/>
  <c r="AH469" i="6"/>
  <c r="AI469" i="6" s="1"/>
  <c r="AF469" i="6"/>
  <c r="AG469" i="6" s="1"/>
  <c r="W469" i="6"/>
  <c r="V469" i="6"/>
  <c r="S469" i="6"/>
  <c r="BA469" i="6" s="1"/>
  <c r="R469" i="6"/>
  <c r="P469" i="6"/>
  <c r="Q469" i="6" s="1"/>
  <c r="AZ469" i="6" s="1"/>
  <c r="AX468" i="6"/>
  <c r="AY468" i="6" s="1"/>
  <c r="AW468" i="6"/>
  <c r="AV468" i="6"/>
  <c r="AM468" i="6"/>
  <c r="AL468" i="6"/>
  <c r="AH468" i="6"/>
  <c r="AI468" i="6" s="1"/>
  <c r="AF468" i="6"/>
  <c r="AG468" i="6" s="1"/>
  <c r="AZ468" i="6" s="1"/>
  <c r="W468" i="6"/>
  <c r="V468" i="6"/>
  <c r="R468" i="6"/>
  <c r="S468" i="6" s="1"/>
  <c r="P468" i="6"/>
  <c r="Q468" i="6" s="1"/>
  <c r="AY467" i="6"/>
  <c r="AX467" i="6"/>
  <c r="AV467" i="6"/>
  <c r="AW467" i="6" s="1"/>
  <c r="AM467" i="6"/>
  <c r="AL467" i="6"/>
  <c r="AI467" i="6"/>
  <c r="AH467" i="6"/>
  <c r="AG467" i="6"/>
  <c r="AF467" i="6"/>
  <c r="W467" i="6"/>
  <c r="V467" i="6"/>
  <c r="R467" i="6"/>
  <c r="S467" i="6" s="1"/>
  <c r="BA467" i="6" s="1"/>
  <c r="Q467" i="6"/>
  <c r="P467" i="6"/>
  <c r="AX466" i="6"/>
  <c r="AY466" i="6" s="1"/>
  <c r="AV466" i="6"/>
  <c r="AW466" i="6" s="1"/>
  <c r="AM466" i="6"/>
  <c r="AL466" i="6"/>
  <c r="AI466" i="6"/>
  <c r="BA466" i="6" s="1"/>
  <c r="AH466" i="6"/>
  <c r="AF466" i="6"/>
  <c r="AG466" i="6" s="1"/>
  <c r="W466" i="6"/>
  <c r="V466" i="6"/>
  <c r="S466" i="6"/>
  <c r="R466" i="6"/>
  <c r="Q466" i="6"/>
  <c r="AZ466" i="6" s="1"/>
  <c r="P466" i="6"/>
  <c r="AX465" i="6"/>
  <c r="AY465" i="6" s="1"/>
  <c r="AV465" i="6"/>
  <c r="AW465" i="6" s="1"/>
  <c r="AM465" i="6"/>
  <c r="AL465" i="6"/>
  <c r="AH465" i="6"/>
  <c r="AI465" i="6" s="1"/>
  <c r="AF465" i="6"/>
  <c r="AG465" i="6" s="1"/>
  <c r="S465" i="6"/>
  <c r="BA465" i="6" s="1"/>
  <c r="R465" i="6"/>
  <c r="W465" i="6" s="1"/>
  <c r="P465" i="6"/>
  <c r="AX464" i="6"/>
  <c r="AY464" i="6" s="1"/>
  <c r="AW464" i="6"/>
  <c r="AV464" i="6"/>
  <c r="AM464" i="6"/>
  <c r="AL464" i="6"/>
  <c r="AH464" i="6"/>
  <c r="AI464" i="6" s="1"/>
  <c r="AF464" i="6"/>
  <c r="AG464" i="6" s="1"/>
  <c r="R464" i="6"/>
  <c r="P464" i="6"/>
  <c r="AY463" i="6"/>
  <c r="AX463" i="6"/>
  <c r="AV463" i="6"/>
  <c r="AW463" i="6" s="1"/>
  <c r="AM463" i="6"/>
  <c r="AL463" i="6"/>
  <c r="AI463" i="6"/>
  <c r="AH463" i="6"/>
  <c r="AG463" i="6"/>
  <c r="AF463" i="6"/>
  <c r="V463" i="6"/>
  <c r="R463" i="6"/>
  <c r="Q463" i="6"/>
  <c r="P463" i="6"/>
  <c r="AX462" i="6"/>
  <c r="AY462" i="6" s="1"/>
  <c r="AV462" i="6"/>
  <c r="AW462" i="6" s="1"/>
  <c r="AM462" i="6"/>
  <c r="AL462" i="6"/>
  <c r="AH462" i="6"/>
  <c r="AI462" i="6" s="1"/>
  <c r="AF462" i="6"/>
  <c r="AG462" i="6" s="1"/>
  <c r="W462" i="6"/>
  <c r="V462" i="6"/>
  <c r="R462" i="6"/>
  <c r="S462" i="6" s="1"/>
  <c r="BA462" i="6" s="1"/>
  <c r="P462" i="6"/>
  <c r="Q462" i="6" s="1"/>
  <c r="AX461" i="6"/>
  <c r="AY461" i="6" s="1"/>
  <c r="AV461" i="6"/>
  <c r="AW461" i="6" s="1"/>
  <c r="AM461" i="6"/>
  <c r="AL461" i="6"/>
  <c r="AH461" i="6"/>
  <c r="AI461" i="6" s="1"/>
  <c r="AF461" i="6"/>
  <c r="AG461" i="6" s="1"/>
  <c r="R461" i="6"/>
  <c r="W461" i="6" s="1"/>
  <c r="P461" i="6"/>
  <c r="AX460" i="6"/>
  <c r="AY460" i="6" s="1"/>
  <c r="AV460" i="6"/>
  <c r="AW460" i="6" s="1"/>
  <c r="AM460" i="6"/>
  <c r="AL460" i="6"/>
  <c r="AH460" i="6"/>
  <c r="AI460" i="6" s="1"/>
  <c r="AF460" i="6"/>
  <c r="AG460" i="6" s="1"/>
  <c r="R460" i="6"/>
  <c r="P460" i="6"/>
  <c r="AX459" i="6"/>
  <c r="AY459" i="6" s="1"/>
  <c r="AV459" i="6"/>
  <c r="AW459" i="6" s="1"/>
  <c r="AM459" i="6"/>
  <c r="AL459" i="6"/>
  <c r="AI459" i="6"/>
  <c r="AH459" i="6"/>
  <c r="AF459" i="6"/>
  <c r="AG459" i="6" s="1"/>
  <c r="V459" i="6"/>
  <c r="R459" i="6"/>
  <c r="Q459" i="6"/>
  <c r="AZ459" i="6" s="1"/>
  <c r="P459" i="6"/>
  <c r="AX458" i="6"/>
  <c r="AY458" i="6" s="1"/>
  <c r="AV458" i="6"/>
  <c r="AW458" i="6" s="1"/>
  <c r="AM458" i="6"/>
  <c r="AL458" i="6"/>
  <c r="AI458" i="6"/>
  <c r="AH458" i="6"/>
  <c r="AF458" i="6"/>
  <c r="AG458" i="6" s="1"/>
  <c r="W458" i="6"/>
  <c r="V458" i="6"/>
  <c r="R458" i="6"/>
  <c r="S458" i="6" s="1"/>
  <c r="Q458" i="6"/>
  <c r="P458" i="6"/>
  <c r="AX457" i="6"/>
  <c r="AY457" i="6" s="1"/>
  <c r="AV457" i="6"/>
  <c r="AW457" i="6" s="1"/>
  <c r="AM457" i="6"/>
  <c r="AL457" i="6"/>
  <c r="AH457" i="6"/>
  <c r="AI457" i="6" s="1"/>
  <c r="AF457" i="6"/>
  <c r="AG457" i="6" s="1"/>
  <c r="S457" i="6"/>
  <c r="R457" i="6"/>
  <c r="W457" i="6" s="1"/>
  <c r="P457" i="6"/>
  <c r="AX456" i="6"/>
  <c r="AY456" i="6" s="1"/>
  <c r="AW456" i="6"/>
  <c r="AV456" i="6"/>
  <c r="AM456" i="6"/>
  <c r="AL456" i="6"/>
  <c r="AH456" i="6"/>
  <c r="AI456" i="6" s="1"/>
  <c r="AF456" i="6"/>
  <c r="AG456" i="6" s="1"/>
  <c r="R456" i="6"/>
  <c r="P456" i="6"/>
  <c r="AY455" i="6"/>
  <c r="AX455" i="6"/>
  <c r="AV455" i="6"/>
  <c r="AW455" i="6" s="1"/>
  <c r="AM455" i="6"/>
  <c r="AL455" i="6"/>
  <c r="AH455" i="6"/>
  <c r="AI455" i="6" s="1"/>
  <c r="AG455" i="6"/>
  <c r="AF455" i="6"/>
  <c r="V455" i="6"/>
  <c r="R455" i="6"/>
  <c r="P455" i="6"/>
  <c r="Q455" i="6" s="1"/>
  <c r="AZ455" i="6" s="1"/>
  <c r="AX454" i="6"/>
  <c r="AY454" i="6" s="1"/>
  <c r="AV454" i="6"/>
  <c r="AW454" i="6" s="1"/>
  <c r="AM454" i="6"/>
  <c r="AL454" i="6"/>
  <c r="AI454" i="6"/>
  <c r="AH454" i="6"/>
  <c r="AF454" i="6"/>
  <c r="AG454" i="6" s="1"/>
  <c r="W454" i="6"/>
  <c r="V454" i="6"/>
  <c r="R454" i="6"/>
  <c r="S454" i="6" s="1"/>
  <c r="Q454" i="6"/>
  <c r="P454" i="6"/>
  <c r="AX453" i="6"/>
  <c r="AY453" i="6" s="1"/>
  <c r="AV453" i="6"/>
  <c r="AW453" i="6" s="1"/>
  <c r="AM453" i="6"/>
  <c r="AL453" i="6"/>
  <c r="AH453" i="6"/>
  <c r="AI453" i="6" s="1"/>
  <c r="AF453" i="6"/>
  <c r="AG453" i="6" s="1"/>
  <c r="S453" i="6"/>
  <c r="BA453" i="6" s="1"/>
  <c r="R453" i="6"/>
  <c r="W453" i="6" s="1"/>
  <c r="P453" i="6"/>
  <c r="AX452" i="6"/>
  <c r="AY452" i="6" s="1"/>
  <c r="AW452" i="6"/>
  <c r="AV452" i="6"/>
  <c r="AM452" i="6"/>
  <c r="AL452" i="6"/>
  <c r="AH452" i="6"/>
  <c r="AI452" i="6" s="1"/>
  <c r="AF452" i="6"/>
  <c r="AG452" i="6" s="1"/>
  <c r="R452" i="6"/>
  <c r="P452" i="6"/>
  <c r="AY451" i="6"/>
  <c r="AX451" i="6"/>
  <c r="AV451" i="6"/>
  <c r="AW451" i="6" s="1"/>
  <c r="AM451" i="6"/>
  <c r="AL451" i="6"/>
  <c r="AH451" i="6"/>
  <c r="AI451" i="6" s="1"/>
  <c r="AG451" i="6"/>
  <c r="AF451" i="6"/>
  <c r="V451" i="6"/>
  <c r="R451" i="6"/>
  <c r="P451" i="6"/>
  <c r="Q451" i="6" s="1"/>
  <c r="AZ451" i="6" s="1"/>
  <c r="AX450" i="6"/>
  <c r="AY450" i="6" s="1"/>
  <c r="AV450" i="6"/>
  <c r="AW450" i="6" s="1"/>
  <c r="AM450" i="6"/>
  <c r="AL450" i="6"/>
  <c r="AI450" i="6"/>
  <c r="AH450" i="6"/>
  <c r="AF450" i="6"/>
  <c r="AG450" i="6" s="1"/>
  <c r="W450" i="6"/>
  <c r="V450" i="6"/>
  <c r="R450" i="6"/>
  <c r="S450" i="6" s="1"/>
  <c r="Q450" i="6"/>
  <c r="AZ450" i="6" s="1"/>
  <c r="P450" i="6"/>
  <c r="AX449" i="6"/>
  <c r="AY449" i="6" s="1"/>
  <c r="AV449" i="6"/>
  <c r="AW449" i="6" s="1"/>
  <c r="AM449" i="6"/>
  <c r="AL449" i="6"/>
  <c r="AH449" i="6"/>
  <c r="AI449" i="6" s="1"/>
  <c r="AF449" i="6"/>
  <c r="AG449" i="6" s="1"/>
  <c r="S449" i="6"/>
  <c r="R449" i="6"/>
  <c r="W449" i="6" s="1"/>
  <c r="P449" i="6"/>
  <c r="AX448" i="6"/>
  <c r="AY448" i="6" s="1"/>
  <c r="AW448" i="6"/>
  <c r="AV448" i="6"/>
  <c r="AM448" i="6"/>
  <c r="AL448" i="6"/>
  <c r="AH448" i="6"/>
  <c r="AI448" i="6" s="1"/>
  <c r="AF448" i="6"/>
  <c r="AG448" i="6" s="1"/>
  <c r="V448" i="6"/>
  <c r="R448" i="6"/>
  <c r="P448" i="6"/>
  <c r="Q448" i="6" s="1"/>
  <c r="AZ448" i="6" s="1"/>
  <c r="AX447" i="6"/>
  <c r="AY447" i="6" s="1"/>
  <c r="AV447" i="6"/>
  <c r="AW447" i="6" s="1"/>
  <c r="AM447" i="6"/>
  <c r="AL447" i="6"/>
  <c r="AH447" i="6"/>
  <c r="AI447" i="6" s="1"/>
  <c r="AG447" i="6"/>
  <c r="AF447" i="6"/>
  <c r="V447" i="6"/>
  <c r="R447" i="6"/>
  <c r="P447" i="6"/>
  <c r="Q447" i="6" s="1"/>
  <c r="AZ447" i="6" s="1"/>
  <c r="AX446" i="6"/>
  <c r="AY446" i="6" s="1"/>
  <c r="AV446" i="6"/>
  <c r="AW446" i="6" s="1"/>
  <c r="AM446" i="6"/>
  <c r="AL446" i="6"/>
  <c r="AI446" i="6"/>
  <c r="AH446" i="6"/>
  <c r="AF446" i="6"/>
  <c r="AG446" i="6" s="1"/>
  <c r="W446" i="6"/>
  <c r="V446" i="6"/>
  <c r="S446" i="6"/>
  <c r="R446" i="6"/>
  <c r="P446" i="6"/>
  <c r="Q446" i="6" s="1"/>
  <c r="AX445" i="6"/>
  <c r="AY445" i="6" s="1"/>
  <c r="AV445" i="6"/>
  <c r="AW445" i="6" s="1"/>
  <c r="AM445" i="6"/>
  <c r="AL445" i="6"/>
  <c r="AH445" i="6"/>
  <c r="AI445" i="6" s="1"/>
  <c r="AF445" i="6"/>
  <c r="AG445" i="6" s="1"/>
  <c r="R445" i="6"/>
  <c r="W445" i="6" s="1"/>
  <c r="P445" i="6"/>
  <c r="AX444" i="6"/>
  <c r="AY444" i="6" s="1"/>
  <c r="AV444" i="6"/>
  <c r="AW444" i="6" s="1"/>
  <c r="AM444" i="6"/>
  <c r="AL444" i="6"/>
  <c r="AH444" i="6"/>
  <c r="AI444" i="6" s="1"/>
  <c r="AF444" i="6"/>
  <c r="AG444" i="6" s="1"/>
  <c r="R444" i="6"/>
  <c r="P444" i="6"/>
  <c r="AX443" i="6"/>
  <c r="AY443" i="6" s="1"/>
  <c r="AV443" i="6"/>
  <c r="AW443" i="6" s="1"/>
  <c r="AM443" i="6"/>
  <c r="AL443" i="6"/>
  <c r="AH443" i="6"/>
  <c r="AI443" i="6" s="1"/>
  <c r="AF443" i="6"/>
  <c r="AG443" i="6" s="1"/>
  <c r="V443" i="6"/>
  <c r="R443" i="6"/>
  <c r="P443" i="6"/>
  <c r="Q443" i="6" s="1"/>
  <c r="AX442" i="6"/>
  <c r="AY442" i="6" s="1"/>
  <c r="AV442" i="6"/>
  <c r="AW442" i="6" s="1"/>
  <c r="AM442" i="6"/>
  <c r="AL442" i="6"/>
  <c r="AH442" i="6"/>
  <c r="AI442" i="6" s="1"/>
  <c r="AF442" i="6"/>
  <c r="AG442" i="6" s="1"/>
  <c r="W442" i="6"/>
  <c r="V442" i="6"/>
  <c r="R442" i="6"/>
  <c r="S442" i="6" s="1"/>
  <c r="BA442" i="6" s="1"/>
  <c r="P442" i="6"/>
  <c r="Q442" i="6" s="1"/>
  <c r="AZ442" i="6" s="1"/>
  <c r="AX441" i="6"/>
  <c r="AY441" i="6" s="1"/>
  <c r="AV441" i="6"/>
  <c r="AW441" i="6" s="1"/>
  <c r="AM441" i="6"/>
  <c r="AL441" i="6"/>
  <c r="AH441" i="6"/>
  <c r="AI441" i="6" s="1"/>
  <c r="AF441" i="6"/>
  <c r="AG441" i="6" s="1"/>
  <c r="R441" i="6"/>
  <c r="W441" i="6" s="1"/>
  <c r="P441" i="6"/>
  <c r="AX440" i="6"/>
  <c r="AY440" i="6" s="1"/>
  <c r="AV440" i="6"/>
  <c r="AW440" i="6" s="1"/>
  <c r="AM440" i="6"/>
  <c r="AL440" i="6"/>
  <c r="AH440" i="6"/>
  <c r="AI440" i="6" s="1"/>
  <c r="AF440" i="6"/>
  <c r="AG440" i="6" s="1"/>
  <c r="R440" i="6"/>
  <c r="P440" i="6"/>
  <c r="AX439" i="6"/>
  <c r="AY439" i="6" s="1"/>
  <c r="AV439" i="6"/>
  <c r="AW439" i="6" s="1"/>
  <c r="AM439" i="6"/>
  <c r="AL439" i="6"/>
  <c r="AH439" i="6"/>
  <c r="AI439" i="6" s="1"/>
  <c r="AF439" i="6"/>
  <c r="AG439" i="6" s="1"/>
  <c r="V439" i="6"/>
  <c r="S439" i="6"/>
  <c r="R439" i="6"/>
  <c r="W439" i="6" s="1"/>
  <c r="P439" i="6"/>
  <c r="Q439" i="6" s="1"/>
  <c r="AX438" i="6"/>
  <c r="AY438" i="6" s="1"/>
  <c r="AV438" i="6"/>
  <c r="AW438" i="6" s="1"/>
  <c r="AM438" i="6"/>
  <c r="AL438" i="6"/>
  <c r="AH438" i="6"/>
  <c r="AI438" i="6" s="1"/>
  <c r="AF438" i="6"/>
  <c r="AG438" i="6" s="1"/>
  <c r="W438" i="6"/>
  <c r="V438" i="6"/>
  <c r="R438" i="6"/>
  <c r="S438" i="6" s="1"/>
  <c r="P438" i="6"/>
  <c r="Q438" i="6" s="1"/>
  <c r="AX437" i="6"/>
  <c r="AY437" i="6" s="1"/>
  <c r="AV437" i="6"/>
  <c r="AW437" i="6" s="1"/>
  <c r="AM437" i="6"/>
  <c r="AL437" i="6"/>
  <c r="AH437" i="6"/>
  <c r="AI437" i="6" s="1"/>
  <c r="AG437" i="6"/>
  <c r="AF437" i="6"/>
  <c r="R437" i="6"/>
  <c r="W437" i="6" s="1"/>
  <c r="P437" i="6"/>
  <c r="AX436" i="6"/>
  <c r="AY436" i="6" s="1"/>
  <c r="AV436" i="6"/>
  <c r="AW436" i="6" s="1"/>
  <c r="AM436" i="6"/>
  <c r="AL436" i="6"/>
  <c r="AH436" i="6"/>
  <c r="AI436" i="6" s="1"/>
  <c r="AF436" i="6"/>
  <c r="AG436" i="6" s="1"/>
  <c r="R436" i="6"/>
  <c r="Q436" i="6"/>
  <c r="AZ436" i="6" s="1"/>
  <c r="P436" i="6"/>
  <c r="V436" i="6" s="1"/>
  <c r="AX435" i="6"/>
  <c r="AY435" i="6" s="1"/>
  <c r="AV435" i="6"/>
  <c r="AW435" i="6" s="1"/>
  <c r="AM435" i="6"/>
  <c r="AL435" i="6"/>
  <c r="AH435" i="6"/>
  <c r="AI435" i="6" s="1"/>
  <c r="AF435" i="6"/>
  <c r="AG435" i="6" s="1"/>
  <c r="V435" i="6"/>
  <c r="R435" i="6"/>
  <c r="W435" i="6" s="1"/>
  <c r="P435" i="6"/>
  <c r="Q435" i="6" s="1"/>
  <c r="AZ435" i="6" s="1"/>
  <c r="AX434" i="6"/>
  <c r="AY434" i="6" s="1"/>
  <c r="AW434" i="6"/>
  <c r="AV434" i="6"/>
  <c r="AM434" i="6"/>
  <c r="AL434" i="6"/>
  <c r="AH434" i="6"/>
  <c r="AI434" i="6" s="1"/>
  <c r="AF434" i="6"/>
  <c r="AG434" i="6" s="1"/>
  <c r="W434" i="6"/>
  <c r="V434" i="6"/>
  <c r="R434" i="6"/>
  <c r="S434" i="6" s="1"/>
  <c r="P434" i="6"/>
  <c r="Q434" i="6" s="1"/>
  <c r="AY433" i="6"/>
  <c r="AX433" i="6"/>
  <c r="AV433" i="6"/>
  <c r="AW433" i="6" s="1"/>
  <c r="AM433" i="6"/>
  <c r="AL433" i="6"/>
  <c r="AH433" i="6"/>
  <c r="AI433" i="6" s="1"/>
  <c r="AF433" i="6"/>
  <c r="AG433" i="6" s="1"/>
  <c r="R433" i="6"/>
  <c r="W433" i="6" s="1"/>
  <c r="P433" i="6"/>
  <c r="AX432" i="6"/>
  <c r="AY432" i="6" s="1"/>
  <c r="AV432" i="6"/>
  <c r="AW432" i="6" s="1"/>
  <c r="AM432" i="6"/>
  <c r="AL432" i="6"/>
  <c r="AI432" i="6"/>
  <c r="AH432" i="6"/>
  <c r="AF432" i="6"/>
  <c r="AG432" i="6" s="1"/>
  <c r="R432" i="6"/>
  <c r="P432" i="6"/>
  <c r="V432" i="6" s="1"/>
  <c r="AX431" i="6"/>
  <c r="AY431" i="6" s="1"/>
  <c r="AV431" i="6"/>
  <c r="AW431" i="6" s="1"/>
  <c r="AM431" i="6"/>
  <c r="AL431" i="6"/>
  <c r="AH431" i="6"/>
  <c r="AI431" i="6" s="1"/>
  <c r="AF431" i="6"/>
  <c r="AG431" i="6" s="1"/>
  <c r="V431" i="6"/>
  <c r="S431" i="6"/>
  <c r="R431" i="6"/>
  <c r="W431" i="6" s="1"/>
  <c r="P431" i="6"/>
  <c r="Q431" i="6" s="1"/>
  <c r="AX430" i="6"/>
  <c r="AY430" i="6" s="1"/>
  <c r="AV430" i="6"/>
  <c r="AW430" i="6" s="1"/>
  <c r="AM430" i="6"/>
  <c r="AL430" i="6"/>
  <c r="AH430" i="6"/>
  <c r="AI430" i="6" s="1"/>
  <c r="AF430" i="6"/>
  <c r="AG430" i="6" s="1"/>
  <c r="W430" i="6"/>
  <c r="V430" i="6"/>
  <c r="R430" i="6"/>
  <c r="S430" i="6" s="1"/>
  <c r="P430" i="6"/>
  <c r="Q430" i="6" s="1"/>
  <c r="AZ430" i="6" s="1"/>
  <c r="AX429" i="6"/>
  <c r="AY429" i="6" s="1"/>
  <c r="AV429" i="6"/>
  <c r="AW429" i="6" s="1"/>
  <c r="AM429" i="6"/>
  <c r="AL429" i="6"/>
  <c r="AH429" i="6"/>
  <c r="AI429" i="6" s="1"/>
  <c r="AG429" i="6"/>
  <c r="AF429" i="6"/>
  <c r="R429" i="6"/>
  <c r="W429" i="6" s="1"/>
  <c r="P429" i="6"/>
  <c r="AY428" i="6"/>
  <c r="AX428" i="6"/>
  <c r="AV428" i="6"/>
  <c r="AW428" i="6" s="1"/>
  <c r="AM428" i="6"/>
  <c r="AL428" i="6"/>
  <c r="AI428" i="6"/>
  <c r="AH428" i="6"/>
  <c r="AF428" i="6"/>
  <c r="AG428" i="6" s="1"/>
  <c r="R428" i="6"/>
  <c r="P428" i="6"/>
  <c r="AX427" i="6"/>
  <c r="AY427" i="6" s="1"/>
  <c r="AV427" i="6"/>
  <c r="AW427" i="6" s="1"/>
  <c r="AM427" i="6"/>
  <c r="AL427" i="6"/>
  <c r="AH427" i="6"/>
  <c r="AI427" i="6" s="1"/>
  <c r="AF427" i="6"/>
  <c r="AG427" i="6" s="1"/>
  <c r="V427" i="6"/>
  <c r="S427" i="6"/>
  <c r="BA427" i="6" s="1"/>
  <c r="R427" i="6"/>
  <c r="W427" i="6" s="1"/>
  <c r="P427" i="6"/>
  <c r="Q427" i="6" s="1"/>
  <c r="AZ427" i="6" s="1"/>
  <c r="AY426" i="6"/>
  <c r="AX426" i="6"/>
  <c r="AW426" i="6"/>
  <c r="AV426" i="6"/>
  <c r="AM426" i="6"/>
  <c r="AL426" i="6"/>
  <c r="AH426" i="6"/>
  <c r="AI426" i="6" s="1"/>
  <c r="AG426" i="6"/>
  <c r="AF426" i="6"/>
  <c r="W426" i="6"/>
  <c r="R426" i="6"/>
  <c r="S426" i="6" s="1"/>
  <c r="P426" i="6"/>
  <c r="V426" i="6" s="1"/>
  <c r="AY425" i="6"/>
  <c r="AX425" i="6"/>
  <c r="AV425" i="6"/>
  <c r="AW425" i="6" s="1"/>
  <c r="AM425" i="6"/>
  <c r="AL425" i="6"/>
  <c r="AI425" i="6"/>
  <c r="AH425" i="6"/>
  <c r="AG425" i="6"/>
  <c r="AF425" i="6"/>
  <c r="R425" i="6"/>
  <c r="W425" i="6" s="1"/>
  <c r="Q425" i="6"/>
  <c r="AZ425" i="6" s="1"/>
  <c r="P425" i="6"/>
  <c r="V425" i="6" s="1"/>
  <c r="AX424" i="6"/>
  <c r="AY424" i="6" s="1"/>
  <c r="AV424" i="6"/>
  <c r="AW424" i="6" s="1"/>
  <c r="AM424" i="6"/>
  <c r="AL424" i="6"/>
  <c r="AI424" i="6"/>
  <c r="AH424" i="6"/>
  <c r="AF424" i="6"/>
  <c r="AG424" i="6" s="1"/>
  <c r="S424" i="6"/>
  <c r="BA424" i="6" s="1"/>
  <c r="R424" i="6"/>
  <c r="W424" i="6" s="1"/>
  <c r="Q424" i="6"/>
  <c r="P424" i="6"/>
  <c r="V424" i="6" s="1"/>
  <c r="AX423" i="6"/>
  <c r="AY423" i="6" s="1"/>
  <c r="AW423" i="6"/>
  <c r="AV423" i="6"/>
  <c r="AM423" i="6"/>
  <c r="AL423" i="6"/>
  <c r="AH423" i="6"/>
  <c r="AI423" i="6" s="1"/>
  <c r="AF423" i="6"/>
  <c r="AG423" i="6" s="1"/>
  <c r="W423" i="6"/>
  <c r="V423" i="6"/>
  <c r="S423" i="6"/>
  <c r="BA423" i="6" s="1"/>
  <c r="R423" i="6"/>
  <c r="P423" i="6"/>
  <c r="Q423" i="6" s="1"/>
  <c r="AZ423" i="6" s="1"/>
  <c r="AY422" i="6"/>
  <c r="AX422" i="6"/>
  <c r="AW422" i="6"/>
  <c r="AV422" i="6"/>
  <c r="AM422" i="6"/>
  <c r="AL422" i="6"/>
  <c r="AH422" i="6"/>
  <c r="AI422" i="6" s="1"/>
  <c r="AG422" i="6"/>
  <c r="AF422" i="6"/>
  <c r="W422" i="6"/>
  <c r="V422" i="6"/>
  <c r="R422" i="6"/>
  <c r="S422" i="6" s="1"/>
  <c r="P422" i="6"/>
  <c r="Q422" i="6" s="1"/>
  <c r="AY421" i="6"/>
  <c r="AX421" i="6"/>
  <c r="AV421" i="6"/>
  <c r="AW421" i="6" s="1"/>
  <c r="AM421" i="6"/>
  <c r="AL421" i="6"/>
  <c r="AI421" i="6"/>
  <c r="AH421" i="6"/>
  <c r="AG421" i="6"/>
  <c r="AF421" i="6"/>
  <c r="R421" i="6"/>
  <c r="W421" i="6" s="1"/>
  <c r="Q421" i="6"/>
  <c r="P421" i="6"/>
  <c r="V421" i="6" s="1"/>
  <c r="AX420" i="6"/>
  <c r="AY420" i="6" s="1"/>
  <c r="AV420" i="6"/>
  <c r="AW420" i="6" s="1"/>
  <c r="AM420" i="6"/>
  <c r="AL420" i="6"/>
  <c r="AI420" i="6"/>
  <c r="AH420" i="6"/>
  <c r="AF420" i="6"/>
  <c r="AG420" i="6" s="1"/>
  <c r="S420" i="6"/>
  <c r="BA420" i="6" s="1"/>
  <c r="R420" i="6"/>
  <c r="W420" i="6" s="1"/>
  <c r="Q420" i="6"/>
  <c r="P420" i="6"/>
  <c r="V420" i="6" s="1"/>
  <c r="AX419" i="6"/>
  <c r="AY419" i="6" s="1"/>
  <c r="AW419" i="6"/>
  <c r="AV419" i="6"/>
  <c r="AM419" i="6"/>
  <c r="AL419" i="6"/>
  <c r="AI419" i="6"/>
  <c r="AH419" i="6"/>
  <c r="AF419" i="6"/>
  <c r="AG419" i="6" s="1"/>
  <c r="W419" i="6"/>
  <c r="V419" i="6"/>
  <c r="S419" i="6"/>
  <c r="BA419" i="6" s="1"/>
  <c r="R419" i="6"/>
  <c r="P419" i="6"/>
  <c r="Q419" i="6" s="1"/>
  <c r="AY418" i="6"/>
  <c r="AX418" i="6"/>
  <c r="AW418" i="6"/>
  <c r="AV418" i="6"/>
  <c r="AM418" i="6"/>
  <c r="AL418" i="6"/>
  <c r="AH418" i="6"/>
  <c r="AI418" i="6" s="1"/>
  <c r="AG418" i="6"/>
  <c r="AF418" i="6"/>
  <c r="W418" i="6"/>
  <c r="R418" i="6"/>
  <c r="S418" i="6" s="1"/>
  <c r="BA418" i="6" s="1"/>
  <c r="P418" i="6"/>
  <c r="V418" i="6" s="1"/>
  <c r="AY417" i="6"/>
  <c r="AX417" i="6"/>
  <c r="AV417" i="6"/>
  <c r="AW417" i="6" s="1"/>
  <c r="AM417" i="6"/>
  <c r="AL417" i="6"/>
  <c r="AI417" i="6"/>
  <c r="AH417" i="6"/>
  <c r="AG417" i="6"/>
  <c r="AF417" i="6"/>
  <c r="R417" i="6"/>
  <c r="W417" i="6" s="1"/>
  <c r="Q417" i="6"/>
  <c r="P417" i="6"/>
  <c r="V417" i="6" s="1"/>
  <c r="AX416" i="6"/>
  <c r="AY416" i="6" s="1"/>
  <c r="AV416" i="6"/>
  <c r="AW416" i="6" s="1"/>
  <c r="AM416" i="6"/>
  <c r="AL416" i="6"/>
  <c r="AI416" i="6"/>
  <c r="AH416" i="6"/>
  <c r="AF416" i="6"/>
  <c r="AG416" i="6" s="1"/>
  <c r="S416" i="6"/>
  <c r="R416" i="6"/>
  <c r="W416" i="6" s="1"/>
  <c r="Q416" i="6"/>
  <c r="AZ416" i="6" s="1"/>
  <c r="P416" i="6"/>
  <c r="V416" i="6" s="1"/>
  <c r="AX415" i="6"/>
  <c r="AY415" i="6" s="1"/>
  <c r="AW415" i="6"/>
  <c r="AV415" i="6"/>
  <c r="AM415" i="6"/>
  <c r="AL415" i="6"/>
  <c r="AH415" i="6"/>
  <c r="AI415" i="6" s="1"/>
  <c r="AF415" i="6"/>
  <c r="AG415" i="6" s="1"/>
  <c r="W415" i="6"/>
  <c r="V415" i="6"/>
  <c r="S415" i="6"/>
  <c r="R415" i="6"/>
  <c r="P415" i="6"/>
  <c r="Q415" i="6" s="1"/>
  <c r="AY414" i="6"/>
  <c r="AX414" i="6"/>
  <c r="AW414" i="6"/>
  <c r="AV414" i="6"/>
  <c r="AM414" i="6"/>
  <c r="AL414" i="6"/>
  <c r="AH414" i="6"/>
  <c r="AI414" i="6" s="1"/>
  <c r="AG414" i="6"/>
  <c r="AF414" i="6"/>
  <c r="W414" i="6"/>
  <c r="R414" i="6"/>
  <c r="S414" i="6" s="1"/>
  <c r="BA414" i="6" s="1"/>
  <c r="P414" i="6"/>
  <c r="V414" i="6" s="1"/>
  <c r="AY413" i="6"/>
  <c r="AX413" i="6"/>
  <c r="AV413" i="6"/>
  <c r="AW413" i="6" s="1"/>
  <c r="AM413" i="6"/>
  <c r="AL413" i="6"/>
  <c r="AI413" i="6"/>
  <c r="AH413" i="6"/>
  <c r="AG413" i="6"/>
  <c r="AF413" i="6"/>
  <c r="R413" i="6"/>
  <c r="W413" i="6" s="1"/>
  <c r="Q413" i="6"/>
  <c r="P413" i="6"/>
  <c r="V413" i="6" s="1"/>
  <c r="AX412" i="6"/>
  <c r="AY412" i="6" s="1"/>
  <c r="AV412" i="6"/>
  <c r="AW412" i="6" s="1"/>
  <c r="AM412" i="6"/>
  <c r="AL412" i="6"/>
  <c r="AI412" i="6"/>
  <c r="AH412" i="6"/>
  <c r="AF412" i="6"/>
  <c r="AG412" i="6" s="1"/>
  <c r="S412" i="6"/>
  <c r="BA412" i="6" s="1"/>
  <c r="R412" i="6"/>
  <c r="W412" i="6" s="1"/>
  <c r="Q412" i="6"/>
  <c r="AZ412" i="6" s="1"/>
  <c r="P412" i="6"/>
  <c r="V412" i="6" s="1"/>
  <c r="AX411" i="6"/>
  <c r="AY411" i="6" s="1"/>
  <c r="AW411" i="6"/>
  <c r="AV411" i="6"/>
  <c r="AM411" i="6"/>
  <c r="AL411" i="6"/>
  <c r="AH411" i="6"/>
  <c r="AI411" i="6" s="1"/>
  <c r="AF411" i="6"/>
  <c r="AG411" i="6" s="1"/>
  <c r="W411" i="6"/>
  <c r="V411" i="6"/>
  <c r="S411" i="6"/>
  <c r="R411" i="6"/>
  <c r="P411" i="6"/>
  <c r="Q411" i="6" s="1"/>
  <c r="AY410" i="6"/>
  <c r="AX410" i="6"/>
  <c r="AW410" i="6"/>
  <c r="AV410" i="6"/>
  <c r="AM410" i="6"/>
  <c r="AL410" i="6"/>
  <c r="AH410" i="6"/>
  <c r="AI410" i="6" s="1"/>
  <c r="AG410" i="6"/>
  <c r="AF410" i="6"/>
  <c r="W410" i="6"/>
  <c r="V410" i="6"/>
  <c r="R410" i="6"/>
  <c r="S410" i="6" s="1"/>
  <c r="P410" i="6"/>
  <c r="Q410" i="6" s="1"/>
  <c r="AY409" i="6"/>
  <c r="AX409" i="6"/>
  <c r="AV409" i="6"/>
  <c r="AW409" i="6" s="1"/>
  <c r="AM409" i="6"/>
  <c r="AL409" i="6"/>
  <c r="AI409" i="6"/>
  <c r="AH409" i="6"/>
  <c r="AG409" i="6"/>
  <c r="AF409" i="6"/>
  <c r="W409" i="6"/>
  <c r="V409" i="6"/>
  <c r="R409" i="6"/>
  <c r="S409" i="6" s="1"/>
  <c r="BA409" i="6" s="1"/>
  <c r="Q409" i="6"/>
  <c r="AZ409" i="6" s="1"/>
  <c r="P409" i="6"/>
  <c r="AX408" i="6"/>
  <c r="AY408" i="6" s="1"/>
  <c r="AV408" i="6"/>
  <c r="AW408" i="6" s="1"/>
  <c r="AM408" i="6"/>
  <c r="AL408" i="6"/>
  <c r="AI408" i="6"/>
  <c r="AH408" i="6"/>
  <c r="AF408" i="6"/>
  <c r="AG408" i="6" s="1"/>
  <c r="W408" i="6"/>
  <c r="V408" i="6"/>
  <c r="S408" i="6"/>
  <c r="BA408" i="6" s="1"/>
  <c r="R408" i="6"/>
  <c r="Q408" i="6"/>
  <c r="AZ408" i="6" s="1"/>
  <c r="P408" i="6"/>
  <c r="AX407" i="6"/>
  <c r="AY407" i="6" s="1"/>
  <c r="AW407" i="6"/>
  <c r="AV407" i="6"/>
  <c r="AM407" i="6"/>
  <c r="AL407" i="6"/>
  <c r="AH407" i="6"/>
  <c r="AI407" i="6" s="1"/>
  <c r="AF407" i="6"/>
  <c r="AG407" i="6" s="1"/>
  <c r="W407" i="6"/>
  <c r="V407" i="6"/>
  <c r="S407" i="6"/>
  <c r="R407" i="6"/>
  <c r="P407" i="6"/>
  <c r="Q407" i="6" s="1"/>
  <c r="AY406" i="6"/>
  <c r="AX406" i="6"/>
  <c r="AW406" i="6"/>
  <c r="AV406" i="6"/>
  <c r="AM406" i="6"/>
  <c r="AL406" i="6"/>
  <c r="AH406" i="6"/>
  <c r="AI406" i="6" s="1"/>
  <c r="AG406" i="6"/>
  <c r="AF406" i="6"/>
  <c r="W406" i="6"/>
  <c r="V406" i="6"/>
  <c r="R406" i="6"/>
  <c r="S406" i="6" s="1"/>
  <c r="BA406" i="6" s="1"/>
  <c r="P406" i="6"/>
  <c r="Q406" i="6" s="1"/>
  <c r="AZ406" i="6" s="1"/>
  <c r="AY405" i="6"/>
  <c r="AX405" i="6"/>
  <c r="AV405" i="6"/>
  <c r="AW405" i="6" s="1"/>
  <c r="AM405" i="6"/>
  <c r="AL405" i="6"/>
  <c r="AI405" i="6"/>
  <c r="BA405" i="6" s="1"/>
  <c r="AH405" i="6"/>
  <c r="AG405" i="6"/>
  <c r="AF405" i="6"/>
  <c r="W405" i="6"/>
  <c r="V405" i="6"/>
  <c r="R405" i="6"/>
  <c r="S405" i="6" s="1"/>
  <c r="Q405" i="6"/>
  <c r="AZ405" i="6" s="1"/>
  <c r="P405" i="6"/>
  <c r="BA404" i="6"/>
  <c r="AX404" i="6"/>
  <c r="AY404" i="6" s="1"/>
  <c r="AV404" i="6"/>
  <c r="AW404" i="6" s="1"/>
  <c r="AM404" i="6"/>
  <c r="AL404" i="6"/>
  <c r="AI404" i="6"/>
  <c r="AH404" i="6"/>
  <c r="AF404" i="6"/>
  <c r="AG404" i="6" s="1"/>
  <c r="W404" i="6"/>
  <c r="V404" i="6"/>
  <c r="S404" i="6"/>
  <c r="R404" i="6"/>
  <c r="Q404" i="6"/>
  <c r="P404" i="6"/>
  <c r="AX403" i="6"/>
  <c r="AY403" i="6" s="1"/>
  <c r="AW403" i="6"/>
  <c r="AV403" i="6"/>
  <c r="AM403" i="6"/>
  <c r="AL403" i="6"/>
  <c r="AH403" i="6"/>
  <c r="AI403" i="6" s="1"/>
  <c r="AF403" i="6"/>
  <c r="AG403" i="6" s="1"/>
  <c r="W403" i="6"/>
  <c r="V403" i="6"/>
  <c r="S403" i="6"/>
  <c r="R403" i="6"/>
  <c r="P403" i="6"/>
  <c r="Q403" i="6" s="1"/>
  <c r="AZ403" i="6" s="1"/>
  <c r="AY402" i="6"/>
  <c r="AX402" i="6"/>
  <c r="AW402" i="6"/>
  <c r="AV402" i="6"/>
  <c r="AM402" i="6"/>
  <c r="AL402" i="6"/>
  <c r="AH402" i="6"/>
  <c r="AI402" i="6" s="1"/>
  <c r="AG402" i="6"/>
  <c r="AF402" i="6"/>
  <c r="W402" i="6"/>
  <c r="V402" i="6"/>
  <c r="R402" i="6"/>
  <c r="S402" i="6" s="1"/>
  <c r="P402" i="6"/>
  <c r="Q402" i="6" s="1"/>
  <c r="AZ402" i="6" s="1"/>
  <c r="AY401" i="6"/>
  <c r="BA401" i="6" s="1"/>
  <c r="AX401" i="6"/>
  <c r="AV401" i="6"/>
  <c r="AW401" i="6" s="1"/>
  <c r="AM401" i="6"/>
  <c r="AL401" i="6"/>
  <c r="AI401" i="6"/>
  <c r="AH401" i="6"/>
  <c r="AG401" i="6"/>
  <c r="AF401" i="6"/>
  <c r="W401" i="6"/>
  <c r="V401" i="6"/>
  <c r="R401" i="6"/>
  <c r="S401" i="6" s="1"/>
  <c r="Q401" i="6"/>
  <c r="P401" i="6"/>
  <c r="AX400" i="6"/>
  <c r="AY400" i="6" s="1"/>
  <c r="AV400" i="6"/>
  <c r="AW400" i="6" s="1"/>
  <c r="AM400" i="6"/>
  <c r="AL400" i="6"/>
  <c r="AI400" i="6"/>
  <c r="AH400" i="6"/>
  <c r="AF400" i="6"/>
  <c r="AG400" i="6" s="1"/>
  <c r="W400" i="6"/>
  <c r="V400" i="6"/>
  <c r="S400" i="6"/>
  <c r="BA400" i="6" s="1"/>
  <c r="R400" i="6"/>
  <c r="Q400" i="6"/>
  <c r="P400" i="6"/>
  <c r="AX399" i="6"/>
  <c r="AY399" i="6" s="1"/>
  <c r="AW399" i="6"/>
  <c r="AV399" i="6"/>
  <c r="AM399" i="6"/>
  <c r="AL399" i="6"/>
  <c r="AH399" i="6"/>
  <c r="AI399" i="6" s="1"/>
  <c r="AF399" i="6"/>
  <c r="AG399" i="6" s="1"/>
  <c r="W399" i="6"/>
  <c r="V399" i="6"/>
  <c r="S399" i="6"/>
  <c r="R399" i="6"/>
  <c r="P399" i="6"/>
  <c r="Q399" i="6" s="1"/>
  <c r="AZ399" i="6" s="1"/>
  <c r="AY398" i="6"/>
  <c r="AX398" i="6"/>
  <c r="AV398" i="6"/>
  <c r="AW398" i="6" s="1"/>
  <c r="AM398" i="6"/>
  <c r="AL398" i="6"/>
  <c r="AH398" i="6"/>
  <c r="AI398" i="6" s="1"/>
  <c r="AF398" i="6"/>
  <c r="AG398" i="6" s="1"/>
  <c r="W398" i="6"/>
  <c r="V398" i="6"/>
  <c r="R398" i="6"/>
  <c r="S398" i="6" s="1"/>
  <c r="P398" i="6"/>
  <c r="Q398" i="6" s="1"/>
  <c r="AZ397" i="6"/>
  <c r="AX397" i="6"/>
  <c r="AY397" i="6" s="1"/>
  <c r="AV397" i="6"/>
  <c r="AW397" i="6" s="1"/>
  <c r="AM397" i="6"/>
  <c r="AL397" i="6"/>
  <c r="AI397" i="6"/>
  <c r="AH397" i="6"/>
  <c r="AG397" i="6"/>
  <c r="AF397" i="6"/>
  <c r="W397" i="6"/>
  <c r="V397" i="6"/>
  <c r="R397" i="6"/>
  <c r="S397" i="6" s="1"/>
  <c r="BA397" i="6" s="1"/>
  <c r="Q397" i="6"/>
  <c r="P397" i="6"/>
  <c r="AX396" i="6"/>
  <c r="AY396" i="6" s="1"/>
  <c r="AV396" i="6"/>
  <c r="AW396" i="6" s="1"/>
  <c r="AZ396" i="6" s="1"/>
  <c r="AM396" i="6"/>
  <c r="AL396" i="6"/>
  <c r="AI396" i="6"/>
  <c r="AH396" i="6"/>
  <c r="AF396" i="6"/>
  <c r="AG396" i="6" s="1"/>
  <c r="W396" i="6"/>
  <c r="V396" i="6"/>
  <c r="S396" i="6"/>
  <c r="BA396" i="6" s="1"/>
  <c r="R396" i="6"/>
  <c r="P396" i="6"/>
  <c r="Q396" i="6" s="1"/>
  <c r="AX395" i="6"/>
  <c r="AY395" i="6" s="1"/>
  <c r="AW395" i="6"/>
  <c r="AV395" i="6"/>
  <c r="AM395" i="6"/>
  <c r="AL395" i="6"/>
  <c r="AH395" i="6"/>
  <c r="AI395" i="6" s="1"/>
  <c r="AF395" i="6"/>
  <c r="AG395" i="6" s="1"/>
  <c r="W395" i="6"/>
  <c r="V395" i="6"/>
  <c r="S395" i="6"/>
  <c r="BA395" i="6" s="1"/>
  <c r="R395" i="6"/>
  <c r="P395" i="6"/>
  <c r="Q395" i="6" s="1"/>
  <c r="AZ395" i="6" s="1"/>
  <c r="AX394" i="6"/>
  <c r="AY394" i="6" s="1"/>
  <c r="AW394" i="6"/>
  <c r="AV394" i="6"/>
  <c r="AM394" i="6"/>
  <c r="AL394" i="6"/>
  <c r="AH394" i="6"/>
  <c r="AI394" i="6" s="1"/>
  <c r="AG394" i="6"/>
  <c r="AF394" i="6"/>
  <c r="W394" i="6"/>
  <c r="V394" i="6"/>
  <c r="R394" i="6"/>
  <c r="S394" i="6" s="1"/>
  <c r="P394" i="6"/>
  <c r="Q394" i="6" s="1"/>
  <c r="AZ394" i="6" s="1"/>
  <c r="AY393" i="6"/>
  <c r="AX393" i="6"/>
  <c r="AV393" i="6"/>
  <c r="AW393" i="6" s="1"/>
  <c r="AM393" i="6"/>
  <c r="AL393" i="6"/>
  <c r="AI393" i="6"/>
  <c r="BA393" i="6" s="1"/>
  <c r="AH393" i="6"/>
  <c r="AG393" i="6"/>
  <c r="AF393" i="6"/>
  <c r="W393" i="6"/>
  <c r="V393" i="6"/>
  <c r="R393" i="6"/>
  <c r="S393" i="6" s="1"/>
  <c r="P393" i="6"/>
  <c r="Q393" i="6" s="1"/>
  <c r="AZ393" i="6" s="1"/>
  <c r="AX392" i="6"/>
  <c r="AY392" i="6" s="1"/>
  <c r="AV392" i="6"/>
  <c r="AW392" i="6" s="1"/>
  <c r="AM392" i="6"/>
  <c r="AL392" i="6"/>
  <c r="AH392" i="6"/>
  <c r="AI392" i="6" s="1"/>
  <c r="AF392" i="6"/>
  <c r="AG392" i="6" s="1"/>
  <c r="W392" i="6"/>
  <c r="V392" i="6"/>
  <c r="S392" i="6"/>
  <c r="R392" i="6"/>
  <c r="P392" i="6"/>
  <c r="Q392" i="6" s="1"/>
  <c r="AZ392" i="6" s="1"/>
  <c r="AZ391" i="6"/>
  <c r="AY391" i="6"/>
  <c r="AX391" i="6"/>
  <c r="AW391" i="6"/>
  <c r="AV391" i="6"/>
  <c r="AM391" i="6"/>
  <c r="AL391" i="6"/>
  <c r="AH391" i="6"/>
  <c r="AI391" i="6" s="1"/>
  <c r="AG391" i="6"/>
  <c r="AF391" i="6"/>
  <c r="W391" i="6"/>
  <c r="V391" i="6"/>
  <c r="R391" i="6"/>
  <c r="S391" i="6" s="1"/>
  <c r="BA391" i="6" s="1"/>
  <c r="P391" i="6"/>
  <c r="Q391" i="6" s="1"/>
  <c r="AY390" i="6"/>
  <c r="AX390" i="6"/>
  <c r="AV390" i="6"/>
  <c r="AW390" i="6" s="1"/>
  <c r="AM390" i="6"/>
  <c r="AL390" i="6"/>
  <c r="AI390" i="6"/>
  <c r="AH390" i="6"/>
  <c r="AG390" i="6"/>
  <c r="AF390" i="6"/>
  <c r="W390" i="6"/>
  <c r="V390" i="6"/>
  <c r="R390" i="6"/>
  <c r="S390" i="6" s="1"/>
  <c r="BA390" i="6" s="1"/>
  <c r="Q390" i="6"/>
  <c r="AZ390" i="6" s="1"/>
  <c r="P390" i="6"/>
  <c r="AX389" i="6"/>
  <c r="AY389" i="6" s="1"/>
  <c r="AV389" i="6"/>
  <c r="AW389" i="6" s="1"/>
  <c r="AM389" i="6"/>
  <c r="AL389" i="6"/>
  <c r="AI389" i="6"/>
  <c r="BA389" i="6" s="1"/>
  <c r="AH389" i="6"/>
  <c r="AF389" i="6"/>
  <c r="AG389" i="6" s="1"/>
  <c r="W389" i="6"/>
  <c r="V389" i="6"/>
  <c r="S389" i="6"/>
  <c r="R389" i="6"/>
  <c r="Q389" i="6"/>
  <c r="P389" i="6"/>
  <c r="AZ388" i="6"/>
  <c r="AX388" i="6"/>
  <c r="AY388" i="6" s="1"/>
  <c r="AW388" i="6"/>
  <c r="AV388" i="6"/>
  <c r="AM388" i="6"/>
  <c r="AL388" i="6"/>
  <c r="AH388" i="6"/>
  <c r="AI388" i="6" s="1"/>
  <c r="AF388" i="6"/>
  <c r="AG388" i="6" s="1"/>
  <c r="W388" i="6"/>
  <c r="V388" i="6"/>
  <c r="S388" i="6"/>
  <c r="BA388" i="6" s="1"/>
  <c r="R388" i="6"/>
  <c r="P388" i="6"/>
  <c r="Q388" i="6" s="1"/>
  <c r="AY387" i="6"/>
  <c r="AX387" i="6"/>
  <c r="AW387" i="6"/>
  <c r="AV387" i="6"/>
  <c r="AM387" i="6"/>
  <c r="AL387" i="6"/>
  <c r="AH387" i="6"/>
  <c r="AI387" i="6" s="1"/>
  <c r="AG387" i="6"/>
  <c r="AF387" i="6"/>
  <c r="W387" i="6"/>
  <c r="V387" i="6"/>
  <c r="R387" i="6"/>
  <c r="S387" i="6" s="1"/>
  <c r="BA387" i="6" s="1"/>
  <c r="P387" i="6"/>
  <c r="Q387" i="6" s="1"/>
  <c r="AZ387" i="6" s="1"/>
  <c r="AY386" i="6"/>
  <c r="AX386" i="6"/>
  <c r="AV386" i="6"/>
  <c r="AW386" i="6" s="1"/>
  <c r="AM386" i="6"/>
  <c r="AL386" i="6"/>
  <c r="AI386" i="6"/>
  <c r="AH386" i="6"/>
  <c r="AG386" i="6"/>
  <c r="AF386" i="6"/>
  <c r="W386" i="6"/>
  <c r="V386" i="6"/>
  <c r="R386" i="6"/>
  <c r="S386" i="6" s="1"/>
  <c r="BA386" i="6" s="1"/>
  <c r="Q386" i="6"/>
  <c r="P386" i="6"/>
  <c r="AX385" i="6"/>
  <c r="AY385" i="6" s="1"/>
  <c r="AV385" i="6"/>
  <c r="AW385" i="6" s="1"/>
  <c r="AM385" i="6"/>
  <c r="AL385" i="6"/>
  <c r="AI385" i="6"/>
  <c r="AH385" i="6"/>
  <c r="AF385" i="6"/>
  <c r="AG385" i="6" s="1"/>
  <c r="W385" i="6"/>
  <c r="V385" i="6"/>
  <c r="S385" i="6"/>
  <c r="R385" i="6"/>
  <c r="Q385" i="6"/>
  <c r="P385" i="6"/>
  <c r="AX384" i="6"/>
  <c r="AY384" i="6" s="1"/>
  <c r="AW384" i="6"/>
  <c r="AV384" i="6"/>
  <c r="AM384" i="6"/>
  <c r="AL384" i="6"/>
  <c r="AH384" i="6"/>
  <c r="AI384" i="6" s="1"/>
  <c r="AF384" i="6"/>
  <c r="AG384" i="6" s="1"/>
  <c r="W384" i="6"/>
  <c r="V384" i="6"/>
  <c r="S384" i="6"/>
  <c r="BA384" i="6" s="1"/>
  <c r="R384" i="6"/>
  <c r="P384" i="6"/>
  <c r="Q384" i="6" s="1"/>
  <c r="AZ384" i="6" s="1"/>
  <c r="AY383" i="6"/>
  <c r="AX383" i="6"/>
  <c r="AW383" i="6"/>
  <c r="AV383" i="6"/>
  <c r="AM383" i="6"/>
  <c r="AL383" i="6"/>
  <c r="AH383" i="6"/>
  <c r="AI383" i="6" s="1"/>
  <c r="AG383" i="6"/>
  <c r="AF383" i="6"/>
  <c r="W383" i="6"/>
  <c r="V383" i="6"/>
  <c r="R383" i="6"/>
  <c r="S383" i="6" s="1"/>
  <c r="P383" i="6"/>
  <c r="Q383" i="6" s="1"/>
  <c r="AZ383" i="6" s="1"/>
  <c r="AY382" i="6"/>
  <c r="AX382" i="6"/>
  <c r="AV382" i="6"/>
  <c r="AW382" i="6" s="1"/>
  <c r="AM382" i="6"/>
  <c r="AL382" i="6"/>
  <c r="AI382" i="6"/>
  <c r="AH382" i="6"/>
  <c r="AG382" i="6"/>
  <c r="AF382" i="6"/>
  <c r="W382" i="6"/>
  <c r="V382" i="6"/>
  <c r="R382" i="6"/>
  <c r="S382" i="6" s="1"/>
  <c r="BA382" i="6" s="1"/>
  <c r="Q382" i="6"/>
  <c r="AZ382" i="6" s="1"/>
  <c r="P382" i="6"/>
  <c r="AX381" i="6"/>
  <c r="AY381" i="6" s="1"/>
  <c r="AV381" i="6"/>
  <c r="AW381" i="6" s="1"/>
  <c r="AM381" i="6"/>
  <c r="AL381" i="6"/>
  <c r="AI381" i="6"/>
  <c r="AH381" i="6"/>
  <c r="AF381" i="6"/>
  <c r="AG381" i="6" s="1"/>
  <c r="W381" i="6"/>
  <c r="V381" i="6"/>
  <c r="S381" i="6"/>
  <c r="R381" i="6"/>
  <c r="Q381" i="6"/>
  <c r="P381" i="6"/>
  <c r="AX380" i="6"/>
  <c r="AY380" i="6" s="1"/>
  <c r="AW380" i="6"/>
  <c r="AV380" i="6"/>
  <c r="AM380" i="6"/>
  <c r="AL380" i="6"/>
  <c r="AH380" i="6"/>
  <c r="AI380" i="6" s="1"/>
  <c r="AF380" i="6"/>
  <c r="AG380" i="6" s="1"/>
  <c r="W380" i="6"/>
  <c r="V380" i="6"/>
  <c r="S380" i="6"/>
  <c r="R380" i="6"/>
  <c r="P380" i="6"/>
  <c r="Q380" i="6" s="1"/>
  <c r="AZ380" i="6" s="1"/>
  <c r="AZ379" i="6"/>
  <c r="AY379" i="6"/>
  <c r="AX379" i="6"/>
  <c r="AW379" i="6"/>
  <c r="AV379" i="6"/>
  <c r="AM379" i="6"/>
  <c r="AL379" i="6"/>
  <c r="AH379" i="6"/>
  <c r="AI379" i="6" s="1"/>
  <c r="AG379" i="6"/>
  <c r="AF379" i="6"/>
  <c r="W379" i="6"/>
  <c r="V379" i="6"/>
  <c r="R379" i="6"/>
  <c r="S379" i="6" s="1"/>
  <c r="P379" i="6"/>
  <c r="Q379" i="6" s="1"/>
  <c r="AY378" i="6"/>
  <c r="AX378" i="6"/>
  <c r="AV378" i="6"/>
  <c r="AW378" i="6" s="1"/>
  <c r="AM378" i="6"/>
  <c r="AL378" i="6"/>
  <c r="AI378" i="6"/>
  <c r="AH378" i="6"/>
  <c r="AG378" i="6"/>
  <c r="AF378" i="6"/>
  <c r="W378" i="6"/>
  <c r="V378" i="6"/>
  <c r="R378" i="6"/>
  <c r="S378" i="6" s="1"/>
  <c r="BA378" i="6" s="1"/>
  <c r="Q378" i="6"/>
  <c r="P378" i="6"/>
  <c r="AX377" i="6"/>
  <c r="AY377" i="6" s="1"/>
  <c r="AV377" i="6"/>
  <c r="AW377" i="6" s="1"/>
  <c r="AM377" i="6"/>
  <c r="AL377" i="6"/>
  <c r="AI377" i="6"/>
  <c r="BA377" i="6" s="1"/>
  <c r="AH377" i="6"/>
  <c r="AF377" i="6"/>
  <c r="AG377" i="6" s="1"/>
  <c r="W377" i="6"/>
  <c r="V377" i="6"/>
  <c r="S377" i="6"/>
  <c r="R377" i="6"/>
  <c r="Q377" i="6"/>
  <c r="AZ377" i="6" s="1"/>
  <c r="P377" i="6"/>
  <c r="AZ376" i="6"/>
  <c r="AX376" i="6"/>
  <c r="AY376" i="6" s="1"/>
  <c r="AW376" i="6"/>
  <c r="AV376" i="6"/>
  <c r="AM376" i="6"/>
  <c r="AL376" i="6"/>
  <c r="AH376" i="6"/>
  <c r="AI376" i="6" s="1"/>
  <c r="AF376" i="6"/>
  <c r="AG376" i="6" s="1"/>
  <c r="W376" i="6"/>
  <c r="V376" i="6"/>
  <c r="S376" i="6"/>
  <c r="R376" i="6"/>
  <c r="P376" i="6"/>
  <c r="Q376" i="6" s="1"/>
  <c r="AZ375" i="6"/>
  <c r="AY375" i="6"/>
  <c r="AX375" i="6"/>
  <c r="AW375" i="6"/>
  <c r="AV375" i="6"/>
  <c r="AM375" i="6"/>
  <c r="AL375" i="6"/>
  <c r="AH375" i="6"/>
  <c r="AI375" i="6" s="1"/>
  <c r="AG375" i="6"/>
  <c r="AF375" i="6"/>
  <c r="W375" i="6"/>
  <c r="V375" i="6"/>
  <c r="R375" i="6"/>
  <c r="S375" i="6" s="1"/>
  <c r="BA375" i="6" s="1"/>
  <c r="P375" i="6"/>
  <c r="Q375" i="6" s="1"/>
  <c r="AY374" i="6"/>
  <c r="AX374" i="6"/>
  <c r="AV374" i="6"/>
  <c r="AW374" i="6" s="1"/>
  <c r="AM374" i="6"/>
  <c r="AL374" i="6"/>
  <c r="AI374" i="6"/>
  <c r="AH374" i="6"/>
  <c r="AG374" i="6"/>
  <c r="AF374" i="6"/>
  <c r="W374" i="6"/>
  <c r="V374" i="6"/>
  <c r="R374" i="6"/>
  <c r="S374" i="6" s="1"/>
  <c r="BA374" i="6" s="1"/>
  <c r="Q374" i="6"/>
  <c r="AZ374" i="6" s="1"/>
  <c r="P374" i="6"/>
  <c r="AX373" i="6"/>
  <c r="AY373" i="6" s="1"/>
  <c r="AV373" i="6"/>
  <c r="AW373" i="6" s="1"/>
  <c r="AM373" i="6"/>
  <c r="AL373" i="6"/>
  <c r="AI373" i="6"/>
  <c r="BA373" i="6" s="1"/>
  <c r="AH373" i="6"/>
  <c r="AF373" i="6"/>
  <c r="AG373" i="6" s="1"/>
  <c r="W373" i="6"/>
  <c r="V373" i="6"/>
  <c r="S373" i="6"/>
  <c r="R373" i="6"/>
  <c r="Q373" i="6"/>
  <c r="P373" i="6"/>
  <c r="AZ372" i="6"/>
  <c r="AX372" i="6"/>
  <c r="AY372" i="6" s="1"/>
  <c r="AW372" i="6"/>
  <c r="AV372" i="6"/>
  <c r="AM372" i="6"/>
  <c r="AL372" i="6"/>
  <c r="AH372" i="6"/>
  <c r="AI372" i="6" s="1"/>
  <c r="AF372" i="6"/>
  <c r="AG372" i="6" s="1"/>
  <c r="W372" i="6"/>
  <c r="V372" i="6"/>
  <c r="S372" i="6"/>
  <c r="BA372" i="6" s="1"/>
  <c r="R372" i="6"/>
  <c r="P372" i="6"/>
  <c r="Q372" i="6" s="1"/>
  <c r="AY371" i="6"/>
  <c r="AX371" i="6"/>
  <c r="AW371" i="6"/>
  <c r="AV371" i="6"/>
  <c r="AM371" i="6"/>
  <c r="AL371" i="6"/>
  <c r="AH371" i="6"/>
  <c r="AI371" i="6" s="1"/>
  <c r="AG371" i="6"/>
  <c r="AF371" i="6"/>
  <c r="W371" i="6"/>
  <c r="V371" i="6"/>
  <c r="R371" i="6"/>
  <c r="S371" i="6" s="1"/>
  <c r="BA371" i="6" s="1"/>
  <c r="P371" i="6"/>
  <c r="Q371" i="6" s="1"/>
  <c r="AZ371" i="6" s="1"/>
  <c r="AY370" i="6"/>
  <c r="AX370" i="6"/>
  <c r="AV370" i="6"/>
  <c r="AW370" i="6" s="1"/>
  <c r="AM370" i="6"/>
  <c r="AL370" i="6"/>
  <c r="AI370" i="6"/>
  <c r="AH370" i="6"/>
  <c r="AG370" i="6"/>
  <c r="AF370" i="6"/>
  <c r="W370" i="6"/>
  <c r="V370" i="6"/>
  <c r="R370" i="6"/>
  <c r="S370" i="6" s="1"/>
  <c r="BA370" i="6" s="1"/>
  <c r="Q370" i="6"/>
  <c r="P370" i="6"/>
  <c r="AX369" i="6"/>
  <c r="AY369" i="6" s="1"/>
  <c r="AV369" i="6"/>
  <c r="AW369" i="6" s="1"/>
  <c r="AM369" i="6"/>
  <c r="AL369" i="6"/>
  <c r="AI369" i="6"/>
  <c r="AH369" i="6"/>
  <c r="AF369" i="6"/>
  <c r="AG369" i="6" s="1"/>
  <c r="W369" i="6"/>
  <c r="V369" i="6"/>
  <c r="S369" i="6"/>
  <c r="R369" i="6"/>
  <c r="Q369" i="6"/>
  <c r="P369" i="6"/>
  <c r="AX368" i="6"/>
  <c r="AY368" i="6" s="1"/>
  <c r="AW368" i="6"/>
  <c r="AV368" i="6"/>
  <c r="AM368" i="6"/>
  <c r="AL368" i="6"/>
  <c r="AH368" i="6"/>
  <c r="AI368" i="6" s="1"/>
  <c r="AF368" i="6"/>
  <c r="AG368" i="6" s="1"/>
  <c r="W368" i="6"/>
  <c r="V368" i="6"/>
  <c r="S368" i="6"/>
  <c r="BA368" i="6" s="1"/>
  <c r="R368" i="6"/>
  <c r="P368" i="6"/>
  <c r="Q368" i="6" s="1"/>
  <c r="AZ368" i="6" s="1"/>
  <c r="AY367" i="6"/>
  <c r="AX367" i="6"/>
  <c r="AW367" i="6"/>
  <c r="AV367" i="6"/>
  <c r="AM367" i="6"/>
  <c r="AL367" i="6"/>
  <c r="AH367" i="6"/>
  <c r="AI367" i="6" s="1"/>
  <c r="AG367" i="6"/>
  <c r="AF367" i="6"/>
  <c r="W367" i="6"/>
  <c r="V367" i="6"/>
  <c r="R367" i="6"/>
  <c r="S367" i="6" s="1"/>
  <c r="P367" i="6"/>
  <c r="Q367" i="6" s="1"/>
  <c r="AZ367" i="6" s="1"/>
  <c r="AY366" i="6"/>
  <c r="AX366" i="6"/>
  <c r="AV366" i="6"/>
  <c r="AW366" i="6" s="1"/>
  <c r="AM366" i="6"/>
  <c r="AL366" i="6"/>
  <c r="AI366" i="6"/>
  <c r="AH366" i="6"/>
  <c r="AG366" i="6"/>
  <c r="AF366" i="6"/>
  <c r="W366" i="6"/>
  <c r="V366" i="6"/>
  <c r="R366" i="6"/>
  <c r="S366" i="6" s="1"/>
  <c r="BA366" i="6" s="1"/>
  <c r="Q366" i="6"/>
  <c r="AZ366" i="6" s="1"/>
  <c r="P366" i="6"/>
  <c r="AX365" i="6"/>
  <c r="AY365" i="6" s="1"/>
  <c r="AV365" i="6"/>
  <c r="AW365" i="6" s="1"/>
  <c r="AM365" i="6"/>
  <c r="AL365" i="6"/>
  <c r="AI365" i="6"/>
  <c r="AH365" i="6"/>
  <c r="AF365" i="6"/>
  <c r="AG365" i="6" s="1"/>
  <c r="W365" i="6"/>
  <c r="V365" i="6"/>
  <c r="S365" i="6"/>
  <c r="R365" i="6"/>
  <c r="Q365" i="6"/>
  <c r="P365" i="6"/>
  <c r="AX364" i="6"/>
  <c r="AY364" i="6" s="1"/>
  <c r="AW364" i="6"/>
  <c r="AV364" i="6"/>
  <c r="AM364" i="6"/>
  <c r="AL364" i="6"/>
  <c r="AH364" i="6"/>
  <c r="AI364" i="6" s="1"/>
  <c r="AF364" i="6"/>
  <c r="AG364" i="6" s="1"/>
  <c r="W364" i="6"/>
  <c r="V364" i="6"/>
  <c r="S364" i="6"/>
  <c r="R364" i="6"/>
  <c r="P364" i="6"/>
  <c r="Q364" i="6" s="1"/>
  <c r="AZ364" i="6" s="1"/>
  <c r="AZ363" i="6"/>
  <c r="AY363" i="6"/>
  <c r="AX363" i="6"/>
  <c r="AW363" i="6"/>
  <c r="AV363" i="6"/>
  <c r="AM363" i="6"/>
  <c r="AL363" i="6"/>
  <c r="AH363" i="6"/>
  <c r="AI363" i="6" s="1"/>
  <c r="AG363" i="6"/>
  <c r="AF363" i="6"/>
  <c r="W363" i="6"/>
  <c r="V363" i="6"/>
  <c r="R363" i="6"/>
  <c r="S363" i="6" s="1"/>
  <c r="P363" i="6"/>
  <c r="Q363" i="6" s="1"/>
  <c r="AY362" i="6"/>
  <c r="AX362" i="6"/>
  <c r="AV362" i="6"/>
  <c r="AW362" i="6" s="1"/>
  <c r="AM362" i="6"/>
  <c r="AL362" i="6"/>
  <c r="AI362" i="6"/>
  <c r="AH362" i="6"/>
  <c r="AG362" i="6"/>
  <c r="AF362" i="6"/>
  <c r="V362" i="6"/>
  <c r="R362" i="6"/>
  <c r="Q362" i="6"/>
  <c r="AZ362" i="6" s="1"/>
  <c r="P362" i="6"/>
  <c r="AX361" i="6"/>
  <c r="AY361" i="6" s="1"/>
  <c r="AV361" i="6"/>
  <c r="AW361" i="6" s="1"/>
  <c r="AM361" i="6"/>
  <c r="AL361" i="6"/>
  <c r="AI361" i="6"/>
  <c r="BA361" i="6" s="1"/>
  <c r="AH361" i="6"/>
  <c r="AF361" i="6"/>
  <c r="AG361" i="6" s="1"/>
  <c r="W361" i="6"/>
  <c r="V361" i="6"/>
  <c r="S361" i="6"/>
  <c r="R361" i="6"/>
  <c r="Q361" i="6"/>
  <c r="P361" i="6"/>
  <c r="AX360" i="6"/>
  <c r="AY360" i="6" s="1"/>
  <c r="AW360" i="6"/>
  <c r="AV360" i="6"/>
  <c r="AM360" i="6"/>
  <c r="AL360" i="6"/>
  <c r="AH360" i="6"/>
  <c r="AI360" i="6" s="1"/>
  <c r="AF360" i="6"/>
  <c r="AG360" i="6" s="1"/>
  <c r="S360" i="6"/>
  <c r="R360" i="6"/>
  <c r="W360" i="6" s="1"/>
  <c r="P360" i="6"/>
  <c r="AY359" i="6"/>
  <c r="AX359" i="6"/>
  <c r="AW359" i="6"/>
  <c r="AV359" i="6"/>
  <c r="AM359" i="6"/>
  <c r="AL359" i="6"/>
  <c r="AH359" i="6"/>
  <c r="AI359" i="6" s="1"/>
  <c r="AG359" i="6"/>
  <c r="AF359" i="6"/>
  <c r="R359" i="6"/>
  <c r="P359" i="6"/>
  <c r="AY358" i="6"/>
  <c r="AX358" i="6"/>
  <c r="AV358" i="6"/>
  <c r="AW358" i="6" s="1"/>
  <c r="AM358" i="6"/>
  <c r="AL358" i="6"/>
  <c r="AI358" i="6"/>
  <c r="AH358" i="6"/>
  <c r="AG358" i="6"/>
  <c r="AF358" i="6"/>
  <c r="V358" i="6"/>
  <c r="R358" i="6"/>
  <c r="Q358" i="6"/>
  <c r="P358" i="6"/>
  <c r="AX357" i="6"/>
  <c r="AY357" i="6" s="1"/>
  <c r="AV357" i="6"/>
  <c r="AW357" i="6" s="1"/>
  <c r="AM357" i="6"/>
  <c r="AL357" i="6"/>
  <c r="AI357" i="6"/>
  <c r="BA357" i="6" s="1"/>
  <c r="AH357" i="6"/>
  <c r="AF357" i="6"/>
  <c r="AG357" i="6" s="1"/>
  <c r="W357" i="6"/>
  <c r="V357" i="6"/>
  <c r="S357" i="6"/>
  <c r="R357" i="6"/>
  <c r="Q357" i="6"/>
  <c r="AZ357" i="6" s="1"/>
  <c r="P357" i="6"/>
  <c r="AX356" i="6"/>
  <c r="AY356" i="6" s="1"/>
  <c r="AW356" i="6"/>
  <c r="AV356" i="6"/>
  <c r="AM356" i="6"/>
  <c r="AL356" i="6"/>
  <c r="AH356" i="6"/>
  <c r="AI356" i="6" s="1"/>
  <c r="AF356" i="6"/>
  <c r="AG356" i="6" s="1"/>
  <c r="S356" i="6"/>
  <c r="R356" i="6"/>
  <c r="W356" i="6" s="1"/>
  <c r="P356" i="6"/>
  <c r="AY355" i="6"/>
  <c r="AX355" i="6"/>
  <c r="AW355" i="6"/>
  <c r="AV355" i="6"/>
  <c r="AM355" i="6"/>
  <c r="AL355" i="6"/>
  <c r="AH355" i="6"/>
  <c r="AI355" i="6" s="1"/>
  <c r="AG355" i="6"/>
  <c r="AF355" i="6"/>
  <c r="R355" i="6"/>
  <c r="P355" i="6"/>
  <c r="AX354" i="6"/>
  <c r="AY354" i="6" s="1"/>
  <c r="AV354" i="6"/>
  <c r="AW354" i="6" s="1"/>
  <c r="AM354" i="6"/>
  <c r="AL354" i="6"/>
  <c r="AI354" i="6"/>
  <c r="AH354" i="6"/>
  <c r="AF354" i="6"/>
  <c r="AG354" i="6" s="1"/>
  <c r="V354" i="6"/>
  <c r="R354" i="6"/>
  <c r="Q354" i="6"/>
  <c r="AZ354" i="6" s="1"/>
  <c r="P354" i="6"/>
  <c r="AX353" i="6"/>
  <c r="AY353" i="6" s="1"/>
  <c r="AV353" i="6"/>
  <c r="AW353" i="6" s="1"/>
  <c r="AM353" i="6"/>
  <c r="AL353" i="6"/>
  <c r="AH353" i="6"/>
  <c r="AI353" i="6" s="1"/>
  <c r="BA353" i="6" s="1"/>
  <c r="AF353" i="6"/>
  <c r="AG353" i="6" s="1"/>
  <c r="W353" i="6"/>
  <c r="V353" i="6"/>
  <c r="S353" i="6"/>
  <c r="R353" i="6"/>
  <c r="P353" i="6"/>
  <c r="Q353" i="6" s="1"/>
  <c r="AX352" i="6"/>
  <c r="AY352" i="6" s="1"/>
  <c r="AW352" i="6"/>
  <c r="AV352" i="6"/>
  <c r="AM352" i="6"/>
  <c r="AL352" i="6"/>
  <c r="AH352" i="6"/>
  <c r="AI352" i="6" s="1"/>
  <c r="AF352" i="6"/>
  <c r="AG352" i="6" s="1"/>
  <c r="R352" i="6"/>
  <c r="W352" i="6" s="1"/>
  <c r="P352" i="6"/>
  <c r="AY351" i="6"/>
  <c r="AX351" i="6"/>
  <c r="AV351" i="6"/>
  <c r="AW351" i="6" s="1"/>
  <c r="AM351" i="6"/>
  <c r="AL351" i="6"/>
  <c r="AH351" i="6"/>
  <c r="AI351" i="6" s="1"/>
  <c r="AG351" i="6"/>
  <c r="AF351" i="6"/>
  <c r="R351" i="6"/>
  <c r="P351" i="6"/>
  <c r="AX350" i="6"/>
  <c r="AY350" i="6" s="1"/>
  <c r="AV350" i="6"/>
  <c r="AW350" i="6" s="1"/>
  <c r="AM350" i="6"/>
  <c r="AL350" i="6"/>
  <c r="AI350" i="6"/>
  <c r="AH350" i="6"/>
  <c r="AF350" i="6"/>
  <c r="AG350" i="6" s="1"/>
  <c r="V350" i="6"/>
  <c r="R350" i="6"/>
  <c r="Q350" i="6"/>
  <c r="P350" i="6"/>
  <c r="AX349" i="6"/>
  <c r="AY349" i="6" s="1"/>
  <c r="AV349" i="6"/>
  <c r="AW349" i="6" s="1"/>
  <c r="AM349" i="6"/>
  <c r="AL349" i="6"/>
  <c r="AH349" i="6"/>
  <c r="AI349" i="6" s="1"/>
  <c r="AF349" i="6"/>
  <c r="AG349" i="6" s="1"/>
  <c r="W349" i="6"/>
  <c r="V349" i="6"/>
  <c r="S349" i="6"/>
  <c r="R349" i="6"/>
  <c r="P349" i="6"/>
  <c r="Q349" i="6" s="1"/>
  <c r="AX348" i="6"/>
  <c r="AY348" i="6" s="1"/>
  <c r="AW348" i="6"/>
  <c r="AV348" i="6"/>
  <c r="AM348" i="6"/>
  <c r="AL348" i="6"/>
  <c r="AH348" i="6"/>
  <c r="AI348" i="6" s="1"/>
  <c r="AF348" i="6"/>
  <c r="AG348" i="6" s="1"/>
  <c r="R348" i="6"/>
  <c r="W348" i="6" s="1"/>
  <c r="P348" i="6"/>
  <c r="AY347" i="6"/>
  <c r="AX347" i="6"/>
  <c r="AV347" i="6"/>
  <c r="AW347" i="6" s="1"/>
  <c r="AM347" i="6"/>
  <c r="AL347" i="6"/>
  <c r="AH347" i="6"/>
  <c r="AI347" i="6" s="1"/>
  <c r="AG347" i="6"/>
  <c r="AF347" i="6"/>
  <c r="R347" i="6"/>
  <c r="P347" i="6"/>
  <c r="AX346" i="6"/>
  <c r="AY346" i="6" s="1"/>
  <c r="AV346" i="6"/>
  <c r="AW346" i="6" s="1"/>
  <c r="AM346" i="6"/>
  <c r="AL346" i="6"/>
  <c r="AI346" i="6"/>
  <c r="AH346" i="6"/>
  <c r="AF346" i="6"/>
  <c r="AG346" i="6" s="1"/>
  <c r="V346" i="6"/>
  <c r="R346" i="6"/>
  <c r="Q346" i="6"/>
  <c r="AZ346" i="6" s="1"/>
  <c r="P346" i="6"/>
  <c r="AX345" i="6"/>
  <c r="AY345" i="6" s="1"/>
  <c r="AV345" i="6"/>
  <c r="AW345" i="6" s="1"/>
  <c r="AM345" i="6"/>
  <c r="AL345" i="6"/>
  <c r="AH345" i="6"/>
  <c r="AI345" i="6" s="1"/>
  <c r="AF345" i="6"/>
  <c r="AG345" i="6" s="1"/>
  <c r="W345" i="6"/>
  <c r="V345" i="6"/>
  <c r="S345" i="6"/>
  <c r="R345" i="6"/>
  <c r="P345" i="6"/>
  <c r="Q345" i="6" s="1"/>
  <c r="AX344" i="6"/>
  <c r="AY344" i="6" s="1"/>
  <c r="AW344" i="6"/>
  <c r="AV344" i="6"/>
  <c r="AM344" i="6"/>
  <c r="AL344" i="6"/>
  <c r="AH344" i="6"/>
  <c r="AI344" i="6" s="1"/>
  <c r="AF344" i="6"/>
  <c r="AG344" i="6" s="1"/>
  <c r="R344" i="6"/>
  <c r="P344" i="6"/>
  <c r="AY343" i="6"/>
  <c r="AX343" i="6"/>
  <c r="AV343" i="6"/>
  <c r="AW343" i="6" s="1"/>
  <c r="AM343" i="6"/>
  <c r="AL343" i="6"/>
  <c r="AH343" i="6"/>
  <c r="AI343" i="6" s="1"/>
  <c r="AG343" i="6"/>
  <c r="AF343" i="6"/>
  <c r="R343" i="6"/>
  <c r="P343" i="6"/>
  <c r="AX342" i="6"/>
  <c r="AY342" i="6" s="1"/>
  <c r="AV342" i="6"/>
  <c r="AW342" i="6" s="1"/>
  <c r="AM342" i="6"/>
  <c r="AL342" i="6"/>
  <c r="AI342" i="6"/>
  <c r="AH342" i="6"/>
  <c r="AF342" i="6"/>
  <c r="AG342" i="6" s="1"/>
  <c r="V342" i="6"/>
  <c r="R342" i="6"/>
  <c r="Q342" i="6"/>
  <c r="P342" i="6"/>
  <c r="AX341" i="6"/>
  <c r="AY341" i="6" s="1"/>
  <c r="AV341" i="6"/>
  <c r="AW341" i="6" s="1"/>
  <c r="AM341" i="6"/>
  <c r="AL341" i="6"/>
  <c r="AH341" i="6"/>
  <c r="AI341" i="6" s="1"/>
  <c r="AF341" i="6"/>
  <c r="AG341" i="6" s="1"/>
  <c r="W341" i="6"/>
  <c r="S341" i="6"/>
  <c r="R341" i="6"/>
  <c r="P341" i="6"/>
  <c r="Q341" i="6" s="1"/>
  <c r="AZ341" i="6" s="1"/>
  <c r="AX340" i="6"/>
  <c r="AY340" i="6" s="1"/>
  <c r="AW340" i="6"/>
  <c r="AV340" i="6"/>
  <c r="AM340" i="6"/>
  <c r="AL340" i="6"/>
  <c r="AH340" i="6"/>
  <c r="AI340" i="6" s="1"/>
  <c r="AF340" i="6"/>
  <c r="AG340" i="6" s="1"/>
  <c r="R340" i="6"/>
  <c r="P340" i="6"/>
  <c r="AY339" i="6"/>
  <c r="AX339" i="6"/>
  <c r="AV339" i="6"/>
  <c r="AW339" i="6" s="1"/>
  <c r="AM339" i="6"/>
  <c r="AL339" i="6"/>
  <c r="AH339" i="6"/>
  <c r="AI339" i="6" s="1"/>
  <c r="AG339" i="6"/>
  <c r="AF339" i="6"/>
  <c r="V339" i="6"/>
  <c r="R339" i="6"/>
  <c r="P339" i="6"/>
  <c r="Q339" i="6" s="1"/>
  <c r="AZ339" i="6" s="1"/>
  <c r="AX338" i="6"/>
  <c r="AY338" i="6" s="1"/>
  <c r="AV338" i="6"/>
  <c r="AW338" i="6" s="1"/>
  <c r="AM338" i="6"/>
  <c r="AL338" i="6"/>
  <c r="AI338" i="6"/>
  <c r="AH338" i="6"/>
  <c r="AF338" i="6"/>
  <c r="AG338" i="6" s="1"/>
  <c r="V338" i="6"/>
  <c r="R338" i="6"/>
  <c r="Q338" i="6"/>
  <c r="AZ338" i="6" s="1"/>
  <c r="P338" i="6"/>
  <c r="AX337" i="6"/>
  <c r="AY337" i="6" s="1"/>
  <c r="AV337" i="6"/>
  <c r="AW337" i="6" s="1"/>
  <c r="AM337" i="6"/>
  <c r="AL337" i="6"/>
  <c r="AI337" i="6"/>
  <c r="BA337" i="6" s="1"/>
  <c r="AH337" i="6"/>
  <c r="AF337" i="6"/>
  <c r="AG337" i="6" s="1"/>
  <c r="W337" i="6"/>
  <c r="S337" i="6"/>
  <c r="R337" i="6"/>
  <c r="P337" i="6"/>
  <c r="AX336" i="6"/>
  <c r="AY336" i="6" s="1"/>
  <c r="AW336" i="6"/>
  <c r="AV336" i="6"/>
  <c r="AM336" i="6"/>
  <c r="AL336" i="6"/>
  <c r="AH336" i="6"/>
  <c r="AI336" i="6" s="1"/>
  <c r="AF336" i="6"/>
  <c r="AG336" i="6" s="1"/>
  <c r="R336" i="6"/>
  <c r="P336" i="6"/>
  <c r="AY335" i="6"/>
  <c r="AX335" i="6"/>
  <c r="AV335" i="6"/>
  <c r="AW335" i="6" s="1"/>
  <c r="AM335" i="6"/>
  <c r="AL335" i="6"/>
  <c r="AH335" i="6"/>
  <c r="AI335" i="6" s="1"/>
  <c r="AG335" i="6"/>
  <c r="AF335" i="6"/>
  <c r="R335" i="6"/>
  <c r="P335" i="6"/>
  <c r="Q335" i="6" s="1"/>
  <c r="AZ335" i="6" s="1"/>
  <c r="AY334" i="6"/>
  <c r="AX334" i="6"/>
  <c r="AV334" i="6"/>
  <c r="AW334" i="6" s="1"/>
  <c r="AM334" i="6"/>
  <c r="AL334" i="6"/>
  <c r="AI334" i="6"/>
  <c r="AH334" i="6"/>
  <c r="AF334" i="6"/>
  <c r="AG334" i="6" s="1"/>
  <c r="V334" i="6"/>
  <c r="R334" i="6"/>
  <c r="Q334" i="6"/>
  <c r="P334" i="6"/>
  <c r="AZ333" i="6"/>
  <c r="AX333" i="6"/>
  <c r="AY333" i="6" s="1"/>
  <c r="AV333" i="6"/>
  <c r="AW333" i="6" s="1"/>
  <c r="AM333" i="6"/>
  <c r="AL333" i="6"/>
  <c r="AI333" i="6"/>
  <c r="BA333" i="6" s="1"/>
  <c r="AH333" i="6"/>
  <c r="AF333" i="6"/>
  <c r="AG333" i="6" s="1"/>
  <c r="W333" i="6"/>
  <c r="V333" i="6"/>
  <c r="S333" i="6"/>
  <c r="R333" i="6"/>
  <c r="P333" i="6"/>
  <c r="Q333" i="6" s="1"/>
  <c r="AX332" i="6"/>
  <c r="AY332" i="6" s="1"/>
  <c r="AW332" i="6"/>
  <c r="AV332" i="6"/>
  <c r="AM332" i="6"/>
  <c r="AL332" i="6"/>
  <c r="AH332" i="6"/>
  <c r="AI332" i="6" s="1"/>
  <c r="AF332" i="6"/>
  <c r="AG332" i="6" s="1"/>
  <c r="R332" i="6"/>
  <c r="W332" i="6" s="1"/>
  <c r="P332" i="6"/>
  <c r="AY331" i="6"/>
  <c r="AX331" i="6"/>
  <c r="AV331" i="6"/>
  <c r="AW331" i="6" s="1"/>
  <c r="AZ331" i="6" s="1"/>
  <c r="AM331" i="6"/>
  <c r="AL331" i="6"/>
  <c r="AH331" i="6"/>
  <c r="AI331" i="6" s="1"/>
  <c r="AG331" i="6"/>
  <c r="AF331" i="6"/>
  <c r="V331" i="6"/>
  <c r="R331" i="6"/>
  <c r="S331" i="6" s="1"/>
  <c r="P331" i="6"/>
  <c r="Q331" i="6" s="1"/>
  <c r="AX330" i="6"/>
  <c r="AY330" i="6" s="1"/>
  <c r="AV330" i="6"/>
  <c r="AW330" i="6" s="1"/>
  <c r="AM330" i="6"/>
  <c r="AL330" i="6"/>
  <c r="AI330" i="6"/>
  <c r="AH330" i="6"/>
  <c r="AF330" i="6"/>
  <c r="AG330" i="6" s="1"/>
  <c r="V330" i="6"/>
  <c r="R330" i="6"/>
  <c r="Q330" i="6"/>
  <c r="P330" i="6"/>
  <c r="AX329" i="6"/>
  <c r="AY329" i="6" s="1"/>
  <c r="AV329" i="6"/>
  <c r="AW329" i="6" s="1"/>
  <c r="AM329" i="6"/>
  <c r="AL329" i="6"/>
  <c r="AI329" i="6"/>
  <c r="BA329" i="6" s="1"/>
  <c r="AH329" i="6"/>
  <c r="AF329" i="6"/>
  <c r="AG329" i="6" s="1"/>
  <c r="W329" i="6"/>
  <c r="S329" i="6"/>
  <c r="R329" i="6"/>
  <c r="P329" i="6"/>
  <c r="AX328" i="6"/>
  <c r="AY328" i="6" s="1"/>
  <c r="AW328" i="6"/>
  <c r="AV328" i="6"/>
  <c r="AM328" i="6"/>
  <c r="AL328" i="6"/>
  <c r="AH328" i="6"/>
  <c r="AI328" i="6" s="1"/>
  <c r="AF328" i="6"/>
  <c r="AG328" i="6" s="1"/>
  <c r="S328" i="6"/>
  <c r="R328" i="6"/>
  <c r="W328" i="6" s="1"/>
  <c r="P328" i="6"/>
  <c r="AY327" i="6"/>
  <c r="AX327" i="6"/>
  <c r="AV327" i="6"/>
  <c r="AW327" i="6" s="1"/>
  <c r="AM327" i="6"/>
  <c r="AL327" i="6"/>
  <c r="AH327" i="6"/>
  <c r="AI327" i="6" s="1"/>
  <c r="AG327" i="6"/>
  <c r="AF327" i="6"/>
  <c r="V327" i="6"/>
  <c r="R327" i="6"/>
  <c r="S327" i="6" s="1"/>
  <c r="BA327" i="6" s="1"/>
  <c r="P327" i="6"/>
  <c r="Q327" i="6" s="1"/>
  <c r="AX326" i="6"/>
  <c r="AY326" i="6" s="1"/>
  <c r="AV326" i="6"/>
  <c r="AW326" i="6" s="1"/>
  <c r="AM326" i="6"/>
  <c r="AL326" i="6"/>
  <c r="AI326" i="6"/>
  <c r="AH326" i="6"/>
  <c r="AG326" i="6"/>
  <c r="AF326" i="6"/>
  <c r="V326" i="6"/>
  <c r="R326" i="6"/>
  <c r="Q326" i="6"/>
  <c r="AZ326" i="6" s="1"/>
  <c r="P326" i="6"/>
  <c r="AZ325" i="6"/>
  <c r="AX325" i="6"/>
  <c r="AY325" i="6" s="1"/>
  <c r="AV325" i="6"/>
  <c r="AW325" i="6" s="1"/>
  <c r="AM325" i="6"/>
  <c r="AL325" i="6"/>
  <c r="AH325" i="6"/>
  <c r="AI325" i="6" s="1"/>
  <c r="BA325" i="6" s="1"/>
  <c r="AF325" i="6"/>
  <c r="AG325" i="6" s="1"/>
  <c r="V325" i="6"/>
  <c r="S325" i="6"/>
  <c r="R325" i="6"/>
  <c r="W325" i="6" s="1"/>
  <c r="Q325" i="6"/>
  <c r="P325" i="6"/>
  <c r="AX324" i="6"/>
  <c r="AY324" i="6" s="1"/>
  <c r="AW324" i="6"/>
  <c r="AZ324" i="6" s="1"/>
  <c r="AV324" i="6"/>
  <c r="AM324" i="6"/>
  <c r="AL324" i="6"/>
  <c r="AH324" i="6"/>
  <c r="AI324" i="6" s="1"/>
  <c r="AF324" i="6"/>
  <c r="AG324" i="6" s="1"/>
  <c r="V324" i="6"/>
  <c r="R324" i="6"/>
  <c r="P324" i="6"/>
  <c r="Q324" i="6" s="1"/>
  <c r="AY323" i="6"/>
  <c r="AX323" i="6"/>
  <c r="AV323" i="6"/>
  <c r="AW323" i="6" s="1"/>
  <c r="AM323" i="6"/>
  <c r="AL323" i="6"/>
  <c r="AI323" i="6"/>
  <c r="AH323" i="6"/>
  <c r="AG323" i="6"/>
  <c r="AF323" i="6"/>
  <c r="V323" i="6"/>
  <c r="R323" i="6"/>
  <c r="S323" i="6" s="1"/>
  <c r="BA323" i="6" s="1"/>
  <c r="Q323" i="6"/>
  <c r="P323" i="6"/>
  <c r="AX322" i="6"/>
  <c r="AY322" i="6" s="1"/>
  <c r="AV322" i="6"/>
  <c r="AW322" i="6" s="1"/>
  <c r="AM322" i="6"/>
  <c r="AL322" i="6"/>
  <c r="AI322" i="6"/>
  <c r="AH322" i="6"/>
  <c r="AG322" i="6"/>
  <c r="AF322" i="6"/>
  <c r="V322" i="6"/>
  <c r="S322" i="6"/>
  <c r="R322" i="6"/>
  <c r="W322" i="6" s="1"/>
  <c r="Q322" i="6"/>
  <c r="AZ322" i="6" s="1"/>
  <c r="P322" i="6"/>
  <c r="AX321" i="6"/>
  <c r="AY321" i="6" s="1"/>
  <c r="AV321" i="6"/>
  <c r="AW321" i="6" s="1"/>
  <c r="AM321" i="6"/>
  <c r="AL321" i="6"/>
  <c r="AI321" i="6"/>
  <c r="AH321" i="6"/>
  <c r="AF321" i="6"/>
  <c r="AG321" i="6" s="1"/>
  <c r="V321" i="6"/>
  <c r="S321" i="6"/>
  <c r="BA321" i="6" s="1"/>
  <c r="R321" i="6"/>
  <c r="W321" i="6" s="1"/>
  <c r="Q321" i="6"/>
  <c r="AZ321" i="6" s="1"/>
  <c r="P321" i="6"/>
  <c r="AY320" i="6"/>
  <c r="AX320" i="6"/>
  <c r="AV320" i="6"/>
  <c r="AW320" i="6" s="1"/>
  <c r="AM320" i="6"/>
  <c r="AL320" i="6"/>
  <c r="AH320" i="6"/>
  <c r="AI320" i="6" s="1"/>
  <c r="AF320" i="6"/>
  <c r="AG320" i="6" s="1"/>
  <c r="S320" i="6"/>
  <c r="BA320" i="6" s="1"/>
  <c r="R320" i="6"/>
  <c r="W320" i="6" s="1"/>
  <c r="P320" i="6"/>
  <c r="AY319" i="6"/>
  <c r="AX319" i="6"/>
  <c r="AV319" i="6"/>
  <c r="AW319" i="6" s="1"/>
  <c r="AM319" i="6"/>
  <c r="AL319" i="6"/>
  <c r="AI319" i="6"/>
  <c r="AH319" i="6"/>
  <c r="AG319" i="6"/>
  <c r="AF319" i="6"/>
  <c r="V319" i="6"/>
  <c r="R319" i="6"/>
  <c r="S319" i="6" s="1"/>
  <c r="BA319" i="6" s="1"/>
  <c r="Q319" i="6"/>
  <c r="P319" i="6"/>
  <c r="AX318" i="6"/>
  <c r="AY318" i="6" s="1"/>
  <c r="AV318" i="6"/>
  <c r="AW318" i="6" s="1"/>
  <c r="AM318" i="6"/>
  <c r="AL318" i="6"/>
  <c r="AI318" i="6"/>
  <c r="AH318" i="6"/>
  <c r="AG318" i="6"/>
  <c r="AF318" i="6"/>
  <c r="V318" i="6"/>
  <c r="S318" i="6"/>
  <c r="R318" i="6"/>
  <c r="W318" i="6" s="1"/>
  <c r="Q318" i="6"/>
  <c r="AZ318" i="6" s="1"/>
  <c r="P318" i="6"/>
  <c r="AX317" i="6"/>
  <c r="AY317" i="6" s="1"/>
  <c r="AV317" i="6"/>
  <c r="AW317" i="6" s="1"/>
  <c r="AM317" i="6"/>
  <c r="AL317" i="6"/>
  <c r="AI317" i="6"/>
  <c r="AH317" i="6"/>
  <c r="AF317" i="6"/>
  <c r="AG317" i="6" s="1"/>
  <c r="V317" i="6"/>
  <c r="S317" i="6"/>
  <c r="BA317" i="6" s="1"/>
  <c r="R317" i="6"/>
  <c r="W317" i="6" s="1"/>
  <c r="Q317" i="6"/>
  <c r="AZ317" i="6" s="1"/>
  <c r="P317" i="6"/>
  <c r="AY316" i="6"/>
  <c r="AX316" i="6"/>
  <c r="AV316" i="6"/>
  <c r="AW316" i="6" s="1"/>
  <c r="AM316" i="6"/>
  <c r="AL316" i="6"/>
  <c r="AH316" i="6"/>
  <c r="AI316" i="6" s="1"/>
  <c r="AF316" i="6"/>
  <c r="AG316" i="6" s="1"/>
  <c r="S316" i="6"/>
  <c r="BA316" i="6" s="1"/>
  <c r="R316" i="6"/>
  <c r="W316" i="6" s="1"/>
  <c r="P316" i="6"/>
  <c r="AY315" i="6"/>
  <c r="AX315" i="6"/>
  <c r="AV315" i="6"/>
  <c r="AW315" i="6" s="1"/>
  <c r="AM315" i="6"/>
  <c r="AL315" i="6"/>
  <c r="AI315" i="6"/>
  <c r="AH315" i="6"/>
  <c r="AG315" i="6"/>
  <c r="AF315" i="6"/>
  <c r="V315" i="6"/>
  <c r="R315" i="6"/>
  <c r="S315" i="6" s="1"/>
  <c r="BA315" i="6" s="1"/>
  <c r="Q315" i="6"/>
  <c r="P315" i="6"/>
  <c r="AX314" i="6"/>
  <c r="AY314" i="6" s="1"/>
  <c r="AV314" i="6"/>
  <c r="AW314" i="6" s="1"/>
  <c r="AM314" i="6"/>
  <c r="AL314" i="6"/>
  <c r="AI314" i="6"/>
  <c r="AH314" i="6"/>
  <c r="AG314" i="6"/>
  <c r="AF314" i="6"/>
  <c r="V314" i="6"/>
  <c r="S314" i="6"/>
  <c r="R314" i="6"/>
  <c r="W314" i="6" s="1"/>
  <c r="Q314" i="6"/>
  <c r="AZ314" i="6" s="1"/>
  <c r="P314" i="6"/>
  <c r="AX313" i="6"/>
  <c r="AY313" i="6" s="1"/>
  <c r="AV313" i="6"/>
  <c r="AW313" i="6" s="1"/>
  <c r="AM313" i="6"/>
  <c r="AL313" i="6"/>
  <c r="AI313" i="6"/>
  <c r="AH313" i="6"/>
  <c r="AF313" i="6"/>
  <c r="AG313" i="6" s="1"/>
  <c r="V313" i="6"/>
  <c r="S313" i="6"/>
  <c r="BA313" i="6" s="1"/>
  <c r="R313" i="6"/>
  <c r="W313" i="6" s="1"/>
  <c r="Q313" i="6"/>
  <c r="AZ313" i="6" s="1"/>
  <c r="P313" i="6"/>
  <c r="AY312" i="6"/>
  <c r="AX312" i="6"/>
  <c r="AV312" i="6"/>
  <c r="AW312" i="6" s="1"/>
  <c r="AM312" i="6"/>
  <c r="AL312" i="6"/>
  <c r="AH312" i="6"/>
  <c r="AI312" i="6" s="1"/>
  <c r="AF312" i="6"/>
  <c r="AG312" i="6" s="1"/>
  <c r="S312" i="6"/>
  <c r="BA312" i="6" s="1"/>
  <c r="R312" i="6"/>
  <c r="W312" i="6" s="1"/>
  <c r="P312" i="6"/>
  <c r="AY311" i="6"/>
  <c r="AX311" i="6"/>
  <c r="AV311" i="6"/>
  <c r="AW311" i="6" s="1"/>
  <c r="AM311" i="6"/>
  <c r="AL311" i="6"/>
  <c r="AI311" i="6"/>
  <c r="AH311" i="6"/>
  <c r="AG311" i="6"/>
  <c r="AF311" i="6"/>
  <c r="V311" i="6"/>
  <c r="R311" i="6"/>
  <c r="S311" i="6" s="1"/>
  <c r="BA311" i="6" s="1"/>
  <c r="Q311" i="6"/>
  <c r="P311" i="6"/>
  <c r="AX310" i="6"/>
  <c r="AY310" i="6" s="1"/>
  <c r="AV310" i="6"/>
  <c r="AW310" i="6" s="1"/>
  <c r="AM310" i="6"/>
  <c r="AL310" i="6"/>
  <c r="AI310" i="6"/>
  <c r="AH310" i="6"/>
  <c r="AG310" i="6"/>
  <c r="AF310" i="6"/>
  <c r="V310" i="6"/>
  <c r="S310" i="6"/>
  <c r="BA310" i="6" s="1"/>
  <c r="R310" i="6"/>
  <c r="W310" i="6" s="1"/>
  <c r="Q310" i="6"/>
  <c r="AZ310" i="6" s="1"/>
  <c r="P310" i="6"/>
  <c r="AX309" i="6"/>
  <c r="AY309" i="6" s="1"/>
  <c r="AV309" i="6"/>
  <c r="AW309" i="6" s="1"/>
  <c r="AM309" i="6"/>
  <c r="AL309" i="6"/>
  <c r="AI309" i="6"/>
  <c r="AH309" i="6"/>
  <c r="AG309" i="6"/>
  <c r="AZ309" i="6" s="1"/>
  <c r="AF309" i="6"/>
  <c r="V309" i="6"/>
  <c r="R309" i="6"/>
  <c r="Q309" i="6"/>
  <c r="P309" i="6"/>
  <c r="AX308" i="6"/>
  <c r="AY308" i="6" s="1"/>
  <c r="AV308" i="6"/>
  <c r="AW308" i="6" s="1"/>
  <c r="AM308" i="6"/>
  <c r="AL308" i="6"/>
  <c r="AI308" i="6"/>
  <c r="BA308" i="6" s="1"/>
  <c r="AH308" i="6"/>
  <c r="AF308" i="6"/>
  <c r="AG308" i="6" s="1"/>
  <c r="W308" i="6"/>
  <c r="V308" i="6"/>
  <c r="S308" i="6"/>
  <c r="R308" i="6"/>
  <c r="Q308" i="6"/>
  <c r="AZ308" i="6" s="1"/>
  <c r="P308" i="6"/>
  <c r="AX307" i="6"/>
  <c r="AY307" i="6" s="1"/>
  <c r="AV307" i="6"/>
  <c r="AW307" i="6" s="1"/>
  <c r="AM307" i="6"/>
  <c r="AL307" i="6"/>
  <c r="AH307" i="6"/>
  <c r="AI307" i="6" s="1"/>
  <c r="BA307" i="6" s="1"/>
  <c r="AF307" i="6"/>
  <c r="AG307" i="6" s="1"/>
  <c r="W307" i="6"/>
  <c r="S307" i="6"/>
  <c r="R307" i="6"/>
  <c r="P307" i="6"/>
  <c r="AX306" i="6"/>
  <c r="AY306" i="6" s="1"/>
  <c r="AW306" i="6"/>
  <c r="AV306" i="6"/>
  <c r="AM306" i="6"/>
  <c r="AL306" i="6"/>
  <c r="AH306" i="6"/>
  <c r="AI306" i="6" s="1"/>
  <c r="AF306" i="6"/>
  <c r="AG306" i="6" s="1"/>
  <c r="R306" i="6"/>
  <c r="P306" i="6"/>
  <c r="AY305" i="6"/>
  <c r="AX305" i="6"/>
  <c r="AV305" i="6"/>
  <c r="AW305" i="6" s="1"/>
  <c r="AM305" i="6"/>
  <c r="AL305" i="6"/>
  <c r="AH305" i="6"/>
  <c r="AI305" i="6" s="1"/>
  <c r="AG305" i="6"/>
  <c r="AF305" i="6"/>
  <c r="V305" i="6"/>
  <c r="R305" i="6"/>
  <c r="P305" i="6"/>
  <c r="Q305" i="6" s="1"/>
  <c r="AZ305" i="6" s="1"/>
  <c r="AX304" i="6"/>
  <c r="AY304" i="6" s="1"/>
  <c r="AV304" i="6"/>
  <c r="AW304" i="6" s="1"/>
  <c r="AM304" i="6"/>
  <c r="AL304" i="6"/>
  <c r="AI304" i="6"/>
  <c r="AH304" i="6"/>
  <c r="AF304" i="6"/>
  <c r="AG304" i="6" s="1"/>
  <c r="W304" i="6"/>
  <c r="V304" i="6"/>
  <c r="R304" i="6"/>
  <c r="S304" i="6" s="1"/>
  <c r="BA304" i="6" s="1"/>
  <c r="Q304" i="6"/>
  <c r="P304" i="6"/>
  <c r="AX303" i="6"/>
  <c r="AY303" i="6" s="1"/>
  <c r="AV303" i="6"/>
  <c r="AW303" i="6" s="1"/>
  <c r="AM303" i="6"/>
  <c r="AL303" i="6"/>
  <c r="AH303" i="6"/>
  <c r="AI303" i="6" s="1"/>
  <c r="AF303" i="6"/>
  <c r="AG303" i="6" s="1"/>
  <c r="W303" i="6"/>
  <c r="S303" i="6"/>
  <c r="R303" i="6"/>
  <c r="P303" i="6"/>
  <c r="AX302" i="6"/>
  <c r="AY302" i="6" s="1"/>
  <c r="AW302" i="6"/>
  <c r="AV302" i="6"/>
  <c r="AM302" i="6"/>
  <c r="AL302" i="6"/>
  <c r="AH302" i="6"/>
  <c r="AI302" i="6" s="1"/>
  <c r="AF302" i="6"/>
  <c r="AG302" i="6" s="1"/>
  <c r="R302" i="6"/>
  <c r="P302" i="6"/>
  <c r="AY301" i="6"/>
  <c r="AX301" i="6"/>
  <c r="AV301" i="6"/>
  <c r="AW301" i="6" s="1"/>
  <c r="AM301" i="6"/>
  <c r="AL301" i="6"/>
  <c r="AH301" i="6"/>
  <c r="AI301" i="6" s="1"/>
  <c r="AG301" i="6"/>
  <c r="AF301" i="6"/>
  <c r="V301" i="6"/>
  <c r="R301" i="6"/>
  <c r="P301" i="6"/>
  <c r="Q301" i="6" s="1"/>
  <c r="AZ301" i="6" s="1"/>
  <c r="AX300" i="6"/>
  <c r="AY300" i="6" s="1"/>
  <c r="AV300" i="6"/>
  <c r="AW300" i="6" s="1"/>
  <c r="AM300" i="6"/>
  <c r="AL300" i="6"/>
  <c r="AI300" i="6"/>
  <c r="AH300" i="6"/>
  <c r="AF300" i="6"/>
  <c r="AG300" i="6" s="1"/>
  <c r="W300" i="6"/>
  <c r="V300" i="6"/>
  <c r="R300" i="6"/>
  <c r="S300" i="6" s="1"/>
  <c r="BA300" i="6" s="1"/>
  <c r="Q300" i="6"/>
  <c r="AZ300" i="6" s="1"/>
  <c r="P300" i="6"/>
  <c r="AX299" i="6"/>
  <c r="AY299" i="6" s="1"/>
  <c r="AV299" i="6"/>
  <c r="AW299" i="6" s="1"/>
  <c r="AM299" i="6"/>
  <c r="AL299" i="6"/>
  <c r="AH299" i="6"/>
  <c r="AI299" i="6" s="1"/>
  <c r="BA299" i="6" s="1"/>
  <c r="AF299" i="6"/>
  <c r="AG299" i="6" s="1"/>
  <c r="W299" i="6"/>
  <c r="S299" i="6"/>
  <c r="R299" i="6"/>
  <c r="P299" i="6"/>
  <c r="AX298" i="6"/>
  <c r="AY298" i="6" s="1"/>
  <c r="AW298" i="6"/>
  <c r="AV298" i="6"/>
  <c r="AM298" i="6"/>
  <c r="AL298" i="6"/>
  <c r="AH298" i="6"/>
  <c r="AI298" i="6" s="1"/>
  <c r="AF298" i="6"/>
  <c r="AG298" i="6" s="1"/>
  <c r="R298" i="6"/>
  <c r="P298" i="6"/>
  <c r="AY297" i="6"/>
  <c r="AX297" i="6"/>
  <c r="AV297" i="6"/>
  <c r="AW297" i="6" s="1"/>
  <c r="AM297" i="6"/>
  <c r="AL297" i="6"/>
  <c r="AH297" i="6"/>
  <c r="AI297" i="6" s="1"/>
  <c r="AG297" i="6"/>
  <c r="AF297" i="6"/>
  <c r="V297" i="6"/>
  <c r="R297" i="6"/>
  <c r="P297" i="6"/>
  <c r="Q297" i="6" s="1"/>
  <c r="AZ297" i="6" s="1"/>
  <c r="AX296" i="6"/>
  <c r="AY296" i="6" s="1"/>
  <c r="AV296" i="6"/>
  <c r="AW296" i="6" s="1"/>
  <c r="AM296" i="6"/>
  <c r="AL296" i="6"/>
  <c r="AI296" i="6"/>
  <c r="AH296" i="6"/>
  <c r="AF296" i="6"/>
  <c r="AG296" i="6" s="1"/>
  <c r="W296" i="6"/>
  <c r="V296" i="6"/>
  <c r="R296" i="6"/>
  <c r="S296" i="6" s="1"/>
  <c r="BA296" i="6" s="1"/>
  <c r="Q296" i="6"/>
  <c r="P296" i="6"/>
  <c r="AX295" i="6"/>
  <c r="AY295" i="6" s="1"/>
  <c r="AV295" i="6"/>
  <c r="AW295" i="6" s="1"/>
  <c r="AM295" i="6"/>
  <c r="AL295" i="6"/>
  <c r="AH295" i="6"/>
  <c r="AI295" i="6" s="1"/>
  <c r="AF295" i="6"/>
  <c r="AG295" i="6" s="1"/>
  <c r="W295" i="6"/>
  <c r="S295" i="6"/>
  <c r="R295" i="6"/>
  <c r="P295" i="6"/>
  <c r="AX294" i="6"/>
  <c r="AY294" i="6" s="1"/>
  <c r="AW294" i="6"/>
  <c r="AV294" i="6"/>
  <c r="AM294" i="6"/>
  <c r="AL294" i="6"/>
  <c r="AH294" i="6"/>
  <c r="AI294" i="6" s="1"/>
  <c r="AF294" i="6"/>
  <c r="AG294" i="6" s="1"/>
  <c r="R294" i="6"/>
  <c r="P294" i="6"/>
  <c r="AY293" i="6"/>
  <c r="AX293" i="6"/>
  <c r="AV293" i="6"/>
  <c r="AW293" i="6" s="1"/>
  <c r="AM293" i="6"/>
  <c r="AL293" i="6"/>
  <c r="AH293" i="6"/>
  <c r="AI293" i="6" s="1"/>
  <c r="AG293" i="6"/>
  <c r="AF293" i="6"/>
  <c r="V293" i="6"/>
  <c r="R293" i="6"/>
  <c r="P293" i="6"/>
  <c r="Q293" i="6" s="1"/>
  <c r="AZ293" i="6" s="1"/>
  <c r="AX292" i="6"/>
  <c r="AY292" i="6" s="1"/>
  <c r="AV292" i="6"/>
  <c r="AW292" i="6" s="1"/>
  <c r="AM292" i="6"/>
  <c r="AL292" i="6"/>
  <c r="AI292" i="6"/>
  <c r="AH292" i="6"/>
  <c r="AF292" i="6"/>
  <c r="AG292" i="6" s="1"/>
  <c r="W292" i="6"/>
  <c r="V292" i="6"/>
  <c r="R292" i="6"/>
  <c r="S292" i="6" s="1"/>
  <c r="BA292" i="6" s="1"/>
  <c r="Q292" i="6"/>
  <c r="P292" i="6"/>
  <c r="AX291" i="6"/>
  <c r="AY291" i="6" s="1"/>
  <c r="AV291" i="6"/>
  <c r="AW291" i="6" s="1"/>
  <c r="AM291" i="6"/>
  <c r="AL291" i="6"/>
  <c r="AH291" i="6"/>
  <c r="AI291" i="6" s="1"/>
  <c r="BA291" i="6" s="1"/>
  <c r="AF291" i="6"/>
  <c r="AG291" i="6" s="1"/>
  <c r="S291" i="6"/>
  <c r="R291" i="6"/>
  <c r="W291" i="6" s="1"/>
  <c r="P291" i="6"/>
  <c r="AX290" i="6"/>
  <c r="AY290" i="6" s="1"/>
  <c r="AW290" i="6"/>
  <c r="AV290" i="6"/>
  <c r="AM290" i="6"/>
  <c r="AL290" i="6"/>
  <c r="AH290" i="6"/>
  <c r="AI290" i="6" s="1"/>
  <c r="AF290" i="6"/>
  <c r="AG290" i="6" s="1"/>
  <c r="R290" i="6"/>
  <c r="P290" i="6"/>
  <c r="AY289" i="6"/>
  <c r="AX289" i="6"/>
  <c r="AV289" i="6"/>
  <c r="AW289" i="6" s="1"/>
  <c r="AM289" i="6"/>
  <c r="AL289" i="6"/>
  <c r="AH289" i="6"/>
  <c r="AI289" i="6" s="1"/>
  <c r="AG289" i="6"/>
  <c r="AF289" i="6"/>
  <c r="V289" i="6"/>
  <c r="R289" i="6"/>
  <c r="P289" i="6"/>
  <c r="Q289" i="6" s="1"/>
  <c r="AZ289" i="6" s="1"/>
  <c r="AX288" i="6"/>
  <c r="AY288" i="6" s="1"/>
  <c r="AV288" i="6"/>
  <c r="AW288" i="6" s="1"/>
  <c r="AM288" i="6"/>
  <c r="AL288" i="6"/>
  <c r="AI288" i="6"/>
  <c r="AH288" i="6"/>
  <c r="AF288" i="6"/>
  <c r="AG288" i="6" s="1"/>
  <c r="W288" i="6"/>
  <c r="V288" i="6"/>
  <c r="R288" i="6"/>
  <c r="S288" i="6" s="1"/>
  <c r="Q288" i="6"/>
  <c r="P288" i="6"/>
  <c r="AX287" i="6"/>
  <c r="AY287" i="6" s="1"/>
  <c r="AV287" i="6"/>
  <c r="AW287" i="6" s="1"/>
  <c r="AM287" i="6"/>
  <c r="AL287" i="6"/>
  <c r="AH287" i="6"/>
  <c r="AI287" i="6" s="1"/>
  <c r="BA287" i="6" s="1"/>
  <c r="AF287" i="6"/>
  <c r="AG287" i="6" s="1"/>
  <c r="S287" i="6"/>
  <c r="R287" i="6"/>
  <c r="W287" i="6" s="1"/>
  <c r="P287" i="6"/>
  <c r="AX286" i="6"/>
  <c r="AY286" i="6" s="1"/>
  <c r="AW286" i="6"/>
  <c r="AV286" i="6"/>
  <c r="AM286" i="6"/>
  <c r="AL286" i="6"/>
  <c r="AH286" i="6"/>
  <c r="AI286" i="6" s="1"/>
  <c r="AF286" i="6"/>
  <c r="AG286" i="6" s="1"/>
  <c r="R286" i="6"/>
  <c r="P286" i="6"/>
  <c r="AY285" i="6"/>
  <c r="AX285" i="6"/>
  <c r="AV285" i="6"/>
  <c r="AW285" i="6" s="1"/>
  <c r="AM285" i="6"/>
  <c r="AL285" i="6"/>
  <c r="AH285" i="6"/>
  <c r="AI285" i="6" s="1"/>
  <c r="AG285" i="6"/>
  <c r="AF285" i="6"/>
  <c r="V285" i="6"/>
  <c r="R285" i="6"/>
  <c r="P285" i="6"/>
  <c r="Q285" i="6" s="1"/>
  <c r="AZ285" i="6" s="1"/>
  <c r="AX284" i="6"/>
  <c r="AY284" i="6" s="1"/>
  <c r="AV284" i="6"/>
  <c r="AW284" i="6" s="1"/>
  <c r="AM284" i="6"/>
  <c r="AL284" i="6"/>
  <c r="AI284" i="6"/>
  <c r="AH284" i="6"/>
  <c r="AF284" i="6"/>
  <c r="AG284" i="6" s="1"/>
  <c r="W284" i="6"/>
  <c r="V284" i="6"/>
  <c r="R284" i="6"/>
  <c r="S284" i="6" s="1"/>
  <c r="Q284" i="6"/>
  <c r="P284" i="6"/>
  <c r="AX283" i="6"/>
  <c r="AY283" i="6" s="1"/>
  <c r="AV283" i="6"/>
  <c r="AW283" i="6" s="1"/>
  <c r="AM283" i="6"/>
  <c r="AL283" i="6"/>
  <c r="AH283" i="6"/>
  <c r="AI283" i="6" s="1"/>
  <c r="AF283" i="6"/>
  <c r="AG283" i="6" s="1"/>
  <c r="S283" i="6"/>
  <c r="R283" i="6"/>
  <c r="W283" i="6" s="1"/>
  <c r="P283" i="6"/>
  <c r="AX282" i="6"/>
  <c r="AY282" i="6" s="1"/>
  <c r="AW282" i="6"/>
  <c r="AV282" i="6"/>
  <c r="AM282" i="6"/>
  <c r="AL282" i="6"/>
  <c r="AH282" i="6"/>
  <c r="AI282" i="6" s="1"/>
  <c r="AF282" i="6"/>
  <c r="AG282" i="6" s="1"/>
  <c r="R282" i="6"/>
  <c r="P282" i="6"/>
  <c r="AY281" i="6"/>
  <c r="AX281" i="6"/>
  <c r="AV281" i="6"/>
  <c r="AW281" i="6" s="1"/>
  <c r="AM281" i="6"/>
  <c r="AL281" i="6"/>
  <c r="AH281" i="6"/>
  <c r="AI281" i="6" s="1"/>
  <c r="AG281" i="6"/>
  <c r="AF281" i="6"/>
  <c r="V281" i="6"/>
  <c r="R281" i="6"/>
  <c r="P281" i="6"/>
  <c r="Q281" i="6" s="1"/>
  <c r="AZ281" i="6" s="1"/>
  <c r="AX280" i="6"/>
  <c r="AY280" i="6" s="1"/>
  <c r="AV280" i="6"/>
  <c r="AW280" i="6" s="1"/>
  <c r="AM280" i="6"/>
  <c r="AL280" i="6"/>
  <c r="AI280" i="6"/>
  <c r="AH280" i="6"/>
  <c r="AF280" i="6"/>
  <c r="AG280" i="6" s="1"/>
  <c r="W280" i="6"/>
  <c r="V280" i="6"/>
  <c r="R280" i="6"/>
  <c r="S280" i="6" s="1"/>
  <c r="BA280" i="6" s="1"/>
  <c r="Q280" i="6"/>
  <c r="P280" i="6"/>
  <c r="AX279" i="6"/>
  <c r="AY279" i="6" s="1"/>
  <c r="AV279" i="6"/>
  <c r="AW279" i="6" s="1"/>
  <c r="AM279" i="6"/>
  <c r="AL279" i="6"/>
  <c r="AH279" i="6"/>
  <c r="AI279" i="6" s="1"/>
  <c r="BA279" i="6" s="1"/>
  <c r="AF279" i="6"/>
  <c r="AG279" i="6" s="1"/>
  <c r="S279" i="6"/>
  <c r="R279" i="6"/>
  <c r="W279" i="6" s="1"/>
  <c r="P279" i="6"/>
  <c r="AX278" i="6"/>
  <c r="AY278" i="6" s="1"/>
  <c r="AW278" i="6"/>
  <c r="AV278" i="6"/>
  <c r="AM278" i="6"/>
  <c r="AL278" i="6"/>
  <c r="AH278" i="6"/>
  <c r="AI278" i="6" s="1"/>
  <c r="AF278" i="6"/>
  <c r="AG278" i="6" s="1"/>
  <c r="R278" i="6"/>
  <c r="P278" i="6"/>
  <c r="AY277" i="6"/>
  <c r="AX277" i="6"/>
  <c r="AV277" i="6"/>
  <c r="AW277" i="6" s="1"/>
  <c r="AM277" i="6"/>
  <c r="AL277" i="6"/>
  <c r="AH277" i="6"/>
  <c r="AI277" i="6" s="1"/>
  <c r="AG277" i="6"/>
  <c r="AF277" i="6"/>
  <c r="V277" i="6"/>
  <c r="R277" i="6"/>
  <c r="P277" i="6"/>
  <c r="Q277" i="6" s="1"/>
  <c r="AZ277" i="6" s="1"/>
  <c r="AX276" i="6"/>
  <c r="AY276" i="6" s="1"/>
  <c r="AV276" i="6"/>
  <c r="AW276" i="6" s="1"/>
  <c r="AM276" i="6"/>
  <c r="AL276" i="6"/>
  <c r="AI276" i="6"/>
  <c r="AH276" i="6"/>
  <c r="AF276" i="6"/>
  <c r="AG276" i="6" s="1"/>
  <c r="W276" i="6"/>
  <c r="V276" i="6"/>
  <c r="R276" i="6"/>
  <c r="S276" i="6" s="1"/>
  <c r="BA276" i="6" s="1"/>
  <c r="Q276" i="6"/>
  <c r="P276" i="6"/>
  <c r="AX275" i="6"/>
  <c r="AY275" i="6" s="1"/>
  <c r="AV275" i="6"/>
  <c r="AW275" i="6" s="1"/>
  <c r="AM275" i="6"/>
  <c r="AL275" i="6"/>
  <c r="AH275" i="6"/>
  <c r="AI275" i="6" s="1"/>
  <c r="AF275" i="6"/>
  <c r="AG275" i="6" s="1"/>
  <c r="S275" i="6"/>
  <c r="R275" i="6"/>
  <c r="W275" i="6" s="1"/>
  <c r="P275" i="6"/>
  <c r="AX274" i="6"/>
  <c r="AY274" i="6" s="1"/>
  <c r="AW274" i="6"/>
  <c r="AV274" i="6"/>
  <c r="AM274" i="6"/>
  <c r="AL274" i="6"/>
  <c r="AH274" i="6"/>
  <c r="AI274" i="6" s="1"/>
  <c r="AF274" i="6"/>
  <c r="AG274" i="6" s="1"/>
  <c r="R274" i="6"/>
  <c r="P274" i="6"/>
  <c r="AY273" i="6"/>
  <c r="AX273" i="6"/>
  <c r="AV273" i="6"/>
  <c r="AW273" i="6" s="1"/>
  <c r="AM273" i="6"/>
  <c r="AL273" i="6"/>
  <c r="AH273" i="6"/>
  <c r="AI273" i="6" s="1"/>
  <c r="AG273" i="6"/>
  <c r="AF273" i="6"/>
  <c r="V273" i="6"/>
  <c r="R273" i="6"/>
  <c r="P273" i="6"/>
  <c r="Q273" i="6" s="1"/>
  <c r="AZ273" i="6" s="1"/>
  <c r="AX272" i="6"/>
  <c r="AY272" i="6" s="1"/>
  <c r="AV272" i="6"/>
  <c r="AW272" i="6" s="1"/>
  <c r="AM272" i="6"/>
  <c r="AL272" i="6"/>
  <c r="AI272" i="6"/>
  <c r="AH272" i="6"/>
  <c r="AF272" i="6"/>
  <c r="AG272" i="6" s="1"/>
  <c r="W272" i="6"/>
  <c r="V272" i="6"/>
  <c r="R272" i="6"/>
  <c r="S272" i="6" s="1"/>
  <c r="Q272" i="6"/>
  <c r="AZ272" i="6" s="1"/>
  <c r="P272" i="6"/>
  <c r="AX271" i="6"/>
  <c r="AY271" i="6" s="1"/>
  <c r="AV271" i="6"/>
  <c r="AW271" i="6" s="1"/>
  <c r="AM271" i="6"/>
  <c r="AL271" i="6"/>
  <c r="AH271" i="6"/>
  <c r="AI271" i="6" s="1"/>
  <c r="AF271" i="6"/>
  <c r="AG271" i="6" s="1"/>
  <c r="S271" i="6"/>
  <c r="R271" i="6"/>
  <c r="W271" i="6" s="1"/>
  <c r="P271" i="6"/>
  <c r="AX270" i="6"/>
  <c r="AY270" i="6" s="1"/>
  <c r="AW270" i="6"/>
  <c r="AV270" i="6"/>
  <c r="AM270" i="6"/>
  <c r="AL270" i="6"/>
  <c r="AH270" i="6"/>
  <c r="AI270" i="6" s="1"/>
  <c r="AF270" i="6"/>
  <c r="AG270" i="6" s="1"/>
  <c r="R270" i="6"/>
  <c r="P270" i="6"/>
  <c r="AY269" i="6"/>
  <c r="AX269" i="6"/>
  <c r="AV269" i="6"/>
  <c r="AW269" i="6" s="1"/>
  <c r="AM269" i="6"/>
  <c r="AL269" i="6"/>
  <c r="AH269" i="6"/>
  <c r="AI269" i="6" s="1"/>
  <c r="AG269" i="6"/>
  <c r="AF269" i="6"/>
  <c r="V269" i="6"/>
  <c r="R269" i="6"/>
  <c r="P269" i="6"/>
  <c r="Q269" i="6" s="1"/>
  <c r="AZ269" i="6" s="1"/>
  <c r="AX268" i="6"/>
  <c r="AY268" i="6" s="1"/>
  <c r="AV268" i="6"/>
  <c r="AW268" i="6" s="1"/>
  <c r="AM268" i="6"/>
  <c r="AL268" i="6"/>
  <c r="AH268" i="6"/>
  <c r="AI268" i="6" s="1"/>
  <c r="AF268" i="6"/>
  <c r="AG268" i="6" s="1"/>
  <c r="W268" i="6"/>
  <c r="V268" i="6"/>
  <c r="R268" i="6"/>
  <c r="S268" i="6" s="1"/>
  <c r="BA268" i="6" s="1"/>
  <c r="P268" i="6"/>
  <c r="Q268" i="6" s="1"/>
  <c r="AZ268" i="6" s="1"/>
  <c r="AX267" i="6"/>
  <c r="AY267" i="6" s="1"/>
  <c r="AV267" i="6"/>
  <c r="AW267" i="6" s="1"/>
  <c r="AM267" i="6"/>
  <c r="AL267" i="6"/>
  <c r="AH267" i="6"/>
  <c r="AI267" i="6" s="1"/>
  <c r="AF267" i="6"/>
  <c r="AG267" i="6" s="1"/>
  <c r="R267" i="6"/>
  <c r="W267" i="6" s="1"/>
  <c r="P267" i="6"/>
  <c r="AX266" i="6"/>
  <c r="AY266" i="6" s="1"/>
  <c r="AV266" i="6"/>
  <c r="AW266" i="6" s="1"/>
  <c r="AM266" i="6"/>
  <c r="AL266" i="6"/>
  <c r="AH266" i="6"/>
  <c r="AI266" i="6" s="1"/>
  <c r="AF266" i="6"/>
  <c r="AG266" i="6" s="1"/>
  <c r="R266" i="6"/>
  <c r="P266" i="6"/>
  <c r="AX265" i="6"/>
  <c r="AY265" i="6" s="1"/>
  <c r="AV265" i="6"/>
  <c r="AW265" i="6" s="1"/>
  <c r="AM265" i="6"/>
  <c r="AL265" i="6"/>
  <c r="AH265" i="6"/>
  <c r="AI265" i="6" s="1"/>
  <c r="AF265" i="6"/>
  <c r="AG265" i="6" s="1"/>
  <c r="V265" i="6"/>
  <c r="R265" i="6"/>
  <c r="P265" i="6"/>
  <c r="Q265" i="6" s="1"/>
  <c r="AX264" i="6"/>
  <c r="AY264" i="6" s="1"/>
  <c r="AV264" i="6"/>
  <c r="AW264" i="6" s="1"/>
  <c r="AM264" i="6"/>
  <c r="AL264" i="6"/>
  <c r="AH264" i="6"/>
  <c r="AI264" i="6" s="1"/>
  <c r="AF264" i="6"/>
  <c r="AG264" i="6" s="1"/>
  <c r="W264" i="6"/>
  <c r="V264" i="6"/>
  <c r="R264" i="6"/>
  <c r="S264" i="6" s="1"/>
  <c r="P264" i="6"/>
  <c r="Q264" i="6" s="1"/>
  <c r="AX263" i="6"/>
  <c r="AY263" i="6" s="1"/>
  <c r="AV263" i="6"/>
  <c r="AW263" i="6" s="1"/>
  <c r="AM263" i="6"/>
  <c r="AL263" i="6"/>
  <c r="AH263" i="6"/>
  <c r="AI263" i="6" s="1"/>
  <c r="AF263" i="6"/>
  <c r="AG263" i="6" s="1"/>
  <c r="R263" i="6"/>
  <c r="W263" i="6" s="1"/>
  <c r="P263" i="6"/>
  <c r="AX262" i="6"/>
  <c r="AY262" i="6" s="1"/>
  <c r="AV262" i="6"/>
  <c r="AW262" i="6" s="1"/>
  <c r="AM262" i="6"/>
  <c r="AL262" i="6"/>
  <c r="AH262" i="6"/>
  <c r="AI262" i="6" s="1"/>
  <c r="AF262" i="6"/>
  <c r="AG262" i="6" s="1"/>
  <c r="R262" i="6"/>
  <c r="P262" i="6"/>
  <c r="AX261" i="6"/>
  <c r="AY261" i="6" s="1"/>
  <c r="AV261" i="6"/>
  <c r="AW261" i="6" s="1"/>
  <c r="AM261" i="6"/>
  <c r="AL261" i="6"/>
  <c r="AH261" i="6"/>
  <c r="AI261" i="6" s="1"/>
  <c r="AF261" i="6"/>
  <c r="AG261" i="6" s="1"/>
  <c r="V261" i="6"/>
  <c r="R261" i="6"/>
  <c r="P261" i="6"/>
  <c r="Q261" i="6" s="1"/>
  <c r="AZ261" i="6" s="1"/>
  <c r="AX260" i="6"/>
  <c r="AY260" i="6" s="1"/>
  <c r="AV260" i="6"/>
  <c r="AW260" i="6" s="1"/>
  <c r="AM260" i="6"/>
  <c r="AL260" i="6"/>
  <c r="AH260" i="6"/>
  <c r="AI260" i="6" s="1"/>
  <c r="AF260" i="6"/>
  <c r="AG260" i="6" s="1"/>
  <c r="W260" i="6"/>
  <c r="V260" i="6"/>
  <c r="R260" i="6"/>
  <c r="S260" i="6" s="1"/>
  <c r="BA260" i="6" s="1"/>
  <c r="P260" i="6"/>
  <c r="Q260" i="6" s="1"/>
  <c r="AX259" i="6"/>
  <c r="AY259" i="6" s="1"/>
  <c r="AV259" i="6"/>
  <c r="AW259" i="6" s="1"/>
  <c r="AM259" i="6"/>
  <c r="AL259" i="6"/>
  <c r="AH259" i="6"/>
  <c r="AI259" i="6" s="1"/>
  <c r="AF259" i="6"/>
  <c r="AG259" i="6" s="1"/>
  <c r="R259" i="6"/>
  <c r="W259" i="6" s="1"/>
  <c r="P259" i="6"/>
  <c r="AX258" i="6"/>
  <c r="AY258" i="6" s="1"/>
  <c r="AV258" i="6"/>
  <c r="AW258" i="6" s="1"/>
  <c r="AM258" i="6"/>
  <c r="AL258" i="6"/>
  <c r="AH258" i="6"/>
  <c r="AI258" i="6" s="1"/>
  <c r="AF258" i="6"/>
  <c r="AG258" i="6" s="1"/>
  <c r="R258" i="6"/>
  <c r="P258" i="6"/>
  <c r="AX257" i="6"/>
  <c r="AY257" i="6" s="1"/>
  <c r="AV257" i="6"/>
  <c r="AW257" i="6" s="1"/>
  <c r="AM257" i="6"/>
  <c r="AL257" i="6"/>
  <c r="AH257" i="6"/>
  <c r="AI257" i="6" s="1"/>
  <c r="AF257" i="6"/>
  <c r="AG257" i="6" s="1"/>
  <c r="V257" i="6"/>
  <c r="S257" i="6"/>
  <c r="R257" i="6"/>
  <c r="W257" i="6" s="1"/>
  <c r="P257" i="6"/>
  <c r="Q257" i="6" s="1"/>
  <c r="AZ257" i="6" s="1"/>
  <c r="AX256" i="6"/>
  <c r="AY256" i="6" s="1"/>
  <c r="AW256" i="6"/>
  <c r="AV256" i="6"/>
  <c r="AM256" i="6"/>
  <c r="AL256" i="6"/>
  <c r="AH256" i="6"/>
  <c r="AI256" i="6" s="1"/>
  <c r="AF256" i="6"/>
  <c r="AG256" i="6" s="1"/>
  <c r="W256" i="6"/>
  <c r="V256" i="6"/>
  <c r="R256" i="6"/>
  <c r="S256" i="6" s="1"/>
  <c r="P256" i="6"/>
  <c r="Q256" i="6" s="1"/>
  <c r="AX255" i="6"/>
  <c r="AY255" i="6" s="1"/>
  <c r="AV255" i="6"/>
  <c r="AW255" i="6" s="1"/>
  <c r="AM255" i="6"/>
  <c r="AL255" i="6"/>
  <c r="AH255" i="6"/>
  <c r="AI255" i="6" s="1"/>
  <c r="AF255" i="6"/>
  <c r="AG255" i="6" s="1"/>
  <c r="R255" i="6"/>
  <c r="W255" i="6" s="1"/>
  <c r="P255" i="6"/>
  <c r="AX254" i="6"/>
  <c r="AY254" i="6" s="1"/>
  <c r="AV254" i="6"/>
  <c r="AW254" i="6" s="1"/>
  <c r="AM254" i="6"/>
  <c r="AL254" i="6"/>
  <c r="AH254" i="6"/>
  <c r="AI254" i="6" s="1"/>
  <c r="AF254" i="6"/>
  <c r="AG254" i="6" s="1"/>
  <c r="R254" i="6"/>
  <c r="Q254" i="6"/>
  <c r="AZ254" i="6" s="1"/>
  <c r="P254" i="6"/>
  <c r="V254" i="6" s="1"/>
  <c r="AX253" i="6"/>
  <c r="AY253" i="6" s="1"/>
  <c r="AV253" i="6"/>
  <c r="AW253" i="6" s="1"/>
  <c r="AM253" i="6"/>
  <c r="AL253" i="6"/>
  <c r="AH253" i="6"/>
  <c r="AI253" i="6" s="1"/>
  <c r="AF253" i="6"/>
  <c r="AG253" i="6" s="1"/>
  <c r="V253" i="6"/>
  <c r="S253" i="6"/>
  <c r="BA253" i="6" s="1"/>
  <c r="R253" i="6"/>
  <c r="W253" i="6" s="1"/>
  <c r="P253" i="6"/>
  <c r="Q253" i="6" s="1"/>
  <c r="AX252" i="6"/>
  <c r="AY252" i="6" s="1"/>
  <c r="AW252" i="6"/>
  <c r="AV252" i="6"/>
  <c r="AM252" i="6"/>
  <c r="AL252" i="6"/>
  <c r="AH252" i="6"/>
  <c r="AI252" i="6" s="1"/>
  <c r="AF252" i="6"/>
  <c r="AG252" i="6" s="1"/>
  <c r="W252" i="6"/>
  <c r="V252" i="6"/>
  <c r="R252" i="6"/>
  <c r="S252" i="6" s="1"/>
  <c r="P252" i="6"/>
  <c r="Q252" i="6" s="1"/>
  <c r="AY251" i="6"/>
  <c r="AX251" i="6"/>
  <c r="AV251" i="6"/>
  <c r="AW251" i="6" s="1"/>
  <c r="AM251" i="6"/>
  <c r="AL251" i="6"/>
  <c r="AH251" i="6"/>
  <c r="AI251" i="6" s="1"/>
  <c r="AF251" i="6"/>
  <c r="AG251" i="6" s="1"/>
  <c r="R251" i="6"/>
  <c r="W251" i="6" s="1"/>
  <c r="P251" i="6"/>
  <c r="AX250" i="6"/>
  <c r="AY250" i="6" s="1"/>
  <c r="AV250" i="6"/>
  <c r="AW250" i="6" s="1"/>
  <c r="AM250" i="6"/>
  <c r="AL250" i="6"/>
  <c r="AI250" i="6"/>
  <c r="AH250" i="6"/>
  <c r="AF250" i="6"/>
  <c r="AG250" i="6" s="1"/>
  <c r="R250" i="6"/>
  <c r="P250" i="6"/>
  <c r="V250" i="6" s="1"/>
  <c r="AX249" i="6"/>
  <c r="AY249" i="6" s="1"/>
  <c r="AV249" i="6"/>
  <c r="AW249" i="6" s="1"/>
  <c r="AM249" i="6"/>
  <c r="AL249" i="6"/>
  <c r="AH249" i="6"/>
  <c r="AI249" i="6" s="1"/>
  <c r="AF249" i="6"/>
  <c r="AG249" i="6" s="1"/>
  <c r="R249" i="6"/>
  <c r="P249" i="6"/>
  <c r="AX248" i="6"/>
  <c r="AY248" i="6" s="1"/>
  <c r="AV248" i="6"/>
  <c r="AW248" i="6" s="1"/>
  <c r="AM248" i="6"/>
  <c r="AL248" i="6"/>
  <c r="AH248" i="6"/>
  <c r="AI248" i="6" s="1"/>
  <c r="AF248" i="6"/>
  <c r="AG248" i="6" s="1"/>
  <c r="W248" i="6"/>
  <c r="V248" i="6"/>
  <c r="R248" i="6"/>
  <c r="S248" i="6" s="1"/>
  <c r="P248" i="6"/>
  <c r="Q248" i="6" s="1"/>
  <c r="AY247" i="6"/>
  <c r="AX247" i="6"/>
  <c r="AV247" i="6"/>
  <c r="AW247" i="6" s="1"/>
  <c r="AM247" i="6"/>
  <c r="AL247" i="6"/>
  <c r="AH247" i="6"/>
  <c r="AI247" i="6" s="1"/>
  <c r="AG247" i="6"/>
  <c r="AF247" i="6"/>
  <c r="R247" i="6"/>
  <c r="W247" i="6" s="1"/>
  <c r="P247" i="6"/>
  <c r="BA246" i="6"/>
  <c r="AX246" i="6"/>
  <c r="AY246" i="6" s="1"/>
  <c r="AV246" i="6"/>
  <c r="AW246" i="6" s="1"/>
  <c r="AM246" i="6"/>
  <c r="AL246" i="6"/>
  <c r="AH246" i="6"/>
  <c r="AI246" i="6" s="1"/>
  <c r="AF246" i="6"/>
  <c r="AG246" i="6" s="1"/>
  <c r="W246" i="6"/>
  <c r="V246" i="6"/>
  <c r="R246" i="6"/>
  <c r="S246" i="6" s="1"/>
  <c r="P246" i="6"/>
  <c r="Q246" i="6" s="1"/>
  <c r="AZ246" i="6" s="1"/>
  <c r="AX245" i="6"/>
  <c r="AY245" i="6" s="1"/>
  <c r="AV245" i="6"/>
  <c r="AW245" i="6" s="1"/>
  <c r="AM245" i="6"/>
  <c r="AL245" i="6"/>
  <c r="AH245" i="6"/>
  <c r="AI245" i="6" s="1"/>
  <c r="AF245" i="6"/>
  <c r="AG245" i="6" s="1"/>
  <c r="W245" i="6"/>
  <c r="V245" i="6"/>
  <c r="S245" i="6"/>
  <c r="BA245" i="6" s="1"/>
  <c r="R245" i="6"/>
  <c r="P245" i="6"/>
  <c r="Q245" i="6" s="1"/>
  <c r="AZ245" i="6" s="1"/>
  <c r="AX244" i="6"/>
  <c r="AY244" i="6" s="1"/>
  <c r="AV244" i="6"/>
  <c r="AW244" i="6" s="1"/>
  <c r="AM244" i="6"/>
  <c r="AL244" i="6"/>
  <c r="AH244" i="6"/>
  <c r="AI244" i="6" s="1"/>
  <c r="AF244" i="6"/>
  <c r="AG244" i="6" s="1"/>
  <c r="AZ244" i="6" s="1"/>
  <c r="W244" i="6"/>
  <c r="V244" i="6"/>
  <c r="R244" i="6"/>
  <c r="S244" i="6" s="1"/>
  <c r="P244" i="6"/>
  <c r="Q244" i="6" s="1"/>
  <c r="AY243" i="6"/>
  <c r="AX243" i="6"/>
  <c r="AV243" i="6"/>
  <c r="AW243" i="6" s="1"/>
  <c r="AM243" i="6"/>
  <c r="AL243" i="6"/>
  <c r="AH243" i="6"/>
  <c r="AI243" i="6" s="1"/>
  <c r="AG243" i="6"/>
  <c r="AF243" i="6"/>
  <c r="W243" i="6"/>
  <c r="V243" i="6"/>
  <c r="R243" i="6"/>
  <c r="S243" i="6" s="1"/>
  <c r="P243" i="6"/>
  <c r="Q243" i="6" s="1"/>
  <c r="AZ243" i="6" s="1"/>
  <c r="BA242" i="6"/>
  <c r="AX242" i="6"/>
  <c r="AY242" i="6" s="1"/>
  <c r="AV242" i="6"/>
  <c r="AW242" i="6" s="1"/>
  <c r="AM242" i="6"/>
  <c r="AL242" i="6"/>
  <c r="AI242" i="6"/>
  <c r="AH242" i="6"/>
  <c r="AF242" i="6"/>
  <c r="AG242" i="6" s="1"/>
  <c r="W242" i="6"/>
  <c r="V242" i="6"/>
  <c r="R242" i="6"/>
  <c r="S242" i="6" s="1"/>
  <c r="P242" i="6"/>
  <c r="Q242" i="6" s="1"/>
  <c r="AZ242" i="6" s="1"/>
  <c r="AX241" i="6"/>
  <c r="AY241" i="6" s="1"/>
  <c r="AV241" i="6"/>
  <c r="AW241" i="6" s="1"/>
  <c r="AM241" i="6"/>
  <c r="AL241" i="6"/>
  <c r="AH241" i="6"/>
  <c r="AI241" i="6" s="1"/>
  <c r="AF241" i="6"/>
  <c r="AG241" i="6" s="1"/>
  <c r="AZ241" i="6" s="1"/>
  <c r="W241" i="6"/>
  <c r="V241" i="6"/>
  <c r="R241" i="6"/>
  <c r="S241" i="6" s="1"/>
  <c r="BA241" i="6" s="1"/>
  <c r="P241" i="6"/>
  <c r="Q241" i="6" s="1"/>
  <c r="AX240" i="6"/>
  <c r="AY240" i="6" s="1"/>
  <c r="AV240" i="6"/>
  <c r="AW240" i="6" s="1"/>
  <c r="AM240" i="6"/>
  <c r="AL240" i="6"/>
  <c r="AH240" i="6"/>
  <c r="AI240" i="6" s="1"/>
  <c r="AF240" i="6"/>
  <c r="AG240" i="6" s="1"/>
  <c r="W240" i="6"/>
  <c r="V240" i="6"/>
  <c r="R240" i="6"/>
  <c r="S240" i="6" s="1"/>
  <c r="BA240" i="6" s="1"/>
  <c r="P240" i="6"/>
  <c r="Q240" i="6" s="1"/>
  <c r="AX239" i="6"/>
  <c r="AY239" i="6" s="1"/>
  <c r="AV239" i="6"/>
  <c r="AW239" i="6" s="1"/>
  <c r="AM239" i="6"/>
  <c r="AL239" i="6"/>
  <c r="AH239" i="6"/>
  <c r="AI239" i="6" s="1"/>
  <c r="AG239" i="6"/>
  <c r="AZ239" i="6" s="1"/>
  <c r="AF239" i="6"/>
  <c r="W239" i="6"/>
  <c r="V239" i="6"/>
  <c r="R239" i="6"/>
  <c r="S239" i="6" s="1"/>
  <c r="P239" i="6"/>
  <c r="Q239" i="6" s="1"/>
  <c r="AX238" i="6"/>
  <c r="AY238" i="6" s="1"/>
  <c r="AV238" i="6"/>
  <c r="AW238" i="6" s="1"/>
  <c r="AM238" i="6"/>
  <c r="AL238" i="6"/>
  <c r="AH238" i="6"/>
  <c r="AI238" i="6" s="1"/>
  <c r="AF238" i="6"/>
  <c r="AG238" i="6" s="1"/>
  <c r="W238" i="6"/>
  <c r="V238" i="6"/>
  <c r="R238" i="6"/>
  <c r="S238" i="6" s="1"/>
  <c r="BA238" i="6" s="1"/>
  <c r="P238" i="6"/>
  <c r="Q238" i="6" s="1"/>
  <c r="AZ238" i="6" s="1"/>
  <c r="AX237" i="6"/>
  <c r="AY237" i="6" s="1"/>
  <c r="AV237" i="6"/>
  <c r="AW237" i="6" s="1"/>
  <c r="AM237" i="6"/>
  <c r="AL237" i="6"/>
  <c r="AH237" i="6"/>
  <c r="AI237" i="6" s="1"/>
  <c r="AF237" i="6"/>
  <c r="AG237" i="6" s="1"/>
  <c r="W237" i="6"/>
  <c r="V237" i="6"/>
  <c r="S237" i="6"/>
  <c r="R237" i="6"/>
  <c r="P237" i="6"/>
  <c r="Q237" i="6" s="1"/>
  <c r="AZ237" i="6" s="1"/>
  <c r="AX236" i="6"/>
  <c r="AY236" i="6" s="1"/>
  <c r="AV236" i="6"/>
  <c r="AW236" i="6" s="1"/>
  <c r="AM236" i="6"/>
  <c r="AL236" i="6"/>
  <c r="AH236" i="6"/>
  <c r="AI236" i="6" s="1"/>
  <c r="AF236" i="6"/>
  <c r="AG236" i="6" s="1"/>
  <c r="AZ236" i="6" s="1"/>
  <c r="W236" i="6"/>
  <c r="V236" i="6"/>
  <c r="R236" i="6"/>
  <c r="S236" i="6" s="1"/>
  <c r="BA236" i="6" s="1"/>
  <c r="P236" i="6"/>
  <c r="Q236" i="6" s="1"/>
  <c r="AY235" i="6"/>
  <c r="AX235" i="6"/>
  <c r="AV235" i="6"/>
  <c r="AW235" i="6" s="1"/>
  <c r="AM235" i="6"/>
  <c r="AL235" i="6"/>
  <c r="AH235" i="6"/>
  <c r="AI235" i="6" s="1"/>
  <c r="AF235" i="6"/>
  <c r="AG235" i="6" s="1"/>
  <c r="W235" i="6"/>
  <c r="V235" i="6"/>
  <c r="R235" i="6"/>
  <c r="S235" i="6" s="1"/>
  <c r="Q235" i="6"/>
  <c r="P235" i="6"/>
  <c r="AX234" i="6"/>
  <c r="AY234" i="6" s="1"/>
  <c r="AV234" i="6"/>
  <c r="AW234" i="6" s="1"/>
  <c r="AM234" i="6"/>
  <c r="AL234" i="6"/>
  <c r="AI234" i="6"/>
  <c r="AH234" i="6"/>
  <c r="AF234" i="6"/>
  <c r="AG234" i="6" s="1"/>
  <c r="W234" i="6"/>
  <c r="V234" i="6"/>
  <c r="S234" i="6"/>
  <c r="BA234" i="6" s="1"/>
  <c r="R234" i="6"/>
  <c r="P234" i="6"/>
  <c r="Q234" i="6" s="1"/>
  <c r="AZ234" i="6" s="1"/>
  <c r="AX233" i="6"/>
  <c r="AY233" i="6" s="1"/>
  <c r="AV233" i="6"/>
  <c r="AW233" i="6" s="1"/>
  <c r="AM233" i="6"/>
  <c r="AL233" i="6"/>
  <c r="AH233" i="6"/>
  <c r="AI233" i="6" s="1"/>
  <c r="AF233" i="6"/>
  <c r="AG233" i="6" s="1"/>
  <c r="W233" i="6"/>
  <c r="V233" i="6"/>
  <c r="R233" i="6"/>
  <c r="S233" i="6" s="1"/>
  <c r="BA233" i="6" s="1"/>
  <c r="P233" i="6"/>
  <c r="Q233" i="6" s="1"/>
  <c r="AZ233" i="6" s="1"/>
  <c r="AX232" i="6"/>
  <c r="AY232" i="6" s="1"/>
  <c r="AV232" i="6"/>
  <c r="AW232" i="6" s="1"/>
  <c r="AM232" i="6"/>
  <c r="AL232" i="6"/>
  <c r="AH232" i="6"/>
  <c r="AI232" i="6" s="1"/>
  <c r="AG232" i="6"/>
  <c r="AZ232" i="6" s="1"/>
  <c r="AF232" i="6"/>
  <c r="W232" i="6"/>
  <c r="V232" i="6"/>
  <c r="R232" i="6"/>
  <c r="S232" i="6" s="1"/>
  <c r="P232" i="6"/>
  <c r="Q232" i="6" s="1"/>
  <c r="BA231" i="6"/>
  <c r="AY231" i="6"/>
  <c r="AX231" i="6"/>
  <c r="AV231" i="6"/>
  <c r="AW231" i="6" s="1"/>
  <c r="AM231" i="6"/>
  <c r="AL231" i="6"/>
  <c r="AH231" i="6"/>
  <c r="AI231" i="6" s="1"/>
  <c r="AG231" i="6"/>
  <c r="AZ231" i="6" s="1"/>
  <c r="AF231" i="6"/>
  <c r="W231" i="6"/>
  <c r="V231" i="6"/>
  <c r="R231" i="6"/>
  <c r="S231" i="6" s="1"/>
  <c r="Q231" i="6"/>
  <c r="P231" i="6"/>
  <c r="AZ230" i="6"/>
  <c r="AX230" i="6"/>
  <c r="AY230" i="6" s="1"/>
  <c r="AV230" i="6"/>
  <c r="AW230" i="6" s="1"/>
  <c r="AM230" i="6"/>
  <c r="AL230" i="6"/>
  <c r="AI230" i="6"/>
  <c r="AH230" i="6"/>
  <c r="AF230" i="6"/>
  <c r="AG230" i="6" s="1"/>
  <c r="W230" i="6"/>
  <c r="V230" i="6"/>
  <c r="R230" i="6"/>
  <c r="S230" i="6" s="1"/>
  <c r="BA230" i="6" s="1"/>
  <c r="P230" i="6"/>
  <c r="Q230" i="6" s="1"/>
  <c r="AX229" i="6"/>
  <c r="AY229" i="6" s="1"/>
  <c r="AW229" i="6"/>
  <c r="AV229" i="6"/>
  <c r="AM229" i="6"/>
  <c r="AL229" i="6"/>
  <c r="AH229" i="6"/>
  <c r="AI229" i="6" s="1"/>
  <c r="AF229" i="6"/>
  <c r="AG229" i="6" s="1"/>
  <c r="W229" i="6"/>
  <c r="V229" i="6"/>
  <c r="S229" i="6"/>
  <c r="R229" i="6"/>
  <c r="P229" i="6"/>
  <c r="Q229" i="6" s="1"/>
  <c r="AZ229" i="6" s="1"/>
  <c r="AX228" i="6"/>
  <c r="AY228" i="6" s="1"/>
  <c r="AV228" i="6"/>
  <c r="AW228" i="6" s="1"/>
  <c r="AM228" i="6"/>
  <c r="AL228" i="6"/>
  <c r="AH228" i="6"/>
  <c r="AI228" i="6" s="1"/>
  <c r="AG228" i="6"/>
  <c r="AF228" i="6"/>
  <c r="W228" i="6"/>
  <c r="V228" i="6"/>
  <c r="R228" i="6"/>
  <c r="S228" i="6" s="1"/>
  <c r="BA228" i="6" s="1"/>
  <c r="P228" i="6"/>
  <c r="Q228" i="6" s="1"/>
  <c r="AZ228" i="6" s="1"/>
  <c r="AY227" i="6"/>
  <c r="AX227" i="6"/>
  <c r="AW227" i="6"/>
  <c r="AV227" i="6"/>
  <c r="AM227" i="6"/>
  <c r="AL227" i="6"/>
  <c r="AI227" i="6"/>
  <c r="AH227" i="6"/>
  <c r="AG227" i="6"/>
  <c r="AF227" i="6"/>
  <c r="W227" i="6"/>
  <c r="V227" i="6"/>
  <c r="R227" i="6"/>
  <c r="S227" i="6" s="1"/>
  <c r="BA227" i="6" s="1"/>
  <c r="Q227" i="6"/>
  <c r="AZ227" i="6" s="1"/>
  <c r="P227" i="6"/>
  <c r="AX226" i="6"/>
  <c r="AY226" i="6" s="1"/>
  <c r="AV226" i="6"/>
  <c r="AW226" i="6" s="1"/>
  <c r="AM226" i="6"/>
  <c r="AL226" i="6"/>
  <c r="AI226" i="6"/>
  <c r="AH226" i="6"/>
  <c r="AG226" i="6"/>
  <c r="AZ226" i="6" s="1"/>
  <c r="AF226" i="6"/>
  <c r="W226" i="6"/>
  <c r="V226" i="6"/>
  <c r="S226" i="6"/>
  <c r="R226" i="6"/>
  <c r="Q226" i="6"/>
  <c r="P226" i="6"/>
  <c r="AY225" i="6"/>
  <c r="AX225" i="6"/>
  <c r="AW225" i="6"/>
  <c r="AV225" i="6"/>
  <c r="AM225" i="6"/>
  <c r="AL225" i="6"/>
  <c r="AI225" i="6"/>
  <c r="BA225" i="6" s="1"/>
  <c r="AH225" i="6"/>
  <c r="AG225" i="6"/>
  <c r="AF225" i="6"/>
  <c r="W225" i="6"/>
  <c r="V225" i="6"/>
  <c r="S225" i="6"/>
  <c r="R225" i="6"/>
  <c r="Q225" i="6"/>
  <c r="P225" i="6"/>
  <c r="AY224" i="6"/>
  <c r="AX224" i="6"/>
  <c r="AW224" i="6"/>
  <c r="AV224" i="6"/>
  <c r="AM224" i="6"/>
  <c r="AL224" i="6"/>
  <c r="AI224" i="6"/>
  <c r="AH224" i="6"/>
  <c r="AG224" i="6"/>
  <c r="AF224" i="6"/>
  <c r="W224" i="6"/>
  <c r="V224" i="6"/>
  <c r="S224" i="6"/>
  <c r="R224" i="6"/>
  <c r="Q224" i="6"/>
  <c r="P224" i="6"/>
  <c r="AY223" i="6"/>
  <c r="AX223" i="6"/>
  <c r="AW223" i="6"/>
  <c r="AV223" i="6"/>
  <c r="AM223" i="6"/>
  <c r="AL223" i="6"/>
  <c r="AH223" i="6"/>
  <c r="AI223" i="6" s="1"/>
  <c r="BA223" i="6" s="1"/>
  <c r="AG223" i="6"/>
  <c r="AF223" i="6"/>
  <c r="W223" i="6"/>
  <c r="V223" i="6"/>
  <c r="S223" i="6"/>
  <c r="R223" i="6"/>
  <c r="P223" i="6"/>
  <c r="Q223" i="6" s="1"/>
  <c r="AZ223" i="6" s="1"/>
  <c r="AY222" i="6"/>
  <c r="AX222" i="6"/>
  <c r="AW222" i="6"/>
  <c r="AV222" i="6"/>
  <c r="AM222" i="6"/>
  <c r="AL222" i="6"/>
  <c r="AI222" i="6"/>
  <c r="AH222" i="6"/>
  <c r="AG222" i="6"/>
  <c r="AF222" i="6"/>
  <c r="W222" i="6"/>
  <c r="V222" i="6"/>
  <c r="R222" i="6"/>
  <c r="S222" i="6" s="1"/>
  <c r="BA222" i="6" s="1"/>
  <c r="Q222" i="6"/>
  <c r="AZ222" i="6" s="1"/>
  <c r="P222" i="6"/>
  <c r="AY221" i="6"/>
  <c r="AX221" i="6"/>
  <c r="AW221" i="6"/>
  <c r="AV221" i="6"/>
  <c r="AM221" i="6"/>
  <c r="AL221" i="6"/>
  <c r="AI221" i="6"/>
  <c r="BA221" i="6" s="1"/>
  <c r="AH221" i="6"/>
  <c r="AG221" i="6"/>
  <c r="AF221" i="6"/>
  <c r="W221" i="6"/>
  <c r="V221" i="6"/>
  <c r="S221" i="6"/>
  <c r="R221" i="6"/>
  <c r="Q221" i="6"/>
  <c r="AZ221" i="6" s="1"/>
  <c r="P221" i="6"/>
  <c r="AY220" i="6"/>
  <c r="AX220" i="6"/>
  <c r="AW220" i="6"/>
  <c r="AV220" i="6"/>
  <c r="AM220" i="6"/>
  <c r="AL220" i="6"/>
  <c r="AI220" i="6"/>
  <c r="AH220" i="6"/>
  <c r="AG220" i="6"/>
  <c r="AF220" i="6"/>
  <c r="W220" i="6"/>
  <c r="V220" i="6"/>
  <c r="S220" i="6"/>
  <c r="R220" i="6"/>
  <c r="Q220" i="6"/>
  <c r="P220" i="6"/>
  <c r="BA219" i="6"/>
  <c r="AY219" i="6"/>
  <c r="AX219" i="6"/>
  <c r="AW219" i="6"/>
  <c r="AV219" i="6"/>
  <c r="AM219" i="6"/>
  <c r="AL219" i="6"/>
  <c r="AI219" i="6"/>
  <c r="AH219" i="6"/>
  <c r="AG219" i="6"/>
  <c r="AF219" i="6"/>
  <c r="W219" i="6"/>
  <c r="V219" i="6"/>
  <c r="S219" i="6"/>
  <c r="R219" i="6"/>
  <c r="Q219" i="6"/>
  <c r="AZ219" i="6" s="1"/>
  <c r="P219" i="6"/>
  <c r="AY218" i="6"/>
  <c r="AX218" i="6"/>
  <c r="AW218" i="6"/>
  <c r="AV218" i="6"/>
  <c r="AM218" i="6"/>
  <c r="AL218" i="6"/>
  <c r="AI218" i="6"/>
  <c r="AH218" i="6"/>
  <c r="AG218" i="6"/>
  <c r="AF218" i="6"/>
  <c r="W218" i="6"/>
  <c r="V218" i="6"/>
  <c r="S218" i="6"/>
  <c r="BA218" i="6" s="1"/>
  <c r="R218" i="6"/>
  <c r="Q218" i="6"/>
  <c r="AZ218" i="6" s="1"/>
  <c r="P218" i="6"/>
  <c r="AY217" i="6"/>
  <c r="AX217" i="6"/>
  <c r="AV217" i="6"/>
  <c r="AW217" i="6" s="1"/>
  <c r="AM217" i="6"/>
  <c r="AL217" i="6"/>
  <c r="AI217" i="6"/>
  <c r="BA217" i="6" s="1"/>
  <c r="AH217" i="6"/>
  <c r="AG217" i="6"/>
  <c r="AF217" i="6"/>
  <c r="W217" i="6"/>
  <c r="V217" i="6"/>
  <c r="S217" i="6"/>
  <c r="R217" i="6"/>
  <c r="Q217" i="6"/>
  <c r="P217" i="6"/>
  <c r="AX216" i="6"/>
  <c r="AY216" i="6" s="1"/>
  <c r="AW216" i="6"/>
  <c r="AV216" i="6"/>
  <c r="AM216" i="6"/>
  <c r="AL216" i="6"/>
  <c r="AI216" i="6"/>
  <c r="AH216" i="6"/>
  <c r="AF216" i="6"/>
  <c r="AG216" i="6" s="1"/>
  <c r="W216" i="6"/>
  <c r="V216" i="6"/>
  <c r="S216" i="6"/>
  <c r="R216" i="6"/>
  <c r="Q216" i="6"/>
  <c r="P216" i="6"/>
  <c r="AY215" i="6"/>
  <c r="AX215" i="6"/>
  <c r="AW215" i="6"/>
  <c r="AV215" i="6"/>
  <c r="AM215" i="6"/>
  <c r="AL215" i="6"/>
  <c r="AH215" i="6"/>
  <c r="AI215" i="6" s="1"/>
  <c r="BA215" i="6" s="1"/>
  <c r="AG215" i="6"/>
  <c r="AF215" i="6"/>
  <c r="W215" i="6"/>
  <c r="V215" i="6"/>
  <c r="S215" i="6"/>
  <c r="R215" i="6"/>
  <c r="P215" i="6"/>
  <c r="Q215" i="6" s="1"/>
  <c r="AZ215" i="6" s="1"/>
  <c r="AY214" i="6"/>
  <c r="AX214" i="6"/>
  <c r="AW214" i="6"/>
  <c r="AV214" i="6"/>
  <c r="AM214" i="6"/>
  <c r="AL214" i="6"/>
  <c r="AI214" i="6"/>
  <c r="AH214" i="6"/>
  <c r="AG214" i="6"/>
  <c r="AF214" i="6"/>
  <c r="W214" i="6"/>
  <c r="V214" i="6"/>
  <c r="S214" i="6"/>
  <c r="BA214" i="6" s="1"/>
  <c r="R214" i="6"/>
  <c r="Q214" i="6"/>
  <c r="AZ214" i="6" s="1"/>
  <c r="P214" i="6"/>
  <c r="AY213" i="6"/>
  <c r="AX213" i="6"/>
  <c r="AW213" i="6"/>
  <c r="AV213" i="6"/>
  <c r="AM213" i="6"/>
  <c r="AL213" i="6"/>
  <c r="AI213" i="6"/>
  <c r="BA213" i="6" s="1"/>
  <c r="AH213" i="6"/>
  <c r="AG213" i="6"/>
  <c r="AF213" i="6"/>
  <c r="W213" i="6"/>
  <c r="V213" i="6"/>
  <c r="S213" i="6"/>
  <c r="R213" i="6"/>
  <c r="Q213" i="6"/>
  <c r="P213" i="6"/>
  <c r="AX212" i="6"/>
  <c r="AY212" i="6" s="1"/>
  <c r="AW212" i="6"/>
  <c r="AV212" i="6"/>
  <c r="AM212" i="6"/>
  <c r="AL212" i="6"/>
  <c r="AI212" i="6"/>
  <c r="AH212" i="6"/>
  <c r="AF212" i="6"/>
  <c r="AG212" i="6" s="1"/>
  <c r="W212" i="6"/>
  <c r="V212" i="6"/>
  <c r="S212" i="6"/>
  <c r="R212" i="6"/>
  <c r="Q212" i="6"/>
  <c r="P212" i="6"/>
  <c r="AY211" i="6"/>
  <c r="AX211" i="6"/>
  <c r="AW211" i="6"/>
  <c r="AV211" i="6"/>
  <c r="AM211" i="6"/>
  <c r="AL211" i="6"/>
  <c r="AH211" i="6"/>
  <c r="AI211" i="6" s="1"/>
  <c r="BA211" i="6" s="1"/>
  <c r="AG211" i="6"/>
  <c r="AF211" i="6"/>
  <c r="W211" i="6"/>
  <c r="V211" i="6"/>
  <c r="S211" i="6"/>
  <c r="R211" i="6"/>
  <c r="P211" i="6"/>
  <c r="Q211" i="6" s="1"/>
  <c r="AZ211" i="6" s="1"/>
  <c r="AY210" i="6"/>
  <c r="AX210" i="6"/>
  <c r="AW210" i="6"/>
  <c r="AV210" i="6"/>
  <c r="AM210" i="6"/>
  <c r="AL210" i="6"/>
  <c r="AI210" i="6"/>
  <c r="AH210" i="6"/>
  <c r="AG210" i="6"/>
  <c r="AF210" i="6"/>
  <c r="S210" i="6"/>
  <c r="BA210" i="6" s="1"/>
  <c r="R210" i="6"/>
  <c r="W210" i="6" s="1"/>
  <c r="Q210" i="6"/>
  <c r="AZ210" i="6" s="1"/>
  <c r="P210" i="6"/>
  <c r="V210" i="6" s="1"/>
  <c r="AY209" i="6"/>
  <c r="AX209" i="6"/>
  <c r="AW209" i="6"/>
  <c r="AV209" i="6"/>
  <c r="AM209" i="6"/>
  <c r="AL209" i="6"/>
  <c r="AI209" i="6"/>
  <c r="BA209" i="6" s="1"/>
  <c r="AH209" i="6"/>
  <c r="AG209" i="6"/>
  <c r="AF209" i="6"/>
  <c r="W209" i="6"/>
  <c r="V209" i="6"/>
  <c r="S209" i="6"/>
  <c r="R209" i="6"/>
  <c r="Q209" i="6"/>
  <c r="P209" i="6"/>
  <c r="AX208" i="6"/>
  <c r="AY208" i="6" s="1"/>
  <c r="AW208" i="6"/>
  <c r="AV208" i="6"/>
  <c r="AM208" i="6"/>
  <c r="AL208" i="6"/>
  <c r="AH208" i="6"/>
  <c r="AI208" i="6" s="1"/>
  <c r="AG208" i="6"/>
  <c r="AF208" i="6"/>
  <c r="W208" i="6"/>
  <c r="V208" i="6"/>
  <c r="S208" i="6"/>
  <c r="R208" i="6"/>
  <c r="P208" i="6"/>
  <c r="Q208" i="6" s="1"/>
  <c r="AZ208" i="6" s="1"/>
  <c r="AY207" i="6"/>
  <c r="AX207" i="6"/>
  <c r="AW207" i="6"/>
  <c r="AV207" i="6"/>
  <c r="AM207" i="6"/>
  <c r="AL207" i="6"/>
  <c r="AI207" i="6"/>
  <c r="AH207" i="6"/>
  <c r="AG207" i="6"/>
  <c r="AF207" i="6"/>
  <c r="W207" i="6"/>
  <c r="R207" i="6"/>
  <c r="S207" i="6" s="1"/>
  <c r="BA207" i="6" s="1"/>
  <c r="Q207" i="6"/>
  <c r="AZ207" i="6" s="1"/>
  <c r="P207" i="6"/>
  <c r="V207" i="6" s="1"/>
  <c r="AY206" i="6"/>
  <c r="AX206" i="6"/>
  <c r="AV206" i="6"/>
  <c r="AW206" i="6" s="1"/>
  <c r="AM206" i="6"/>
  <c r="AL206" i="6"/>
  <c r="AI206" i="6"/>
  <c r="AH206" i="6"/>
  <c r="AG206" i="6"/>
  <c r="AF206" i="6"/>
  <c r="S206" i="6"/>
  <c r="BA206" i="6" s="1"/>
  <c r="R206" i="6"/>
  <c r="W206" i="6" s="1"/>
  <c r="Q206" i="6"/>
  <c r="AZ206" i="6" s="1"/>
  <c r="P206" i="6"/>
  <c r="V206" i="6" s="1"/>
  <c r="AX205" i="6"/>
  <c r="AY205" i="6" s="1"/>
  <c r="AW205" i="6"/>
  <c r="AV205" i="6"/>
  <c r="AM205" i="6"/>
  <c r="AL205" i="6"/>
  <c r="AI205" i="6"/>
  <c r="AH205" i="6"/>
  <c r="AF205" i="6"/>
  <c r="AG205" i="6" s="1"/>
  <c r="W205" i="6"/>
  <c r="V205" i="6"/>
  <c r="S205" i="6"/>
  <c r="R205" i="6"/>
  <c r="Q205" i="6"/>
  <c r="P205" i="6"/>
  <c r="AX204" i="6"/>
  <c r="AY204" i="6" s="1"/>
  <c r="AW204" i="6"/>
  <c r="AV204" i="6"/>
  <c r="AM204" i="6"/>
  <c r="AL204" i="6"/>
  <c r="AH204" i="6"/>
  <c r="AI204" i="6" s="1"/>
  <c r="AF204" i="6"/>
  <c r="AG204" i="6" s="1"/>
  <c r="W204" i="6"/>
  <c r="V204" i="6"/>
  <c r="S204" i="6"/>
  <c r="BA204" i="6" s="1"/>
  <c r="R204" i="6"/>
  <c r="P204" i="6"/>
  <c r="Q204" i="6" s="1"/>
  <c r="AY203" i="6"/>
  <c r="AX203" i="6"/>
  <c r="AW203" i="6"/>
  <c r="AV203" i="6"/>
  <c r="AM203" i="6"/>
  <c r="AL203" i="6"/>
  <c r="AI203" i="6"/>
  <c r="AH203" i="6"/>
  <c r="AG203" i="6"/>
  <c r="AF203" i="6"/>
  <c r="W203" i="6"/>
  <c r="R203" i="6"/>
  <c r="S203" i="6" s="1"/>
  <c r="BA203" i="6" s="1"/>
  <c r="Q203" i="6"/>
  <c r="AZ203" i="6" s="1"/>
  <c r="P203" i="6"/>
  <c r="V203" i="6" s="1"/>
  <c r="AY202" i="6"/>
  <c r="AX202" i="6"/>
  <c r="AV202" i="6"/>
  <c r="AW202" i="6" s="1"/>
  <c r="AM202" i="6"/>
  <c r="AL202" i="6"/>
  <c r="AI202" i="6"/>
  <c r="AH202" i="6"/>
  <c r="AG202" i="6"/>
  <c r="AF202" i="6"/>
  <c r="R202" i="6"/>
  <c r="W202" i="6" s="1"/>
  <c r="Q202" i="6"/>
  <c r="AZ202" i="6" s="1"/>
  <c r="P202" i="6"/>
  <c r="V202" i="6" s="1"/>
  <c r="AX201" i="6"/>
  <c r="AY201" i="6" s="1"/>
  <c r="AW201" i="6"/>
  <c r="AV201" i="6"/>
  <c r="AM201" i="6"/>
  <c r="AL201" i="6"/>
  <c r="AI201" i="6"/>
  <c r="AH201" i="6"/>
  <c r="AF201" i="6"/>
  <c r="AG201" i="6" s="1"/>
  <c r="W201" i="6"/>
  <c r="V201" i="6"/>
  <c r="S201" i="6"/>
  <c r="R201" i="6"/>
  <c r="Q201" i="6"/>
  <c r="P201" i="6"/>
  <c r="AY200" i="6"/>
  <c r="AX200" i="6"/>
  <c r="AW200" i="6"/>
  <c r="AV200" i="6"/>
  <c r="AM200" i="6"/>
  <c r="AL200" i="6"/>
  <c r="AH200" i="6"/>
  <c r="AI200" i="6" s="1"/>
  <c r="AF200" i="6"/>
  <c r="AG200" i="6" s="1"/>
  <c r="W200" i="6"/>
  <c r="V200" i="6"/>
  <c r="S200" i="6"/>
  <c r="R200" i="6"/>
  <c r="P200" i="6"/>
  <c r="Q200" i="6" s="1"/>
  <c r="AZ199" i="6"/>
  <c r="AY199" i="6"/>
  <c r="AX199" i="6"/>
  <c r="AW199" i="6"/>
  <c r="AV199" i="6"/>
  <c r="AM199" i="6"/>
  <c r="AL199" i="6"/>
  <c r="AH199" i="6"/>
  <c r="AI199" i="6" s="1"/>
  <c r="AG199" i="6"/>
  <c r="AF199" i="6"/>
  <c r="W199" i="6"/>
  <c r="R199" i="6"/>
  <c r="S199" i="6" s="1"/>
  <c r="BA199" i="6" s="1"/>
  <c r="Q199" i="6"/>
  <c r="P199" i="6"/>
  <c r="V199" i="6" s="1"/>
  <c r="AY198" i="6"/>
  <c r="AX198" i="6"/>
  <c r="AV198" i="6"/>
  <c r="AW198" i="6" s="1"/>
  <c r="AM198" i="6"/>
  <c r="AL198" i="6"/>
  <c r="AI198" i="6"/>
  <c r="AH198" i="6"/>
  <c r="AG198" i="6"/>
  <c r="AF198" i="6"/>
  <c r="R198" i="6"/>
  <c r="W198" i="6" s="1"/>
  <c r="Q198" i="6"/>
  <c r="P198" i="6"/>
  <c r="V198" i="6" s="1"/>
  <c r="AX197" i="6"/>
  <c r="AY197" i="6" s="1"/>
  <c r="AV197" i="6"/>
  <c r="AW197" i="6" s="1"/>
  <c r="AM197" i="6"/>
  <c r="AL197" i="6"/>
  <c r="AI197" i="6"/>
  <c r="BA197" i="6" s="1"/>
  <c r="AH197" i="6"/>
  <c r="AF197" i="6"/>
  <c r="AG197" i="6" s="1"/>
  <c r="W197" i="6"/>
  <c r="V197" i="6"/>
  <c r="S197" i="6"/>
  <c r="R197" i="6"/>
  <c r="Q197" i="6"/>
  <c r="P197" i="6"/>
  <c r="AX196" i="6"/>
  <c r="AY196" i="6" s="1"/>
  <c r="AW196" i="6"/>
  <c r="AV196" i="6"/>
  <c r="AM196" i="6"/>
  <c r="AL196" i="6"/>
  <c r="AH196" i="6"/>
  <c r="AI196" i="6" s="1"/>
  <c r="AG196" i="6"/>
  <c r="AF196" i="6"/>
  <c r="W196" i="6"/>
  <c r="V196" i="6"/>
  <c r="S196" i="6"/>
  <c r="R196" i="6"/>
  <c r="P196" i="6"/>
  <c r="Q196" i="6" s="1"/>
  <c r="AZ195" i="6"/>
  <c r="AY195" i="6"/>
  <c r="AX195" i="6"/>
  <c r="AW195" i="6"/>
  <c r="AV195" i="6"/>
  <c r="AM195" i="6"/>
  <c r="AL195" i="6"/>
  <c r="AH195" i="6"/>
  <c r="AI195" i="6" s="1"/>
  <c r="BA195" i="6" s="1"/>
  <c r="AG195" i="6"/>
  <c r="AF195" i="6"/>
  <c r="W195" i="6"/>
  <c r="R195" i="6"/>
  <c r="S195" i="6" s="1"/>
  <c r="Q195" i="6"/>
  <c r="P195" i="6"/>
  <c r="V195" i="6" s="1"/>
  <c r="AY194" i="6"/>
  <c r="AX194" i="6"/>
  <c r="AV194" i="6"/>
  <c r="AW194" i="6" s="1"/>
  <c r="AM194" i="6"/>
  <c r="AL194" i="6"/>
  <c r="AI194" i="6"/>
  <c r="AH194" i="6"/>
  <c r="AG194" i="6"/>
  <c r="AF194" i="6"/>
  <c r="S194" i="6"/>
  <c r="BA194" i="6" s="1"/>
  <c r="R194" i="6"/>
  <c r="W194" i="6" s="1"/>
  <c r="Q194" i="6"/>
  <c r="AZ194" i="6" s="1"/>
  <c r="P194" i="6"/>
  <c r="V194" i="6" s="1"/>
  <c r="AX193" i="6"/>
  <c r="AY193" i="6" s="1"/>
  <c r="AW193" i="6"/>
  <c r="AV193" i="6"/>
  <c r="AM193" i="6"/>
  <c r="AL193" i="6"/>
  <c r="AI193" i="6"/>
  <c r="BA193" i="6" s="1"/>
  <c r="AH193" i="6"/>
  <c r="AF193" i="6"/>
  <c r="AG193" i="6" s="1"/>
  <c r="W193" i="6"/>
  <c r="V193" i="6"/>
  <c r="S193" i="6"/>
  <c r="R193" i="6"/>
  <c r="Q193" i="6"/>
  <c r="AZ193" i="6" s="1"/>
  <c r="P193" i="6"/>
  <c r="AY192" i="6"/>
  <c r="AX192" i="6"/>
  <c r="AW192" i="6"/>
  <c r="AV192" i="6"/>
  <c r="AM192" i="6"/>
  <c r="AL192" i="6"/>
  <c r="AH192" i="6"/>
  <c r="AI192" i="6" s="1"/>
  <c r="AF192" i="6"/>
  <c r="AG192" i="6" s="1"/>
  <c r="W192" i="6"/>
  <c r="S192" i="6"/>
  <c r="R192" i="6"/>
  <c r="P192" i="6"/>
  <c r="V192" i="6" s="1"/>
  <c r="AZ191" i="6"/>
  <c r="AY191" i="6"/>
  <c r="AX191" i="6"/>
  <c r="AW191" i="6"/>
  <c r="AV191" i="6"/>
  <c r="AM191" i="6"/>
  <c r="AL191" i="6"/>
  <c r="AH191" i="6"/>
  <c r="AI191" i="6" s="1"/>
  <c r="BA191" i="6" s="1"/>
  <c r="AG191" i="6"/>
  <c r="AF191" i="6"/>
  <c r="W191" i="6"/>
  <c r="R191" i="6"/>
  <c r="S191" i="6" s="1"/>
  <c r="Q191" i="6"/>
  <c r="P191" i="6"/>
  <c r="V191" i="6" s="1"/>
  <c r="AY190" i="6"/>
  <c r="AX190" i="6"/>
  <c r="AV190" i="6"/>
  <c r="AW190" i="6" s="1"/>
  <c r="AM190" i="6"/>
  <c r="AL190" i="6"/>
  <c r="AI190" i="6"/>
  <c r="AH190" i="6"/>
  <c r="AG190" i="6"/>
  <c r="AF190" i="6"/>
  <c r="S190" i="6"/>
  <c r="BA190" i="6" s="1"/>
  <c r="R190" i="6"/>
  <c r="W190" i="6" s="1"/>
  <c r="Q190" i="6"/>
  <c r="AZ190" i="6" s="1"/>
  <c r="P190" i="6"/>
  <c r="V190" i="6" s="1"/>
  <c r="AX189" i="6"/>
  <c r="AY189" i="6" s="1"/>
  <c r="AW189" i="6"/>
  <c r="AV189" i="6"/>
  <c r="AM189" i="6"/>
  <c r="AL189" i="6"/>
  <c r="AI189" i="6"/>
  <c r="BA189" i="6" s="1"/>
  <c r="AH189" i="6"/>
  <c r="AF189" i="6"/>
  <c r="AG189" i="6" s="1"/>
  <c r="W189" i="6"/>
  <c r="V189" i="6"/>
  <c r="S189" i="6"/>
  <c r="R189" i="6"/>
  <c r="Q189" i="6"/>
  <c r="AZ189" i="6" s="1"/>
  <c r="P189" i="6"/>
  <c r="AY188" i="6"/>
  <c r="AX188" i="6"/>
  <c r="AW188" i="6"/>
  <c r="AV188" i="6"/>
  <c r="AM188" i="6"/>
  <c r="AL188" i="6"/>
  <c r="AH188" i="6"/>
  <c r="AI188" i="6" s="1"/>
  <c r="AF188" i="6"/>
  <c r="AG188" i="6" s="1"/>
  <c r="W188" i="6"/>
  <c r="S188" i="6"/>
  <c r="R188" i="6"/>
  <c r="P188" i="6"/>
  <c r="V188" i="6" s="1"/>
  <c r="AZ187" i="6"/>
  <c r="AY187" i="6"/>
  <c r="AX187" i="6"/>
  <c r="AW187" i="6"/>
  <c r="AV187" i="6"/>
  <c r="AM187" i="6"/>
  <c r="AL187" i="6"/>
  <c r="AH187" i="6"/>
  <c r="AI187" i="6" s="1"/>
  <c r="BA187" i="6" s="1"/>
  <c r="AG187" i="6"/>
  <c r="AF187" i="6"/>
  <c r="W187" i="6"/>
  <c r="R187" i="6"/>
  <c r="S187" i="6" s="1"/>
  <c r="Q187" i="6"/>
  <c r="P187" i="6"/>
  <c r="V187" i="6" s="1"/>
  <c r="AY186" i="6"/>
  <c r="AX186" i="6"/>
  <c r="AV186" i="6"/>
  <c r="AW186" i="6" s="1"/>
  <c r="AM186" i="6"/>
  <c r="AL186" i="6"/>
  <c r="AI186" i="6"/>
  <c r="AH186" i="6"/>
  <c r="AG186" i="6"/>
  <c r="AF186" i="6"/>
  <c r="V186" i="6"/>
  <c r="R186" i="6"/>
  <c r="Q186" i="6"/>
  <c r="P186" i="6"/>
  <c r="AX185" i="6"/>
  <c r="AY185" i="6" s="1"/>
  <c r="AV185" i="6"/>
  <c r="AW185" i="6" s="1"/>
  <c r="AM185" i="6"/>
  <c r="AL185" i="6"/>
  <c r="AI185" i="6"/>
  <c r="BA185" i="6" s="1"/>
  <c r="AH185" i="6"/>
  <c r="AF185" i="6"/>
  <c r="AG185" i="6" s="1"/>
  <c r="W185" i="6"/>
  <c r="V185" i="6"/>
  <c r="S185" i="6"/>
  <c r="R185" i="6"/>
  <c r="Q185" i="6"/>
  <c r="P185" i="6"/>
  <c r="AY184" i="6"/>
  <c r="AX184" i="6"/>
  <c r="AW184" i="6"/>
  <c r="AV184" i="6"/>
  <c r="AM184" i="6"/>
  <c r="AL184" i="6"/>
  <c r="AH184" i="6"/>
  <c r="AI184" i="6" s="1"/>
  <c r="AG184" i="6"/>
  <c r="AF184" i="6"/>
  <c r="W184" i="6"/>
  <c r="S184" i="6"/>
  <c r="R184" i="6"/>
  <c r="P184" i="6"/>
  <c r="V184" i="6" s="1"/>
  <c r="AY183" i="6"/>
  <c r="AX183" i="6"/>
  <c r="AW183" i="6"/>
  <c r="AV183" i="6"/>
  <c r="AM183" i="6"/>
  <c r="AL183" i="6"/>
  <c r="AI183" i="6"/>
  <c r="BA183" i="6" s="1"/>
  <c r="AH183" i="6"/>
  <c r="AG183" i="6"/>
  <c r="AF183" i="6"/>
  <c r="W183" i="6"/>
  <c r="R183" i="6"/>
  <c r="S183" i="6" s="1"/>
  <c r="P183" i="6"/>
  <c r="V183" i="6" s="1"/>
  <c r="AY182" i="6"/>
  <c r="AX182" i="6"/>
  <c r="AV182" i="6"/>
  <c r="AW182" i="6" s="1"/>
  <c r="AM182" i="6"/>
  <c r="AL182" i="6"/>
  <c r="AI182" i="6"/>
  <c r="AH182" i="6"/>
  <c r="AG182" i="6"/>
  <c r="AF182" i="6"/>
  <c r="V182" i="6"/>
  <c r="S182" i="6"/>
  <c r="BA182" i="6" s="1"/>
  <c r="R182" i="6"/>
  <c r="W182" i="6" s="1"/>
  <c r="Q182" i="6"/>
  <c r="P182" i="6"/>
  <c r="AX181" i="6"/>
  <c r="AY181" i="6" s="1"/>
  <c r="AV181" i="6"/>
  <c r="AW181" i="6" s="1"/>
  <c r="AM181" i="6"/>
  <c r="AL181" i="6"/>
  <c r="AI181" i="6"/>
  <c r="BA181" i="6" s="1"/>
  <c r="AH181" i="6"/>
  <c r="AF181" i="6"/>
  <c r="AG181" i="6" s="1"/>
  <c r="W181" i="6"/>
  <c r="V181" i="6"/>
  <c r="S181" i="6"/>
  <c r="R181" i="6"/>
  <c r="Q181" i="6"/>
  <c r="P181" i="6"/>
  <c r="AY180" i="6"/>
  <c r="AX180" i="6"/>
  <c r="AW180" i="6"/>
  <c r="AV180" i="6"/>
  <c r="AM180" i="6"/>
  <c r="AL180" i="6"/>
  <c r="AH180" i="6"/>
  <c r="AI180" i="6" s="1"/>
  <c r="AG180" i="6"/>
  <c r="AF180" i="6"/>
  <c r="W180" i="6"/>
  <c r="S180" i="6"/>
  <c r="R180" i="6"/>
  <c r="P180" i="6"/>
  <c r="V180" i="6" s="1"/>
  <c r="AY179" i="6"/>
  <c r="AX179" i="6"/>
  <c r="AW179" i="6"/>
  <c r="AV179" i="6"/>
  <c r="AM179" i="6"/>
  <c r="AL179" i="6"/>
  <c r="AH179" i="6"/>
  <c r="AI179" i="6" s="1"/>
  <c r="BA179" i="6" s="1"/>
  <c r="AG179" i="6"/>
  <c r="AF179" i="6"/>
  <c r="W179" i="6"/>
  <c r="R179" i="6"/>
  <c r="S179" i="6" s="1"/>
  <c r="P179" i="6"/>
  <c r="V179" i="6" s="1"/>
  <c r="AY178" i="6"/>
  <c r="AX178" i="6"/>
  <c r="AV178" i="6"/>
  <c r="AW178" i="6" s="1"/>
  <c r="AM178" i="6"/>
  <c r="AL178" i="6"/>
  <c r="AI178" i="6"/>
  <c r="AH178" i="6"/>
  <c r="AG178" i="6"/>
  <c r="AF178" i="6"/>
  <c r="V178" i="6"/>
  <c r="S178" i="6"/>
  <c r="BA178" i="6" s="1"/>
  <c r="R178" i="6"/>
  <c r="W178" i="6" s="1"/>
  <c r="Q178" i="6"/>
  <c r="P178" i="6"/>
  <c r="AX177" i="6"/>
  <c r="AY177" i="6" s="1"/>
  <c r="AW177" i="6"/>
  <c r="AV177" i="6"/>
  <c r="AM177" i="6"/>
  <c r="AL177" i="6"/>
  <c r="AI177" i="6"/>
  <c r="BA177" i="6" s="1"/>
  <c r="AH177" i="6"/>
  <c r="AF177" i="6"/>
  <c r="AG177" i="6" s="1"/>
  <c r="W177" i="6"/>
  <c r="V177" i="6"/>
  <c r="S177" i="6"/>
  <c r="R177" i="6"/>
  <c r="Q177" i="6"/>
  <c r="P177" i="6"/>
  <c r="AY176" i="6"/>
  <c r="AX176" i="6"/>
  <c r="AW176" i="6"/>
  <c r="AV176" i="6"/>
  <c r="AM176" i="6"/>
  <c r="AL176" i="6"/>
  <c r="AH176" i="6"/>
  <c r="AI176" i="6" s="1"/>
  <c r="AG176" i="6"/>
  <c r="AF176" i="6"/>
  <c r="W176" i="6"/>
  <c r="S176" i="6"/>
  <c r="R176" i="6"/>
  <c r="P176" i="6"/>
  <c r="V176" i="6" s="1"/>
  <c r="AY175" i="6"/>
  <c r="AX175" i="6"/>
  <c r="AW175" i="6"/>
  <c r="AV175" i="6"/>
  <c r="AM175" i="6"/>
  <c r="AL175" i="6"/>
  <c r="AI175" i="6"/>
  <c r="BA175" i="6" s="1"/>
  <c r="AH175" i="6"/>
  <c r="AG175" i="6"/>
  <c r="AF175" i="6"/>
  <c r="W175" i="6"/>
  <c r="R175" i="6"/>
  <c r="S175" i="6" s="1"/>
  <c r="Q175" i="6"/>
  <c r="AZ175" i="6" s="1"/>
  <c r="P175" i="6"/>
  <c r="V175" i="6" s="1"/>
  <c r="AY174" i="6"/>
  <c r="AX174" i="6"/>
  <c r="AV174" i="6"/>
  <c r="AW174" i="6" s="1"/>
  <c r="AM174" i="6"/>
  <c r="AL174" i="6"/>
  <c r="AI174" i="6"/>
  <c r="AH174" i="6"/>
  <c r="AG174" i="6"/>
  <c r="AF174" i="6"/>
  <c r="V174" i="6"/>
  <c r="S174" i="6"/>
  <c r="BA174" i="6" s="1"/>
  <c r="R174" i="6"/>
  <c r="W174" i="6" s="1"/>
  <c r="Q174" i="6"/>
  <c r="P174" i="6"/>
  <c r="AX173" i="6"/>
  <c r="AY173" i="6" s="1"/>
  <c r="AV173" i="6"/>
  <c r="AW173" i="6" s="1"/>
  <c r="AM173" i="6"/>
  <c r="AL173" i="6"/>
  <c r="AI173" i="6"/>
  <c r="AH173" i="6"/>
  <c r="AF173" i="6"/>
  <c r="AG173" i="6" s="1"/>
  <c r="W173" i="6"/>
  <c r="V173" i="6"/>
  <c r="S173" i="6"/>
  <c r="R173" i="6"/>
  <c r="Q173" i="6"/>
  <c r="P173" i="6"/>
  <c r="AX172" i="6"/>
  <c r="AY172" i="6" s="1"/>
  <c r="AW172" i="6"/>
  <c r="AV172" i="6"/>
  <c r="AM172" i="6"/>
  <c r="AL172" i="6"/>
  <c r="AH172" i="6"/>
  <c r="AI172" i="6" s="1"/>
  <c r="AG172" i="6"/>
  <c r="AF172" i="6"/>
  <c r="W172" i="6"/>
  <c r="S172" i="6"/>
  <c r="R172" i="6"/>
  <c r="P172" i="6"/>
  <c r="V172" i="6" s="1"/>
  <c r="AY171" i="6"/>
  <c r="AX171" i="6"/>
  <c r="AW171" i="6"/>
  <c r="AV171" i="6"/>
  <c r="AM171" i="6"/>
  <c r="AL171" i="6"/>
  <c r="AI171" i="6"/>
  <c r="AH171" i="6"/>
  <c r="AG171" i="6"/>
  <c r="AF171" i="6"/>
  <c r="W171" i="6"/>
  <c r="R171" i="6"/>
  <c r="S171" i="6" s="1"/>
  <c r="BA171" i="6" s="1"/>
  <c r="P171" i="6"/>
  <c r="AY170" i="6"/>
  <c r="AX170" i="6"/>
  <c r="AV170" i="6"/>
  <c r="AW170" i="6" s="1"/>
  <c r="AM170" i="6"/>
  <c r="AL170" i="6"/>
  <c r="AI170" i="6"/>
  <c r="AH170" i="6"/>
  <c r="AG170" i="6"/>
  <c r="AF170" i="6"/>
  <c r="V170" i="6"/>
  <c r="S170" i="6"/>
  <c r="BA170" i="6" s="1"/>
  <c r="R170" i="6"/>
  <c r="W170" i="6" s="1"/>
  <c r="Q170" i="6"/>
  <c r="AZ170" i="6" s="1"/>
  <c r="P170" i="6"/>
  <c r="AX169" i="6"/>
  <c r="AY169" i="6" s="1"/>
  <c r="AW169" i="6"/>
  <c r="AV169" i="6"/>
  <c r="AM169" i="6"/>
  <c r="AL169" i="6"/>
  <c r="AI169" i="6"/>
  <c r="AH169" i="6"/>
  <c r="AF169" i="6"/>
  <c r="AG169" i="6" s="1"/>
  <c r="W169" i="6"/>
  <c r="V169" i="6"/>
  <c r="S169" i="6"/>
  <c r="R169" i="6"/>
  <c r="Q169" i="6"/>
  <c r="P169" i="6"/>
  <c r="AX168" i="6"/>
  <c r="AY168" i="6" s="1"/>
  <c r="AW168" i="6"/>
  <c r="AV168" i="6"/>
  <c r="AM168" i="6"/>
  <c r="AL168" i="6"/>
  <c r="AH168" i="6"/>
  <c r="AI168" i="6" s="1"/>
  <c r="AF168" i="6"/>
  <c r="AG168" i="6" s="1"/>
  <c r="W168" i="6"/>
  <c r="S168" i="6"/>
  <c r="R168" i="6"/>
  <c r="P168" i="6"/>
  <c r="V168" i="6" s="1"/>
  <c r="AY167" i="6"/>
  <c r="AX167" i="6"/>
  <c r="AW167" i="6"/>
  <c r="AV167" i="6"/>
  <c r="AM167" i="6"/>
  <c r="AL167" i="6"/>
  <c r="AH167" i="6"/>
  <c r="AI167" i="6" s="1"/>
  <c r="AG167" i="6"/>
  <c r="AF167" i="6"/>
  <c r="W167" i="6"/>
  <c r="R167" i="6"/>
  <c r="S167" i="6" s="1"/>
  <c r="Q167" i="6"/>
  <c r="AZ167" i="6" s="1"/>
  <c r="P167" i="6"/>
  <c r="V167" i="6" s="1"/>
  <c r="AY166" i="6"/>
  <c r="AX166" i="6"/>
  <c r="AV166" i="6"/>
  <c r="AW166" i="6" s="1"/>
  <c r="AM166" i="6"/>
  <c r="AL166" i="6"/>
  <c r="AI166" i="6"/>
  <c r="AH166" i="6"/>
  <c r="AG166" i="6"/>
  <c r="AF166" i="6"/>
  <c r="V166" i="6"/>
  <c r="R166" i="6"/>
  <c r="W166" i="6" s="1"/>
  <c r="Q166" i="6"/>
  <c r="AZ166" i="6" s="1"/>
  <c r="P166" i="6"/>
  <c r="BA165" i="6"/>
  <c r="AX165" i="6"/>
  <c r="AY165" i="6" s="1"/>
  <c r="AV165" i="6"/>
  <c r="AW165" i="6" s="1"/>
  <c r="AM165" i="6"/>
  <c r="AL165" i="6"/>
  <c r="AI165" i="6"/>
  <c r="AH165" i="6"/>
  <c r="AF165" i="6"/>
  <c r="AG165" i="6" s="1"/>
  <c r="W165" i="6"/>
  <c r="V165" i="6"/>
  <c r="S165" i="6"/>
  <c r="R165" i="6"/>
  <c r="Q165" i="6"/>
  <c r="P165" i="6"/>
  <c r="AX164" i="6"/>
  <c r="AY164" i="6" s="1"/>
  <c r="AW164" i="6"/>
  <c r="AV164" i="6"/>
  <c r="AM164" i="6"/>
  <c r="AL164" i="6"/>
  <c r="AH164" i="6"/>
  <c r="AI164" i="6" s="1"/>
  <c r="AG164" i="6"/>
  <c r="AF164" i="6"/>
  <c r="S164" i="6"/>
  <c r="BA164" i="6" s="1"/>
  <c r="R164" i="6"/>
  <c r="W164" i="6" s="1"/>
  <c r="P164" i="6"/>
  <c r="V164" i="6" s="1"/>
  <c r="AY163" i="6"/>
  <c r="AX163" i="6"/>
  <c r="AW163" i="6"/>
  <c r="AV163" i="6"/>
  <c r="AM163" i="6"/>
  <c r="AL163" i="6"/>
  <c r="AI163" i="6"/>
  <c r="AH163" i="6"/>
  <c r="AG163" i="6"/>
  <c r="AF163" i="6"/>
  <c r="W163" i="6"/>
  <c r="R163" i="6"/>
  <c r="S163" i="6" s="1"/>
  <c r="BA163" i="6" s="1"/>
  <c r="Q163" i="6"/>
  <c r="AZ163" i="6" s="1"/>
  <c r="P163" i="6"/>
  <c r="V163" i="6" s="1"/>
  <c r="AY162" i="6"/>
  <c r="AX162" i="6"/>
  <c r="AV162" i="6"/>
  <c r="AW162" i="6" s="1"/>
  <c r="AM162" i="6"/>
  <c r="AL162" i="6"/>
  <c r="AI162" i="6"/>
  <c r="AH162" i="6"/>
  <c r="AF162" i="6"/>
  <c r="AG162" i="6" s="1"/>
  <c r="V162" i="6"/>
  <c r="R162" i="6"/>
  <c r="W162" i="6" s="1"/>
  <c r="Q162" i="6"/>
  <c r="P162" i="6"/>
  <c r="AX161" i="6"/>
  <c r="AY161" i="6" s="1"/>
  <c r="AV161" i="6"/>
  <c r="AW161" i="6" s="1"/>
  <c r="AM161" i="6"/>
  <c r="AL161" i="6"/>
  <c r="AI161" i="6"/>
  <c r="BA161" i="6" s="1"/>
  <c r="AH161" i="6"/>
  <c r="AF161" i="6"/>
  <c r="AG161" i="6" s="1"/>
  <c r="W161" i="6"/>
  <c r="S161" i="6"/>
  <c r="R161" i="6"/>
  <c r="P161" i="6"/>
  <c r="AY160" i="6"/>
  <c r="AX160" i="6"/>
  <c r="AW160" i="6"/>
  <c r="AV160" i="6"/>
  <c r="AM160" i="6"/>
  <c r="AL160" i="6"/>
  <c r="AH160" i="6"/>
  <c r="AI160" i="6" s="1"/>
  <c r="AG160" i="6"/>
  <c r="AF160" i="6"/>
  <c r="W160" i="6"/>
  <c r="S160" i="6"/>
  <c r="R160" i="6"/>
  <c r="P160" i="6"/>
  <c r="V160" i="6" s="1"/>
  <c r="AY159" i="6"/>
  <c r="AX159" i="6"/>
  <c r="AV159" i="6"/>
  <c r="AW159" i="6" s="1"/>
  <c r="AM159" i="6"/>
  <c r="AL159" i="6"/>
  <c r="AI159" i="6"/>
  <c r="AH159" i="6"/>
  <c r="AG159" i="6"/>
  <c r="AF159" i="6"/>
  <c r="W159" i="6"/>
  <c r="R159" i="6"/>
  <c r="S159" i="6" s="1"/>
  <c r="P159" i="6"/>
  <c r="V159" i="6" s="1"/>
  <c r="AY158" i="6"/>
  <c r="AX158" i="6"/>
  <c r="AV158" i="6"/>
  <c r="AW158" i="6" s="1"/>
  <c r="AM158" i="6"/>
  <c r="AL158" i="6"/>
  <c r="AI158" i="6"/>
  <c r="AH158" i="6"/>
  <c r="AF158" i="6"/>
  <c r="AG158" i="6" s="1"/>
  <c r="V158" i="6"/>
  <c r="R158" i="6"/>
  <c r="W158" i="6" s="1"/>
  <c r="Q158" i="6"/>
  <c r="P158" i="6"/>
  <c r="AX157" i="6"/>
  <c r="AY157" i="6" s="1"/>
  <c r="AW157" i="6"/>
  <c r="AV157" i="6"/>
  <c r="AM157" i="6"/>
  <c r="AL157" i="6"/>
  <c r="AH157" i="6"/>
  <c r="AI157" i="6" s="1"/>
  <c r="AF157" i="6"/>
  <c r="AG157" i="6" s="1"/>
  <c r="W157" i="6"/>
  <c r="V157" i="6"/>
  <c r="S157" i="6"/>
  <c r="R157" i="6"/>
  <c r="P157" i="6"/>
  <c r="Q157" i="6" s="1"/>
  <c r="AZ157" i="6" s="1"/>
  <c r="AY156" i="6"/>
  <c r="AX156" i="6"/>
  <c r="AW156" i="6"/>
  <c r="AV156" i="6"/>
  <c r="AM156" i="6"/>
  <c r="AL156" i="6"/>
  <c r="AH156" i="6"/>
  <c r="AI156" i="6" s="1"/>
  <c r="AF156" i="6"/>
  <c r="AG156" i="6" s="1"/>
  <c r="W156" i="6"/>
  <c r="S156" i="6"/>
  <c r="BA156" i="6" s="1"/>
  <c r="R156" i="6"/>
  <c r="P156" i="6"/>
  <c r="AY155" i="6"/>
  <c r="AX155" i="6"/>
  <c r="AV155" i="6"/>
  <c r="AW155" i="6" s="1"/>
  <c r="AM155" i="6"/>
  <c r="AL155" i="6"/>
  <c r="AI155" i="6"/>
  <c r="AH155" i="6"/>
  <c r="AG155" i="6"/>
  <c r="AF155" i="6"/>
  <c r="W155" i="6"/>
  <c r="V155" i="6"/>
  <c r="R155" i="6"/>
  <c r="S155" i="6" s="1"/>
  <c r="BA155" i="6" s="1"/>
  <c r="P155" i="6"/>
  <c r="Q155" i="6" s="1"/>
  <c r="AX154" i="6"/>
  <c r="AY154" i="6" s="1"/>
  <c r="AV154" i="6"/>
  <c r="AW154" i="6" s="1"/>
  <c r="AM154" i="6"/>
  <c r="AL154" i="6"/>
  <c r="AI154" i="6"/>
  <c r="AH154" i="6"/>
  <c r="AF154" i="6"/>
  <c r="AG154" i="6" s="1"/>
  <c r="V154" i="6"/>
  <c r="R154" i="6"/>
  <c r="Q154" i="6"/>
  <c r="P154" i="6"/>
  <c r="AX153" i="6"/>
  <c r="AY153" i="6" s="1"/>
  <c r="AW153" i="6"/>
  <c r="AV153" i="6"/>
  <c r="AM153" i="6"/>
  <c r="AL153" i="6"/>
  <c r="AH153" i="6"/>
  <c r="AI153" i="6" s="1"/>
  <c r="AF153" i="6"/>
  <c r="AG153" i="6" s="1"/>
  <c r="W153" i="6"/>
  <c r="V153" i="6"/>
  <c r="S153" i="6"/>
  <c r="BA153" i="6" s="1"/>
  <c r="R153" i="6"/>
  <c r="Q153" i="6"/>
  <c r="AZ153" i="6" s="1"/>
  <c r="P153" i="6"/>
  <c r="AX152" i="6"/>
  <c r="AY152" i="6" s="1"/>
  <c r="AW152" i="6"/>
  <c r="AV152" i="6"/>
  <c r="AM152" i="6"/>
  <c r="AL152" i="6"/>
  <c r="AH152" i="6"/>
  <c r="AI152" i="6" s="1"/>
  <c r="AG152" i="6"/>
  <c r="AF152" i="6"/>
  <c r="S152" i="6"/>
  <c r="R152" i="6"/>
  <c r="W152" i="6" s="1"/>
  <c r="P152" i="6"/>
  <c r="AY151" i="6"/>
  <c r="AX151" i="6"/>
  <c r="AV151" i="6"/>
  <c r="AW151" i="6" s="1"/>
  <c r="AM151" i="6"/>
  <c r="AL151" i="6"/>
  <c r="AI151" i="6"/>
  <c r="AH151" i="6"/>
  <c r="AG151" i="6"/>
  <c r="AF151" i="6"/>
  <c r="V151" i="6"/>
  <c r="R151" i="6"/>
  <c r="S151" i="6" s="1"/>
  <c r="BA151" i="6" s="1"/>
  <c r="Q151" i="6"/>
  <c r="AZ151" i="6" s="1"/>
  <c r="P151" i="6"/>
  <c r="AY150" i="6"/>
  <c r="AX150" i="6"/>
  <c r="AV150" i="6"/>
  <c r="AW150" i="6" s="1"/>
  <c r="AM150" i="6"/>
  <c r="AL150" i="6"/>
  <c r="AI150" i="6"/>
  <c r="AH150" i="6"/>
  <c r="AF150" i="6"/>
  <c r="AG150" i="6" s="1"/>
  <c r="V150" i="6"/>
  <c r="R150" i="6"/>
  <c r="W150" i="6" s="1"/>
  <c r="Q150" i="6"/>
  <c r="P150" i="6"/>
  <c r="AX149" i="6"/>
  <c r="AY149" i="6" s="1"/>
  <c r="AV149" i="6"/>
  <c r="AW149" i="6" s="1"/>
  <c r="AM149" i="6"/>
  <c r="AL149" i="6"/>
  <c r="AI149" i="6"/>
  <c r="BA149" i="6" s="1"/>
  <c r="AH149" i="6"/>
  <c r="AF149" i="6"/>
  <c r="AG149" i="6" s="1"/>
  <c r="W149" i="6"/>
  <c r="S149" i="6"/>
  <c r="R149" i="6"/>
  <c r="P149" i="6"/>
  <c r="AX148" i="6"/>
  <c r="AY148" i="6" s="1"/>
  <c r="AV148" i="6"/>
  <c r="AW148" i="6" s="1"/>
  <c r="AM148" i="6"/>
  <c r="AL148" i="6"/>
  <c r="AH148" i="6"/>
  <c r="AI148" i="6" s="1"/>
  <c r="AG148" i="6"/>
  <c r="AF148" i="6"/>
  <c r="R148" i="6"/>
  <c r="W148" i="6" s="1"/>
  <c r="P148" i="6"/>
  <c r="Q148" i="6" s="1"/>
  <c r="AX147" i="6"/>
  <c r="AY147" i="6" s="1"/>
  <c r="BA147" i="6" s="1"/>
  <c r="AV147" i="6"/>
  <c r="AW147" i="6" s="1"/>
  <c r="AM147" i="6"/>
  <c r="AL147" i="6"/>
  <c r="AI147" i="6"/>
  <c r="AH147" i="6"/>
  <c r="AF147" i="6"/>
  <c r="AG147" i="6" s="1"/>
  <c r="R147" i="6"/>
  <c r="S147" i="6" s="1"/>
  <c r="P147" i="6"/>
  <c r="AY146" i="6"/>
  <c r="AX146" i="6"/>
  <c r="AV146" i="6"/>
  <c r="AW146" i="6" s="1"/>
  <c r="AM146" i="6"/>
  <c r="AL146" i="6"/>
  <c r="AI146" i="6"/>
  <c r="AH146" i="6"/>
  <c r="AF146" i="6"/>
  <c r="AG146" i="6" s="1"/>
  <c r="R146" i="6"/>
  <c r="W146" i="6" s="1"/>
  <c r="P146" i="6"/>
  <c r="AX145" i="6"/>
  <c r="AY145" i="6" s="1"/>
  <c r="AV145" i="6"/>
  <c r="AW145" i="6" s="1"/>
  <c r="AM145" i="6"/>
  <c r="AL145" i="6"/>
  <c r="AI145" i="6"/>
  <c r="AH145" i="6"/>
  <c r="AF145" i="6"/>
  <c r="AG145" i="6" s="1"/>
  <c r="R145" i="6"/>
  <c r="W145" i="6" s="1"/>
  <c r="P145" i="6"/>
  <c r="AX144" i="6"/>
  <c r="AY144" i="6" s="1"/>
  <c r="AV144" i="6"/>
  <c r="AW144" i="6" s="1"/>
  <c r="AM144" i="6"/>
  <c r="AL144" i="6"/>
  <c r="AH144" i="6"/>
  <c r="AI144" i="6" s="1"/>
  <c r="AG144" i="6"/>
  <c r="AF144" i="6"/>
  <c r="R144" i="6"/>
  <c r="W144" i="6" s="1"/>
  <c r="P144" i="6"/>
  <c r="Q144" i="6" s="1"/>
  <c r="AX143" i="6"/>
  <c r="AY143" i="6" s="1"/>
  <c r="AV143" i="6"/>
  <c r="AW143" i="6" s="1"/>
  <c r="AM143" i="6"/>
  <c r="AL143" i="6"/>
  <c r="AI143" i="6"/>
  <c r="BA143" i="6" s="1"/>
  <c r="AH143" i="6"/>
  <c r="AF143" i="6"/>
  <c r="AG143" i="6" s="1"/>
  <c r="R143" i="6"/>
  <c r="S143" i="6" s="1"/>
  <c r="P143" i="6"/>
  <c r="AY142" i="6"/>
  <c r="AX142" i="6"/>
  <c r="AV142" i="6"/>
  <c r="AW142" i="6" s="1"/>
  <c r="AM142" i="6"/>
  <c r="AL142" i="6"/>
  <c r="AI142" i="6"/>
  <c r="AH142" i="6"/>
  <c r="AF142" i="6"/>
  <c r="AG142" i="6" s="1"/>
  <c r="R142" i="6"/>
  <c r="W142" i="6" s="1"/>
  <c r="P142" i="6"/>
  <c r="AX141" i="6"/>
  <c r="AY141" i="6" s="1"/>
  <c r="AV141" i="6"/>
  <c r="AW141" i="6" s="1"/>
  <c r="AM141" i="6"/>
  <c r="AL141" i="6"/>
  <c r="AI141" i="6"/>
  <c r="AH141" i="6"/>
  <c r="AF141" i="6"/>
  <c r="AG141" i="6" s="1"/>
  <c r="R141" i="6"/>
  <c r="P141" i="6"/>
  <c r="AX140" i="6"/>
  <c r="AY140" i="6" s="1"/>
  <c r="AV140" i="6"/>
  <c r="AW140" i="6" s="1"/>
  <c r="AM140" i="6"/>
  <c r="AL140" i="6"/>
  <c r="AH140" i="6"/>
  <c r="AI140" i="6" s="1"/>
  <c r="AG140" i="6"/>
  <c r="AF140" i="6"/>
  <c r="R140" i="6"/>
  <c r="P140" i="6"/>
  <c r="Q140" i="6" s="1"/>
  <c r="AX139" i="6"/>
  <c r="AY139" i="6" s="1"/>
  <c r="AV139" i="6"/>
  <c r="AW139" i="6" s="1"/>
  <c r="AM139" i="6"/>
  <c r="AL139" i="6"/>
  <c r="AI139" i="6"/>
  <c r="AH139" i="6"/>
  <c r="AF139" i="6"/>
  <c r="AG139" i="6" s="1"/>
  <c r="S139" i="6"/>
  <c r="BA139" i="6" s="1"/>
  <c r="R139" i="6"/>
  <c r="W139" i="6" s="1"/>
  <c r="Q139" i="6"/>
  <c r="P139" i="6"/>
  <c r="V139" i="6" s="1"/>
  <c r="AX138" i="6"/>
  <c r="AY138" i="6" s="1"/>
  <c r="AW138" i="6"/>
  <c r="AV138" i="6"/>
  <c r="AM138" i="6"/>
  <c r="AL138" i="6"/>
  <c r="AH138" i="6"/>
  <c r="AI138" i="6" s="1"/>
  <c r="AF138" i="6"/>
  <c r="AG138" i="6" s="1"/>
  <c r="R138" i="6"/>
  <c r="W138" i="6" s="1"/>
  <c r="P138" i="6"/>
  <c r="Q138" i="6" s="1"/>
  <c r="AY137" i="6"/>
  <c r="AX137" i="6"/>
  <c r="AV137" i="6"/>
  <c r="AW137" i="6" s="1"/>
  <c r="AM137" i="6"/>
  <c r="AL137" i="6"/>
  <c r="AH137" i="6"/>
  <c r="AI137" i="6" s="1"/>
  <c r="AG137" i="6"/>
  <c r="AF137" i="6"/>
  <c r="W137" i="6"/>
  <c r="V137" i="6"/>
  <c r="R137" i="6"/>
  <c r="S137" i="6" s="1"/>
  <c r="P137" i="6"/>
  <c r="Q137" i="6" s="1"/>
  <c r="AX136" i="6"/>
  <c r="AY136" i="6" s="1"/>
  <c r="AV136" i="6"/>
  <c r="AW136" i="6" s="1"/>
  <c r="AM136" i="6"/>
  <c r="AL136" i="6"/>
  <c r="AH136" i="6"/>
  <c r="AI136" i="6" s="1"/>
  <c r="BA136" i="6" s="1"/>
  <c r="AG136" i="6"/>
  <c r="AZ136" i="6" s="1"/>
  <c r="AF136" i="6"/>
  <c r="W136" i="6"/>
  <c r="V136" i="6"/>
  <c r="R136" i="6"/>
  <c r="S136" i="6" s="1"/>
  <c r="Q136" i="6"/>
  <c r="P136" i="6"/>
  <c r="AX135" i="6"/>
  <c r="AY135" i="6" s="1"/>
  <c r="AV135" i="6"/>
  <c r="AW135" i="6" s="1"/>
  <c r="AM135" i="6"/>
  <c r="AL135" i="6"/>
  <c r="AI135" i="6"/>
  <c r="AH135" i="6"/>
  <c r="AF135" i="6"/>
  <c r="AG135" i="6" s="1"/>
  <c r="W135" i="6"/>
  <c r="V135" i="6"/>
  <c r="S135" i="6"/>
  <c r="BA135" i="6" s="1"/>
  <c r="R135" i="6"/>
  <c r="P135" i="6"/>
  <c r="Q135" i="6" s="1"/>
  <c r="AZ135" i="6" s="1"/>
  <c r="AX134" i="6"/>
  <c r="AY134" i="6" s="1"/>
  <c r="AW134" i="6"/>
  <c r="AV134" i="6"/>
  <c r="AM134" i="6"/>
  <c r="AL134" i="6"/>
  <c r="AH134" i="6"/>
  <c r="AI134" i="6" s="1"/>
  <c r="AF134" i="6"/>
  <c r="AG134" i="6" s="1"/>
  <c r="W134" i="6"/>
  <c r="S134" i="6"/>
  <c r="BA134" i="6" s="1"/>
  <c r="R134" i="6"/>
  <c r="P134" i="6"/>
  <c r="Q134" i="6" s="1"/>
  <c r="AZ134" i="6" s="1"/>
  <c r="AY133" i="6"/>
  <c r="AX133" i="6"/>
  <c r="AW133" i="6"/>
  <c r="AV133" i="6"/>
  <c r="AM133" i="6"/>
  <c r="AL133" i="6"/>
  <c r="AH133" i="6"/>
  <c r="AI133" i="6" s="1"/>
  <c r="AG133" i="6"/>
  <c r="AF133" i="6"/>
  <c r="W133" i="6"/>
  <c r="V133" i="6"/>
  <c r="R133" i="6"/>
  <c r="S133" i="6" s="1"/>
  <c r="P133" i="6"/>
  <c r="Q133" i="6" s="1"/>
  <c r="AY132" i="6"/>
  <c r="AX132" i="6"/>
  <c r="AV132" i="6"/>
  <c r="AW132" i="6" s="1"/>
  <c r="AM132" i="6"/>
  <c r="AL132" i="6"/>
  <c r="AH132" i="6"/>
  <c r="AI132" i="6" s="1"/>
  <c r="AF132" i="6"/>
  <c r="AG132" i="6" s="1"/>
  <c r="V132" i="6"/>
  <c r="R132" i="6"/>
  <c r="Q132" i="6"/>
  <c r="AZ132" i="6" s="1"/>
  <c r="P132" i="6"/>
  <c r="AX131" i="6"/>
  <c r="AY131" i="6" s="1"/>
  <c r="AV131" i="6"/>
  <c r="AW131" i="6" s="1"/>
  <c r="AM131" i="6"/>
  <c r="AL131" i="6"/>
  <c r="AH131" i="6"/>
  <c r="AI131" i="6" s="1"/>
  <c r="AG131" i="6"/>
  <c r="AZ131" i="6" s="1"/>
  <c r="AF131" i="6"/>
  <c r="V131" i="6"/>
  <c r="S131" i="6"/>
  <c r="R131" i="6"/>
  <c r="W131" i="6" s="1"/>
  <c r="Q131" i="6"/>
  <c r="P131" i="6"/>
  <c r="AX130" i="6"/>
  <c r="AY130" i="6" s="1"/>
  <c r="AW130" i="6"/>
  <c r="AV130" i="6"/>
  <c r="AM130" i="6"/>
  <c r="AL130" i="6"/>
  <c r="AH130" i="6"/>
  <c r="AI130" i="6" s="1"/>
  <c r="AF130" i="6"/>
  <c r="AG130" i="6" s="1"/>
  <c r="AZ130" i="6" s="1"/>
  <c r="V130" i="6"/>
  <c r="S130" i="6"/>
  <c r="BA130" i="6" s="1"/>
  <c r="R130" i="6"/>
  <c r="W130" i="6" s="1"/>
  <c r="Q130" i="6"/>
  <c r="P130" i="6"/>
  <c r="AY129" i="6"/>
  <c r="AX129" i="6"/>
  <c r="AW129" i="6"/>
  <c r="AV129" i="6"/>
  <c r="AM129" i="6"/>
  <c r="AL129" i="6"/>
  <c r="AH129" i="6"/>
  <c r="AI129" i="6" s="1"/>
  <c r="AF129" i="6"/>
  <c r="AG129" i="6" s="1"/>
  <c r="AZ129" i="6" s="1"/>
  <c r="V129" i="6"/>
  <c r="S129" i="6"/>
  <c r="R129" i="6"/>
  <c r="W129" i="6" s="1"/>
  <c r="P129" i="6"/>
  <c r="Q129" i="6" s="1"/>
  <c r="AY128" i="6"/>
  <c r="AX128" i="6"/>
  <c r="AW128" i="6"/>
  <c r="AV128" i="6"/>
  <c r="AM128" i="6"/>
  <c r="AL128" i="6"/>
  <c r="AH128" i="6"/>
  <c r="AI128" i="6" s="1"/>
  <c r="AG128" i="6"/>
  <c r="AZ128" i="6" s="1"/>
  <c r="AF128" i="6"/>
  <c r="W128" i="6"/>
  <c r="V128" i="6"/>
  <c r="R128" i="6"/>
  <c r="S128" i="6" s="1"/>
  <c r="Q128" i="6"/>
  <c r="P128" i="6"/>
  <c r="AX127" i="6"/>
  <c r="AY127" i="6" s="1"/>
  <c r="AV127" i="6"/>
  <c r="AW127" i="6" s="1"/>
  <c r="AM127" i="6"/>
  <c r="AL127" i="6"/>
  <c r="AH127" i="6"/>
  <c r="AI127" i="6" s="1"/>
  <c r="AG127" i="6"/>
  <c r="AZ127" i="6" s="1"/>
  <c r="AF127" i="6"/>
  <c r="V127" i="6"/>
  <c r="S127" i="6"/>
  <c r="BA127" i="6" s="1"/>
  <c r="R127" i="6"/>
  <c r="W127" i="6" s="1"/>
  <c r="Q127" i="6"/>
  <c r="P127" i="6"/>
  <c r="AX126" i="6"/>
  <c r="AY126" i="6" s="1"/>
  <c r="AW126" i="6"/>
  <c r="AV126" i="6"/>
  <c r="AM126" i="6"/>
  <c r="AL126" i="6"/>
  <c r="AH126" i="6"/>
  <c r="AI126" i="6" s="1"/>
  <c r="AF126" i="6"/>
  <c r="AG126" i="6" s="1"/>
  <c r="AZ126" i="6" s="1"/>
  <c r="V126" i="6"/>
  <c r="S126" i="6"/>
  <c r="BA126" i="6" s="1"/>
  <c r="R126" i="6"/>
  <c r="W126" i="6" s="1"/>
  <c r="Q126" i="6"/>
  <c r="P126" i="6"/>
  <c r="AY125" i="6"/>
  <c r="AX125" i="6"/>
  <c r="AW125" i="6"/>
  <c r="AV125" i="6"/>
  <c r="AM125" i="6"/>
  <c r="AL125" i="6"/>
  <c r="AH125" i="6"/>
  <c r="AI125" i="6" s="1"/>
  <c r="AF125" i="6"/>
  <c r="AG125" i="6" s="1"/>
  <c r="AZ125" i="6" s="1"/>
  <c r="V125" i="6"/>
  <c r="S125" i="6"/>
  <c r="R125" i="6"/>
  <c r="W125" i="6" s="1"/>
  <c r="Q125" i="6"/>
  <c r="P125" i="6"/>
  <c r="AX124" i="6"/>
  <c r="AY124" i="6" s="1"/>
  <c r="AW124" i="6"/>
  <c r="AV124" i="6"/>
  <c r="AM124" i="6"/>
  <c r="AL124" i="6"/>
  <c r="AH124" i="6"/>
  <c r="AI124" i="6" s="1"/>
  <c r="BA124" i="6" s="1"/>
  <c r="AF124" i="6"/>
  <c r="AG124" i="6" s="1"/>
  <c r="W124" i="6"/>
  <c r="S124" i="6"/>
  <c r="R124" i="6"/>
  <c r="P124" i="6"/>
  <c r="V124" i="6" s="1"/>
  <c r="AY123" i="6"/>
  <c r="AX123" i="6"/>
  <c r="AW123" i="6"/>
  <c r="AV123" i="6"/>
  <c r="AM123" i="6"/>
  <c r="AL123" i="6"/>
  <c r="AH123" i="6"/>
  <c r="AI123" i="6" s="1"/>
  <c r="AG123" i="6"/>
  <c r="AF123" i="6"/>
  <c r="R123" i="6"/>
  <c r="W123" i="6" s="1"/>
  <c r="P123" i="6"/>
  <c r="V123" i="6" s="1"/>
  <c r="AY122" i="6"/>
  <c r="AX122" i="6"/>
  <c r="AV122" i="6"/>
  <c r="AW122" i="6" s="1"/>
  <c r="AM122" i="6"/>
  <c r="AL122" i="6"/>
  <c r="AI122" i="6"/>
  <c r="AH122" i="6"/>
  <c r="AG122" i="6"/>
  <c r="AF122" i="6"/>
  <c r="V122" i="6"/>
  <c r="R122" i="6"/>
  <c r="W122" i="6" s="1"/>
  <c r="Q122" i="6"/>
  <c r="AZ122" i="6" s="1"/>
  <c r="P122" i="6"/>
  <c r="AX121" i="6"/>
  <c r="AY121" i="6" s="1"/>
  <c r="AV121" i="6"/>
  <c r="AW121" i="6" s="1"/>
  <c r="AM121" i="6"/>
  <c r="AL121" i="6"/>
  <c r="AI121" i="6"/>
  <c r="AH121" i="6"/>
  <c r="AF121" i="6"/>
  <c r="AG121" i="6" s="1"/>
  <c r="V121" i="6"/>
  <c r="S121" i="6"/>
  <c r="BA121" i="6" s="1"/>
  <c r="R121" i="6"/>
  <c r="W121" i="6" s="1"/>
  <c r="Q121" i="6"/>
  <c r="AZ121" i="6" s="1"/>
  <c r="P121" i="6"/>
  <c r="AX120" i="6"/>
  <c r="AY120" i="6" s="1"/>
  <c r="AW120" i="6"/>
  <c r="AV120" i="6"/>
  <c r="AM120" i="6"/>
  <c r="AL120" i="6"/>
  <c r="AH120" i="6"/>
  <c r="AI120" i="6" s="1"/>
  <c r="AF120" i="6"/>
  <c r="AG120" i="6" s="1"/>
  <c r="W120" i="6"/>
  <c r="S120" i="6"/>
  <c r="R120" i="6"/>
  <c r="P120" i="6"/>
  <c r="V120" i="6" s="1"/>
  <c r="AY119" i="6"/>
  <c r="AX119" i="6"/>
  <c r="AW119" i="6"/>
  <c r="AV119" i="6"/>
  <c r="AM119" i="6"/>
  <c r="AL119" i="6"/>
  <c r="AH119" i="6"/>
  <c r="AI119" i="6" s="1"/>
  <c r="AG119" i="6"/>
  <c r="AF119" i="6"/>
  <c r="R119" i="6"/>
  <c r="W119" i="6" s="1"/>
  <c r="P119" i="6"/>
  <c r="V119" i="6" s="1"/>
  <c r="AY118" i="6"/>
  <c r="AX118" i="6"/>
  <c r="AV118" i="6"/>
  <c r="AW118" i="6" s="1"/>
  <c r="AM118" i="6"/>
  <c r="AL118" i="6"/>
  <c r="AI118" i="6"/>
  <c r="AH118" i="6"/>
  <c r="AG118" i="6"/>
  <c r="AF118" i="6"/>
  <c r="V118" i="6"/>
  <c r="R118" i="6"/>
  <c r="W118" i="6" s="1"/>
  <c r="Q118" i="6"/>
  <c r="P118" i="6"/>
  <c r="AX117" i="6"/>
  <c r="AY117" i="6" s="1"/>
  <c r="AV117" i="6"/>
  <c r="AW117" i="6" s="1"/>
  <c r="AM117" i="6"/>
  <c r="AL117" i="6"/>
  <c r="AI117" i="6"/>
  <c r="AH117" i="6"/>
  <c r="AF117" i="6"/>
  <c r="AG117" i="6" s="1"/>
  <c r="V117" i="6"/>
  <c r="S117" i="6"/>
  <c r="BA117" i="6" s="1"/>
  <c r="R117" i="6"/>
  <c r="W117" i="6" s="1"/>
  <c r="Q117" i="6"/>
  <c r="P117" i="6"/>
  <c r="AX116" i="6"/>
  <c r="AY116" i="6" s="1"/>
  <c r="AW116" i="6"/>
  <c r="AV116" i="6"/>
  <c r="AM116" i="6"/>
  <c r="AL116" i="6"/>
  <c r="AH116" i="6"/>
  <c r="AI116" i="6" s="1"/>
  <c r="BA116" i="6" s="1"/>
  <c r="AF116" i="6"/>
  <c r="AG116" i="6" s="1"/>
  <c r="W116" i="6"/>
  <c r="V116" i="6"/>
  <c r="S116" i="6"/>
  <c r="R116" i="6"/>
  <c r="P116" i="6"/>
  <c r="Q116" i="6" s="1"/>
  <c r="AZ116" i="6" s="1"/>
  <c r="AY115" i="6"/>
  <c r="AX115" i="6"/>
  <c r="AW115" i="6"/>
  <c r="AV115" i="6"/>
  <c r="AM115" i="6"/>
  <c r="AL115" i="6"/>
  <c r="AH115" i="6"/>
  <c r="AI115" i="6" s="1"/>
  <c r="AG115" i="6"/>
  <c r="AF115" i="6"/>
  <c r="R115" i="6"/>
  <c r="W115" i="6" s="1"/>
  <c r="P115" i="6"/>
  <c r="V115" i="6" s="1"/>
  <c r="AY114" i="6"/>
  <c r="AX114" i="6"/>
  <c r="AV114" i="6"/>
  <c r="AW114" i="6" s="1"/>
  <c r="AM114" i="6"/>
  <c r="AL114" i="6"/>
  <c r="AI114" i="6"/>
  <c r="AH114" i="6"/>
  <c r="AG114" i="6"/>
  <c r="AF114" i="6"/>
  <c r="V114" i="6"/>
  <c r="R114" i="6"/>
  <c r="W114" i="6" s="1"/>
  <c r="Q114" i="6"/>
  <c r="P114" i="6"/>
  <c r="AX113" i="6"/>
  <c r="AY113" i="6" s="1"/>
  <c r="AV113" i="6"/>
  <c r="AW113" i="6" s="1"/>
  <c r="AM113" i="6"/>
  <c r="AL113" i="6"/>
  <c r="AI113" i="6"/>
  <c r="AH113" i="6"/>
  <c r="AF113" i="6"/>
  <c r="AG113" i="6" s="1"/>
  <c r="V113" i="6"/>
  <c r="S113" i="6"/>
  <c r="BA113" i="6" s="1"/>
  <c r="R113" i="6"/>
  <c r="W113" i="6" s="1"/>
  <c r="Q113" i="6"/>
  <c r="P113" i="6"/>
  <c r="AX112" i="6"/>
  <c r="AY112" i="6" s="1"/>
  <c r="AW112" i="6"/>
  <c r="AV112" i="6"/>
  <c r="AM112" i="6"/>
  <c r="AL112" i="6"/>
  <c r="AH112" i="6"/>
  <c r="AI112" i="6" s="1"/>
  <c r="BA112" i="6" s="1"/>
  <c r="AF112" i="6"/>
  <c r="AG112" i="6" s="1"/>
  <c r="W112" i="6"/>
  <c r="S112" i="6"/>
  <c r="R112" i="6"/>
  <c r="P112" i="6"/>
  <c r="V112" i="6" s="1"/>
  <c r="AY111" i="6"/>
  <c r="AX111" i="6"/>
  <c r="AW111" i="6"/>
  <c r="AV111" i="6"/>
  <c r="AM111" i="6"/>
  <c r="AL111" i="6"/>
  <c r="AH111" i="6"/>
  <c r="AI111" i="6" s="1"/>
  <c r="AG111" i="6"/>
  <c r="AF111" i="6"/>
  <c r="R111" i="6"/>
  <c r="W111" i="6" s="1"/>
  <c r="P111" i="6"/>
  <c r="V111" i="6" s="1"/>
  <c r="AY110" i="6"/>
  <c r="AX110" i="6"/>
  <c r="AV110" i="6"/>
  <c r="AW110" i="6" s="1"/>
  <c r="AM110" i="6"/>
  <c r="AL110" i="6"/>
  <c r="AI110" i="6"/>
  <c r="AH110" i="6"/>
  <c r="AG110" i="6"/>
  <c r="AF110" i="6"/>
  <c r="V110" i="6"/>
  <c r="R110" i="6"/>
  <c r="W110" i="6" s="1"/>
  <c r="Q110" i="6"/>
  <c r="AZ110" i="6" s="1"/>
  <c r="P110" i="6"/>
  <c r="AX109" i="6"/>
  <c r="AY109" i="6" s="1"/>
  <c r="AV109" i="6"/>
  <c r="AW109" i="6" s="1"/>
  <c r="AM109" i="6"/>
  <c r="AL109" i="6"/>
  <c r="AI109" i="6"/>
  <c r="AH109" i="6"/>
  <c r="AF109" i="6"/>
  <c r="AG109" i="6" s="1"/>
  <c r="V109" i="6"/>
  <c r="S109" i="6"/>
  <c r="BA109" i="6" s="1"/>
  <c r="R109" i="6"/>
  <c r="W109" i="6" s="1"/>
  <c r="Q109" i="6"/>
  <c r="AZ109" i="6" s="1"/>
  <c r="P109" i="6"/>
  <c r="AX108" i="6"/>
  <c r="AY108" i="6" s="1"/>
  <c r="AW108" i="6"/>
  <c r="AV108" i="6"/>
  <c r="AM108" i="6"/>
  <c r="AL108" i="6"/>
  <c r="AH108" i="6"/>
  <c r="AI108" i="6" s="1"/>
  <c r="AF108" i="6"/>
  <c r="AG108" i="6" s="1"/>
  <c r="W108" i="6"/>
  <c r="S108" i="6"/>
  <c r="R108" i="6"/>
  <c r="P108" i="6"/>
  <c r="V108" i="6" s="1"/>
  <c r="AY107" i="6"/>
  <c r="AX107" i="6"/>
  <c r="AW107" i="6"/>
  <c r="AV107" i="6"/>
  <c r="AL107" i="6"/>
  <c r="AH107" i="6"/>
  <c r="AG107" i="6"/>
  <c r="AF107" i="6"/>
  <c r="R107" i="6"/>
  <c r="W107" i="6" s="1"/>
  <c r="P107" i="6"/>
  <c r="AY106" i="6"/>
  <c r="AX106" i="6"/>
  <c r="AV106" i="6"/>
  <c r="AW106" i="6" s="1"/>
  <c r="AL106" i="6"/>
  <c r="AI106" i="6"/>
  <c r="AH106" i="6"/>
  <c r="AM106" i="6" s="1"/>
  <c r="AG106" i="6"/>
  <c r="AF106" i="6"/>
  <c r="V106" i="6"/>
  <c r="R106" i="6"/>
  <c r="Q106" i="6"/>
  <c r="AZ106" i="6" s="1"/>
  <c r="P106" i="6"/>
  <c r="AX105" i="6"/>
  <c r="AY105" i="6" s="1"/>
  <c r="AV105" i="6"/>
  <c r="AW105" i="6" s="1"/>
  <c r="AM105" i="6"/>
  <c r="AI105" i="6"/>
  <c r="AH105" i="6"/>
  <c r="AF105" i="6"/>
  <c r="AL105" i="6" s="1"/>
  <c r="V105" i="6"/>
  <c r="S105" i="6"/>
  <c r="R105" i="6"/>
  <c r="W105" i="6" s="1"/>
  <c r="Q105" i="6"/>
  <c r="P105" i="6"/>
  <c r="AX104" i="6"/>
  <c r="AY104" i="6" s="1"/>
  <c r="AW104" i="6"/>
  <c r="AV104" i="6"/>
  <c r="AH104" i="6"/>
  <c r="AM104" i="6" s="1"/>
  <c r="AF104" i="6"/>
  <c r="W104" i="6"/>
  <c r="S104" i="6"/>
  <c r="R104" i="6"/>
  <c r="P104" i="6"/>
  <c r="V104" i="6" s="1"/>
  <c r="AY103" i="6"/>
  <c r="AX103" i="6"/>
  <c r="AW103" i="6"/>
  <c r="AV103" i="6"/>
  <c r="AL103" i="6"/>
  <c r="AH103" i="6"/>
  <c r="AG103" i="6"/>
  <c r="AF103" i="6"/>
  <c r="R103" i="6"/>
  <c r="W103" i="6" s="1"/>
  <c r="P103" i="6"/>
  <c r="AY102" i="6"/>
  <c r="AX102" i="6"/>
  <c r="AV102" i="6"/>
  <c r="AW102" i="6" s="1"/>
  <c r="AL102" i="6"/>
  <c r="AI102" i="6"/>
  <c r="AH102" i="6"/>
  <c r="AM102" i="6" s="1"/>
  <c r="AG102" i="6"/>
  <c r="AF102" i="6"/>
  <c r="V102" i="6"/>
  <c r="R102" i="6"/>
  <c r="Q102" i="6"/>
  <c r="AZ102" i="6" s="1"/>
  <c r="P102" i="6"/>
  <c r="AX101" i="6"/>
  <c r="AY101" i="6" s="1"/>
  <c r="AV101" i="6"/>
  <c r="AW101" i="6" s="1"/>
  <c r="AM101" i="6"/>
  <c r="AI101" i="6"/>
  <c r="AH101" i="6"/>
  <c r="AF101" i="6"/>
  <c r="AL101" i="6" s="1"/>
  <c r="V101" i="6"/>
  <c r="S101" i="6"/>
  <c r="R101" i="6"/>
  <c r="W101" i="6" s="1"/>
  <c r="Q101" i="6"/>
  <c r="P101" i="6"/>
  <c r="AX100" i="6"/>
  <c r="AY100" i="6" s="1"/>
  <c r="AW100" i="6"/>
  <c r="AV100" i="6"/>
  <c r="AH100" i="6"/>
  <c r="AM100" i="6" s="1"/>
  <c r="AF100" i="6"/>
  <c r="W100" i="6"/>
  <c r="S100" i="6"/>
  <c r="R100" i="6"/>
  <c r="P100" i="6"/>
  <c r="V100" i="6" s="1"/>
  <c r="AY99" i="6"/>
  <c r="AX99" i="6"/>
  <c r="AW99" i="6"/>
  <c r="AV99" i="6"/>
  <c r="AL99" i="6"/>
  <c r="AH99" i="6"/>
  <c r="AG99" i="6"/>
  <c r="AF99" i="6"/>
  <c r="R99" i="6"/>
  <c r="W99" i="6" s="1"/>
  <c r="P99" i="6"/>
  <c r="AY98" i="6"/>
  <c r="AX98" i="6"/>
  <c r="AV98" i="6"/>
  <c r="AW98" i="6" s="1"/>
  <c r="AL98" i="6"/>
  <c r="AI98" i="6"/>
  <c r="AH98" i="6"/>
  <c r="AM98" i="6" s="1"/>
  <c r="AG98" i="6"/>
  <c r="AF98" i="6"/>
  <c r="V98" i="6"/>
  <c r="R98" i="6"/>
  <c r="Q98" i="6"/>
  <c r="AZ98" i="6" s="1"/>
  <c r="P98" i="6"/>
  <c r="AX97" i="6"/>
  <c r="AY97" i="6" s="1"/>
  <c r="AV97" i="6"/>
  <c r="AW97" i="6" s="1"/>
  <c r="AM97" i="6"/>
  <c r="AI97" i="6"/>
  <c r="AH97" i="6"/>
  <c r="AF97" i="6"/>
  <c r="AL97" i="6" s="1"/>
  <c r="V97" i="6"/>
  <c r="S97" i="6"/>
  <c r="R97" i="6"/>
  <c r="W97" i="6" s="1"/>
  <c r="Q97" i="6"/>
  <c r="P97" i="6"/>
  <c r="AX96" i="6"/>
  <c r="AY96" i="6" s="1"/>
  <c r="AW96" i="6"/>
  <c r="AV96" i="6"/>
  <c r="AH96" i="6"/>
  <c r="AM96" i="6" s="1"/>
  <c r="AF96" i="6"/>
  <c r="W96" i="6"/>
  <c r="S96" i="6"/>
  <c r="R96" i="6"/>
  <c r="P96" i="6"/>
  <c r="V96" i="6" s="1"/>
  <c r="AY95" i="6"/>
  <c r="AX95" i="6"/>
  <c r="AW95" i="6"/>
  <c r="AV95" i="6"/>
  <c r="AL95" i="6"/>
  <c r="AH95" i="6"/>
  <c r="AG95" i="6"/>
  <c r="AF95" i="6"/>
  <c r="R95" i="6"/>
  <c r="W95" i="6" s="1"/>
  <c r="P95" i="6"/>
  <c r="AY94" i="6"/>
  <c r="AX94" i="6"/>
  <c r="AV94" i="6"/>
  <c r="AW94" i="6" s="1"/>
  <c r="AL94" i="6"/>
  <c r="AI94" i="6"/>
  <c r="AH94" i="6"/>
  <c r="AM94" i="6" s="1"/>
  <c r="AG94" i="6"/>
  <c r="AF94" i="6"/>
  <c r="V94" i="6"/>
  <c r="R94" i="6"/>
  <c r="Q94" i="6"/>
  <c r="AZ94" i="6" s="1"/>
  <c r="P94" i="6"/>
  <c r="AX93" i="6"/>
  <c r="AY93" i="6" s="1"/>
  <c r="AV93" i="6"/>
  <c r="AW93" i="6" s="1"/>
  <c r="AM93" i="6"/>
  <c r="AI93" i="6"/>
  <c r="AH93" i="6"/>
  <c r="AF93" i="6"/>
  <c r="AL93" i="6" s="1"/>
  <c r="V93" i="6"/>
  <c r="S93" i="6"/>
  <c r="BA93" i="6" s="1"/>
  <c r="R93" i="6"/>
  <c r="W93" i="6" s="1"/>
  <c r="Q93" i="6"/>
  <c r="P93" i="6"/>
  <c r="AX92" i="6"/>
  <c r="AY92" i="6" s="1"/>
  <c r="AW92" i="6"/>
  <c r="AV92" i="6"/>
  <c r="AH92" i="6"/>
  <c r="AF92" i="6"/>
  <c r="W92" i="6"/>
  <c r="S92" i="6"/>
  <c r="R92" i="6"/>
  <c r="P92" i="6"/>
  <c r="AY91" i="6"/>
  <c r="AX91" i="6"/>
  <c r="AW91" i="6"/>
  <c r="AV91" i="6"/>
  <c r="AL91" i="6"/>
  <c r="AH91" i="6"/>
  <c r="AG91" i="6"/>
  <c r="AF91" i="6"/>
  <c r="R91" i="6"/>
  <c r="P91" i="6"/>
  <c r="AY90" i="6"/>
  <c r="AX90" i="6"/>
  <c r="AV90" i="6"/>
  <c r="AW90" i="6" s="1"/>
  <c r="AL90" i="6"/>
  <c r="AI90" i="6"/>
  <c r="AH90" i="6"/>
  <c r="AM90" i="6" s="1"/>
  <c r="AG90" i="6"/>
  <c r="AF90" i="6"/>
  <c r="V90" i="6"/>
  <c r="R90" i="6"/>
  <c r="Q90" i="6"/>
  <c r="AZ90" i="6" s="1"/>
  <c r="P90" i="6"/>
  <c r="AX89" i="6"/>
  <c r="AY89" i="6" s="1"/>
  <c r="AV89" i="6"/>
  <c r="AW89" i="6" s="1"/>
  <c r="AM89" i="6"/>
  <c r="AI89" i="6"/>
  <c r="AH89" i="6"/>
  <c r="AF89" i="6"/>
  <c r="V89" i="6"/>
  <c r="S89" i="6"/>
  <c r="BA89" i="6" s="1"/>
  <c r="R89" i="6"/>
  <c r="W89" i="6" s="1"/>
  <c r="Q89" i="6"/>
  <c r="P89" i="6"/>
  <c r="AX88" i="6"/>
  <c r="AY88" i="6" s="1"/>
  <c r="AW88" i="6"/>
  <c r="AV88" i="6"/>
  <c r="AH88" i="6"/>
  <c r="AF88" i="6"/>
  <c r="W88" i="6"/>
  <c r="S88" i="6"/>
  <c r="R88" i="6"/>
  <c r="P88" i="6"/>
  <c r="AY87" i="6"/>
  <c r="AX87" i="6"/>
  <c r="AW87" i="6"/>
  <c r="AV87" i="6"/>
  <c r="AL87" i="6"/>
  <c r="AH87" i="6"/>
  <c r="AG87" i="6"/>
  <c r="AF87" i="6"/>
  <c r="R87" i="6"/>
  <c r="P87" i="6"/>
  <c r="AY86" i="6"/>
  <c r="AX86" i="6"/>
  <c r="AV86" i="6"/>
  <c r="AW86" i="6" s="1"/>
  <c r="AL86" i="6"/>
  <c r="AI86" i="6"/>
  <c r="AH86" i="6"/>
  <c r="AM86" i="6" s="1"/>
  <c r="AG86" i="6"/>
  <c r="AF86" i="6"/>
  <c r="V86" i="6"/>
  <c r="R86" i="6"/>
  <c r="Q86" i="6"/>
  <c r="AZ86" i="6" s="1"/>
  <c r="P86" i="6"/>
  <c r="AX85" i="6"/>
  <c r="AY85" i="6" s="1"/>
  <c r="AV85" i="6"/>
  <c r="AW85" i="6" s="1"/>
  <c r="AM85" i="6"/>
  <c r="AI85" i="6"/>
  <c r="AH85" i="6"/>
  <c r="AF85" i="6"/>
  <c r="V85" i="6"/>
  <c r="S85" i="6"/>
  <c r="BA85" i="6" s="1"/>
  <c r="R85" i="6"/>
  <c r="W85" i="6" s="1"/>
  <c r="Q85" i="6"/>
  <c r="P85" i="6"/>
  <c r="AX84" i="6"/>
  <c r="AY84" i="6" s="1"/>
  <c r="AV84" i="6"/>
  <c r="AW84" i="6" s="1"/>
  <c r="AH84" i="6"/>
  <c r="AF84" i="6"/>
  <c r="W84" i="6"/>
  <c r="S84" i="6"/>
  <c r="R84" i="6"/>
  <c r="P84" i="6"/>
  <c r="AX83" i="6"/>
  <c r="AY83" i="6" s="1"/>
  <c r="AW83" i="6"/>
  <c r="AV83" i="6"/>
  <c r="AL83" i="6"/>
  <c r="AH83" i="6"/>
  <c r="AF83" i="6"/>
  <c r="AG83" i="6" s="1"/>
  <c r="R83" i="6"/>
  <c r="P83" i="6"/>
  <c r="AY82" i="6"/>
  <c r="AX82" i="6"/>
  <c r="AV82" i="6"/>
  <c r="AW82" i="6" s="1"/>
  <c r="AL82" i="6"/>
  <c r="AH82" i="6"/>
  <c r="AI82" i="6" s="1"/>
  <c r="AG82" i="6"/>
  <c r="AF82" i="6"/>
  <c r="V82" i="6"/>
  <c r="R82" i="6"/>
  <c r="P82" i="6"/>
  <c r="Q82" i="6" s="1"/>
  <c r="AX81" i="6"/>
  <c r="AY81" i="6" s="1"/>
  <c r="AV81" i="6"/>
  <c r="AW81" i="6" s="1"/>
  <c r="AM81" i="6"/>
  <c r="AI81" i="6"/>
  <c r="AH81" i="6"/>
  <c r="AF81" i="6"/>
  <c r="V81" i="6"/>
  <c r="R81" i="6"/>
  <c r="S81" i="6" s="1"/>
  <c r="Q81" i="6"/>
  <c r="P81" i="6"/>
  <c r="AX80" i="6"/>
  <c r="AY80" i="6" s="1"/>
  <c r="AV80" i="6"/>
  <c r="AW80" i="6" s="1"/>
  <c r="AH80" i="6"/>
  <c r="AF80" i="6"/>
  <c r="W80" i="6"/>
  <c r="S80" i="6"/>
  <c r="R80" i="6"/>
  <c r="P80" i="6"/>
  <c r="AZ79" i="6"/>
  <c r="AX79" i="6"/>
  <c r="AY79" i="6" s="1"/>
  <c r="BA79" i="6" s="1"/>
  <c r="AW79" i="6"/>
  <c r="AV79" i="6"/>
  <c r="AM79" i="6"/>
  <c r="AL79" i="6"/>
  <c r="AX78" i="6"/>
  <c r="AY78" i="6" s="1"/>
  <c r="AW78" i="6"/>
  <c r="AV78" i="6"/>
  <c r="AM78" i="6"/>
  <c r="AL78" i="6"/>
  <c r="AH78" i="6"/>
  <c r="AI78" i="6" s="1"/>
  <c r="AF78" i="6"/>
  <c r="AG78" i="6" s="1"/>
  <c r="W78" i="6"/>
  <c r="V78" i="6"/>
  <c r="R78" i="6"/>
  <c r="S78" i="6" s="1"/>
  <c r="BA78" i="6" s="1"/>
  <c r="P78" i="6"/>
  <c r="Q78" i="6" s="1"/>
  <c r="AZ78" i="6" s="1"/>
  <c r="AY77" i="6"/>
  <c r="AX77" i="6"/>
  <c r="AV77" i="6"/>
  <c r="AW77" i="6" s="1"/>
  <c r="AM77" i="6"/>
  <c r="AL77" i="6"/>
  <c r="AH77" i="6"/>
  <c r="AI77" i="6" s="1"/>
  <c r="AG77" i="6"/>
  <c r="AF77" i="6"/>
  <c r="W77" i="6"/>
  <c r="V77" i="6"/>
  <c r="R77" i="6"/>
  <c r="S77" i="6" s="1"/>
  <c r="P77" i="6"/>
  <c r="Q77" i="6" s="1"/>
  <c r="AZ77" i="6" s="1"/>
  <c r="AX76" i="6"/>
  <c r="AY76" i="6" s="1"/>
  <c r="AV76" i="6"/>
  <c r="AW76" i="6" s="1"/>
  <c r="AM76" i="6"/>
  <c r="AL76" i="6"/>
  <c r="AI76" i="6"/>
  <c r="AH76" i="6"/>
  <c r="AF76" i="6"/>
  <c r="AG76" i="6" s="1"/>
  <c r="W76" i="6"/>
  <c r="V76" i="6"/>
  <c r="R76" i="6"/>
  <c r="S76" i="6" s="1"/>
  <c r="Q76" i="6"/>
  <c r="AZ76" i="6" s="1"/>
  <c r="P76" i="6"/>
  <c r="AX75" i="6"/>
  <c r="AY75" i="6" s="1"/>
  <c r="AV75" i="6"/>
  <c r="AW75" i="6" s="1"/>
  <c r="AM75" i="6"/>
  <c r="AL75" i="6"/>
  <c r="AH75" i="6"/>
  <c r="AI75" i="6" s="1"/>
  <c r="AF75" i="6"/>
  <c r="AG75" i="6" s="1"/>
  <c r="W75" i="6"/>
  <c r="S75" i="6"/>
  <c r="R75" i="6"/>
  <c r="P75" i="6"/>
  <c r="Q75" i="6" s="1"/>
  <c r="AZ75" i="6" s="1"/>
  <c r="AX74" i="6"/>
  <c r="AY74" i="6" s="1"/>
  <c r="AV74" i="6"/>
  <c r="AW74" i="6" s="1"/>
  <c r="AM74" i="6"/>
  <c r="AL74" i="6"/>
  <c r="AH74" i="6"/>
  <c r="AI74" i="6" s="1"/>
  <c r="AF74" i="6"/>
  <c r="AG74" i="6" s="1"/>
  <c r="R74" i="6"/>
  <c r="P74" i="6"/>
  <c r="AX73" i="6"/>
  <c r="AY73" i="6" s="1"/>
  <c r="AV73" i="6"/>
  <c r="AW73" i="6" s="1"/>
  <c r="AM73" i="6"/>
  <c r="AL73" i="6"/>
  <c r="AH73" i="6"/>
  <c r="AI73" i="6" s="1"/>
  <c r="AF73" i="6"/>
  <c r="AG73" i="6" s="1"/>
  <c r="R73" i="6"/>
  <c r="P73" i="6"/>
  <c r="Q73" i="6" s="1"/>
  <c r="AZ73" i="6" s="1"/>
  <c r="AX72" i="6"/>
  <c r="AY72" i="6" s="1"/>
  <c r="AV72" i="6"/>
  <c r="AW72" i="6" s="1"/>
  <c r="AM72" i="6"/>
  <c r="AL72" i="6"/>
  <c r="AH72" i="6"/>
  <c r="AI72" i="6" s="1"/>
  <c r="AF72" i="6"/>
  <c r="AG72" i="6" s="1"/>
  <c r="V72" i="6"/>
  <c r="R72" i="6"/>
  <c r="P72" i="6"/>
  <c r="Q72" i="6" s="1"/>
  <c r="AX71" i="6"/>
  <c r="AY71" i="6" s="1"/>
  <c r="AW71" i="6"/>
  <c r="AZ71" i="6" s="1"/>
  <c r="AV71" i="6"/>
  <c r="AM71" i="6"/>
  <c r="AL71" i="6"/>
  <c r="AH71" i="6"/>
  <c r="AI71" i="6" s="1"/>
  <c r="AF71" i="6"/>
  <c r="AG71" i="6" s="1"/>
  <c r="W71" i="6"/>
  <c r="R71" i="6"/>
  <c r="S71" i="6" s="1"/>
  <c r="P71" i="6"/>
  <c r="Q71" i="6" s="1"/>
  <c r="AX70" i="6"/>
  <c r="AY70" i="6" s="1"/>
  <c r="AV70" i="6"/>
  <c r="AW70" i="6" s="1"/>
  <c r="AM70" i="6"/>
  <c r="AL70" i="6"/>
  <c r="AH70" i="6"/>
  <c r="AI70" i="6" s="1"/>
  <c r="AG70" i="6"/>
  <c r="AF70" i="6"/>
  <c r="R70" i="6"/>
  <c r="P70" i="6"/>
  <c r="AX69" i="6"/>
  <c r="AY69" i="6" s="1"/>
  <c r="AV69" i="6"/>
  <c r="AW69" i="6" s="1"/>
  <c r="AM69" i="6"/>
  <c r="AL69" i="6"/>
  <c r="AH69" i="6"/>
  <c r="AI69" i="6" s="1"/>
  <c r="AF69" i="6"/>
  <c r="AG69" i="6" s="1"/>
  <c r="V69" i="6"/>
  <c r="R69" i="6"/>
  <c r="Q69" i="6"/>
  <c r="AZ69" i="6" s="1"/>
  <c r="P69" i="6"/>
  <c r="AX68" i="6"/>
  <c r="AY68" i="6" s="1"/>
  <c r="AV68" i="6"/>
  <c r="AW68" i="6" s="1"/>
  <c r="AM68" i="6"/>
  <c r="AL68" i="6"/>
  <c r="AH68" i="6"/>
  <c r="AI68" i="6" s="1"/>
  <c r="AF68" i="6"/>
  <c r="AG68" i="6" s="1"/>
  <c r="V68" i="6"/>
  <c r="S68" i="6"/>
  <c r="R68" i="6"/>
  <c r="W68" i="6" s="1"/>
  <c r="P68" i="6"/>
  <c r="Q68" i="6" s="1"/>
  <c r="AZ68" i="6" s="1"/>
  <c r="AX67" i="6"/>
  <c r="AY67" i="6" s="1"/>
  <c r="AW67" i="6"/>
  <c r="AZ67" i="6" s="1"/>
  <c r="AV67" i="6"/>
  <c r="AM67" i="6"/>
  <c r="AL67" i="6"/>
  <c r="AH67" i="6"/>
  <c r="AI67" i="6" s="1"/>
  <c r="AF67" i="6"/>
  <c r="AG67" i="6" s="1"/>
  <c r="W67" i="6"/>
  <c r="V67" i="6"/>
  <c r="R67" i="6"/>
  <c r="S67" i="6" s="1"/>
  <c r="BA67" i="6" s="1"/>
  <c r="P67" i="6"/>
  <c r="Q67" i="6" s="1"/>
  <c r="AY66" i="6"/>
  <c r="AX66" i="6"/>
  <c r="AV66" i="6"/>
  <c r="AW66" i="6" s="1"/>
  <c r="AM66" i="6"/>
  <c r="AL66" i="6"/>
  <c r="AH66" i="6"/>
  <c r="AI66" i="6" s="1"/>
  <c r="AF66" i="6"/>
  <c r="AG66" i="6" s="1"/>
  <c r="R66" i="6"/>
  <c r="P66" i="6"/>
  <c r="AZ65" i="6"/>
  <c r="AX65" i="6"/>
  <c r="AY65" i="6" s="1"/>
  <c r="AV65" i="6"/>
  <c r="AW65" i="6" s="1"/>
  <c r="AM65" i="6"/>
  <c r="AL65" i="6"/>
  <c r="AI65" i="6"/>
  <c r="AH65" i="6"/>
  <c r="AF65" i="6"/>
  <c r="AG65" i="6" s="1"/>
  <c r="V65" i="6"/>
  <c r="R65" i="6"/>
  <c r="Q65" i="6"/>
  <c r="P65" i="6"/>
  <c r="AX64" i="6"/>
  <c r="AY64" i="6" s="1"/>
  <c r="AV64" i="6"/>
  <c r="AW64" i="6" s="1"/>
  <c r="AM64" i="6"/>
  <c r="AL64" i="6"/>
  <c r="AH64" i="6"/>
  <c r="AI64" i="6" s="1"/>
  <c r="AF64" i="6"/>
  <c r="AG64" i="6" s="1"/>
  <c r="V64" i="6"/>
  <c r="R64" i="6"/>
  <c r="P64" i="6"/>
  <c r="Q64" i="6" s="1"/>
  <c r="AZ64" i="6" s="1"/>
  <c r="AX63" i="6"/>
  <c r="AY63" i="6" s="1"/>
  <c r="AW63" i="6"/>
  <c r="AV63" i="6"/>
  <c r="AM63" i="6"/>
  <c r="AL63" i="6"/>
  <c r="AH63" i="6"/>
  <c r="AI63" i="6" s="1"/>
  <c r="AF63" i="6"/>
  <c r="AG63" i="6" s="1"/>
  <c r="V63" i="6"/>
  <c r="R63" i="6"/>
  <c r="P63" i="6"/>
  <c r="Q63" i="6" s="1"/>
  <c r="AZ63" i="6" s="1"/>
  <c r="AZ62" i="6"/>
  <c r="AX62" i="6"/>
  <c r="AY62" i="6" s="1"/>
  <c r="AV62" i="6"/>
  <c r="AW62" i="6" s="1"/>
  <c r="AM62" i="6"/>
  <c r="AL62" i="6"/>
  <c r="AH62" i="6"/>
  <c r="AI62" i="6" s="1"/>
  <c r="AF62" i="6"/>
  <c r="AG62" i="6" s="1"/>
  <c r="R62" i="6"/>
  <c r="P62" i="6"/>
  <c r="Q62" i="6" s="1"/>
  <c r="AX61" i="6"/>
  <c r="AY61" i="6" s="1"/>
  <c r="AV61" i="6"/>
  <c r="AW61" i="6" s="1"/>
  <c r="AM61" i="6"/>
  <c r="AL61" i="6"/>
  <c r="AI61" i="6"/>
  <c r="AH61" i="6"/>
  <c r="AF61" i="6"/>
  <c r="AG61" i="6" s="1"/>
  <c r="R61" i="6"/>
  <c r="P61" i="6"/>
  <c r="AX60" i="6"/>
  <c r="AY60" i="6" s="1"/>
  <c r="AV60" i="6"/>
  <c r="AW60" i="6" s="1"/>
  <c r="AM60" i="6"/>
  <c r="AL60" i="6"/>
  <c r="AH60" i="6"/>
  <c r="AI60" i="6" s="1"/>
  <c r="AF60" i="6"/>
  <c r="AG60" i="6" s="1"/>
  <c r="V60" i="6"/>
  <c r="R60" i="6"/>
  <c r="P60" i="6"/>
  <c r="Q60" i="6" s="1"/>
  <c r="AZ60" i="6" s="1"/>
  <c r="AX59" i="6"/>
  <c r="AY59" i="6" s="1"/>
  <c r="AW59" i="6"/>
  <c r="AV59" i="6"/>
  <c r="AM59" i="6"/>
  <c r="AL59" i="6"/>
  <c r="AH59" i="6"/>
  <c r="AI59" i="6" s="1"/>
  <c r="AF59" i="6"/>
  <c r="AG59" i="6" s="1"/>
  <c r="V59" i="6"/>
  <c r="R59" i="6"/>
  <c r="P59" i="6"/>
  <c r="Q59" i="6" s="1"/>
  <c r="AZ59" i="6" s="1"/>
  <c r="AZ58" i="6"/>
  <c r="AX58" i="6"/>
  <c r="AY58" i="6" s="1"/>
  <c r="AV58" i="6"/>
  <c r="AW58" i="6" s="1"/>
  <c r="AM58" i="6"/>
  <c r="AL58" i="6"/>
  <c r="AH58" i="6"/>
  <c r="AI58" i="6" s="1"/>
  <c r="AF58" i="6"/>
  <c r="AG58" i="6" s="1"/>
  <c r="S58" i="6"/>
  <c r="BA58" i="6" s="1"/>
  <c r="R58" i="6"/>
  <c r="W58" i="6" s="1"/>
  <c r="P58" i="6"/>
  <c r="Q58" i="6" s="1"/>
  <c r="AX57" i="6"/>
  <c r="AY57" i="6" s="1"/>
  <c r="AW57" i="6"/>
  <c r="AZ57" i="6" s="1"/>
  <c r="AV57" i="6"/>
  <c r="AM57" i="6"/>
  <c r="AL57" i="6"/>
  <c r="AH57" i="6"/>
  <c r="AI57" i="6" s="1"/>
  <c r="BA57" i="6" s="1"/>
  <c r="AF57" i="6"/>
  <c r="AG57" i="6" s="1"/>
  <c r="W57" i="6"/>
  <c r="V57" i="6"/>
  <c r="R57" i="6"/>
  <c r="S57" i="6" s="1"/>
  <c r="Q57" i="6"/>
  <c r="P57" i="6"/>
  <c r="AX56" i="6"/>
  <c r="AY56" i="6" s="1"/>
  <c r="AV56" i="6"/>
  <c r="AW56" i="6" s="1"/>
  <c r="AM56" i="6"/>
  <c r="AL56" i="6"/>
  <c r="AH56" i="6"/>
  <c r="AI56" i="6" s="1"/>
  <c r="AG56" i="6"/>
  <c r="AF56" i="6"/>
  <c r="V56" i="6"/>
  <c r="S56" i="6"/>
  <c r="R56" i="6"/>
  <c r="W56" i="6" s="1"/>
  <c r="Q56" i="6"/>
  <c r="AZ56" i="6" s="1"/>
  <c r="P56" i="6"/>
  <c r="AX55" i="6"/>
  <c r="AY55" i="6" s="1"/>
  <c r="AV55" i="6"/>
  <c r="AW55" i="6" s="1"/>
  <c r="AM55" i="6"/>
  <c r="AL55" i="6"/>
  <c r="AH55" i="6"/>
  <c r="AI55" i="6" s="1"/>
  <c r="AF55" i="6"/>
  <c r="AG55" i="6" s="1"/>
  <c r="V55" i="6"/>
  <c r="S55" i="6"/>
  <c r="BA55" i="6" s="1"/>
  <c r="R55" i="6"/>
  <c r="W55" i="6" s="1"/>
  <c r="Q55" i="6"/>
  <c r="AZ55" i="6" s="1"/>
  <c r="P55" i="6"/>
  <c r="AY54" i="6"/>
  <c r="AX54" i="6"/>
  <c r="AV54" i="6"/>
  <c r="AW54" i="6" s="1"/>
  <c r="AM54" i="6"/>
  <c r="AL54" i="6"/>
  <c r="AH54" i="6"/>
  <c r="AI54" i="6" s="1"/>
  <c r="AG54" i="6"/>
  <c r="AF54" i="6"/>
  <c r="S54" i="6"/>
  <c r="BA54" i="6" s="1"/>
  <c r="R54" i="6"/>
  <c r="W54" i="6" s="1"/>
  <c r="P54" i="6"/>
  <c r="AZ53" i="6"/>
  <c r="AY53" i="6"/>
  <c r="AX53" i="6"/>
  <c r="AV53" i="6"/>
  <c r="AW53" i="6" s="1"/>
  <c r="AM53" i="6"/>
  <c r="AL53" i="6"/>
  <c r="AH53" i="6"/>
  <c r="AI53" i="6" s="1"/>
  <c r="AG53" i="6"/>
  <c r="AF53" i="6"/>
  <c r="V53" i="6"/>
  <c r="R53" i="6"/>
  <c r="S53" i="6" s="1"/>
  <c r="Q53" i="6"/>
  <c r="P53" i="6"/>
  <c r="BA52" i="6"/>
  <c r="AX52" i="6"/>
  <c r="AY52" i="6" s="1"/>
  <c r="AV52" i="6"/>
  <c r="AW52" i="6" s="1"/>
  <c r="AM52" i="6"/>
  <c r="AL52" i="6"/>
  <c r="AH52" i="6"/>
  <c r="AI52" i="6" s="1"/>
  <c r="AG52" i="6"/>
  <c r="AF52" i="6"/>
  <c r="V52" i="6"/>
  <c r="S52" i="6"/>
  <c r="R52" i="6"/>
  <c r="W52" i="6" s="1"/>
  <c r="Q52" i="6"/>
  <c r="AZ52" i="6" s="1"/>
  <c r="P52" i="6"/>
  <c r="AX51" i="6"/>
  <c r="AY51" i="6" s="1"/>
  <c r="AV51" i="6"/>
  <c r="AW51" i="6" s="1"/>
  <c r="AM51" i="6"/>
  <c r="AL51" i="6"/>
  <c r="AH51" i="6"/>
  <c r="AI51" i="6" s="1"/>
  <c r="AF51" i="6"/>
  <c r="AG51" i="6" s="1"/>
  <c r="V51" i="6"/>
  <c r="S51" i="6"/>
  <c r="BA51" i="6" s="1"/>
  <c r="R51" i="6"/>
  <c r="W51" i="6" s="1"/>
  <c r="Q51" i="6"/>
  <c r="AZ51" i="6" s="1"/>
  <c r="P51" i="6"/>
  <c r="AY50" i="6"/>
  <c r="AX50" i="6"/>
  <c r="AV50" i="6"/>
  <c r="AW50" i="6" s="1"/>
  <c r="AM50" i="6"/>
  <c r="AL50" i="6"/>
  <c r="AH50" i="6"/>
  <c r="AI50" i="6" s="1"/>
  <c r="AG50" i="6"/>
  <c r="AF50" i="6"/>
  <c r="S50" i="6"/>
  <c r="BA50" i="6" s="1"/>
  <c r="R50" i="6"/>
  <c r="W50" i="6" s="1"/>
  <c r="P50" i="6"/>
  <c r="AY49" i="6"/>
  <c r="AX49" i="6"/>
  <c r="AV49" i="6"/>
  <c r="AW49" i="6" s="1"/>
  <c r="AM49" i="6"/>
  <c r="AL49" i="6"/>
  <c r="AH49" i="6"/>
  <c r="AI49" i="6" s="1"/>
  <c r="AG49" i="6"/>
  <c r="AF49" i="6"/>
  <c r="V49" i="6"/>
  <c r="R49" i="6"/>
  <c r="S49" i="6" s="1"/>
  <c r="Q49" i="6"/>
  <c r="AZ49" i="6" s="1"/>
  <c r="P49" i="6"/>
  <c r="AX48" i="6"/>
  <c r="AY48" i="6" s="1"/>
  <c r="AV48" i="6"/>
  <c r="AW48" i="6" s="1"/>
  <c r="AM48" i="6"/>
  <c r="AL48" i="6"/>
  <c r="AH48" i="6"/>
  <c r="AI48" i="6" s="1"/>
  <c r="AG48" i="6"/>
  <c r="AF48" i="6"/>
  <c r="R48" i="6"/>
  <c r="P48" i="6"/>
  <c r="Q48" i="6" s="1"/>
  <c r="AZ48" i="6" s="1"/>
  <c r="AX47" i="6"/>
  <c r="AY47" i="6" s="1"/>
  <c r="AV47" i="6"/>
  <c r="AW47" i="6" s="1"/>
  <c r="AM47" i="6"/>
  <c r="AL47" i="6"/>
  <c r="AI47" i="6"/>
  <c r="AH47" i="6"/>
  <c r="AF47" i="6"/>
  <c r="AG47" i="6" s="1"/>
  <c r="V47" i="6"/>
  <c r="R47" i="6"/>
  <c r="Q47" i="6"/>
  <c r="P47" i="6"/>
  <c r="AZ46" i="6"/>
  <c r="AX46" i="6"/>
  <c r="AY46" i="6" s="1"/>
  <c r="AV46" i="6"/>
  <c r="AW46" i="6" s="1"/>
  <c r="AM46" i="6"/>
  <c r="AL46" i="6"/>
  <c r="AH46" i="6"/>
  <c r="AI46" i="6" s="1"/>
  <c r="AF46" i="6"/>
  <c r="AG46" i="6" s="1"/>
  <c r="S46" i="6"/>
  <c r="BA46" i="6" s="1"/>
  <c r="R46" i="6"/>
  <c r="W46" i="6" s="1"/>
  <c r="P46" i="6"/>
  <c r="Q46" i="6" s="1"/>
  <c r="AX45" i="6"/>
  <c r="AY45" i="6" s="1"/>
  <c r="AW45" i="6"/>
  <c r="AV45" i="6"/>
  <c r="AM45" i="6"/>
  <c r="AL45" i="6"/>
  <c r="AH45" i="6"/>
  <c r="AI45" i="6" s="1"/>
  <c r="AF45" i="6"/>
  <c r="AG45" i="6" s="1"/>
  <c r="R45" i="6"/>
  <c r="P45" i="6"/>
  <c r="AY44" i="6"/>
  <c r="AX44" i="6"/>
  <c r="AV44" i="6"/>
  <c r="AW44" i="6" s="1"/>
  <c r="AM44" i="6"/>
  <c r="AL44" i="6"/>
  <c r="AH44" i="6"/>
  <c r="AI44" i="6" s="1"/>
  <c r="AG44" i="6"/>
  <c r="AF44" i="6"/>
  <c r="R44" i="6"/>
  <c r="P44" i="6"/>
  <c r="Q44" i="6" s="1"/>
  <c r="AZ44" i="6" s="1"/>
  <c r="AX43" i="6"/>
  <c r="AY43" i="6" s="1"/>
  <c r="AV43" i="6"/>
  <c r="AW43" i="6" s="1"/>
  <c r="AM43" i="6"/>
  <c r="AL43" i="6"/>
  <c r="AI43" i="6"/>
  <c r="AH43" i="6"/>
  <c r="AF43" i="6"/>
  <c r="AG43" i="6" s="1"/>
  <c r="V43" i="6"/>
  <c r="R43" i="6"/>
  <c r="Q43" i="6"/>
  <c r="AZ43" i="6" s="1"/>
  <c r="P43" i="6"/>
  <c r="AZ42" i="6"/>
  <c r="AX42" i="6"/>
  <c r="AY42" i="6" s="1"/>
  <c r="AV42" i="6"/>
  <c r="AW42" i="6" s="1"/>
  <c r="AM42" i="6"/>
  <c r="AL42" i="6"/>
  <c r="AH42" i="6"/>
  <c r="AI42" i="6" s="1"/>
  <c r="AF42" i="6"/>
  <c r="AG42" i="6" s="1"/>
  <c r="V42" i="6"/>
  <c r="S42" i="6"/>
  <c r="BA42" i="6" s="1"/>
  <c r="R42" i="6"/>
  <c r="W42" i="6" s="1"/>
  <c r="P42" i="6"/>
  <c r="Q42" i="6" s="1"/>
  <c r="AX41" i="6"/>
  <c r="AY41" i="6" s="1"/>
  <c r="AW41" i="6"/>
  <c r="AV41" i="6"/>
  <c r="AM41" i="6"/>
  <c r="AL41" i="6"/>
  <c r="AH41" i="6"/>
  <c r="AI41" i="6" s="1"/>
  <c r="AF41" i="6"/>
  <c r="AG41" i="6" s="1"/>
  <c r="R41" i="6"/>
  <c r="P41" i="6"/>
  <c r="AY40" i="6"/>
  <c r="AX40" i="6"/>
  <c r="AV40" i="6"/>
  <c r="AW40" i="6" s="1"/>
  <c r="AM40" i="6"/>
  <c r="AL40" i="6"/>
  <c r="AH40" i="6"/>
  <c r="AI40" i="6" s="1"/>
  <c r="AG40" i="6"/>
  <c r="AF40" i="6"/>
  <c r="R40" i="6"/>
  <c r="P40" i="6"/>
  <c r="Q40" i="6" s="1"/>
  <c r="AZ40" i="6" s="1"/>
  <c r="AX39" i="6"/>
  <c r="AY39" i="6" s="1"/>
  <c r="AV39" i="6"/>
  <c r="AW39" i="6" s="1"/>
  <c r="AM39" i="6"/>
  <c r="AL39" i="6"/>
  <c r="AI39" i="6"/>
  <c r="AH39" i="6"/>
  <c r="AF39" i="6"/>
  <c r="AG39" i="6" s="1"/>
  <c r="V39" i="6"/>
  <c r="R39" i="6"/>
  <c r="Q39" i="6"/>
  <c r="P39" i="6"/>
  <c r="AZ38" i="6"/>
  <c r="AX38" i="6"/>
  <c r="AY38" i="6" s="1"/>
  <c r="AV38" i="6"/>
  <c r="AW38" i="6" s="1"/>
  <c r="AM38" i="6"/>
  <c r="AL38" i="6"/>
  <c r="AH38" i="6"/>
  <c r="AI38" i="6" s="1"/>
  <c r="AF38" i="6"/>
  <c r="AG38" i="6" s="1"/>
  <c r="S38" i="6"/>
  <c r="BA38" i="6" s="1"/>
  <c r="R38" i="6"/>
  <c r="W38" i="6" s="1"/>
  <c r="P38" i="6"/>
  <c r="Q38" i="6" s="1"/>
  <c r="AX37" i="6"/>
  <c r="AY37" i="6" s="1"/>
  <c r="AW37" i="6"/>
  <c r="AV37" i="6"/>
  <c r="AM37" i="6"/>
  <c r="AL37" i="6"/>
  <c r="AH37" i="6"/>
  <c r="AI37" i="6" s="1"/>
  <c r="AF37" i="6"/>
  <c r="AG37" i="6" s="1"/>
  <c r="R37" i="6"/>
  <c r="P37" i="6"/>
  <c r="AY36" i="6"/>
  <c r="AX36" i="6"/>
  <c r="AV36" i="6"/>
  <c r="AW36" i="6" s="1"/>
  <c r="AM36" i="6"/>
  <c r="AL36" i="6"/>
  <c r="AH36" i="6"/>
  <c r="AI36" i="6" s="1"/>
  <c r="AG36" i="6"/>
  <c r="AF36" i="6"/>
  <c r="R36" i="6"/>
  <c r="P36" i="6"/>
  <c r="Q36" i="6" s="1"/>
  <c r="AZ36" i="6" s="1"/>
  <c r="AX35" i="6"/>
  <c r="AY35" i="6" s="1"/>
  <c r="AV35" i="6"/>
  <c r="AW35" i="6" s="1"/>
  <c r="AM35" i="6"/>
  <c r="AL35" i="6"/>
  <c r="AI35" i="6"/>
  <c r="AH35" i="6"/>
  <c r="AF35" i="6"/>
  <c r="AG35" i="6" s="1"/>
  <c r="V35" i="6"/>
  <c r="R35" i="6"/>
  <c r="Q35" i="6"/>
  <c r="AZ35" i="6" s="1"/>
  <c r="P35" i="6"/>
  <c r="AZ34" i="6"/>
  <c r="AX34" i="6"/>
  <c r="AY34" i="6" s="1"/>
  <c r="AV34" i="6"/>
  <c r="AW34" i="6" s="1"/>
  <c r="AM34" i="6"/>
  <c r="AL34" i="6"/>
  <c r="AH34" i="6"/>
  <c r="AI34" i="6" s="1"/>
  <c r="AF34" i="6"/>
  <c r="AG34" i="6" s="1"/>
  <c r="V34" i="6"/>
  <c r="S34" i="6"/>
  <c r="BA34" i="6" s="1"/>
  <c r="R34" i="6"/>
  <c r="W34" i="6" s="1"/>
  <c r="P34" i="6"/>
  <c r="Q34" i="6" s="1"/>
  <c r="AX33" i="6"/>
  <c r="AY33" i="6" s="1"/>
  <c r="AW33" i="6"/>
  <c r="AV33" i="6"/>
  <c r="AM33" i="6"/>
  <c r="AL33" i="6"/>
  <c r="AH33" i="6"/>
  <c r="AI33" i="6" s="1"/>
  <c r="AF33" i="6"/>
  <c r="AG33" i="6" s="1"/>
  <c r="R33" i="6"/>
  <c r="P33" i="6"/>
  <c r="AY32" i="6"/>
  <c r="AX32" i="6"/>
  <c r="AV32" i="6"/>
  <c r="AW32" i="6" s="1"/>
  <c r="AM32" i="6"/>
  <c r="AL32" i="6"/>
  <c r="AH32" i="6"/>
  <c r="AI32" i="6" s="1"/>
  <c r="AG32" i="6"/>
  <c r="AF32" i="6"/>
  <c r="R32" i="6"/>
  <c r="P32" i="6"/>
  <c r="Q32" i="6" s="1"/>
  <c r="AZ32" i="6" s="1"/>
  <c r="AX31" i="6"/>
  <c r="AY31" i="6" s="1"/>
  <c r="AV31" i="6"/>
  <c r="AW31" i="6" s="1"/>
  <c r="AM31" i="6"/>
  <c r="AL31" i="6"/>
  <c r="AI31" i="6"/>
  <c r="AH31" i="6"/>
  <c r="AF31" i="6"/>
  <c r="AG31" i="6" s="1"/>
  <c r="V31" i="6"/>
  <c r="R31" i="6"/>
  <c r="Q31" i="6"/>
  <c r="P31" i="6"/>
  <c r="AZ30" i="6"/>
  <c r="AX30" i="6"/>
  <c r="AY30" i="6" s="1"/>
  <c r="AV30" i="6"/>
  <c r="AW30" i="6" s="1"/>
  <c r="AM30" i="6"/>
  <c r="AL30" i="6"/>
  <c r="AH30" i="6"/>
  <c r="AI30" i="6" s="1"/>
  <c r="AF30" i="6"/>
  <c r="AG30" i="6" s="1"/>
  <c r="S30" i="6"/>
  <c r="BA30" i="6" s="1"/>
  <c r="R30" i="6"/>
  <c r="W30" i="6" s="1"/>
  <c r="P30" i="6"/>
  <c r="Q30" i="6" s="1"/>
  <c r="AX29" i="6"/>
  <c r="AY29" i="6" s="1"/>
  <c r="AW29" i="6"/>
  <c r="AV29" i="6"/>
  <c r="AM29" i="6"/>
  <c r="AL29" i="6"/>
  <c r="AH29" i="6"/>
  <c r="AI29" i="6" s="1"/>
  <c r="AF29" i="6"/>
  <c r="AG29" i="6" s="1"/>
  <c r="R29" i="6"/>
  <c r="P29" i="6"/>
  <c r="AY28" i="6"/>
  <c r="AX28" i="6"/>
  <c r="AV28" i="6"/>
  <c r="AW28" i="6" s="1"/>
  <c r="AM28" i="6"/>
  <c r="AL28" i="6"/>
  <c r="AH28" i="6"/>
  <c r="AI28" i="6" s="1"/>
  <c r="AG28" i="6"/>
  <c r="AF28" i="6"/>
  <c r="R28" i="6"/>
  <c r="P28" i="6"/>
  <c r="Q28" i="6" s="1"/>
  <c r="AZ28" i="6" s="1"/>
  <c r="AX27" i="6"/>
  <c r="AY27" i="6" s="1"/>
  <c r="AV27" i="6"/>
  <c r="AW27" i="6" s="1"/>
  <c r="AM27" i="6"/>
  <c r="AL27" i="6"/>
  <c r="AI27" i="6"/>
  <c r="AH27" i="6"/>
  <c r="AF27" i="6"/>
  <c r="AG27" i="6" s="1"/>
  <c r="V27" i="6"/>
  <c r="R27" i="6"/>
  <c r="Q27" i="6"/>
  <c r="AZ27" i="6" s="1"/>
  <c r="P27" i="6"/>
  <c r="AZ26" i="6"/>
  <c r="AX26" i="6"/>
  <c r="AY26" i="6" s="1"/>
  <c r="AV26" i="6"/>
  <c r="AW26" i="6" s="1"/>
  <c r="AM26" i="6"/>
  <c r="AL26" i="6"/>
  <c r="AH26" i="6"/>
  <c r="AI26" i="6" s="1"/>
  <c r="AF26" i="6"/>
  <c r="AG26" i="6" s="1"/>
  <c r="V26" i="6"/>
  <c r="S26" i="6"/>
  <c r="BA26" i="6" s="1"/>
  <c r="R26" i="6"/>
  <c r="W26" i="6" s="1"/>
  <c r="P26" i="6"/>
  <c r="Q26" i="6" s="1"/>
  <c r="AX25" i="6"/>
  <c r="AY25" i="6" s="1"/>
  <c r="AW25" i="6"/>
  <c r="AV25" i="6"/>
  <c r="AM25" i="6"/>
  <c r="AL25" i="6"/>
  <c r="AH25" i="6"/>
  <c r="AI25" i="6" s="1"/>
  <c r="AF25" i="6"/>
  <c r="AG25" i="6" s="1"/>
  <c r="R25" i="6"/>
  <c r="P25" i="6"/>
  <c r="AY24" i="6"/>
  <c r="AX24" i="6"/>
  <c r="AV24" i="6"/>
  <c r="AW24" i="6" s="1"/>
  <c r="AM24" i="6"/>
  <c r="AL24" i="6"/>
  <c r="AH24" i="6"/>
  <c r="AI24" i="6" s="1"/>
  <c r="AG24" i="6"/>
  <c r="AF24" i="6"/>
  <c r="R24" i="6"/>
  <c r="P24" i="6"/>
  <c r="Q24" i="6" s="1"/>
  <c r="AZ24" i="6" s="1"/>
  <c r="AX23" i="6"/>
  <c r="AY23" i="6" s="1"/>
  <c r="AV23" i="6"/>
  <c r="AW23" i="6" s="1"/>
  <c r="AM23" i="6"/>
  <c r="AL23" i="6"/>
  <c r="AI23" i="6"/>
  <c r="AH23" i="6"/>
  <c r="AF23" i="6"/>
  <c r="AG23" i="6" s="1"/>
  <c r="R23" i="6"/>
  <c r="P23" i="6"/>
  <c r="V23" i="6" s="1"/>
  <c r="AX22" i="6"/>
  <c r="AY22" i="6" s="1"/>
  <c r="AV22" i="6"/>
  <c r="AW22" i="6" s="1"/>
  <c r="AM22" i="6"/>
  <c r="AL22" i="6"/>
  <c r="AH22" i="6"/>
  <c r="AI22" i="6" s="1"/>
  <c r="AF22" i="6"/>
  <c r="AG22" i="6" s="1"/>
  <c r="V22" i="6"/>
  <c r="R22" i="6"/>
  <c r="W22" i="6" s="1"/>
  <c r="P22" i="6"/>
  <c r="Q22" i="6" s="1"/>
  <c r="AZ22" i="6" s="1"/>
  <c r="AX21" i="6"/>
  <c r="AY21" i="6" s="1"/>
  <c r="AW21" i="6"/>
  <c r="AV21" i="6"/>
  <c r="AM21" i="6"/>
  <c r="AL21" i="6"/>
  <c r="AH21" i="6"/>
  <c r="AI21" i="6" s="1"/>
  <c r="AF21" i="6"/>
  <c r="AG21" i="6" s="1"/>
  <c r="W21" i="6"/>
  <c r="R21" i="6"/>
  <c r="S21" i="6" s="1"/>
  <c r="P21" i="6"/>
  <c r="V21" i="6" s="1"/>
  <c r="AY20" i="6"/>
  <c r="AX20" i="6"/>
  <c r="AV20" i="6"/>
  <c r="AW20" i="6" s="1"/>
  <c r="AM20" i="6"/>
  <c r="AL20" i="6"/>
  <c r="AH20" i="6"/>
  <c r="AI20" i="6" s="1"/>
  <c r="AG20" i="6"/>
  <c r="AF20" i="6"/>
  <c r="V20" i="6"/>
  <c r="R20" i="6"/>
  <c r="W20" i="6" s="1"/>
  <c r="P20" i="6"/>
  <c r="Q20" i="6" s="1"/>
  <c r="AZ20" i="6" s="1"/>
  <c r="AX19" i="6"/>
  <c r="AY19" i="6" s="1"/>
  <c r="AV19" i="6"/>
  <c r="AW19" i="6" s="1"/>
  <c r="AM19" i="6"/>
  <c r="AL19" i="6"/>
  <c r="AH19" i="6"/>
  <c r="AI19" i="6" s="1"/>
  <c r="AF19" i="6"/>
  <c r="AG19" i="6" s="1"/>
  <c r="W19" i="6"/>
  <c r="R19" i="6"/>
  <c r="S19" i="6" s="1"/>
  <c r="P19" i="6"/>
  <c r="V19" i="6" s="1"/>
  <c r="AY18" i="6"/>
  <c r="AX18" i="6"/>
  <c r="AV18" i="6"/>
  <c r="AW18" i="6" s="1"/>
  <c r="AM18" i="6"/>
  <c r="AL18" i="6"/>
  <c r="AH18" i="6"/>
  <c r="AI18" i="6" s="1"/>
  <c r="AG18" i="6"/>
  <c r="AF18" i="6"/>
  <c r="V18" i="6"/>
  <c r="R18" i="6"/>
  <c r="W18" i="6" s="1"/>
  <c r="P18" i="6"/>
  <c r="Q18" i="6" s="1"/>
  <c r="AZ18" i="6" s="1"/>
  <c r="AX17" i="6"/>
  <c r="AY17" i="6" s="1"/>
  <c r="AV17" i="6"/>
  <c r="AW17" i="6" s="1"/>
  <c r="AM17" i="6"/>
  <c r="AL17" i="6"/>
  <c r="AH17" i="6"/>
  <c r="AI17" i="6" s="1"/>
  <c r="BA17" i="6" s="1"/>
  <c r="AF17" i="6"/>
  <c r="AG17" i="6" s="1"/>
  <c r="W17" i="6"/>
  <c r="R17" i="6"/>
  <c r="S17" i="6" s="1"/>
  <c r="P17" i="6"/>
  <c r="V17" i="6" s="1"/>
  <c r="AY16" i="6"/>
  <c r="AX16" i="6"/>
  <c r="AV16" i="6"/>
  <c r="AW16" i="6" s="1"/>
  <c r="AM16" i="6"/>
  <c r="AL16" i="6"/>
  <c r="AH16" i="6"/>
  <c r="AI16" i="6" s="1"/>
  <c r="AG16" i="6"/>
  <c r="AF16" i="6"/>
  <c r="V16" i="6"/>
  <c r="R16" i="6"/>
  <c r="W16" i="6" s="1"/>
  <c r="P16" i="6"/>
  <c r="Q16" i="6" s="1"/>
  <c r="AZ16" i="6" s="1"/>
  <c r="AY15" i="6"/>
  <c r="AX15" i="6"/>
  <c r="AW15" i="6"/>
  <c r="AV15" i="6"/>
  <c r="AM15" i="6"/>
  <c r="AL15" i="6"/>
  <c r="AI15" i="6"/>
  <c r="AH15" i="6"/>
  <c r="AG15" i="6"/>
  <c r="AF15" i="6"/>
  <c r="W15" i="6"/>
  <c r="V15" i="6"/>
  <c r="S15" i="6"/>
  <c r="BA15" i="6" s="1"/>
  <c r="R15" i="6"/>
  <c r="Q15" i="6"/>
  <c r="AZ15" i="6" s="1"/>
  <c r="P15" i="6"/>
  <c r="AY14" i="6"/>
  <c r="AX14" i="6"/>
  <c r="AW14" i="6"/>
  <c r="AV14" i="6"/>
  <c r="AM14" i="6"/>
  <c r="AL14" i="6"/>
  <c r="AI14" i="6"/>
  <c r="BA14" i="6" s="1"/>
  <c r="AH14" i="6"/>
  <c r="AG14" i="6"/>
  <c r="AF14" i="6"/>
  <c r="W14" i="6"/>
  <c r="S14" i="6"/>
  <c r="R14" i="6"/>
  <c r="Q14" i="6"/>
  <c r="AZ14" i="6" s="1"/>
  <c r="P14" i="6"/>
  <c r="V14" i="6" s="1"/>
  <c r="AY13" i="6"/>
  <c r="AX13" i="6"/>
  <c r="AW13" i="6"/>
  <c r="AV13" i="6"/>
  <c r="AM13" i="6"/>
  <c r="AL13" i="6"/>
  <c r="AI13" i="6"/>
  <c r="AH13" i="6"/>
  <c r="AG13" i="6"/>
  <c r="AF13" i="6"/>
  <c r="W13" i="6"/>
  <c r="S13" i="6"/>
  <c r="BA13" i="6" s="1"/>
  <c r="R13" i="6"/>
  <c r="Q13" i="6"/>
  <c r="AZ13" i="6" s="1"/>
  <c r="P13" i="6"/>
  <c r="V13" i="6" s="1"/>
  <c r="AY12" i="6"/>
  <c r="AX12" i="6"/>
  <c r="AW12" i="6"/>
  <c r="AV12" i="6"/>
  <c r="AM12" i="6"/>
  <c r="AL12" i="6"/>
  <c r="AI12" i="6"/>
  <c r="BA12" i="6" s="1"/>
  <c r="AH12" i="6"/>
  <c r="AG12" i="6"/>
  <c r="AF12" i="6"/>
  <c r="W12" i="6"/>
  <c r="S12" i="6"/>
  <c r="R12" i="6"/>
  <c r="Q12" i="6"/>
  <c r="AZ12" i="6" s="1"/>
  <c r="P12" i="6"/>
  <c r="V12" i="6" s="1"/>
  <c r="AY11" i="6"/>
  <c r="AX11" i="6"/>
  <c r="AW11" i="6"/>
  <c r="AV11" i="6"/>
  <c r="AM11" i="6"/>
  <c r="AL11" i="6"/>
  <c r="AI11" i="6"/>
  <c r="AH11" i="6"/>
  <c r="AG11" i="6"/>
  <c r="AF11" i="6"/>
  <c r="W11" i="6"/>
  <c r="V11" i="6"/>
  <c r="S11" i="6"/>
  <c r="BA11" i="6" s="1"/>
  <c r="R11" i="6"/>
  <c r="Q11" i="6"/>
  <c r="AZ11" i="6" s="1"/>
  <c r="P11" i="6"/>
  <c r="AY10" i="6"/>
  <c r="AX10" i="6"/>
  <c r="AW10" i="6"/>
  <c r="AV10" i="6"/>
  <c r="AM10" i="6"/>
  <c r="AL10" i="6"/>
  <c r="AI10" i="6"/>
  <c r="BA10" i="6" s="1"/>
  <c r="AH10" i="6"/>
  <c r="AG10" i="6"/>
  <c r="AF10" i="6"/>
  <c r="W10" i="6"/>
  <c r="S10" i="6"/>
  <c r="R10" i="6"/>
  <c r="Q10" i="6"/>
  <c r="AZ10" i="6" s="1"/>
  <c r="P10" i="6"/>
  <c r="V10" i="6" s="1"/>
  <c r="AY9" i="6"/>
  <c r="AX9" i="6"/>
  <c r="AW9" i="6"/>
  <c r="AV9" i="6"/>
  <c r="AM9" i="6"/>
  <c r="AL9" i="6"/>
  <c r="AH9" i="6"/>
  <c r="AI9" i="6" s="1"/>
  <c r="AG9" i="6"/>
  <c r="AF9" i="6"/>
  <c r="W9" i="6"/>
  <c r="S9" i="6"/>
  <c r="R9" i="6"/>
  <c r="P9" i="6"/>
  <c r="V9" i="6" s="1"/>
  <c r="AY8" i="6"/>
  <c r="AX8" i="6"/>
  <c r="AW8" i="6"/>
  <c r="AV8" i="6"/>
  <c r="AM8" i="6"/>
  <c r="AL8" i="6"/>
  <c r="AI8" i="6"/>
  <c r="AH8" i="6"/>
  <c r="AG8" i="6"/>
  <c r="AF8" i="6"/>
  <c r="W8" i="6"/>
  <c r="R8" i="6"/>
  <c r="S8" i="6" s="1"/>
  <c r="BA8" i="6" s="1"/>
  <c r="Q8" i="6"/>
  <c r="AZ8" i="6" s="1"/>
  <c r="P8" i="6"/>
  <c r="V8" i="6" s="1"/>
  <c r="AY7" i="6"/>
  <c r="AX7" i="6"/>
  <c r="AV7" i="6"/>
  <c r="AW7" i="6" s="1"/>
  <c r="AM7" i="6"/>
  <c r="AL7" i="6"/>
  <c r="AI7" i="6"/>
  <c r="AH7" i="6"/>
  <c r="AG7" i="6"/>
  <c r="AF7" i="6"/>
  <c r="W7" i="6"/>
  <c r="V7" i="6"/>
  <c r="S7" i="6"/>
  <c r="BA7" i="6" s="1"/>
  <c r="R7" i="6"/>
  <c r="Q7" i="6"/>
  <c r="AZ7" i="6" s="1"/>
  <c r="P7" i="6"/>
  <c r="BA19" i="6" l="1"/>
  <c r="BA9" i="6"/>
  <c r="S16" i="6"/>
  <c r="BA16" i="6" s="1"/>
  <c r="Q19" i="6"/>
  <c r="AZ19" i="6" s="1"/>
  <c r="S20" i="6"/>
  <c r="BA20" i="6" s="1"/>
  <c r="S24" i="6"/>
  <c r="BA24" i="6" s="1"/>
  <c r="W24" i="6"/>
  <c r="W29" i="6"/>
  <c r="S29" i="6"/>
  <c r="BA29" i="6" s="1"/>
  <c r="S32" i="6"/>
  <c r="BA32" i="6" s="1"/>
  <c r="W32" i="6"/>
  <c r="W37" i="6"/>
  <c r="S37" i="6"/>
  <c r="BA37" i="6" s="1"/>
  <c r="S40" i="6"/>
  <c r="BA40" i="6" s="1"/>
  <c r="W40" i="6"/>
  <c r="W45" i="6"/>
  <c r="S45" i="6"/>
  <c r="BA45" i="6" s="1"/>
  <c r="S48" i="6"/>
  <c r="BA48" i="6" s="1"/>
  <c r="W48" i="6"/>
  <c r="W61" i="6"/>
  <c r="S61" i="6"/>
  <c r="BA61" i="6" s="1"/>
  <c r="W72" i="6"/>
  <c r="S72" i="6"/>
  <c r="BA72" i="6" s="1"/>
  <c r="Q9" i="6"/>
  <c r="AZ9" i="6" s="1"/>
  <c r="V24" i="6"/>
  <c r="V32" i="6"/>
  <c r="V40" i="6"/>
  <c r="V48" i="6"/>
  <c r="Q54" i="6"/>
  <c r="AZ54" i="6" s="1"/>
  <c r="V54" i="6"/>
  <c r="W62" i="6"/>
  <c r="S62" i="6"/>
  <c r="BA62" i="6" s="1"/>
  <c r="W74" i="6"/>
  <c r="S74" i="6"/>
  <c r="BA74" i="6" s="1"/>
  <c r="W94" i="6"/>
  <c r="S94" i="6"/>
  <c r="BA94" i="6" s="1"/>
  <c r="S22" i="6"/>
  <c r="BA22" i="6" s="1"/>
  <c r="W27" i="6"/>
  <c r="S27" i="6"/>
  <c r="BA27" i="6" s="1"/>
  <c r="W35" i="6"/>
  <c r="S35" i="6"/>
  <c r="BA35" i="6" s="1"/>
  <c r="W43" i="6"/>
  <c r="S43" i="6"/>
  <c r="BA43" i="6" s="1"/>
  <c r="S63" i="6"/>
  <c r="BA63" i="6" s="1"/>
  <c r="W63" i="6"/>
  <c r="Q25" i="6"/>
  <c r="AZ25" i="6" s="1"/>
  <c r="V25" i="6"/>
  <c r="Q33" i="6"/>
  <c r="AZ33" i="6" s="1"/>
  <c r="V33" i="6"/>
  <c r="Q41" i="6"/>
  <c r="AZ41" i="6" s="1"/>
  <c r="V41" i="6"/>
  <c r="V70" i="6"/>
  <c r="Q70" i="6"/>
  <c r="AZ70" i="6" s="1"/>
  <c r="Q17" i="6"/>
  <c r="AZ17" i="6" s="1"/>
  <c r="S18" i="6"/>
  <c r="BA18" i="6" s="1"/>
  <c r="Q21" i="6"/>
  <c r="AZ21" i="6" s="1"/>
  <c r="Q23" i="6"/>
  <c r="AZ23" i="6" s="1"/>
  <c r="W25" i="6"/>
  <c r="S25" i="6"/>
  <c r="BA25" i="6" s="1"/>
  <c r="S28" i="6"/>
  <c r="BA28" i="6" s="1"/>
  <c r="W28" i="6"/>
  <c r="V30" i="6"/>
  <c r="W33" i="6"/>
  <c r="S33" i="6"/>
  <c r="BA33" i="6" s="1"/>
  <c r="S36" i="6"/>
  <c r="BA36" i="6" s="1"/>
  <c r="W36" i="6"/>
  <c r="V38" i="6"/>
  <c r="W41" i="6"/>
  <c r="S41" i="6"/>
  <c r="BA41" i="6" s="1"/>
  <c r="S44" i="6"/>
  <c r="BA44" i="6" s="1"/>
  <c r="W44" i="6"/>
  <c r="V46" i="6"/>
  <c r="BA49" i="6"/>
  <c r="BA56" i="6"/>
  <c r="W64" i="6"/>
  <c r="S64" i="6"/>
  <c r="BA64" i="6" s="1"/>
  <c r="AL85" i="6"/>
  <c r="AG85" i="6"/>
  <c r="W86" i="6"/>
  <c r="S86" i="6"/>
  <c r="BA86" i="6" s="1"/>
  <c r="BA21" i="6"/>
  <c r="W23" i="6"/>
  <c r="S23" i="6"/>
  <c r="BA23" i="6" s="1"/>
  <c r="V28" i="6"/>
  <c r="AZ31" i="6"/>
  <c r="V36" i="6"/>
  <c r="AZ39" i="6"/>
  <c r="V44" i="6"/>
  <c r="AZ47" i="6"/>
  <c r="S59" i="6"/>
  <c r="BA59" i="6" s="1"/>
  <c r="W59" i="6"/>
  <c r="BA71" i="6"/>
  <c r="W31" i="6"/>
  <c r="S31" i="6"/>
  <c r="BA31" i="6" s="1"/>
  <c r="W39" i="6"/>
  <c r="S39" i="6"/>
  <c r="BA39" i="6" s="1"/>
  <c r="W47" i="6"/>
  <c r="S47" i="6"/>
  <c r="BA47" i="6" s="1"/>
  <c r="BA53" i="6"/>
  <c r="W82" i="6"/>
  <c r="S82" i="6"/>
  <c r="BA82" i="6" s="1"/>
  <c r="Q29" i="6"/>
  <c r="AZ29" i="6" s="1"/>
  <c r="V29" i="6"/>
  <c r="Q37" i="6"/>
  <c r="AZ37" i="6" s="1"/>
  <c r="V37" i="6"/>
  <c r="Q45" i="6"/>
  <c r="AZ45" i="6" s="1"/>
  <c r="V45" i="6"/>
  <c r="Q50" i="6"/>
  <c r="AZ50" i="6" s="1"/>
  <c r="V50" i="6"/>
  <c r="W60" i="6"/>
  <c r="S60" i="6"/>
  <c r="BA60" i="6" s="1"/>
  <c r="Q61" i="6"/>
  <c r="AZ61" i="6" s="1"/>
  <c r="V61" i="6"/>
  <c r="AL80" i="6"/>
  <c r="AG80" i="6"/>
  <c r="V103" i="6"/>
  <c r="Q103" i="6"/>
  <c r="AZ103" i="6" s="1"/>
  <c r="W49" i="6"/>
  <c r="W53" i="6"/>
  <c r="W70" i="6"/>
  <c r="S70" i="6"/>
  <c r="BA70" i="6" s="1"/>
  <c r="W87" i="6"/>
  <c r="S87" i="6"/>
  <c r="W98" i="6"/>
  <c r="S98" i="6"/>
  <c r="BA98" i="6" s="1"/>
  <c r="V107" i="6"/>
  <c r="Q107" i="6"/>
  <c r="AZ107" i="6" s="1"/>
  <c r="BA108" i="6"/>
  <c r="V66" i="6"/>
  <c r="Q66" i="6"/>
  <c r="AZ66" i="6" s="1"/>
  <c r="W73" i="6"/>
  <c r="S73" i="6"/>
  <c r="BA73" i="6" s="1"/>
  <c r="BA75" i="6"/>
  <c r="BA76" i="6"/>
  <c r="V80" i="6"/>
  <c r="Q80" i="6"/>
  <c r="AM83" i="6"/>
  <c r="AI83" i="6"/>
  <c r="AZ85" i="6"/>
  <c r="AL89" i="6"/>
  <c r="AG89" i="6"/>
  <c r="AZ89" i="6" s="1"/>
  <c r="W90" i="6"/>
  <c r="S90" i="6"/>
  <c r="BA90" i="6" s="1"/>
  <c r="AL100" i="6"/>
  <c r="AG100" i="6"/>
  <c r="BA101" i="6"/>
  <c r="AM103" i="6"/>
  <c r="AI103" i="6"/>
  <c r="BA131" i="6"/>
  <c r="W66" i="6"/>
  <c r="S66" i="6"/>
  <c r="BA66" i="6" s="1"/>
  <c r="BA68" i="6"/>
  <c r="V73" i="6"/>
  <c r="V74" i="6"/>
  <c r="Q74" i="6"/>
  <c r="AZ74" i="6" s="1"/>
  <c r="V88" i="6"/>
  <c r="Q88" i="6"/>
  <c r="AZ88" i="6" s="1"/>
  <c r="AL92" i="6"/>
  <c r="AG92" i="6"/>
  <c r="V99" i="6"/>
  <c r="Q99" i="6"/>
  <c r="AZ99" i="6" s="1"/>
  <c r="AZ114" i="6"/>
  <c r="AZ118" i="6"/>
  <c r="BA128" i="6"/>
  <c r="AZ81" i="6"/>
  <c r="AL84" i="6"/>
  <c r="AG84" i="6"/>
  <c r="AM87" i="6"/>
  <c r="AI87" i="6"/>
  <c r="V91" i="6"/>
  <c r="Q91" i="6"/>
  <c r="AZ91" i="6" s="1"/>
  <c r="AM92" i="6"/>
  <c r="AI92" i="6"/>
  <c r="BA92" i="6" s="1"/>
  <c r="AM95" i="6"/>
  <c r="AI95" i="6"/>
  <c r="W102" i="6"/>
  <c r="S102" i="6"/>
  <c r="BA102" i="6" s="1"/>
  <c r="V58" i="6"/>
  <c r="V62" i="6"/>
  <c r="W69" i="6"/>
  <c r="S69" i="6"/>
  <c r="BA69" i="6" s="1"/>
  <c r="V71" i="6"/>
  <c r="BA77" i="6"/>
  <c r="BA81" i="6"/>
  <c r="AZ82" i="6"/>
  <c r="AM84" i="6"/>
  <c r="AI84" i="6"/>
  <c r="BA84" i="6" s="1"/>
  <c r="W91" i="6"/>
  <c r="S91" i="6"/>
  <c r="AL104" i="6"/>
  <c r="AG104" i="6"/>
  <c r="BA105" i="6"/>
  <c r="AM107" i="6"/>
  <c r="AI107" i="6"/>
  <c r="W65" i="6"/>
  <c r="S65" i="6"/>
  <c r="BA65" i="6" s="1"/>
  <c r="AZ72" i="6"/>
  <c r="V75" i="6"/>
  <c r="AM80" i="6"/>
  <c r="AI80" i="6"/>
  <c r="BA80" i="6" s="1"/>
  <c r="AL81" i="6"/>
  <c r="AG81" i="6"/>
  <c r="V83" i="6"/>
  <c r="Q83" i="6"/>
  <c r="AZ83" i="6" s="1"/>
  <c r="AL88" i="6"/>
  <c r="AG88" i="6"/>
  <c r="V92" i="6"/>
  <c r="Q92" i="6"/>
  <c r="AZ92" i="6" s="1"/>
  <c r="AL96" i="6"/>
  <c r="AG96" i="6"/>
  <c r="BA97" i="6"/>
  <c r="AM99" i="6"/>
  <c r="AI99" i="6"/>
  <c r="W106" i="6"/>
  <c r="S106" i="6"/>
  <c r="BA106" i="6" s="1"/>
  <c r="AZ113" i="6"/>
  <c r="AZ117" i="6"/>
  <c r="BA120" i="6"/>
  <c r="W83" i="6"/>
  <c r="S83" i="6"/>
  <c r="BA83" i="6" s="1"/>
  <c r="V84" i="6"/>
  <c r="Q84" i="6"/>
  <c r="AZ84" i="6" s="1"/>
  <c r="V87" i="6"/>
  <c r="Q87" i="6"/>
  <c r="AZ87" i="6" s="1"/>
  <c r="AM88" i="6"/>
  <c r="AI88" i="6"/>
  <c r="BA88" i="6" s="1"/>
  <c r="AM91" i="6"/>
  <c r="AI91" i="6"/>
  <c r="V95" i="6"/>
  <c r="Q95" i="6"/>
  <c r="AZ95" i="6" s="1"/>
  <c r="V146" i="6"/>
  <c r="Q146" i="6"/>
  <c r="AZ146" i="6" s="1"/>
  <c r="W305" i="6"/>
  <c r="S305" i="6"/>
  <c r="BA305" i="6" s="1"/>
  <c r="W81" i="6"/>
  <c r="AM82" i="6"/>
  <c r="S110" i="6"/>
  <c r="BA110" i="6" s="1"/>
  <c r="Q111" i="6"/>
  <c r="AZ111" i="6" s="1"/>
  <c r="S114" i="6"/>
  <c r="BA114" i="6" s="1"/>
  <c r="Q115" i="6"/>
  <c r="AZ115" i="6" s="1"/>
  <c r="S118" i="6"/>
  <c r="BA118" i="6" s="1"/>
  <c r="Q119" i="6"/>
  <c r="AZ119" i="6" s="1"/>
  <c r="S122" i="6"/>
  <c r="BA122" i="6" s="1"/>
  <c r="Q123" i="6"/>
  <c r="AZ123" i="6" s="1"/>
  <c r="AZ138" i="6"/>
  <c r="W140" i="6"/>
  <c r="S140" i="6"/>
  <c r="BA140" i="6" s="1"/>
  <c r="V141" i="6"/>
  <c r="Q141" i="6"/>
  <c r="AZ141" i="6" s="1"/>
  <c r="AZ144" i="6"/>
  <c r="V152" i="6"/>
  <c r="Q152" i="6"/>
  <c r="AZ152" i="6" s="1"/>
  <c r="W141" i="6"/>
  <c r="S141" i="6"/>
  <c r="BA141" i="6" s="1"/>
  <c r="V142" i="6"/>
  <c r="Q142" i="6"/>
  <c r="AZ142" i="6" s="1"/>
  <c r="V147" i="6"/>
  <c r="Q147" i="6"/>
  <c r="AZ147" i="6" s="1"/>
  <c r="AG93" i="6"/>
  <c r="AZ93" i="6" s="1"/>
  <c r="S95" i="6"/>
  <c r="BA95" i="6" s="1"/>
  <c r="Q96" i="6"/>
  <c r="AI96" i="6"/>
  <c r="BA96" i="6" s="1"/>
  <c r="AG97" i="6"/>
  <c r="AZ97" i="6" s="1"/>
  <c r="S99" i="6"/>
  <c r="BA99" i="6" s="1"/>
  <c r="Q100" i="6"/>
  <c r="AZ100" i="6" s="1"/>
  <c r="AI100" i="6"/>
  <c r="BA100" i="6" s="1"/>
  <c r="AG101" i="6"/>
  <c r="AZ101" i="6" s="1"/>
  <c r="S103" i="6"/>
  <c r="Q104" i="6"/>
  <c r="AZ104" i="6" s="1"/>
  <c r="AI104" i="6"/>
  <c r="BA104" i="6" s="1"/>
  <c r="AG105" i="6"/>
  <c r="AZ105" i="6" s="1"/>
  <c r="S107" i="6"/>
  <c r="Q108" i="6"/>
  <c r="AZ108" i="6" s="1"/>
  <c r="S111" i="6"/>
  <c r="BA111" i="6" s="1"/>
  <c r="Q112" i="6"/>
  <c r="AZ112" i="6" s="1"/>
  <c r="S115" i="6"/>
  <c r="BA115" i="6" s="1"/>
  <c r="S119" i="6"/>
  <c r="BA119" i="6" s="1"/>
  <c r="Q120" i="6"/>
  <c r="AZ120" i="6" s="1"/>
  <c r="S123" i="6"/>
  <c r="BA123" i="6" s="1"/>
  <c r="Q124" i="6"/>
  <c r="AZ124" i="6" s="1"/>
  <c r="AZ133" i="6"/>
  <c r="V134" i="6"/>
  <c r="S138" i="6"/>
  <c r="BA138" i="6" s="1"/>
  <c r="AZ140" i="6"/>
  <c r="W154" i="6"/>
  <c r="S154" i="6"/>
  <c r="BA154" i="6" s="1"/>
  <c r="BA157" i="6"/>
  <c r="BA159" i="6"/>
  <c r="BA167" i="6"/>
  <c r="BA133" i="6"/>
  <c r="AZ137" i="6"/>
  <c r="V143" i="6"/>
  <c r="Q143" i="6"/>
  <c r="AZ143" i="6" s="1"/>
  <c r="AZ148" i="6"/>
  <c r="AZ155" i="6"/>
  <c r="AZ181" i="6"/>
  <c r="BA212" i="6"/>
  <c r="AZ217" i="6"/>
  <c r="BA137" i="6"/>
  <c r="AZ139" i="6"/>
  <c r="V149" i="6"/>
  <c r="Q149" i="6"/>
  <c r="AZ149" i="6" s="1"/>
  <c r="V171" i="6"/>
  <c r="Q171" i="6"/>
  <c r="AZ171" i="6" s="1"/>
  <c r="W132" i="6"/>
  <c r="S132" i="6"/>
  <c r="BA132" i="6" s="1"/>
  <c r="V161" i="6"/>
  <c r="Q161" i="6"/>
  <c r="AZ161" i="6" s="1"/>
  <c r="AZ216" i="6"/>
  <c r="W249" i="6"/>
  <c r="S249" i="6"/>
  <c r="BA249" i="6" s="1"/>
  <c r="BA125" i="6"/>
  <c r="BA129" i="6"/>
  <c r="V145" i="6"/>
  <c r="Q145" i="6"/>
  <c r="AZ145" i="6" s="1"/>
  <c r="W186" i="6"/>
  <c r="S186" i="6"/>
  <c r="BA186" i="6" s="1"/>
  <c r="V138" i="6"/>
  <c r="AZ150" i="6"/>
  <c r="AZ162" i="6"/>
  <c r="BA168" i="6"/>
  <c r="AZ185" i="6"/>
  <c r="AZ198" i="6"/>
  <c r="BA208" i="6"/>
  <c r="W254" i="6"/>
  <c r="S254" i="6"/>
  <c r="BA254" i="6" s="1"/>
  <c r="W261" i="6"/>
  <c r="S261" i="6"/>
  <c r="BA261" i="6" s="1"/>
  <c r="V262" i="6"/>
  <c r="Q262" i="6"/>
  <c r="AZ262" i="6" s="1"/>
  <c r="V286" i="6"/>
  <c r="Q286" i="6"/>
  <c r="AZ286" i="6" s="1"/>
  <c r="W289" i="6"/>
  <c r="S289" i="6"/>
  <c r="BA289" i="6" s="1"/>
  <c r="V303" i="6"/>
  <c r="Q303" i="6"/>
  <c r="AZ303" i="6" s="1"/>
  <c r="BA152" i="6"/>
  <c r="BA172" i="6"/>
  <c r="BA216" i="6"/>
  <c r="AZ220" i="6"/>
  <c r="W262" i="6"/>
  <c r="S262" i="6"/>
  <c r="BA262" i="6" s="1"/>
  <c r="V263" i="6"/>
  <c r="Q263" i="6"/>
  <c r="AZ263" i="6" s="1"/>
  <c r="W286" i="6"/>
  <c r="S286" i="6"/>
  <c r="BA286" i="6" s="1"/>
  <c r="S142" i="6"/>
  <c r="BA142" i="6" s="1"/>
  <c r="S144" i="6"/>
  <c r="BA144" i="6" s="1"/>
  <c r="S145" i="6"/>
  <c r="BA145" i="6" s="1"/>
  <c r="S146" i="6"/>
  <c r="BA146" i="6" s="1"/>
  <c r="S148" i="6"/>
  <c r="BA148" i="6" s="1"/>
  <c r="S150" i="6"/>
  <c r="BA150" i="6" s="1"/>
  <c r="W151" i="6"/>
  <c r="Q159" i="6"/>
  <c r="AZ159" i="6" s="1"/>
  <c r="S162" i="6"/>
  <c r="BA162" i="6" s="1"/>
  <c r="AZ165" i="6"/>
  <c r="BA176" i="6"/>
  <c r="Q179" i="6"/>
  <c r="AZ179" i="6" s="1"/>
  <c r="AZ197" i="6"/>
  <c r="S198" i="6"/>
  <c r="BA198" i="6" s="1"/>
  <c r="BA201" i="6"/>
  <c r="Q247" i="6"/>
  <c r="AZ247" i="6" s="1"/>
  <c r="V247" i="6"/>
  <c r="V140" i="6"/>
  <c r="W143" i="6"/>
  <c r="V144" i="6"/>
  <c r="W147" i="6"/>
  <c r="V148" i="6"/>
  <c r="AZ158" i="6"/>
  <c r="S166" i="6"/>
  <c r="BA166" i="6" s="1"/>
  <c r="BA169" i="6"/>
  <c r="AZ174" i="6"/>
  <c r="BA180" i="6"/>
  <c r="Q183" i="6"/>
  <c r="AZ183" i="6" s="1"/>
  <c r="AZ196" i="6"/>
  <c r="AZ201" i="6"/>
  <c r="S202" i="6"/>
  <c r="BA202" i="6" s="1"/>
  <c r="BA205" i="6"/>
  <c r="BA220" i="6"/>
  <c r="AZ224" i="6"/>
  <c r="AZ225" i="6"/>
  <c r="W277" i="6"/>
  <c r="S277" i="6"/>
  <c r="BA277" i="6" s="1"/>
  <c r="W297" i="6"/>
  <c r="S297" i="6"/>
  <c r="BA297" i="6" s="1"/>
  <c r="Q343" i="6"/>
  <c r="AZ343" i="6" s="1"/>
  <c r="V343" i="6"/>
  <c r="BA160" i="6"/>
  <c r="AZ169" i="6"/>
  <c r="BA173" i="6"/>
  <c r="AZ178" i="6"/>
  <c r="BA184" i="6"/>
  <c r="AZ200" i="6"/>
  <c r="AZ205" i="6"/>
  <c r="BA229" i="6"/>
  <c r="AZ235" i="6"/>
  <c r="AZ240" i="6"/>
  <c r="W274" i="6"/>
  <c r="S274" i="6"/>
  <c r="BA274" i="6" s="1"/>
  <c r="V295" i="6"/>
  <c r="Q295" i="6"/>
  <c r="AZ295" i="6" s="1"/>
  <c r="W336" i="6"/>
  <c r="S336" i="6"/>
  <c r="BA336" i="6" s="1"/>
  <c r="V337" i="6"/>
  <c r="Q337" i="6"/>
  <c r="AZ337" i="6" s="1"/>
  <c r="V156" i="6"/>
  <c r="Q156" i="6"/>
  <c r="AZ156" i="6" s="1"/>
  <c r="S158" i="6"/>
  <c r="BA158" i="6" s="1"/>
  <c r="AZ173" i="6"/>
  <c r="AZ182" i="6"/>
  <c r="BA188" i="6"/>
  <c r="BA192" i="6"/>
  <c r="BA196" i="6"/>
  <c r="AZ204" i="6"/>
  <c r="AZ209" i="6"/>
  <c r="AZ212" i="6"/>
  <c r="AZ213" i="6"/>
  <c r="BA224" i="6"/>
  <c r="BA226" i="6"/>
  <c r="BA235" i="6"/>
  <c r="V275" i="6"/>
  <c r="Q275" i="6"/>
  <c r="AZ275" i="6" s="1"/>
  <c r="AZ292" i="6"/>
  <c r="AZ154" i="6"/>
  <c r="AZ177" i="6"/>
  <c r="AZ186" i="6"/>
  <c r="BA200" i="6"/>
  <c r="Q249" i="6"/>
  <c r="AZ249" i="6" s="1"/>
  <c r="V249" i="6"/>
  <c r="AZ252" i="6"/>
  <c r="AZ264" i="6"/>
  <c r="W269" i="6"/>
  <c r="S269" i="6"/>
  <c r="BA269" i="6" s="1"/>
  <c r="BA271" i="6"/>
  <c r="BA272" i="6"/>
  <c r="V278" i="6"/>
  <c r="Q278" i="6"/>
  <c r="AZ278" i="6" s="1"/>
  <c r="AZ284" i="6"/>
  <c r="V287" i="6"/>
  <c r="Q287" i="6"/>
  <c r="AZ287" i="6" s="1"/>
  <c r="V298" i="6"/>
  <c r="Q298" i="6"/>
  <c r="AZ298" i="6" s="1"/>
  <c r="V306" i="6"/>
  <c r="Q306" i="6"/>
  <c r="AZ306" i="6" s="1"/>
  <c r="Q312" i="6"/>
  <c r="AZ312" i="6" s="1"/>
  <c r="V312" i="6"/>
  <c r="Q316" i="6"/>
  <c r="AZ316" i="6" s="1"/>
  <c r="V316" i="6"/>
  <c r="Q320" i="6"/>
  <c r="AZ320" i="6" s="1"/>
  <c r="V320" i="6"/>
  <c r="V329" i="6"/>
  <c r="Q329" i="6"/>
  <c r="AZ329" i="6" s="1"/>
  <c r="W340" i="6"/>
  <c r="S340" i="6"/>
  <c r="BA340" i="6" s="1"/>
  <c r="BA356" i="6"/>
  <c r="W358" i="6"/>
  <c r="S358" i="6"/>
  <c r="BA358" i="6" s="1"/>
  <c r="Q160" i="6"/>
  <c r="AZ160" i="6" s="1"/>
  <c r="Q164" i="6"/>
  <c r="AZ164" i="6" s="1"/>
  <c r="Q168" i="6"/>
  <c r="AZ168" i="6" s="1"/>
  <c r="Q172" i="6"/>
  <c r="AZ172" i="6" s="1"/>
  <c r="Q176" i="6"/>
  <c r="AZ176" i="6" s="1"/>
  <c r="Q180" i="6"/>
  <c r="AZ180" i="6" s="1"/>
  <c r="Q184" i="6"/>
  <c r="AZ184" i="6" s="1"/>
  <c r="Q188" i="6"/>
  <c r="AZ188" i="6" s="1"/>
  <c r="Q192" i="6"/>
  <c r="AZ192" i="6" s="1"/>
  <c r="BA232" i="6"/>
  <c r="BA237" i="6"/>
  <c r="BA252" i="6"/>
  <c r="V255" i="6"/>
  <c r="Q255" i="6"/>
  <c r="AZ255" i="6" s="1"/>
  <c r="BA257" i="6"/>
  <c r="V258" i="6"/>
  <c r="Q258" i="6"/>
  <c r="AZ258" i="6" s="1"/>
  <c r="BA264" i="6"/>
  <c r="W278" i="6"/>
  <c r="S278" i="6"/>
  <c r="BA278" i="6" s="1"/>
  <c r="W281" i="6"/>
  <c r="S281" i="6"/>
  <c r="BA281" i="6" s="1"/>
  <c r="BA283" i="6"/>
  <c r="BA284" i="6"/>
  <c r="V290" i="6"/>
  <c r="Q290" i="6"/>
  <c r="AZ290" i="6" s="1"/>
  <c r="W298" i="6"/>
  <c r="S298" i="6"/>
  <c r="BA298" i="6" s="1"/>
  <c r="W306" i="6"/>
  <c r="S306" i="6"/>
  <c r="BA306" i="6" s="1"/>
  <c r="BA314" i="6"/>
  <c r="BA318" i="6"/>
  <c r="BA322" i="6"/>
  <c r="W324" i="6"/>
  <c r="S324" i="6"/>
  <c r="BA324" i="6" s="1"/>
  <c r="V332" i="6"/>
  <c r="Q332" i="6"/>
  <c r="AZ332" i="6" s="1"/>
  <c r="AZ381" i="6"/>
  <c r="W463" i="6"/>
  <c r="S463" i="6"/>
  <c r="BA463" i="6" s="1"/>
  <c r="W638" i="6"/>
  <c r="S638" i="6"/>
  <c r="BA638" i="6" s="1"/>
  <c r="V663" i="6"/>
  <c r="Q663" i="6"/>
  <c r="AZ663" i="6" s="1"/>
  <c r="BA239" i="6"/>
  <c r="BA244" i="6"/>
  <c r="Q250" i="6"/>
  <c r="AZ250" i="6" s="1"/>
  <c r="W258" i="6"/>
  <c r="S258" i="6"/>
  <c r="BA258" i="6" s="1"/>
  <c r="V259" i="6"/>
  <c r="Q259" i="6"/>
  <c r="AZ259" i="6" s="1"/>
  <c r="AZ265" i="6"/>
  <c r="V270" i="6"/>
  <c r="Q270" i="6"/>
  <c r="AZ270" i="6" s="1"/>
  <c r="AZ276" i="6"/>
  <c r="V279" i="6"/>
  <c r="Q279" i="6"/>
  <c r="AZ279" i="6" s="1"/>
  <c r="W290" i="6"/>
  <c r="S290" i="6"/>
  <c r="BA290" i="6" s="1"/>
  <c r="W293" i="6"/>
  <c r="S293" i="6"/>
  <c r="BA293" i="6" s="1"/>
  <c r="AZ296" i="6"/>
  <c r="V299" i="6"/>
  <c r="Q299" i="6"/>
  <c r="AZ299" i="6" s="1"/>
  <c r="W301" i="6"/>
  <c r="S301" i="6"/>
  <c r="BA301" i="6" s="1"/>
  <c r="AZ304" i="6"/>
  <c r="V307" i="6"/>
  <c r="Q307" i="6"/>
  <c r="AZ307" i="6" s="1"/>
  <c r="AZ327" i="6"/>
  <c r="AZ248" i="6"/>
  <c r="W250" i="6"/>
  <c r="S250" i="6"/>
  <c r="BA250" i="6" s="1"/>
  <c r="AZ253" i="6"/>
  <c r="AZ260" i="6"/>
  <c r="W265" i="6"/>
  <c r="S265" i="6"/>
  <c r="BA265" i="6" s="1"/>
  <c r="V266" i="6"/>
  <c r="Q266" i="6"/>
  <c r="AZ266" i="6" s="1"/>
  <c r="W270" i="6"/>
  <c r="S270" i="6"/>
  <c r="BA270" i="6" s="1"/>
  <c r="W273" i="6"/>
  <c r="S273" i="6"/>
  <c r="BA273" i="6" s="1"/>
  <c r="BA275" i="6"/>
  <c r="V282" i="6"/>
  <c r="Q282" i="6"/>
  <c r="AZ282" i="6" s="1"/>
  <c r="AZ288" i="6"/>
  <c r="V291" i="6"/>
  <c r="Q291" i="6"/>
  <c r="AZ291" i="6" s="1"/>
  <c r="BA295" i="6"/>
  <c r="BA303" i="6"/>
  <c r="W338" i="6"/>
  <c r="S338" i="6"/>
  <c r="BA338" i="6" s="1"/>
  <c r="W351" i="6"/>
  <c r="S351" i="6"/>
  <c r="BA351" i="6" s="1"/>
  <c r="V355" i="6"/>
  <c r="Q355" i="6"/>
  <c r="AZ355" i="6" s="1"/>
  <c r="BA248" i="6"/>
  <c r="AZ256" i="6"/>
  <c r="W266" i="6"/>
  <c r="S266" i="6"/>
  <c r="BA266" i="6" s="1"/>
  <c r="V267" i="6"/>
  <c r="Q267" i="6"/>
  <c r="AZ267" i="6" s="1"/>
  <c r="V271" i="6"/>
  <c r="Q271" i="6"/>
  <c r="AZ271" i="6" s="1"/>
  <c r="W282" i="6"/>
  <c r="S282" i="6"/>
  <c r="BA282" i="6" s="1"/>
  <c r="W285" i="6"/>
  <c r="S285" i="6"/>
  <c r="BA285" i="6" s="1"/>
  <c r="BA288" i="6"/>
  <c r="V294" i="6"/>
  <c r="Q294" i="6"/>
  <c r="AZ294" i="6" s="1"/>
  <c r="V302" i="6"/>
  <c r="Q302" i="6"/>
  <c r="AZ302" i="6" s="1"/>
  <c r="W309" i="6"/>
  <c r="S309" i="6"/>
  <c r="BA309" i="6" s="1"/>
  <c r="AZ311" i="6"/>
  <c r="AZ315" i="6"/>
  <c r="AZ319" i="6"/>
  <c r="AZ323" i="6"/>
  <c r="AZ330" i="6"/>
  <c r="S335" i="6"/>
  <c r="BA335" i="6" s="1"/>
  <c r="W335" i="6"/>
  <c r="V352" i="6"/>
  <c r="Q352" i="6"/>
  <c r="AZ352" i="6" s="1"/>
  <c r="BA243" i="6"/>
  <c r="V251" i="6"/>
  <c r="Q251" i="6"/>
  <c r="AZ251" i="6" s="1"/>
  <c r="BA256" i="6"/>
  <c r="V274" i="6"/>
  <c r="Q274" i="6"/>
  <c r="AZ274" i="6" s="1"/>
  <c r="AZ280" i="6"/>
  <c r="V283" i="6"/>
  <c r="Q283" i="6"/>
  <c r="AZ283" i="6" s="1"/>
  <c r="W294" i="6"/>
  <c r="S294" i="6"/>
  <c r="BA294" i="6" s="1"/>
  <c r="W302" i="6"/>
  <c r="S302" i="6"/>
  <c r="BA302" i="6" s="1"/>
  <c r="W327" i="6"/>
  <c r="AZ365" i="6"/>
  <c r="W330" i="6"/>
  <c r="S330" i="6"/>
  <c r="BA330" i="6" s="1"/>
  <c r="W343" i="6"/>
  <c r="S343" i="6"/>
  <c r="BA343" i="6" s="1"/>
  <c r="AZ349" i="6"/>
  <c r="W354" i="6"/>
  <c r="S354" i="6"/>
  <c r="BA354" i="6" s="1"/>
  <c r="BA360" i="6"/>
  <c r="W362" i="6"/>
  <c r="S362" i="6"/>
  <c r="BA362" i="6" s="1"/>
  <c r="BA416" i="6"/>
  <c r="W311" i="6"/>
  <c r="W315" i="6"/>
  <c r="W319" i="6"/>
  <c r="W323" i="6"/>
  <c r="V335" i="6"/>
  <c r="W346" i="6"/>
  <c r="S346" i="6"/>
  <c r="BA346" i="6" s="1"/>
  <c r="W355" i="6"/>
  <c r="S355" i="6"/>
  <c r="BA355" i="6" s="1"/>
  <c r="V359" i="6"/>
  <c r="Q359" i="6"/>
  <c r="AZ359" i="6" s="1"/>
  <c r="AZ361" i="6"/>
  <c r="BA367" i="6"/>
  <c r="AZ370" i="6"/>
  <c r="BA383" i="6"/>
  <c r="AZ386" i="6"/>
  <c r="W443" i="6"/>
  <c r="S443" i="6"/>
  <c r="BA443" i="6" s="1"/>
  <c r="V444" i="6"/>
  <c r="Q444" i="6"/>
  <c r="AZ444" i="6" s="1"/>
  <c r="W326" i="6"/>
  <c r="S326" i="6"/>
  <c r="BA326" i="6" s="1"/>
  <c r="S332" i="6"/>
  <c r="BA332" i="6" s="1"/>
  <c r="W339" i="6"/>
  <c r="S339" i="6"/>
  <c r="BA339" i="6" s="1"/>
  <c r="V341" i="6"/>
  <c r="V344" i="6"/>
  <c r="Q344" i="6"/>
  <c r="AZ344" i="6" s="1"/>
  <c r="BA345" i="6"/>
  <c r="V347" i="6"/>
  <c r="Q347" i="6"/>
  <c r="AZ347" i="6" s="1"/>
  <c r="AZ353" i="6"/>
  <c r="W359" i="6"/>
  <c r="S359" i="6"/>
  <c r="BA359" i="6" s="1"/>
  <c r="BA364" i="6"/>
  <c r="AZ373" i="6"/>
  <c r="BA380" i="6"/>
  <c r="AZ389" i="6"/>
  <c r="S247" i="6"/>
  <c r="BA247" i="6" s="1"/>
  <c r="S251" i="6"/>
  <c r="BA251" i="6" s="1"/>
  <c r="S255" i="6"/>
  <c r="BA255" i="6" s="1"/>
  <c r="S259" i="6"/>
  <c r="BA259" i="6" s="1"/>
  <c r="S263" i="6"/>
  <c r="BA263" i="6" s="1"/>
  <c r="S267" i="6"/>
  <c r="BA267" i="6" s="1"/>
  <c r="V328" i="6"/>
  <c r="Q328" i="6"/>
  <c r="AZ328" i="6" s="1"/>
  <c r="BA331" i="6"/>
  <c r="AZ334" i="6"/>
  <c r="W344" i="6"/>
  <c r="S344" i="6"/>
  <c r="BA344" i="6" s="1"/>
  <c r="W347" i="6"/>
  <c r="S347" i="6"/>
  <c r="BA347" i="6" s="1"/>
  <c r="AZ350" i="6"/>
  <c r="BA363" i="6"/>
  <c r="BA369" i="6"/>
  <c r="BA379" i="6"/>
  <c r="BA385" i="6"/>
  <c r="W334" i="6"/>
  <c r="S334" i="6"/>
  <c r="BA334" i="6" s="1"/>
  <c r="AZ342" i="6"/>
  <c r="AZ345" i="6"/>
  <c r="W350" i="6"/>
  <c r="S350" i="6"/>
  <c r="BA350" i="6" s="1"/>
  <c r="V356" i="6"/>
  <c r="Q356" i="6"/>
  <c r="AZ356" i="6" s="1"/>
  <c r="AZ369" i="6"/>
  <c r="BA376" i="6"/>
  <c r="AZ385" i="6"/>
  <c r="BA392" i="6"/>
  <c r="BA328" i="6"/>
  <c r="W331" i="6"/>
  <c r="V336" i="6"/>
  <c r="Q336" i="6"/>
  <c r="AZ336" i="6" s="1"/>
  <c r="V340" i="6"/>
  <c r="Q340" i="6"/>
  <c r="AZ340" i="6" s="1"/>
  <c r="BA341" i="6"/>
  <c r="W342" i="6"/>
  <c r="S342" i="6"/>
  <c r="BA342" i="6" s="1"/>
  <c r="V348" i="6"/>
  <c r="Q348" i="6"/>
  <c r="AZ348" i="6" s="1"/>
  <c r="BA349" i="6"/>
  <c r="V351" i="6"/>
  <c r="Q351" i="6"/>
  <c r="AZ351" i="6" s="1"/>
  <c r="AZ358" i="6"/>
  <c r="V360" i="6"/>
  <c r="Q360" i="6"/>
  <c r="AZ360" i="6" s="1"/>
  <c r="BA365" i="6"/>
  <c r="AZ378" i="6"/>
  <c r="BA381" i="6"/>
  <c r="BA403" i="6"/>
  <c r="BA394" i="6"/>
  <c r="BA399" i="6"/>
  <c r="BA402" i="6"/>
  <c r="AZ411" i="6"/>
  <c r="AZ420" i="6"/>
  <c r="AZ422" i="6"/>
  <c r="V428" i="6"/>
  <c r="Q428" i="6"/>
  <c r="AZ428" i="6" s="1"/>
  <c r="V507" i="6"/>
  <c r="Q507" i="6"/>
  <c r="AZ507" i="6" s="1"/>
  <c r="AZ398" i="6"/>
  <c r="AZ401" i="6"/>
  <c r="AZ404" i="6"/>
  <c r="AZ413" i="6"/>
  <c r="AZ415" i="6"/>
  <c r="BA422" i="6"/>
  <c r="W428" i="6"/>
  <c r="S428" i="6"/>
  <c r="BA428" i="6" s="1"/>
  <c r="S348" i="6"/>
  <c r="BA348" i="6" s="1"/>
  <c r="S352" i="6"/>
  <c r="BA352" i="6" s="1"/>
  <c r="BA398" i="6"/>
  <c r="AZ407" i="6"/>
  <c r="BA411" i="6"/>
  <c r="AZ417" i="6"/>
  <c r="AZ419" i="6"/>
  <c r="AZ424" i="6"/>
  <c r="W456" i="6"/>
  <c r="S456" i="6"/>
  <c r="BA456" i="6" s="1"/>
  <c r="V500" i="6"/>
  <c r="Q500" i="6"/>
  <c r="AZ500" i="6" s="1"/>
  <c r="S550" i="6"/>
  <c r="BA550" i="6" s="1"/>
  <c r="W550" i="6"/>
  <c r="W555" i="6"/>
  <c r="S555" i="6"/>
  <c r="BA555" i="6" s="1"/>
  <c r="AZ400" i="6"/>
  <c r="AZ410" i="6"/>
  <c r="BA415" i="6"/>
  <c r="BA426" i="6"/>
  <c r="BA407" i="6"/>
  <c r="BA410" i="6"/>
  <c r="AZ421" i="6"/>
  <c r="V496" i="6"/>
  <c r="Q496" i="6"/>
  <c r="AZ496" i="6" s="1"/>
  <c r="AZ438" i="6"/>
  <c r="V453" i="6"/>
  <c r="Q453" i="6"/>
  <c r="AZ453" i="6" s="1"/>
  <c r="AZ482" i="6"/>
  <c r="S566" i="6"/>
  <c r="BA566" i="6" s="1"/>
  <c r="W566" i="6"/>
  <c r="BA430" i="6"/>
  <c r="V433" i="6"/>
  <c r="Q433" i="6"/>
  <c r="AZ433" i="6" s="1"/>
  <c r="S435" i="6"/>
  <c r="BA435" i="6" s="1"/>
  <c r="BA438" i="6"/>
  <c r="AZ443" i="6"/>
  <c r="W447" i="6"/>
  <c r="S447" i="6"/>
  <c r="BA447" i="6" s="1"/>
  <c r="BA450" i="6"/>
  <c r="V456" i="6"/>
  <c r="Q456" i="6"/>
  <c r="AZ456" i="6" s="1"/>
  <c r="AZ463" i="6"/>
  <c r="W499" i="6"/>
  <c r="S499" i="6"/>
  <c r="BA499" i="6" s="1"/>
  <c r="S538" i="6"/>
  <c r="BA538" i="6" s="1"/>
  <c r="W538" i="6"/>
  <c r="AZ431" i="6"/>
  <c r="W436" i="6"/>
  <c r="S436" i="6"/>
  <c r="BA436" i="6" s="1"/>
  <c r="AZ439" i="6"/>
  <c r="W444" i="6"/>
  <c r="S444" i="6"/>
  <c r="BA444" i="6" s="1"/>
  <c r="V445" i="6"/>
  <c r="Q445" i="6"/>
  <c r="AZ445" i="6" s="1"/>
  <c r="W448" i="6"/>
  <c r="S448" i="6"/>
  <c r="BA448" i="6" s="1"/>
  <c r="AZ454" i="6"/>
  <c r="V457" i="6"/>
  <c r="Q457" i="6"/>
  <c r="AZ457" i="6" s="1"/>
  <c r="W459" i="6"/>
  <c r="S459" i="6"/>
  <c r="BA459" i="6" s="1"/>
  <c r="BA484" i="6"/>
  <c r="W496" i="6"/>
  <c r="S496" i="6"/>
  <c r="BA496" i="6" s="1"/>
  <c r="AZ498" i="6"/>
  <c r="W500" i="6"/>
  <c r="S500" i="6"/>
  <c r="BA500" i="6" s="1"/>
  <c r="S413" i="6"/>
  <c r="BA413" i="6" s="1"/>
  <c r="Q414" i="6"/>
  <c r="AZ414" i="6" s="1"/>
  <c r="S417" i="6"/>
  <c r="BA417" i="6" s="1"/>
  <c r="Q418" i="6"/>
  <c r="AZ418" i="6" s="1"/>
  <c r="S421" i="6"/>
  <c r="BA421" i="6" s="1"/>
  <c r="S425" i="6"/>
  <c r="BA425" i="6" s="1"/>
  <c r="Q426" i="6"/>
  <c r="AZ426" i="6" s="1"/>
  <c r="AZ434" i="6"/>
  <c r="AZ446" i="6"/>
  <c r="W451" i="6"/>
  <c r="S451" i="6"/>
  <c r="BA451" i="6" s="1"/>
  <c r="BA454" i="6"/>
  <c r="V460" i="6"/>
  <c r="Q460" i="6"/>
  <c r="AZ460" i="6" s="1"/>
  <c r="BA481" i="6"/>
  <c r="AZ490" i="6"/>
  <c r="V493" i="6"/>
  <c r="Q493" i="6"/>
  <c r="AZ493" i="6" s="1"/>
  <c r="AZ503" i="6"/>
  <c r="V544" i="6"/>
  <c r="Q544" i="6"/>
  <c r="AZ544" i="6" s="1"/>
  <c r="V429" i="6"/>
  <c r="Q429" i="6"/>
  <c r="AZ429" i="6" s="1"/>
  <c r="BA431" i="6"/>
  <c r="BA434" i="6"/>
  <c r="V437" i="6"/>
  <c r="Q437" i="6"/>
  <c r="AZ437" i="6" s="1"/>
  <c r="BA439" i="6"/>
  <c r="V440" i="6"/>
  <c r="Q440" i="6"/>
  <c r="AZ440" i="6" s="1"/>
  <c r="V449" i="6"/>
  <c r="Q449" i="6"/>
  <c r="AZ449" i="6" s="1"/>
  <c r="BA457" i="6"/>
  <c r="W460" i="6"/>
  <c r="S460" i="6"/>
  <c r="BA460" i="6" s="1"/>
  <c r="V461" i="6"/>
  <c r="Q461" i="6"/>
  <c r="AZ461" i="6" s="1"/>
  <c r="V464" i="6"/>
  <c r="Q464" i="6"/>
  <c r="AZ464" i="6" s="1"/>
  <c r="BA468" i="6"/>
  <c r="AZ470" i="6"/>
  <c r="BA472" i="6"/>
  <c r="AZ474" i="6"/>
  <c r="BA480" i="6"/>
  <c r="AZ483" i="6"/>
  <c r="BA486" i="6"/>
  <c r="V501" i="6"/>
  <c r="Q501" i="6"/>
  <c r="AZ501" i="6" s="1"/>
  <c r="W503" i="6"/>
  <c r="S503" i="6"/>
  <c r="BA503" i="6" s="1"/>
  <c r="BA525" i="6"/>
  <c r="V539" i="6"/>
  <c r="Q539" i="6"/>
  <c r="AZ539" i="6" s="1"/>
  <c r="Q432" i="6"/>
  <c r="AZ432" i="6" s="1"/>
  <c r="W440" i="6"/>
  <c r="S440" i="6"/>
  <c r="BA440" i="6" s="1"/>
  <c r="V441" i="6"/>
  <c r="Q441" i="6"/>
  <c r="AZ441" i="6" s="1"/>
  <c r="BA446" i="6"/>
  <c r="V452" i="6"/>
  <c r="Q452" i="6"/>
  <c r="AZ452" i="6" s="1"/>
  <c r="AZ458" i="6"/>
  <c r="AZ462" i="6"/>
  <c r="W464" i="6"/>
  <c r="S464" i="6"/>
  <c r="BA464" i="6" s="1"/>
  <c r="BA470" i="6"/>
  <c r="BA474" i="6"/>
  <c r="BA477" i="6"/>
  <c r="AZ486" i="6"/>
  <c r="BA493" i="6"/>
  <c r="AZ495" i="6"/>
  <c r="V497" i="6"/>
  <c r="Q497" i="6"/>
  <c r="AZ497" i="6" s="1"/>
  <c r="BA501" i="6"/>
  <c r="S506" i="6"/>
  <c r="BA506" i="6" s="1"/>
  <c r="W506" i="6"/>
  <c r="V527" i="6"/>
  <c r="Q527" i="6"/>
  <c r="AZ527" i="6" s="1"/>
  <c r="V563" i="6"/>
  <c r="Q563" i="6"/>
  <c r="AZ563" i="6" s="1"/>
  <c r="W432" i="6"/>
  <c r="S432" i="6"/>
  <c r="BA432" i="6" s="1"/>
  <c r="BA449" i="6"/>
  <c r="W452" i="6"/>
  <c r="S452" i="6"/>
  <c r="BA452" i="6" s="1"/>
  <c r="W455" i="6"/>
  <c r="S455" i="6"/>
  <c r="BA455" i="6" s="1"/>
  <c r="BA458" i="6"/>
  <c r="V465" i="6"/>
  <c r="Q465" i="6"/>
  <c r="AZ465" i="6" s="1"/>
  <c r="AZ467" i="6"/>
  <c r="AZ479" i="6"/>
  <c r="BA482" i="6"/>
  <c r="W495" i="6"/>
  <c r="S495" i="6"/>
  <c r="BA495" i="6" s="1"/>
  <c r="AZ504" i="6"/>
  <c r="V519" i="6"/>
  <c r="Q519" i="6"/>
  <c r="AZ519" i="6" s="1"/>
  <c r="V547" i="6"/>
  <c r="Q547" i="6"/>
  <c r="AZ547" i="6" s="1"/>
  <c r="I601" i="6"/>
  <c r="R601" i="6" s="1"/>
  <c r="R608" i="6"/>
  <c r="V511" i="6"/>
  <c r="Q511" i="6"/>
  <c r="AZ511" i="6" s="1"/>
  <c r="W514" i="6"/>
  <c r="W522" i="6"/>
  <c r="V556" i="6"/>
  <c r="Q556" i="6"/>
  <c r="AZ556" i="6" s="1"/>
  <c r="W626" i="6"/>
  <c r="S626" i="6"/>
  <c r="BA626" i="6" s="1"/>
  <c r="AZ517" i="6"/>
  <c r="AZ518" i="6"/>
  <c r="BA521" i="6"/>
  <c r="AZ526" i="6"/>
  <c r="V531" i="6"/>
  <c r="Q531" i="6"/>
  <c r="AZ531" i="6" s="1"/>
  <c r="AZ536" i="6"/>
  <c r="AZ541" i="6"/>
  <c r="BA542" i="6"/>
  <c r="BA568" i="6"/>
  <c r="S571" i="6"/>
  <c r="BA571" i="6" s="1"/>
  <c r="S429" i="6"/>
  <c r="BA429" i="6" s="1"/>
  <c r="S433" i="6"/>
  <c r="BA433" i="6" s="1"/>
  <c r="S437" i="6"/>
  <c r="BA437" i="6" s="1"/>
  <c r="S441" i="6"/>
  <c r="BA441" i="6" s="1"/>
  <c r="S445" i="6"/>
  <c r="BA445" i="6" s="1"/>
  <c r="S461" i="6"/>
  <c r="BA461" i="6" s="1"/>
  <c r="AZ509" i="6"/>
  <c r="AZ510" i="6"/>
  <c r="BA511" i="6"/>
  <c r="V523" i="6"/>
  <c r="Q523" i="6"/>
  <c r="AZ523" i="6" s="1"/>
  <c r="AZ530" i="6"/>
  <c r="AZ553" i="6"/>
  <c r="Q576" i="6"/>
  <c r="AZ576" i="6" s="1"/>
  <c r="V576" i="6"/>
  <c r="S618" i="6"/>
  <c r="BA618" i="6" s="1"/>
  <c r="AZ516" i="6"/>
  <c r="AZ520" i="6"/>
  <c r="AZ525" i="6"/>
  <c r="AZ529" i="6"/>
  <c r="BA531" i="6"/>
  <c r="V535" i="6"/>
  <c r="Q535" i="6"/>
  <c r="AZ535" i="6" s="1"/>
  <c r="AZ540" i="6"/>
  <c r="BA541" i="6"/>
  <c r="W542" i="6"/>
  <c r="W576" i="6"/>
  <c r="S576" i="6"/>
  <c r="BA576" i="6" s="1"/>
  <c r="AZ623" i="6"/>
  <c r="AZ508" i="6"/>
  <c r="V515" i="6"/>
  <c r="Q515" i="6"/>
  <c r="AZ515" i="6" s="1"/>
  <c r="BA523" i="6"/>
  <c r="AZ534" i="6"/>
  <c r="V551" i="6"/>
  <c r="Q551" i="6"/>
  <c r="AZ551" i="6" s="1"/>
  <c r="AZ561" i="6"/>
  <c r="AZ565" i="6"/>
  <c r="AZ570" i="6"/>
  <c r="V592" i="6"/>
  <c r="Q592" i="6"/>
  <c r="AZ592" i="6" s="1"/>
  <c r="V602" i="6"/>
  <c r="Q602" i="6"/>
  <c r="AZ602" i="6" s="1"/>
  <c r="AH604" i="6"/>
  <c r="AI604" i="6" s="1"/>
  <c r="Y600" i="6"/>
  <c r="AH600" i="6" s="1"/>
  <c r="AI600" i="6" s="1"/>
  <c r="AZ625" i="6"/>
  <c r="AZ549" i="6"/>
  <c r="BA561" i="6"/>
  <c r="S563" i="6"/>
  <c r="BA563" i="6" s="1"/>
  <c r="BA570" i="6"/>
  <c r="Q572" i="6"/>
  <c r="AZ572" i="6" s="1"/>
  <c r="V575" i="6"/>
  <c r="Q575" i="6"/>
  <c r="AZ575" i="6" s="1"/>
  <c r="BA590" i="6"/>
  <c r="K599" i="6"/>
  <c r="R599" i="6" s="1"/>
  <c r="Q668" i="6"/>
  <c r="AZ668" i="6" s="1"/>
  <c r="V668" i="6"/>
  <c r="BA549" i="6"/>
  <c r="AZ554" i="6"/>
  <c r="V559" i="6"/>
  <c r="Q559" i="6"/>
  <c r="AZ559" i="6" s="1"/>
  <c r="V567" i="6"/>
  <c r="Q567" i="6"/>
  <c r="AZ567" i="6" s="1"/>
  <c r="S581" i="6"/>
  <c r="BA581" i="6" s="1"/>
  <c r="W581" i="6"/>
  <c r="S607" i="6"/>
  <c r="BA607" i="6" s="1"/>
  <c r="W607" i="6"/>
  <c r="Q643" i="6"/>
  <c r="AZ643" i="6" s="1"/>
  <c r="V643" i="6"/>
  <c r="Q644" i="6"/>
  <c r="AZ644" i="6" s="1"/>
  <c r="V644" i="6"/>
  <c r="W667" i="6"/>
  <c r="S667" i="6"/>
  <c r="BA667" i="6" s="1"/>
  <c r="AZ545" i="6"/>
  <c r="Q552" i="6"/>
  <c r="AZ552" i="6" s="1"/>
  <c r="BA554" i="6"/>
  <c r="AZ557" i="6"/>
  <c r="Q564" i="6"/>
  <c r="AZ564" i="6" s="1"/>
  <c r="AZ569" i="6"/>
  <c r="W570" i="6"/>
  <c r="AZ574" i="6"/>
  <c r="S575" i="6"/>
  <c r="BA575" i="6" s="1"/>
  <c r="BA593" i="6"/>
  <c r="AZ606" i="6"/>
  <c r="AZ609" i="6"/>
  <c r="W610" i="6"/>
  <c r="S610" i="6"/>
  <c r="BA610" i="6" s="1"/>
  <c r="AZ612" i="6"/>
  <c r="BA613" i="6"/>
  <c r="W622" i="6"/>
  <c r="S622" i="6"/>
  <c r="BA622" i="6" s="1"/>
  <c r="BA623" i="6"/>
  <c r="Q632" i="6"/>
  <c r="AZ632" i="6" s="1"/>
  <c r="V632" i="6"/>
  <c r="S657" i="6"/>
  <c r="BA657" i="6" s="1"/>
  <c r="W657" i="6"/>
  <c r="Q658" i="6"/>
  <c r="AZ658" i="6" s="1"/>
  <c r="V658" i="6"/>
  <c r="BA545" i="6"/>
  <c r="BA547" i="6"/>
  <c r="BA557" i="6"/>
  <c r="BA559" i="6"/>
  <c r="AZ562" i="6"/>
  <c r="BA567" i="6"/>
  <c r="BA569" i="6"/>
  <c r="S577" i="6"/>
  <c r="BA577" i="6" s="1"/>
  <c r="W577" i="6"/>
  <c r="V584" i="6"/>
  <c r="Q584" i="6"/>
  <c r="AZ584" i="6" s="1"/>
  <c r="W606" i="6"/>
  <c r="S606" i="6"/>
  <c r="AZ621" i="6"/>
  <c r="Q543" i="6"/>
  <c r="AZ543" i="6" s="1"/>
  <c r="Q548" i="6"/>
  <c r="AZ548" i="6" s="1"/>
  <c r="AZ550" i="6"/>
  <c r="V555" i="6"/>
  <c r="Q555" i="6"/>
  <c r="AZ555" i="6" s="1"/>
  <c r="Q560" i="6"/>
  <c r="AZ560" i="6" s="1"/>
  <c r="BA562" i="6"/>
  <c r="AZ566" i="6"/>
  <c r="V571" i="6"/>
  <c r="Q571" i="6"/>
  <c r="AZ571" i="6" s="1"/>
  <c r="BA582" i="6"/>
  <c r="V587" i="6"/>
  <c r="Q587" i="6"/>
  <c r="AZ587" i="6" s="1"/>
  <c r="V604" i="6"/>
  <c r="Q604" i="6"/>
  <c r="AZ604" i="6" s="1"/>
  <c r="V611" i="6"/>
  <c r="Q611" i="6"/>
  <c r="AZ611" i="6" s="1"/>
  <c r="W595" i="6"/>
  <c r="S595" i="6"/>
  <c r="BA595" i="6" s="1"/>
  <c r="AZ597" i="6"/>
  <c r="AZ613" i="6"/>
  <c r="AZ618" i="6"/>
  <c r="AZ636" i="6"/>
  <c r="S643" i="6"/>
  <c r="BA643" i="6" s="1"/>
  <c r="W643" i="6"/>
  <c r="AZ656" i="6"/>
  <c r="W663" i="6"/>
  <c r="S663" i="6"/>
  <c r="BA663" i="6" s="1"/>
  <c r="Q664" i="6"/>
  <c r="AZ664" i="6" s="1"/>
  <c r="V664" i="6"/>
  <c r="BA584" i="6"/>
  <c r="AZ586" i="6"/>
  <c r="BA592" i="6"/>
  <c r="V596" i="6"/>
  <c r="Q596" i="6"/>
  <c r="AZ596" i="6" s="1"/>
  <c r="V601" i="6"/>
  <c r="Q601" i="6"/>
  <c r="AZ601" i="6" s="1"/>
  <c r="AC599" i="6"/>
  <c r="AH599" i="6" s="1"/>
  <c r="AI599" i="6" s="1"/>
  <c r="AH603" i="6"/>
  <c r="AI603" i="6" s="1"/>
  <c r="BA612" i="6"/>
  <c r="AZ616" i="6"/>
  <c r="S633" i="6"/>
  <c r="BA633" i="6" s="1"/>
  <c r="W633" i="6"/>
  <c r="Q639" i="6"/>
  <c r="AZ639" i="6" s="1"/>
  <c r="V639" i="6"/>
  <c r="W658" i="6"/>
  <c r="S658" i="6"/>
  <c r="BA658" i="6" s="1"/>
  <c r="AZ669" i="6"/>
  <c r="S544" i="6"/>
  <c r="BA544" i="6" s="1"/>
  <c r="S552" i="6"/>
  <c r="BA552" i="6" s="1"/>
  <c r="S556" i="6"/>
  <c r="BA556" i="6" s="1"/>
  <c r="S560" i="6"/>
  <c r="BA560" i="6" s="1"/>
  <c r="AZ603" i="6"/>
  <c r="BA616" i="6"/>
  <c r="AZ620" i="6"/>
  <c r="BA621" i="6"/>
  <c r="BA625" i="6"/>
  <c r="S639" i="6"/>
  <c r="BA639" i="6" s="1"/>
  <c r="W639" i="6"/>
  <c r="AZ670" i="6"/>
  <c r="S580" i="6"/>
  <c r="BA580" i="6" s="1"/>
  <c r="S586" i="6"/>
  <c r="BA586" i="6" s="1"/>
  <c r="V588" i="6"/>
  <c r="Q588" i="6"/>
  <c r="AZ588" i="6" s="1"/>
  <c r="BA596" i="6"/>
  <c r="AZ600" i="6"/>
  <c r="AH601" i="6"/>
  <c r="AI601" i="6" s="1"/>
  <c r="M600" i="6"/>
  <c r="R604" i="6"/>
  <c r="AH606" i="6"/>
  <c r="AI606" i="6" s="1"/>
  <c r="Q619" i="6"/>
  <c r="AZ619" i="6" s="1"/>
  <c r="BA620" i="6"/>
  <c r="AZ624" i="6"/>
  <c r="BA629" i="6"/>
  <c r="AZ641" i="6"/>
  <c r="V580" i="6"/>
  <c r="AZ585" i="6"/>
  <c r="AZ593" i="6"/>
  <c r="BA598" i="6"/>
  <c r="BA603" i="6"/>
  <c r="R605" i="6"/>
  <c r="I600" i="6"/>
  <c r="AZ608" i="6"/>
  <c r="AZ610" i="6"/>
  <c r="BA624" i="6"/>
  <c r="AZ628" i="6"/>
  <c r="S635" i="6"/>
  <c r="BA635" i="6" s="1"/>
  <c r="W635" i="6"/>
  <c r="W642" i="6"/>
  <c r="S642" i="6"/>
  <c r="BA642" i="6" s="1"/>
  <c r="W650" i="6"/>
  <c r="V652" i="6"/>
  <c r="W662" i="6"/>
  <c r="S662" i="6"/>
  <c r="BA662" i="6" s="1"/>
  <c r="W644" i="6"/>
  <c r="S644" i="6"/>
  <c r="BA644" i="6" s="1"/>
  <c r="W649" i="6"/>
  <c r="R650" i="6"/>
  <c r="S650" i="6" s="1"/>
  <c r="BA650" i="6" s="1"/>
  <c r="S653" i="6"/>
  <c r="BA653" i="6" s="1"/>
  <c r="W653" i="6"/>
  <c r="V659" i="6"/>
  <c r="Q659" i="6"/>
  <c r="AZ659" i="6" s="1"/>
  <c r="S669" i="6"/>
  <c r="BA669" i="6" s="1"/>
  <c r="W669" i="6"/>
  <c r="Q631" i="6"/>
  <c r="AZ631" i="6" s="1"/>
  <c r="S632" i="6"/>
  <c r="BA632" i="6" s="1"/>
  <c r="W636" i="6"/>
  <c r="S636" i="6"/>
  <c r="BA636" i="6" s="1"/>
  <c r="W640" i="6"/>
  <c r="S640" i="6"/>
  <c r="BA640" i="6" s="1"/>
  <c r="V645" i="6"/>
  <c r="Q645" i="6"/>
  <c r="AZ645" i="6" s="1"/>
  <c r="W654" i="6"/>
  <c r="S654" i="6"/>
  <c r="BA654" i="6" s="1"/>
  <c r="W659" i="6"/>
  <c r="S659" i="6"/>
  <c r="BA659" i="6" s="1"/>
  <c r="W670" i="6"/>
  <c r="S670" i="6"/>
  <c r="BA670" i="6" s="1"/>
  <c r="W645" i="6"/>
  <c r="S645" i="6"/>
  <c r="BA645" i="6" s="1"/>
  <c r="V655" i="6"/>
  <c r="Q655" i="6"/>
  <c r="AZ655" i="6" s="1"/>
  <c r="S665" i="6"/>
  <c r="BA665" i="6" s="1"/>
  <c r="W665" i="6"/>
  <c r="V671" i="6"/>
  <c r="Q671" i="6"/>
  <c r="AZ671" i="6" s="1"/>
  <c r="S634" i="6"/>
  <c r="BA634" i="6" s="1"/>
  <c r="W637" i="6"/>
  <c r="S637" i="6"/>
  <c r="BA637" i="6" s="1"/>
  <c r="W641" i="6"/>
  <c r="S641" i="6"/>
  <c r="BA641" i="6" s="1"/>
  <c r="W655" i="6"/>
  <c r="S655" i="6"/>
  <c r="BA655" i="6" s="1"/>
  <c r="V660" i="6"/>
  <c r="AZ661" i="6"/>
  <c r="W666" i="6"/>
  <c r="S666" i="6"/>
  <c r="BA666" i="6" s="1"/>
  <c r="W671" i="6"/>
  <c r="S671" i="6"/>
  <c r="BA671" i="6" s="1"/>
  <c r="W631" i="6"/>
  <c r="V634" i="6"/>
  <c r="V637" i="6"/>
  <c r="V641" i="6"/>
  <c r="V646" i="6"/>
  <c r="R647" i="6"/>
  <c r="S647" i="6" s="1"/>
  <c r="BA647" i="6" s="1"/>
  <c r="W651" i="6"/>
  <c r="S661" i="6"/>
  <c r="BA661" i="6" s="1"/>
  <c r="W661" i="6"/>
  <c r="V666" i="6"/>
  <c r="V667" i="6"/>
  <c r="Q667" i="6"/>
  <c r="AZ667" i="6" s="1"/>
  <c r="S646" i="6"/>
  <c r="BA646" i="6" s="1"/>
  <c r="S652" i="6"/>
  <c r="BA652" i="6" s="1"/>
  <c r="S656" i="6"/>
  <c r="BA656" i="6" s="1"/>
  <c r="S660" i="6"/>
  <c r="BA660" i="6" s="1"/>
  <c r="S664" i="6"/>
  <c r="BA664" i="6" s="1"/>
  <c r="S668" i="6"/>
  <c r="BA668" i="6" s="1"/>
  <c r="AY1" i="6"/>
  <c r="AX1" i="6"/>
  <c r="AV1" i="6"/>
  <c r="AW1" i="6" s="1"/>
  <c r="AM1" i="6"/>
  <c r="AL1" i="6"/>
  <c r="AI1" i="6"/>
  <c r="AH1" i="6"/>
  <c r="AG1" i="6"/>
  <c r="AF1" i="6"/>
  <c r="W1" i="6"/>
  <c r="V1" i="6"/>
  <c r="R1" i="6"/>
  <c r="S1" i="6" s="1"/>
  <c r="BA1" i="6" s="1"/>
  <c r="Q1" i="6"/>
  <c r="P1" i="6"/>
  <c r="G165" i="18"/>
  <c r="D107" i="18"/>
  <c r="D112" i="18"/>
  <c r="D114" i="18"/>
  <c r="D102" i="18"/>
  <c r="D139" i="16"/>
  <c r="D116" i="16"/>
  <c r="D103" i="16"/>
  <c r="D151" i="16"/>
  <c r="D113" i="16"/>
  <c r="T121" i="16"/>
  <c r="S141" i="16"/>
  <c r="S139" i="16"/>
  <c r="D121" i="16"/>
  <c r="D134" i="18"/>
  <c r="D104" i="18"/>
  <c r="D150" i="18"/>
  <c r="D115" i="18"/>
  <c r="T113" i="16"/>
  <c r="S136" i="16"/>
  <c r="D119" i="16"/>
  <c r="D105" i="16"/>
  <c r="S151" i="16"/>
  <c r="D111" i="16"/>
  <c r="D120" i="16"/>
  <c r="D106" i="16"/>
  <c r="T111" i="16"/>
  <c r="D100" i="18"/>
  <c r="D119" i="18"/>
  <c r="D139" i="18"/>
  <c r="D144" i="16"/>
  <c r="T103" i="16"/>
  <c r="D114" i="16"/>
  <c r="T114" i="16"/>
  <c r="D104" i="16"/>
  <c r="D142" i="16"/>
  <c r="D132" i="16"/>
  <c r="D141" i="16"/>
  <c r="D110" i="16"/>
  <c r="D144" i="18"/>
  <c r="D143" i="18"/>
  <c r="D108" i="18"/>
  <c r="D118" i="18"/>
  <c r="D134" i="16"/>
  <c r="D145" i="16"/>
  <c r="D147" i="16"/>
  <c r="T110" i="16"/>
  <c r="S140" i="16"/>
  <c r="T118" i="16"/>
  <c r="D108" i="16"/>
  <c r="D115" i="16"/>
  <c r="D140" i="18"/>
  <c r="D146" i="18"/>
  <c r="D103" i="18"/>
  <c r="D110" i="18"/>
  <c r="D109" i="18"/>
  <c r="S134" i="16"/>
  <c r="T119" i="16"/>
  <c r="D101" i="16"/>
  <c r="S142" i="16"/>
  <c r="D136" i="16"/>
  <c r="T109" i="16"/>
  <c r="T108" i="16"/>
  <c r="S144" i="16"/>
  <c r="D149" i="18"/>
  <c r="D151" i="18"/>
  <c r="D113" i="18"/>
  <c r="D145" i="18"/>
  <c r="D138" i="18"/>
  <c r="D135" i="16"/>
  <c r="S147" i="16"/>
  <c r="T116" i="16"/>
  <c r="T101" i="16"/>
  <c r="S146" i="16"/>
  <c r="T106" i="16"/>
  <c r="D118" i="16"/>
  <c r="D109" i="16"/>
  <c r="D133" i="18"/>
  <c r="D120" i="18"/>
  <c r="D141" i="18"/>
  <c r="D135" i="18"/>
  <c r="D105" i="18"/>
  <c r="D146" i="16"/>
  <c r="S137" i="16"/>
  <c r="T120" i="16"/>
  <c r="T105" i="16"/>
  <c r="S150" i="16"/>
  <c r="D137" i="16"/>
  <c r="S152" i="16"/>
  <c r="T115" i="16"/>
  <c r="D148" i="18"/>
  <c r="D136" i="18"/>
  <c r="D117" i="18"/>
  <c r="D131" i="18"/>
  <c r="T104" i="16"/>
  <c r="S132" i="16"/>
  <c r="D140" i="16"/>
  <c r="S135" i="16"/>
  <c r="D149" i="16"/>
  <c r="S149" i="16"/>
  <c r="S145" i="16"/>
  <c r="D150" i="16"/>
  <c r="D152" i="16"/>
  <c r="S599" i="6" l="1"/>
  <c r="BA599" i="6" s="1"/>
  <c r="W599" i="6"/>
  <c r="BA91" i="6"/>
  <c r="BA606" i="6"/>
  <c r="S604" i="6"/>
  <c r="BA604" i="6" s="1"/>
  <c r="W604" i="6"/>
  <c r="BA107" i="6"/>
  <c r="BA87" i="6"/>
  <c r="W608" i="6"/>
  <c r="S608" i="6"/>
  <c r="BA608" i="6" s="1"/>
  <c r="R600" i="6"/>
  <c r="S601" i="6"/>
  <c r="BA601" i="6" s="1"/>
  <c r="W601" i="6"/>
  <c r="AZ96" i="6"/>
  <c r="W647" i="6"/>
  <c r="W605" i="6"/>
  <c r="S605" i="6"/>
  <c r="BA605" i="6" s="1"/>
  <c r="BA103" i="6"/>
  <c r="AZ80" i="6"/>
  <c r="AZ1" i="6"/>
  <c r="F165" i="18"/>
  <c r="F161" i="18"/>
  <c r="F171" i="18"/>
  <c r="F176" i="18"/>
  <c r="F181" i="18"/>
  <c r="F179" i="18"/>
  <c r="F166" i="18"/>
  <c r="F168" i="18"/>
  <c r="F174" i="18"/>
  <c r="F170" i="18"/>
  <c r="F169" i="18"/>
  <c r="F178" i="18"/>
  <c r="F175" i="18"/>
  <c r="F164" i="18"/>
  <c r="F163" i="18"/>
  <c r="F180" i="18"/>
  <c r="F173" i="18"/>
  <c r="G173" i="18"/>
  <c r="G22" i="18"/>
  <c r="G26" i="18"/>
  <c r="G17" i="18"/>
  <c r="C22" i="18"/>
  <c r="G23" i="18"/>
  <c r="E179" i="18"/>
  <c r="I17" i="18"/>
  <c r="I22" i="18"/>
  <c r="K163" i="18"/>
  <c r="K19" i="18"/>
  <c r="M19" i="18"/>
  <c r="I163" i="18"/>
  <c r="E169" i="18"/>
  <c r="K22" i="18"/>
  <c r="C11" i="18"/>
  <c r="E211" i="18"/>
  <c r="O19" i="18"/>
  <c r="E210" i="18"/>
  <c r="E196" i="18"/>
  <c r="G200" i="18"/>
  <c r="G194" i="18"/>
  <c r="C19" i="18"/>
  <c r="E200" i="18"/>
  <c r="G195" i="18"/>
  <c r="G209" i="18"/>
  <c r="G169" i="18"/>
  <c r="I16" i="18"/>
  <c r="G196" i="18"/>
  <c r="G175" i="18"/>
  <c r="I12" i="18"/>
  <c r="M11" i="18"/>
  <c r="C205" i="18"/>
  <c r="O27" i="18"/>
  <c r="M16" i="18"/>
  <c r="C168" i="18"/>
  <c r="I27" i="18"/>
  <c r="K24" i="18"/>
  <c r="G179" i="18"/>
  <c r="I23" i="18"/>
  <c r="C163" i="18"/>
  <c r="G11" i="18"/>
  <c r="K26" i="18"/>
  <c r="C212" i="18"/>
  <c r="I175" i="18"/>
  <c r="G18" i="18"/>
  <c r="G16" i="18"/>
  <c r="E195" i="18"/>
  <c r="K166" i="18"/>
  <c r="E180" i="18"/>
  <c r="M22" i="18"/>
  <c r="K179" i="18"/>
  <c r="C197" i="18"/>
  <c r="G176" i="18"/>
  <c r="I28" i="18"/>
  <c r="C164" i="18"/>
  <c r="G168" i="18"/>
  <c r="C207" i="18"/>
  <c r="C169" i="18"/>
  <c r="C173" i="18"/>
  <c r="I178" i="18"/>
  <c r="K169" i="18"/>
  <c r="O16" i="18"/>
  <c r="G163" i="18"/>
  <c r="E166" i="18"/>
  <c r="M13" i="18"/>
  <c r="M29" i="18"/>
  <c r="E24" i="18"/>
  <c r="I24" i="18"/>
  <c r="C26" i="18"/>
  <c r="G164" i="18"/>
  <c r="O28" i="18"/>
  <c r="C23" i="18"/>
  <c r="E11" i="18"/>
  <c r="K27" i="18"/>
  <c r="M26" i="18"/>
  <c r="O12" i="18"/>
  <c r="E21" i="18"/>
  <c r="I165" i="18"/>
  <c r="E171" i="18"/>
  <c r="C195" i="18"/>
  <c r="C178" i="18"/>
  <c r="G14" i="18"/>
  <c r="C199" i="18"/>
  <c r="G197" i="18"/>
  <c r="C14" i="18"/>
  <c r="K23" i="18"/>
  <c r="C12" i="18"/>
  <c r="G201" i="18"/>
  <c r="K181" i="18"/>
  <c r="E18" i="18"/>
  <c r="E14" i="18"/>
  <c r="I170" i="18"/>
  <c r="E212" i="18"/>
  <c r="C17" i="18"/>
  <c r="K16" i="18"/>
  <c r="E175" i="18"/>
  <c r="K164" i="18"/>
  <c r="E170" i="18"/>
  <c r="I26" i="18"/>
  <c r="E165" i="18"/>
  <c r="K29" i="18"/>
  <c r="E199" i="18"/>
  <c r="E23" i="18"/>
  <c r="E206" i="18"/>
  <c r="K176" i="18"/>
  <c r="C28" i="18"/>
  <c r="O14" i="18"/>
  <c r="G205" i="18"/>
  <c r="I29" i="18"/>
  <c r="E204" i="18"/>
  <c r="E178" i="18"/>
  <c r="I14" i="18"/>
  <c r="K18" i="18"/>
  <c r="K11" i="18"/>
  <c r="K175" i="18"/>
  <c r="C21" i="18"/>
  <c r="C210" i="18"/>
  <c r="O26" i="18"/>
  <c r="O17" i="18"/>
  <c r="E201" i="18"/>
  <c r="C209" i="18"/>
  <c r="E202" i="18"/>
  <c r="I173" i="18"/>
  <c r="I180" i="18"/>
  <c r="E17" i="18"/>
  <c r="C175" i="18"/>
  <c r="O18" i="18"/>
  <c r="C171" i="18"/>
  <c r="I18" i="18"/>
  <c r="M17" i="18"/>
  <c r="G28" i="18"/>
  <c r="G174" i="18"/>
  <c r="I176" i="18"/>
  <c r="C16" i="18"/>
  <c r="I164" i="18"/>
  <c r="I13" i="18"/>
  <c r="C211" i="18"/>
  <c r="C179" i="18"/>
  <c r="E168" i="18"/>
  <c r="G171" i="18"/>
  <c r="E164" i="18"/>
  <c r="I181" i="18"/>
  <c r="O11" i="18"/>
  <c r="I174" i="18"/>
  <c r="C166" i="18"/>
  <c r="C176" i="18"/>
  <c r="M18" i="18"/>
  <c r="O13" i="18"/>
  <c r="I21" i="18"/>
  <c r="G207" i="18"/>
  <c r="E194" i="18"/>
  <c r="E16" i="18"/>
  <c r="K171" i="18"/>
  <c r="I168" i="18"/>
  <c r="G24" i="18"/>
  <c r="C18" i="18"/>
  <c r="K168" i="18"/>
  <c r="E205" i="18"/>
  <c r="K165" i="18"/>
  <c r="E29" i="18"/>
  <c r="G199" i="18"/>
  <c r="O29" i="18"/>
  <c r="E176" i="18"/>
  <c r="C201" i="18"/>
  <c r="M12" i="18"/>
  <c r="E209" i="18"/>
  <c r="C27" i="18"/>
  <c r="M14" i="18"/>
  <c r="C194" i="18"/>
  <c r="C24" i="18"/>
  <c r="M27" i="18"/>
  <c r="M24" i="18"/>
  <c r="E197" i="18"/>
  <c r="G170" i="18"/>
  <c r="O23" i="18"/>
  <c r="C200" i="18"/>
  <c r="K180" i="18"/>
  <c r="E22" i="18"/>
  <c r="C206" i="18"/>
  <c r="E26" i="18"/>
  <c r="E163" i="18"/>
  <c r="I19" i="18"/>
  <c r="M28" i="18"/>
  <c r="G12" i="18"/>
  <c r="E181" i="18"/>
  <c r="C13" i="18"/>
  <c r="K14" i="18"/>
  <c r="K174" i="18"/>
  <c r="K170" i="18"/>
  <c r="O24" i="18"/>
  <c r="G211" i="18"/>
  <c r="K17" i="18"/>
  <c r="G13" i="18"/>
  <c r="E28" i="18"/>
  <c r="G21" i="18"/>
  <c r="K12" i="18"/>
  <c r="G178" i="18"/>
  <c r="K21" i="18"/>
  <c r="C204" i="18"/>
  <c r="I171" i="18"/>
  <c r="G29" i="18"/>
  <c r="G166" i="18"/>
  <c r="E12" i="18"/>
  <c r="G181" i="18"/>
  <c r="C180" i="18"/>
  <c r="K28" i="18"/>
  <c r="K13" i="18"/>
  <c r="C196" i="18"/>
  <c r="C202" i="18"/>
  <c r="E173" i="18"/>
  <c r="I166" i="18"/>
  <c r="G204" i="18"/>
  <c r="C165" i="18"/>
  <c r="I169" i="18"/>
  <c r="G206" i="18"/>
  <c r="G27" i="18"/>
  <c r="E207" i="18"/>
  <c r="E19" i="18"/>
  <c r="C29" i="18"/>
  <c r="C174" i="18"/>
  <c r="G212" i="18"/>
  <c r="C170" i="18"/>
  <c r="G210" i="18"/>
  <c r="M21" i="18"/>
  <c r="I179" i="18"/>
  <c r="M23" i="18"/>
  <c r="G19" i="18"/>
  <c r="E174" i="18"/>
  <c r="K178" i="18"/>
  <c r="K173" i="18"/>
  <c r="E27" i="18"/>
  <c r="E13" i="18"/>
  <c r="I11" i="18"/>
  <c r="O21" i="18"/>
  <c r="C181" i="18"/>
  <c r="G180" i="18"/>
  <c r="O22" i="18"/>
  <c r="G202" i="18"/>
  <c r="AJ171" i="12"/>
  <c r="E113" i="18"/>
  <c r="B102" i="18"/>
  <c r="C140" i="18"/>
  <c r="F52" i="18"/>
  <c r="B41" i="18"/>
  <c r="E47" i="18"/>
  <c r="E41" i="18"/>
  <c r="E100" i="18"/>
  <c r="H108" i="18"/>
  <c r="B236" i="18"/>
  <c r="C143" i="18"/>
  <c r="B103" i="18"/>
  <c r="L24" i="18"/>
  <c r="E53" i="18"/>
  <c r="F239" i="18"/>
  <c r="C141" i="18"/>
  <c r="E112" i="18"/>
  <c r="H117" i="18"/>
  <c r="N28" i="18"/>
  <c r="C42" i="18"/>
  <c r="L9" i="18"/>
  <c r="C114" i="18"/>
  <c r="H39" i="18"/>
  <c r="H24" i="18"/>
  <c r="I119" i="18"/>
  <c r="C118" i="18"/>
  <c r="C102" i="18"/>
  <c r="C139" i="18"/>
  <c r="G112" i="18"/>
  <c r="H141" i="18"/>
  <c r="F54" i="18"/>
  <c r="F112" i="18"/>
  <c r="I100" i="18"/>
  <c r="B11" i="18"/>
  <c r="B109" i="18"/>
  <c r="F115" i="18"/>
  <c r="B120" i="18"/>
  <c r="B227" i="18"/>
  <c r="H135" i="18"/>
  <c r="I110" i="18"/>
  <c r="G115" i="18"/>
  <c r="H17" i="18"/>
  <c r="B105" i="18"/>
  <c r="I109" i="18"/>
  <c r="G110" i="18"/>
  <c r="C41" i="18"/>
  <c r="E39" i="18"/>
  <c r="AJ170" i="12"/>
  <c r="N27" i="18"/>
  <c r="E144" i="18"/>
  <c r="B113" i="18"/>
  <c r="H48" i="18"/>
  <c r="I150" i="18"/>
  <c r="F102" i="18"/>
  <c r="L16" i="18"/>
  <c r="I131" i="18"/>
  <c r="D11" i="18"/>
  <c r="E108" i="18"/>
  <c r="L27" i="18"/>
  <c r="D16" i="18"/>
  <c r="D42" i="18"/>
  <c r="B225" i="18"/>
  <c r="H105" i="18"/>
  <c r="B58" i="18"/>
  <c r="E105" i="18"/>
  <c r="I144" i="18"/>
  <c r="H140" i="18"/>
  <c r="I103" i="18"/>
  <c r="F22" i="18"/>
  <c r="E48" i="18"/>
  <c r="G140" i="18"/>
  <c r="B51" i="18"/>
  <c r="D229" i="18"/>
  <c r="E149" i="18"/>
  <c r="G100" i="18"/>
  <c r="E135" i="18"/>
  <c r="E133" i="18"/>
  <c r="E104" i="18"/>
  <c r="B228" i="18"/>
  <c r="F150" i="18"/>
  <c r="F27" i="18"/>
  <c r="F57" i="18"/>
  <c r="F225" i="18"/>
  <c r="F24" i="18"/>
  <c r="B19" i="18"/>
  <c r="H118" i="18"/>
  <c r="B134" i="18"/>
  <c r="F51" i="18"/>
  <c r="D23" i="18"/>
  <c r="E103" i="18"/>
  <c r="C115" i="18"/>
  <c r="B110" i="18"/>
  <c r="L11" i="18"/>
  <c r="E102" i="18"/>
  <c r="E134" i="18"/>
  <c r="N12" i="18"/>
  <c r="F46" i="18"/>
  <c r="G141" i="18"/>
  <c r="J16" i="18"/>
  <c r="D14" i="18"/>
  <c r="G133" i="18"/>
  <c r="F224" i="18"/>
  <c r="E44" i="18"/>
  <c r="C148" i="18"/>
  <c r="H120" i="18"/>
  <c r="L14" i="18"/>
  <c r="F49" i="18"/>
  <c r="B148" i="18"/>
  <c r="I107" i="18"/>
  <c r="G49" i="18"/>
  <c r="F114" i="18"/>
  <c r="G47" i="18"/>
  <c r="B222" i="18"/>
  <c r="B13" i="18"/>
  <c r="E141" i="18"/>
  <c r="I145" i="18"/>
  <c r="D19" i="18"/>
  <c r="H100" i="18"/>
  <c r="B29" i="18"/>
  <c r="AI170" i="12"/>
  <c r="H119" i="18"/>
  <c r="F28" i="18"/>
  <c r="F108" i="18"/>
  <c r="G148" i="18"/>
  <c r="F143" i="18"/>
  <c r="I117" i="18"/>
  <c r="I115" i="18"/>
  <c r="E139" i="18"/>
  <c r="F135" i="18"/>
  <c r="D236" i="18"/>
  <c r="G56" i="18"/>
  <c r="E107" i="18"/>
  <c r="I133" i="18"/>
  <c r="H54" i="18"/>
  <c r="F53" i="18"/>
  <c r="F100" i="18"/>
  <c r="F105" i="18"/>
  <c r="G104" i="18"/>
  <c r="C136" i="18"/>
  <c r="H49" i="18"/>
  <c r="B42" i="18"/>
  <c r="C44" i="18"/>
  <c r="C100" i="18"/>
  <c r="C103" i="18"/>
  <c r="F235" i="18"/>
  <c r="L26" i="18"/>
  <c r="F39" i="18"/>
  <c r="D52" i="18"/>
  <c r="J22" i="18"/>
  <c r="H23" i="18"/>
  <c r="H107" i="18"/>
  <c r="G39" i="18"/>
  <c r="B104" i="18"/>
  <c r="D56" i="18"/>
  <c r="F136" i="18"/>
  <c r="I135" i="18"/>
  <c r="F230" i="18"/>
  <c r="D29" i="18"/>
  <c r="H150" i="18"/>
  <c r="F56" i="18"/>
  <c r="H51" i="18"/>
  <c r="B233" i="18"/>
  <c r="D233" i="18"/>
  <c r="L22" i="18"/>
  <c r="H44" i="18"/>
  <c r="E46" i="18"/>
  <c r="H144" i="18"/>
  <c r="B145" i="18"/>
  <c r="H136" i="18"/>
  <c r="H138" i="18"/>
  <c r="G46" i="18"/>
  <c r="N29" i="18"/>
  <c r="F42" i="18"/>
  <c r="L17" i="18"/>
  <c r="H114" i="18"/>
  <c r="D228" i="18"/>
  <c r="D26" i="18"/>
  <c r="B53" i="18"/>
  <c r="D49" i="18"/>
  <c r="C51" i="18"/>
  <c r="D54" i="18"/>
  <c r="J28" i="18"/>
  <c r="E131" i="18"/>
  <c r="D44" i="18"/>
  <c r="H112" i="18"/>
  <c r="F233" i="18"/>
  <c r="C134" i="18"/>
  <c r="L18" i="18"/>
  <c r="B234" i="18"/>
  <c r="D24" i="18"/>
  <c r="L21" i="18"/>
  <c r="F48" i="18"/>
  <c r="D224" i="18"/>
  <c r="AI171" i="12"/>
  <c r="I146" i="18"/>
  <c r="J27" i="18"/>
  <c r="E151" i="18"/>
  <c r="F234" i="18"/>
  <c r="H13" i="18"/>
  <c r="N11" i="18"/>
  <c r="B239" i="18"/>
  <c r="B131" i="18"/>
  <c r="L19" i="18"/>
  <c r="E59" i="18"/>
  <c r="J17" i="18"/>
  <c r="B22" i="18"/>
  <c r="B140" i="18"/>
  <c r="H151" i="18"/>
  <c r="C105" i="18"/>
  <c r="I108" i="18"/>
  <c r="B12" i="18"/>
  <c r="H104" i="18"/>
  <c r="C150" i="18"/>
  <c r="B56" i="18"/>
  <c r="N16" i="18"/>
  <c r="D46" i="18"/>
  <c r="H149" i="18"/>
  <c r="D41" i="18"/>
  <c r="E119" i="18"/>
  <c r="B14" i="18"/>
  <c r="H27" i="18"/>
  <c r="D235" i="18"/>
  <c r="F103" i="18"/>
  <c r="E51" i="18"/>
  <c r="C104" i="18"/>
  <c r="E148" i="18"/>
  <c r="F138" i="18"/>
  <c r="E117" i="18"/>
  <c r="B21" i="18"/>
  <c r="N24" i="18"/>
  <c r="H110" i="18"/>
  <c r="N26" i="18"/>
  <c r="C108" i="18"/>
  <c r="F43" i="18"/>
  <c r="C59" i="18"/>
  <c r="C151" i="18"/>
  <c r="J11" i="18"/>
  <c r="H12" i="18"/>
  <c r="H9" i="18"/>
  <c r="F238" i="18"/>
  <c r="D222" i="18"/>
  <c r="G119" i="18"/>
  <c r="G59" i="18"/>
  <c r="J23" i="18"/>
  <c r="F131" i="18"/>
  <c r="E150" i="18"/>
  <c r="G57" i="18"/>
  <c r="B54" i="18"/>
  <c r="D22" i="18"/>
  <c r="F29" i="18"/>
  <c r="H11" i="18"/>
  <c r="F231" i="18"/>
  <c r="G135" i="18"/>
  <c r="G54" i="18"/>
  <c r="H57" i="18"/>
  <c r="N13" i="18"/>
  <c r="D48" i="18"/>
  <c r="H29" i="18"/>
  <c r="B230" i="18"/>
  <c r="F13" i="18"/>
  <c r="D13" i="18"/>
  <c r="C52" i="18"/>
  <c r="E54" i="18"/>
  <c r="G103" i="18"/>
  <c r="C58" i="18"/>
  <c r="AI182" i="12"/>
  <c r="H133" i="18"/>
  <c r="D234" i="18"/>
  <c r="N14" i="18"/>
  <c r="J26" i="18"/>
  <c r="J24" i="18"/>
  <c r="H113" i="18"/>
  <c r="F118" i="18"/>
  <c r="F149" i="18"/>
  <c r="B18" i="18"/>
  <c r="E143" i="18"/>
  <c r="H19" i="18"/>
  <c r="D53" i="18"/>
  <c r="H52" i="18"/>
  <c r="D47" i="18"/>
  <c r="G143" i="18"/>
  <c r="G107" i="18"/>
  <c r="D28" i="18"/>
  <c r="F19" i="18"/>
  <c r="B141" i="18"/>
  <c r="I140" i="18"/>
  <c r="C43" i="18"/>
  <c r="F47" i="18"/>
  <c r="B229" i="18"/>
  <c r="F109" i="18"/>
  <c r="F110" i="18"/>
  <c r="F117" i="18"/>
  <c r="H134" i="18"/>
  <c r="B23" i="18"/>
  <c r="C119" i="18"/>
  <c r="H131" i="18"/>
  <c r="J9" i="18"/>
  <c r="C47" i="18"/>
  <c r="G145" i="18"/>
  <c r="N22" i="18"/>
  <c r="H22" i="18"/>
  <c r="I114" i="18"/>
  <c r="B224" i="18"/>
  <c r="L28" i="18"/>
  <c r="B238" i="18"/>
  <c r="C48" i="18"/>
  <c r="H59" i="18"/>
  <c r="B27" i="18"/>
  <c r="F226" i="18"/>
  <c r="B133" i="18"/>
  <c r="D21" i="18"/>
  <c r="C112" i="18"/>
  <c r="AJ183" i="12"/>
  <c r="C53" i="18"/>
  <c r="C109" i="18"/>
  <c r="D230" i="18"/>
  <c r="H18" i="18"/>
  <c r="B52" i="18"/>
  <c r="F144" i="18"/>
  <c r="F139" i="18"/>
  <c r="F17" i="18"/>
  <c r="J21" i="18"/>
  <c r="C144" i="18"/>
  <c r="D239" i="18"/>
  <c r="B143" i="18"/>
  <c r="D9" i="18"/>
  <c r="G150" i="18"/>
  <c r="I134" i="18"/>
  <c r="C117" i="18"/>
  <c r="E146" i="18"/>
  <c r="C133" i="18"/>
  <c r="H47" i="18"/>
  <c r="F113" i="18"/>
  <c r="H58" i="18"/>
  <c r="B44" i="18"/>
  <c r="B115" i="18"/>
  <c r="D39" i="18"/>
  <c r="N19" i="18"/>
  <c r="N17" i="18"/>
  <c r="H41" i="18"/>
  <c r="G42" i="18"/>
  <c r="D51" i="18"/>
  <c r="F237" i="18"/>
  <c r="I149" i="18"/>
  <c r="D227" i="18"/>
  <c r="C110" i="18"/>
  <c r="E115" i="18"/>
  <c r="F23" i="18"/>
  <c r="N21" i="18"/>
  <c r="B24" i="18"/>
  <c r="G136" i="18"/>
  <c r="E136" i="18"/>
  <c r="D17" i="18"/>
  <c r="E56" i="18"/>
  <c r="D232" i="18"/>
  <c r="J14" i="18"/>
  <c r="D59" i="18"/>
  <c r="E138" i="18"/>
  <c r="F18" i="18"/>
  <c r="F107" i="18"/>
  <c r="F141" i="18"/>
  <c r="E114" i="18"/>
  <c r="G43" i="18"/>
  <c r="L12" i="18"/>
  <c r="B107" i="18"/>
  <c r="H139" i="18"/>
  <c r="F148" i="18"/>
  <c r="D226" i="18"/>
  <c r="B47" i="18"/>
  <c r="E140" i="18"/>
  <c r="F146" i="18"/>
  <c r="B232" i="18"/>
  <c r="G131" i="18"/>
  <c r="H46" i="18"/>
  <c r="I136" i="18"/>
  <c r="B235" i="18"/>
  <c r="I151" i="18"/>
  <c r="F120" i="18"/>
  <c r="I120" i="18"/>
  <c r="B112" i="18"/>
  <c r="F222" i="18"/>
  <c r="H26" i="18"/>
  <c r="H148" i="18"/>
  <c r="G52" i="18"/>
  <c r="G118" i="18"/>
  <c r="H146" i="18"/>
  <c r="AI183" i="12"/>
  <c r="G151" i="18"/>
  <c r="G48" i="18"/>
  <c r="D27" i="18"/>
  <c r="F151" i="18"/>
  <c r="I138" i="18"/>
  <c r="B144" i="18"/>
  <c r="C131" i="18"/>
  <c r="G53" i="18"/>
  <c r="H102" i="18"/>
  <c r="F228" i="18"/>
  <c r="B100" i="18"/>
  <c r="B46" i="18"/>
  <c r="E42" i="18"/>
  <c r="F104" i="18"/>
  <c r="H145" i="18"/>
  <c r="B237" i="18"/>
  <c r="D18" i="18"/>
  <c r="G134" i="18"/>
  <c r="B150" i="18"/>
  <c r="G58" i="18"/>
  <c r="B48" i="18"/>
  <c r="I104" i="18"/>
  <c r="B108" i="18"/>
  <c r="C135" i="18"/>
  <c r="C54" i="18"/>
  <c r="G149" i="18"/>
  <c r="I143" i="18"/>
  <c r="B149" i="18"/>
  <c r="F9" i="18"/>
  <c r="F58" i="18"/>
  <c r="C146" i="18"/>
  <c r="C113" i="18"/>
  <c r="I148" i="18"/>
  <c r="G44" i="18"/>
  <c r="C138" i="18"/>
  <c r="E43" i="18"/>
  <c r="F11" i="18"/>
  <c r="G114" i="18"/>
  <c r="H53" i="18"/>
  <c r="B139" i="18"/>
  <c r="G108" i="18"/>
  <c r="H16" i="18"/>
  <c r="F140" i="18"/>
  <c r="J12" i="18"/>
  <c r="B39" i="18"/>
  <c r="H42" i="18"/>
  <c r="G120" i="18"/>
  <c r="F145" i="18"/>
  <c r="G41" i="18"/>
  <c r="E110" i="18"/>
  <c r="I113" i="18"/>
  <c r="L29" i="18"/>
  <c r="D238" i="18"/>
  <c r="D12" i="18"/>
  <c r="F232" i="18"/>
  <c r="C145" i="18"/>
  <c r="B114" i="18"/>
  <c r="E145" i="18"/>
  <c r="I112" i="18"/>
  <c r="D231" i="18"/>
  <c r="E52" i="18"/>
  <c r="D57" i="18"/>
  <c r="F16" i="18"/>
  <c r="C57" i="18"/>
  <c r="F236" i="18"/>
  <c r="C46" i="18"/>
  <c r="H143" i="18"/>
  <c r="J18" i="18"/>
  <c r="C56" i="18"/>
  <c r="B136" i="18"/>
  <c r="B119" i="18"/>
  <c r="B16" i="18"/>
  <c r="G51" i="18"/>
  <c r="D225" i="18"/>
  <c r="AJ182" i="12"/>
  <c r="J13" i="18"/>
  <c r="I105" i="18"/>
  <c r="C107" i="18"/>
  <c r="G139" i="18"/>
  <c r="E118" i="18"/>
  <c r="F227" i="18"/>
  <c r="C120" i="18"/>
  <c r="F134" i="18"/>
  <c r="G109" i="18"/>
  <c r="B146" i="18"/>
  <c r="E57" i="18"/>
  <c r="F119" i="18"/>
  <c r="I118" i="18"/>
  <c r="F59" i="18"/>
  <c r="C149" i="18"/>
  <c r="C49" i="18"/>
  <c r="G138" i="18"/>
  <c r="B151" i="18"/>
  <c r="N23" i="18"/>
  <c r="B118" i="18"/>
  <c r="I141" i="18"/>
  <c r="F14" i="18"/>
  <c r="F44" i="18"/>
  <c r="L23" i="18"/>
  <c r="D43" i="18"/>
  <c r="N18" i="18"/>
  <c r="F12" i="18"/>
  <c r="G113" i="18"/>
  <c r="B26" i="18"/>
  <c r="G102" i="18"/>
  <c r="H21" i="18"/>
  <c r="B135" i="18"/>
  <c r="H14" i="18"/>
  <c r="L13" i="18"/>
  <c r="H103" i="18"/>
  <c r="E58" i="18"/>
  <c r="B117" i="18"/>
  <c r="H28" i="18"/>
  <c r="B43" i="18"/>
  <c r="H115" i="18"/>
  <c r="D237" i="18"/>
  <c r="B226" i="18"/>
  <c r="N9" i="18"/>
  <c r="E109" i="18"/>
  <c r="B138" i="18"/>
  <c r="F41" i="18"/>
  <c r="B9" i="18"/>
  <c r="B17" i="18"/>
  <c r="I139" i="18"/>
  <c r="E49" i="18"/>
  <c r="D58" i="18"/>
  <c r="I102" i="18"/>
  <c r="F26" i="18"/>
  <c r="G144" i="18"/>
  <c r="H56" i="18"/>
  <c r="B59" i="18"/>
  <c r="B49" i="18"/>
  <c r="G105" i="18"/>
  <c r="J19" i="18"/>
  <c r="H43" i="18"/>
  <c r="B57" i="18"/>
  <c r="F21" i="18"/>
  <c r="G117" i="18"/>
  <c r="J29" i="18"/>
  <c r="G146" i="18"/>
  <c r="F229" i="18"/>
  <c r="B231" i="18"/>
  <c r="C39" i="18"/>
  <c r="E120" i="18"/>
  <c r="F133" i="18"/>
  <c r="B28" i="18"/>
  <c r="H109" i="18"/>
  <c r="W600" i="6" l="1"/>
  <c r="S600" i="6"/>
  <c r="BA600" i="6" s="1"/>
  <c r="C74" i="18"/>
  <c r="D82" i="18"/>
  <c r="H87" i="18"/>
  <c r="B179" i="18"/>
  <c r="E82" i="18"/>
  <c r="B88" i="18"/>
  <c r="B166" i="18"/>
  <c r="D72" i="18"/>
  <c r="E73" i="18"/>
  <c r="E75" i="18"/>
  <c r="F77" i="18"/>
  <c r="F78" i="18"/>
  <c r="B84" i="18"/>
  <c r="G89" i="18"/>
  <c r="J166" i="18"/>
  <c r="F204" i="18"/>
  <c r="F210" i="18"/>
  <c r="H230" i="18"/>
  <c r="F82" i="18"/>
  <c r="C84" i="18"/>
  <c r="C88" i="18"/>
  <c r="B90" i="18"/>
  <c r="B168" i="18"/>
  <c r="B174" i="18"/>
  <c r="B180" i="18"/>
  <c r="B70" i="18"/>
  <c r="F73" i="18"/>
  <c r="G74" i="18"/>
  <c r="B79" i="18"/>
  <c r="F84" i="18"/>
  <c r="F90" i="18"/>
  <c r="H163" i="18"/>
  <c r="D200" i="18"/>
  <c r="D206" i="18"/>
  <c r="D212" i="18"/>
  <c r="H234" i="18"/>
  <c r="C73" i="18"/>
  <c r="F202" i="18"/>
  <c r="E77" i="18"/>
  <c r="E78" i="18"/>
  <c r="D210" i="18"/>
  <c r="D70" i="18"/>
  <c r="H77" i="18"/>
  <c r="C83" i="18"/>
  <c r="G88" i="18"/>
  <c r="F194" i="18"/>
  <c r="F200" i="18"/>
  <c r="F206" i="18"/>
  <c r="F212" i="18"/>
  <c r="G70" i="18"/>
  <c r="H72" i="18"/>
  <c r="B74" i="18"/>
  <c r="H74" i="18"/>
  <c r="B77" i="18"/>
  <c r="G80" i="18"/>
  <c r="D87" i="18"/>
  <c r="B164" i="18"/>
  <c r="B170" i="18"/>
  <c r="B176" i="18"/>
  <c r="D75" i="18"/>
  <c r="F196" i="18"/>
  <c r="H79" i="18"/>
  <c r="E85" i="18"/>
  <c r="H173" i="18"/>
  <c r="C79" i="18"/>
  <c r="G84" i="18"/>
  <c r="G90" i="18"/>
  <c r="B72" i="18"/>
  <c r="C75" i="18"/>
  <c r="D79" i="18"/>
  <c r="H80" i="18"/>
  <c r="H84" i="18"/>
  <c r="E87" i="18"/>
  <c r="H90" i="18"/>
  <c r="H164" i="18"/>
  <c r="H170" i="18"/>
  <c r="J176" i="18"/>
  <c r="H224" i="18"/>
  <c r="F79" i="18"/>
  <c r="H82" i="18"/>
  <c r="C85" i="18"/>
  <c r="E88" i="18"/>
  <c r="D192" i="18"/>
  <c r="J165" i="18"/>
  <c r="D199" i="18"/>
  <c r="J171" i="18"/>
  <c r="F205" i="18"/>
  <c r="J178" i="18"/>
  <c r="H181" i="18"/>
  <c r="H70" i="18"/>
  <c r="F72" i="18"/>
  <c r="F74" i="18"/>
  <c r="H75" i="18"/>
  <c r="C78" i="18"/>
  <c r="G79" i="18"/>
  <c r="E80" i="18"/>
  <c r="B83" i="18"/>
  <c r="G83" i="18"/>
  <c r="D85" i="18"/>
  <c r="B87" i="18"/>
  <c r="F88" i="18"/>
  <c r="E89" i="18"/>
  <c r="F192" i="18"/>
  <c r="D196" i="18"/>
  <c r="B169" i="18"/>
  <c r="D202" i="18"/>
  <c r="J175" i="18"/>
  <c r="D209" i="18"/>
  <c r="J181" i="18"/>
  <c r="B73" i="18"/>
  <c r="D77" i="18"/>
  <c r="E83" i="18"/>
  <c r="G85" i="18"/>
  <c r="B89" i="18"/>
  <c r="H161" i="18"/>
  <c r="J164" i="18"/>
  <c r="H168" i="18"/>
  <c r="D201" i="18"/>
  <c r="H174" i="18"/>
  <c r="B178" i="18"/>
  <c r="H180" i="18"/>
  <c r="E70" i="18"/>
  <c r="D74" i="18"/>
  <c r="C80" i="18"/>
  <c r="F70" i="18"/>
  <c r="E72" i="18"/>
  <c r="G73" i="18"/>
  <c r="G75" i="18"/>
  <c r="B78" i="18"/>
  <c r="G78" i="18"/>
  <c r="D80" i="18"/>
  <c r="B82" i="18"/>
  <c r="F83" i="18"/>
  <c r="D84" i="18"/>
  <c r="H85" i="18"/>
  <c r="F87" i="18"/>
  <c r="C89" i="18"/>
  <c r="C90" i="18"/>
  <c r="J161" i="18"/>
  <c r="F195" i="18"/>
  <c r="J168" i="18"/>
  <c r="H171" i="18"/>
  <c r="J174" i="18"/>
  <c r="H178" i="18"/>
  <c r="D211" i="18"/>
  <c r="H232" i="18"/>
  <c r="H228" i="18"/>
  <c r="C70" i="18"/>
  <c r="C72" i="18"/>
  <c r="G72" i="18"/>
  <c r="D73" i="18"/>
  <c r="H73" i="18"/>
  <c r="E74" i="18"/>
  <c r="B75" i="18"/>
  <c r="F75" i="18"/>
  <c r="C77" i="18"/>
  <c r="G77" i="18"/>
  <c r="D78" i="18"/>
  <c r="H78" i="18"/>
  <c r="E79" i="18"/>
  <c r="B80" i="18"/>
  <c r="F80" i="18"/>
  <c r="C82" i="18"/>
  <c r="G82" i="18"/>
  <c r="D83" i="18"/>
  <c r="H83" i="18"/>
  <c r="E84" i="18"/>
  <c r="B85" i="18"/>
  <c r="F85" i="18"/>
  <c r="C87" i="18"/>
  <c r="G87" i="18"/>
  <c r="D88" i="18"/>
  <c r="H88" i="18"/>
  <c r="F89" i="18"/>
  <c r="D90" i="18"/>
  <c r="B163" i="18"/>
  <c r="D195" i="18"/>
  <c r="H166" i="18"/>
  <c r="F199" i="18"/>
  <c r="J170" i="18"/>
  <c r="B173" i="18"/>
  <c r="D205" i="18"/>
  <c r="H176" i="18"/>
  <c r="F209" i="18"/>
  <c r="J180" i="18"/>
  <c r="H238" i="18"/>
  <c r="J163" i="18"/>
  <c r="B165" i="18"/>
  <c r="D197" i="18"/>
  <c r="H169" i="18"/>
  <c r="F201" i="18"/>
  <c r="J173" i="18"/>
  <c r="B175" i="18"/>
  <c r="D207" i="18"/>
  <c r="H179" i="18"/>
  <c r="F211" i="18"/>
  <c r="H226" i="18"/>
  <c r="B161" i="18"/>
  <c r="D194" i="18"/>
  <c r="H165" i="18"/>
  <c r="F197" i="18"/>
  <c r="J169" i="18"/>
  <c r="B171" i="18"/>
  <c r="D204" i="18"/>
  <c r="H175" i="18"/>
  <c r="F207" i="18"/>
  <c r="J179" i="18"/>
  <c r="B181" i="18"/>
  <c r="H236" i="18"/>
  <c r="B192" i="18"/>
  <c r="B194" i="18"/>
  <c r="B195" i="18"/>
  <c r="B196" i="18"/>
  <c r="B197" i="18"/>
  <c r="B199" i="18"/>
  <c r="B200" i="18"/>
  <c r="B201" i="18"/>
  <c r="B202" i="18"/>
  <c r="B204" i="18"/>
  <c r="B205" i="18"/>
  <c r="B206" i="18"/>
  <c r="B207" i="18"/>
  <c r="B209" i="18"/>
  <c r="B210" i="18"/>
  <c r="B211" i="18"/>
  <c r="B212" i="18"/>
  <c r="D161" i="18"/>
  <c r="D163" i="18"/>
  <c r="D164" i="18"/>
  <c r="D165" i="18"/>
  <c r="D166" i="18"/>
  <c r="D168" i="18"/>
  <c r="D169" i="18"/>
  <c r="D170" i="18"/>
  <c r="D171" i="18"/>
  <c r="D173" i="18"/>
  <c r="D174" i="18"/>
  <c r="D175" i="18"/>
  <c r="D176" i="18"/>
  <c r="D178" i="18"/>
  <c r="D179" i="18"/>
  <c r="D180" i="18"/>
  <c r="D181" i="18"/>
  <c r="D89" i="18"/>
  <c r="H89" i="18"/>
  <c r="E90" i="18"/>
  <c r="H222" i="18"/>
  <c r="H225" i="18"/>
  <c r="H227" i="18"/>
  <c r="H229" i="18"/>
  <c r="H231" i="18"/>
  <c r="H233" i="18"/>
  <c r="H235" i="18"/>
  <c r="H237" i="18"/>
  <c r="H239" i="18"/>
  <c r="AK171" i="12"/>
  <c r="AK182" i="12"/>
  <c r="AK170" i="12"/>
  <c r="AK183" i="12"/>
  <c r="AB225" i="16" l="1"/>
  <c r="AW209" i="16"/>
  <c r="AV209" i="16"/>
  <c r="AU209" i="16"/>
  <c r="AR209" i="16"/>
  <c r="AQ209" i="16"/>
  <c r="AP209" i="16"/>
  <c r="W209" i="16"/>
  <c r="U209" i="16"/>
  <c r="S209" i="16"/>
  <c r="AW204" i="16"/>
  <c r="AV204" i="16"/>
  <c r="AU204" i="16"/>
  <c r="AR204" i="16"/>
  <c r="AQ204" i="16"/>
  <c r="AP204" i="16"/>
  <c r="AW199" i="16"/>
  <c r="AV199" i="16"/>
  <c r="AU199" i="16"/>
  <c r="AR199" i="16"/>
  <c r="AQ199" i="16"/>
  <c r="AP199" i="16"/>
  <c r="W193" i="16"/>
  <c r="U193" i="16"/>
  <c r="S193" i="16"/>
  <c r="AO181" i="16"/>
  <c r="AN181" i="16"/>
  <c r="AH181" i="16"/>
  <c r="AG181" i="16"/>
  <c r="AO180" i="16"/>
  <c r="AN180" i="16"/>
  <c r="AM180" i="16"/>
  <c r="AL180" i="16"/>
  <c r="AK180" i="16"/>
  <c r="AH180" i="16"/>
  <c r="AG180" i="16"/>
  <c r="AF180" i="16"/>
  <c r="AE180" i="16"/>
  <c r="AD180" i="16"/>
  <c r="BD178" i="16"/>
  <c r="BC178" i="16"/>
  <c r="BB178" i="16"/>
  <c r="BA178" i="16"/>
  <c r="AZ178" i="16"/>
  <c r="AW178" i="16"/>
  <c r="AV178" i="16"/>
  <c r="AU178" i="16"/>
  <c r="AT178" i="16"/>
  <c r="AS178" i="16"/>
  <c r="BD173" i="16"/>
  <c r="BC173" i="16"/>
  <c r="BB173" i="16"/>
  <c r="BA173" i="16"/>
  <c r="AZ173" i="16"/>
  <c r="AW173" i="16"/>
  <c r="AV173" i="16"/>
  <c r="AU173" i="16"/>
  <c r="AT173" i="16"/>
  <c r="AS173" i="16"/>
  <c r="BD168" i="16"/>
  <c r="BC168" i="16"/>
  <c r="BB168" i="16"/>
  <c r="BA168" i="16"/>
  <c r="AZ168" i="16"/>
  <c r="AW168" i="16"/>
  <c r="AV168" i="16"/>
  <c r="AU168" i="16"/>
  <c r="AT168" i="16"/>
  <c r="AS168" i="16"/>
  <c r="AA162" i="16"/>
  <c r="Y162" i="16"/>
  <c r="W162" i="16"/>
  <c r="U162" i="16"/>
  <c r="S162" i="16"/>
  <c r="AX25" i="16"/>
  <c r="AW25" i="16"/>
  <c r="AV25" i="16"/>
  <c r="AU25" i="16"/>
  <c r="AT25" i="16"/>
  <c r="AS25" i="16"/>
  <c r="AR25" i="16"/>
  <c r="AO25" i="16"/>
  <c r="AN25" i="16"/>
  <c r="AM25" i="16"/>
  <c r="AL25" i="16"/>
  <c r="AK25" i="16"/>
  <c r="AJ25" i="16"/>
  <c r="AI25" i="16"/>
  <c r="AX20" i="16"/>
  <c r="AW20" i="16"/>
  <c r="AV20" i="16"/>
  <c r="AU20" i="16"/>
  <c r="AT20" i="16"/>
  <c r="AS20" i="16"/>
  <c r="AR20" i="16"/>
  <c r="AO20" i="16"/>
  <c r="AN20" i="16"/>
  <c r="AM20" i="16"/>
  <c r="AL20" i="16"/>
  <c r="AK20" i="16"/>
  <c r="AJ20" i="16"/>
  <c r="AI20" i="16"/>
  <c r="AX15" i="16"/>
  <c r="AW15" i="16"/>
  <c r="AV15" i="16"/>
  <c r="AU15" i="16"/>
  <c r="AT15" i="16"/>
  <c r="AS15" i="16"/>
  <c r="AR15" i="16"/>
  <c r="AO15" i="16"/>
  <c r="AN15" i="16"/>
  <c r="AM15" i="16"/>
  <c r="AL15" i="16"/>
  <c r="AK15" i="16"/>
  <c r="AJ15" i="16"/>
  <c r="AI15" i="16"/>
  <c r="AE9" i="16"/>
  <c r="AC9" i="16"/>
  <c r="AA9" i="16"/>
  <c r="Y9" i="16"/>
  <c r="W9" i="16"/>
  <c r="U9" i="16"/>
  <c r="S9" i="16"/>
  <c r="R170" i="16"/>
  <c r="Z174" i="16"/>
  <c r="V180" i="16"/>
  <c r="C22" i="16"/>
  <c r="AD18" i="16"/>
  <c r="AB19" i="16"/>
  <c r="X175" i="16"/>
  <c r="X23" i="16"/>
  <c r="T213" i="16"/>
  <c r="R16" i="16"/>
  <c r="V174" i="16"/>
  <c r="E198" i="16"/>
  <c r="R177" i="16"/>
  <c r="AD28" i="16"/>
  <c r="O19" i="16"/>
  <c r="X177" i="16"/>
  <c r="V201" i="16"/>
  <c r="Z170" i="16"/>
  <c r="G180" i="16"/>
  <c r="V18" i="16"/>
  <c r="T196" i="16"/>
  <c r="AD12" i="16"/>
  <c r="I29" i="16"/>
  <c r="X16" i="16"/>
  <c r="C17" i="16"/>
  <c r="K27" i="16"/>
  <c r="C167" i="16"/>
  <c r="G205" i="16"/>
  <c r="G181" i="16"/>
  <c r="X22" i="16"/>
  <c r="G29" i="16"/>
  <c r="R14" i="16"/>
  <c r="AB13" i="16"/>
  <c r="K180" i="16"/>
  <c r="C169" i="16"/>
  <c r="X179" i="16"/>
  <c r="T210" i="16"/>
  <c r="K181" i="16"/>
  <c r="E17" i="16"/>
  <c r="E207" i="16"/>
  <c r="V26" i="16"/>
  <c r="E205" i="16"/>
  <c r="R195" i="16"/>
  <c r="T165" i="16"/>
  <c r="T170" i="16"/>
  <c r="O28" i="16"/>
  <c r="C177" i="16"/>
  <c r="Z11" i="16"/>
  <c r="E175" i="16"/>
  <c r="Z180" i="16"/>
  <c r="AD23" i="16"/>
  <c r="T208" i="16"/>
  <c r="O24" i="16"/>
  <c r="K21" i="16"/>
  <c r="R207" i="16"/>
  <c r="C196" i="16"/>
  <c r="G24" i="16"/>
  <c r="T201" i="16"/>
  <c r="T176" i="16"/>
  <c r="T11" i="16"/>
  <c r="C26" i="16"/>
  <c r="C207" i="16"/>
  <c r="C181" i="16"/>
  <c r="X17" i="16"/>
  <c r="K166" i="16"/>
  <c r="T23" i="16"/>
  <c r="X14" i="16"/>
  <c r="Z181" i="16"/>
  <c r="V206" i="16"/>
  <c r="Z14" i="16"/>
  <c r="R175" i="16"/>
  <c r="E208" i="16"/>
  <c r="AB18" i="16"/>
  <c r="K11" i="16"/>
  <c r="V170" i="16"/>
  <c r="R182" i="16"/>
  <c r="C24" i="16"/>
  <c r="G17" i="16"/>
  <c r="R12" i="16"/>
  <c r="R172" i="16"/>
  <c r="X174" i="16"/>
  <c r="Z22" i="16"/>
  <c r="C166" i="16"/>
  <c r="T13" i="16"/>
  <c r="E197" i="16"/>
  <c r="V12" i="16"/>
  <c r="G207" i="16"/>
  <c r="I12" i="16"/>
  <c r="T206" i="16"/>
  <c r="E24" i="16"/>
  <c r="G167" i="16"/>
  <c r="R165" i="16"/>
  <c r="C11" i="16"/>
  <c r="R176" i="16"/>
  <c r="C206" i="16"/>
  <c r="R213" i="16"/>
  <c r="O13" i="16"/>
  <c r="AD24" i="16"/>
  <c r="O27" i="16"/>
  <c r="R18" i="16"/>
  <c r="R174" i="16"/>
  <c r="X12" i="16"/>
  <c r="E182" i="16"/>
  <c r="K176" i="16"/>
  <c r="I21" i="16"/>
  <c r="E166" i="16"/>
  <c r="Z29" i="16"/>
  <c r="X171" i="16"/>
  <c r="G26" i="16"/>
  <c r="AD22" i="16"/>
  <c r="T12" i="16"/>
  <c r="Z171" i="16"/>
  <c r="E206" i="16"/>
  <c r="G14" i="16"/>
  <c r="V213" i="16"/>
  <c r="T203" i="16"/>
  <c r="G11" i="16"/>
  <c r="V13" i="16"/>
  <c r="AD21" i="16"/>
  <c r="T164" i="16"/>
  <c r="G172" i="16"/>
  <c r="I19" i="16"/>
  <c r="R212" i="16"/>
  <c r="E202" i="16"/>
  <c r="Z27" i="16"/>
  <c r="I170" i="16"/>
  <c r="T202" i="16"/>
  <c r="G170" i="16"/>
  <c r="E29" i="16"/>
  <c r="E12" i="16"/>
  <c r="T180" i="16"/>
  <c r="C208" i="16"/>
  <c r="AB14" i="16"/>
  <c r="G27" i="16"/>
  <c r="G13" i="16"/>
  <c r="G22" i="16"/>
  <c r="V166" i="16"/>
  <c r="M18" i="16"/>
  <c r="G174" i="16"/>
  <c r="R179" i="16"/>
  <c r="M23" i="16"/>
  <c r="V164" i="16"/>
  <c r="G213" i="16"/>
  <c r="K28" i="16"/>
  <c r="G171" i="16"/>
  <c r="T169" i="16"/>
  <c r="E22" i="16"/>
  <c r="C197" i="16"/>
  <c r="E213" i="16"/>
  <c r="C212" i="16"/>
  <c r="G200" i="16"/>
  <c r="V202" i="16"/>
  <c r="AD26" i="16"/>
  <c r="AB17" i="16"/>
  <c r="V211" i="16"/>
  <c r="I172" i="16"/>
  <c r="G166" i="16"/>
  <c r="I22" i="16"/>
  <c r="E13" i="16"/>
  <c r="G208" i="16"/>
  <c r="AD27" i="16"/>
  <c r="AB24" i="16"/>
  <c r="G198" i="16"/>
  <c r="I18" i="16"/>
  <c r="T167" i="16"/>
  <c r="G164" i="16"/>
  <c r="C179" i="16"/>
  <c r="E210" i="16"/>
  <c r="AB22" i="16"/>
  <c r="Z24" i="16"/>
  <c r="E203" i="16"/>
  <c r="AB16" i="16"/>
  <c r="X19" i="16"/>
  <c r="I13" i="16"/>
  <c r="K23" i="16"/>
  <c r="T212" i="16"/>
  <c r="V203" i="16"/>
  <c r="Z164" i="16"/>
  <c r="I27" i="16"/>
  <c r="G196" i="16"/>
  <c r="Z21" i="16"/>
  <c r="O23" i="16"/>
  <c r="G23" i="16"/>
  <c r="AD14" i="16"/>
  <c r="R202" i="16"/>
  <c r="V165" i="16"/>
  <c r="E28" i="16"/>
  <c r="X28" i="16"/>
  <c r="M27" i="16"/>
  <c r="K177" i="16"/>
  <c r="I26" i="16"/>
  <c r="I180" i="16"/>
  <c r="C182" i="16"/>
  <c r="C27" i="16"/>
  <c r="E211" i="16"/>
  <c r="E180" i="16"/>
  <c r="T195" i="16"/>
  <c r="M17" i="16"/>
  <c r="Z175" i="16"/>
  <c r="Z182" i="16"/>
  <c r="M16" i="16"/>
  <c r="V23" i="16"/>
  <c r="R211" i="16"/>
  <c r="C211" i="16"/>
  <c r="C213" i="16"/>
  <c r="C171" i="16"/>
  <c r="E16" i="16"/>
  <c r="I164" i="16"/>
  <c r="T16" i="16"/>
  <c r="V208" i="16"/>
  <c r="E167" i="16"/>
  <c r="E181" i="16"/>
  <c r="M14" i="16"/>
  <c r="T29" i="16"/>
  <c r="E26" i="16"/>
  <c r="Z19" i="16"/>
  <c r="V19" i="16"/>
  <c r="V198" i="16"/>
  <c r="M12" i="16"/>
  <c r="G12" i="16"/>
  <c r="K175" i="16"/>
  <c r="Z172" i="16"/>
  <c r="R22" i="16"/>
  <c r="AD13" i="16"/>
  <c r="AD17" i="16"/>
  <c r="I165" i="16"/>
  <c r="C205" i="16"/>
  <c r="C175" i="16"/>
  <c r="G165" i="16"/>
  <c r="C19" i="16"/>
  <c r="R181" i="16"/>
  <c r="T207" i="16"/>
  <c r="K26" i="16"/>
  <c r="Z167" i="16"/>
  <c r="K172" i="16"/>
  <c r="E174" i="16"/>
  <c r="E212" i="16"/>
  <c r="V27" i="16"/>
  <c r="R19" i="16"/>
  <c r="V14" i="16"/>
  <c r="Z12" i="16"/>
  <c r="I16" i="16"/>
  <c r="K12" i="16"/>
  <c r="V22" i="16"/>
  <c r="R208" i="16"/>
  <c r="X29" i="16"/>
  <c r="T198" i="16"/>
  <c r="T171" i="16"/>
  <c r="I181" i="16"/>
  <c r="R21" i="16"/>
  <c r="V196" i="16"/>
  <c r="V205" i="16"/>
  <c r="C16" i="16"/>
  <c r="C210" i="16"/>
  <c r="G212" i="16"/>
  <c r="G28" i="16"/>
  <c r="R200" i="16"/>
  <c r="C174" i="16"/>
  <c r="E165" i="16"/>
  <c r="X180" i="16"/>
  <c r="Z26" i="16"/>
  <c r="Z28" i="16"/>
  <c r="K22" i="16"/>
  <c r="C203" i="16"/>
  <c r="I179" i="16"/>
  <c r="X18" i="16"/>
  <c r="I176" i="16"/>
  <c r="M21" i="16"/>
  <c r="R11" i="16"/>
  <c r="G169" i="16"/>
  <c r="O18" i="16"/>
  <c r="O11" i="16"/>
  <c r="T181" i="16"/>
  <c r="T14" i="16"/>
  <c r="V210" i="16"/>
  <c r="K13" i="16"/>
  <c r="O16" i="16"/>
  <c r="G175" i="16"/>
  <c r="R28" i="16"/>
  <c r="R198" i="16"/>
  <c r="M13" i="16"/>
  <c r="C176" i="16"/>
  <c r="AB11" i="16"/>
  <c r="V212" i="16"/>
  <c r="T182" i="16"/>
  <c r="K171" i="16"/>
  <c r="E195" i="16"/>
  <c r="X165" i="16"/>
  <c r="V177" i="16"/>
  <c r="X167" i="16"/>
  <c r="G18" i="16"/>
  <c r="X13" i="16"/>
  <c r="Z169" i="16"/>
  <c r="C164" i="16"/>
  <c r="T166" i="16"/>
  <c r="K179" i="16"/>
  <c r="R171" i="16"/>
  <c r="V200" i="16"/>
  <c r="R13" i="16"/>
  <c r="E201" i="16"/>
  <c r="V182" i="16"/>
  <c r="V179" i="16"/>
  <c r="I169" i="16"/>
  <c r="T177" i="16"/>
  <c r="R197" i="16"/>
  <c r="AB21" i="16"/>
  <c r="C198" i="16"/>
  <c r="I166" i="16"/>
  <c r="X11" i="16"/>
  <c r="AB23" i="16"/>
  <c r="T205" i="16"/>
  <c r="G19" i="16"/>
  <c r="R167" i="16"/>
  <c r="AD29" i="16"/>
  <c r="K16" i="16"/>
  <c r="I28" i="16"/>
  <c r="T211" i="16"/>
  <c r="M19" i="16"/>
  <c r="C14" i="16"/>
  <c r="G211" i="16"/>
  <c r="AB29" i="16"/>
  <c r="E19" i="16"/>
  <c r="R205" i="16"/>
  <c r="E27" i="16"/>
  <c r="I182" i="16"/>
  <c r="K24" i="16"/>
  <c r="V181" i="16"/>
  <c r="X166" i="16"/>
  <c r="V172" i="16"/>
  <c r="K167" i="16"/>
  <c r="M26" i="16"/>
  <c r="X164" i="16"/>
  <c r="E164" i="16"/>
  <c r="T197" i="16"/>
  <c r="R29" i="16"/>
  <c r="Z177" i="16"/>
  <c r="K18" i="16"/>
  <c r="R169" i="16"/>
  <c r="R210" i="16"/>
  <c r="E200" i="16"/>
  <c r="C29" i="16"/>
  <c r="C165" i="16"/>
  <c r="X181" i="16"/>
  <c r="AB12" i="16"/>
  <c r="M22" i="16"/>
  <c r="X182" i="16"/>
  <c r="C18" i="16"/>
  <c r="T174" i="16"/>
  <c r="R24" i="16"/>
  <c r="V169" i="16"/>
  <c r="G195" i="16"/>
  <c r="X26" i="16"/>
  <c r="C13" i="16"/>
  <c r="V175" i="16"/>
  <c r="Z16" i="16"/>
  <c r="T26" i="16"/>
  <c r="Z23" i="16"/>
  <c r="M11" i="16"/>
  <c r="G201" i="16"/>
  <c r="I175" i="16"/>
  <c r="E179" i="16"/>
  <c r="T19" i="16"/>
  <c r="T175" i="16"/>
  <c r="C180" i="16"/>
  <c r="G179" i="16"/>
  <c r="AD16" i="16"/>
  <c r="G182" i="16"/>
  <c r="X172" i="16"/>
  <c r="V207" i="16"/>
  <c r="I171" i="16"/>
  <c r="Z165" i="16"/>
  <c r="Z17" i="16"/>
  <c r="R166" i="16"/>
  <c r="K169" i="16"/>
  <c r="X176" i="16"/>
  <c r="I174" i="16"/>
  <c r="O17" i="16"/>
  <c r="I17" i="16"/>
  <c r="K29" i="16"/>
  <c r="K164" i="16"/>
  <c r="AB28" i="16"/>
  <c r="I14" i="16"/>
  <c r="V195" i="16"/>
  <c r="E18" i="16"/>
  <c r="AB27" i="16"/>
  <c r="E171" i="16"/>
  <c r="M28" i="16"/>
  <c r="V28" i="16"/>
  <c r="T172" i="16"/>
  <c r="C21" i="16"/>
  <c r="R26" i="16"/>
  <c r="X24" i="16"/>
  <c r="T179" i="16"/>
  <c r="I24" i="16"/>
  <c r="T22" i="16"/>
  <c r="M24" i="16"/>
  <c r="T17" i="16"/>
  <c r="C195" i="16"/>
  <c r="G197" i="16"/>
  <c r="O22" i="16"/>
  <c r="E176" i="16"/>
  <c r="AB26" i="16"/>
  <c r="O21" i="16"/>
  <c r="V11" i="16"/>
  <c r="T21" i="16"/>
  <c r="R206" i="16"/>
  <c r="Z176" i="16"/>
  <c r="T200" i="16"/>
  <c r="V24" i="16"/>
  <c r="T27" i="16"/>
  <c r="X27" i="16"/>
  <c r="O12" i="16"/>
  <c r="C12" i="16"/>
  <c r="K14" i="16"/>
  <c r="Z13" i="16"/>
  <c r="G16" i="16"/>
  <c r="E172" i="16"/>
  <c r="X169" i="16"/>
  <c r="I11" i="16"/>
  <c r="AD11" i="16"/>
  <c r="V171" i="16"/>
  <c r="R164" i="16"/>
  <c r="T18" i="16"/>
  <c r="V16" i="16"/>
  <c r="E177" i="16"/>
  <c r="I177" i="16"/>
  <c r="X170" i="16"/>
  <c r="E196" i="16"/>
  <c r="M29" i="16"/>
  <c r="Z166" i="16"/>
  <c r="R180" i="16"/>
  <c r="K17" i="16"/>
  <c r="E14" i="16"/>
  <c r="I167" i="16"/>
  <c r="O26" i="16"/>
  <c r="K19" i="16"/>
  <c r="C201" i="16"/>
  <c r="C202" i="16"/>
  <c r="G206" i="16"/>
  <c r="R203" i="16"/>
  <c r="K182" i="16"/>
  <c r="V176" i="16"/>
  <c r="O14" i="16"/>
  <c r="C200" i="16"/>
  <c r="Z179" i="16"/>
  <c r="E170" i="16"/>
  <c r="V21" i="16"/>
  <c r="Z18" i="16"/>
  <c r="V17" i="16"/>
  <c r="R27" i="16"/>
  <c r="X21" i="16"/>
  <c r="E11" i="16"/>
  <c r="E21" i="16"/>
  <c r="C23" i="16"/>
  <c r="C170" i="16"/>
  <c r="K174" i="16"/>
  <c r="T28" i="16"/>
  <c r="O29" i="16"/>
  <c r="AD19" i="16"/>
  <c r="K170" i="16"/>
  <c r="G177" i="16"/>
  <c r="E23" i="16"/>
  <c r="G202" i="16"/>
  <c r="R17" i="16"/>
  <c r="G210" i="16"/>
  <c r="V167" i="16"/>
  <c r="G176" i="16"/>
  <c r="C172" i="16"/>
  <c r="T24" i="16"/>
  <c r="V197" i="16"/>
  <c r="G203" i="16"/>
  <c r="E169" i="16"/>
  <c r="K165" i="16"/>
  <c r="V29" i="16"/>
  <c r="R201" i="16"/>
  <c r="C28" i="16"/>
  <c r="G21" i="16"/>
  <c r="I23" i="16"/>
  <c r="R23" i="16"/>
  <c r="R196" i="16"/>
  <c r="AH162" i="16" l="1"/>
  <c r="AW11" i="16"/>
  <c r="AX12" i="16"/>
  <c r="AM22" i="16"/>
  <c r="AA22" i="16"/>
  <c r="AN26" i="16"/>
  <c r="AC26" i="16"/>
  <c r="AE11" i="16"/>
  <c r="AO11" i="16"/>
  <c r="AR11" i="16"/>
  <c r="AS12" i="16"/>
  <c r="AV16" i="16"/>
  <c r="AA17" i="16"/>
  <c r="AM17" i="16"/>
  <c r="AV23" i="16"/>
  <c r="AS24" i="16"/>
  <c r="AV28" i="16"/>
  <c r="BA170" i="16"/>
  <c r="AU172" i="16"/>
  <c r="W172" i="16"/>
  <c r="S198" i="16"/>
  <c r="AP198" i="16"/>
  <c r="AU205" i="16"/>
  <c r="BB171" i="16"/>
  <c r="AV176" i="16"/>
  <c r="Y176" i="16"/>
  <c r="W202" i="16"/>
  <c r="AR202" i="16"/>
  <c r="AT13" i="16"/>
  <c r="AX14" i="16"/>
  <c r="AW16" i="16"/>
  <c r="AO17" i="16"/>
  <c r="AE17" i="16"/>
  <c r="AX19" i="16"/>
  <c r="AV22" i="16"/>
  <c r="BC165" i="16"/>
  <c r="BB179" i="16"/>
  <c r="AR198" i="16"/>
  <c r="W198" i="16"/>
  <c r="AR206" i="16"/>
  <c r="W206" i="16"/>
  <c r="AW13" i="16"/>
  <c r="AM14" i="16"/>
  <c r="AA14" i="16"/>
  <c r="U18" i="16"/>
  <c r="AJ18" i="16"/>
  <c r="AX23" i="16"/>
  <c r="AS27" i="16"/>
  <c r="AJ29" i="16"/>
  <c r="U29" i="16"/>
  <c r="BC170" i="16"/>
  <c r="BA175" i="16"/>
  <c r="AS180" i="16"/>
  <c r="S180" i="16"/>
  <c r="S182" i="16"/>
  <c r="AS182" i="16"/>
  <c r="AV195" i="16"/>
  <c r="AV11" i="16"/>
  <c r="AW12" i="16"/>
  <c r="S13" i="16"/>
  <c r="AI13" i="16"/>
  <c r="AX13" i="16"/>
  <c r="AN14" i="16"/>
  <c r="AC14" i="16"/>
  <c r="AS18" i="16"/>
  <c r="AN21" i="16"/>
  <c r="AC21" i="16"/>
  <c r="AL26" i="16"/>
  <c r="Y26" i="16"/>
  <c r="AK29" i="16"/>
  <c r="W29" i="16"/>
  <c r="AU171" i="16"/>
  <c r="W171" i="16"/>
  <c r="BB175" i="16"/>
  <c r="AW195" i="16"/>
  <c r="AW206" i="16"/>
  <c r="AU211" i="16"/>
  <c r="AI12" i="16"/>
  <c r="S12" i="16"/>
  <c r="AJ13" i="16"/>
  <c r="U13" i="16"/>
  <c r="AE14" i="16"/>
  <c r="AO14" i="16"/>
  <c r="AA16" i="16"/>
  <c r="AM16" i="16"/>
  <c r="AV17" i="16"/>
  <c r="AT18" i="16"/>
  <c r="AE19" i="16"/>
  <c r="AO19" i="16"/>
  <c r="AR21" i="16"/>
  <c r="AK22" i="16"/>
  <c r="W22" i="16"/>
  <c r="AM26" i="16"/>
  <c r="AA26" i="16"/>
  <c r="AL29" i="16"/>
  <c r="Y29" i="16"/>
  <c r="BB166" i="16"/>
  <c r="BA180" i="16"/>
  <c r="W13" i="16"/>
  <c r="AK13" i="16"/>
  <c r="AN11" i="16"/>
  <c r="AC11" i="16"/>
  <c r="AE12" i="16"/>
  <c r="AO12" i="16"/>
  <c r="AR16" i="16"/>
  <c r="AJ17" i="16"/>
  <c r="U17" i="16"/>
  <c r="AS19" i="16"/>
  <c r="AC22" i="16"/>
  <c r="AN22" i="16"/>
  <c r="AM23" i="16"/>
  <c r="AA23" i="16"/>
  <c r="AR24" i="16"/>
  <c r="S167" i="16"/>
  <c r="AS167" i="16"/>
  <c r="BD169" i="16"/>
  <c r="AV202" i="16"/>
  <c r="AV212" i="16"/>
  <c r="AJ12" i="16"/>
  <c r="U12" i="16"/>
  <c r="AN16" i="16"/>
  <c r="AC16" i="16"/>
  <c r="AL23" i="16"/>
  <c r="Y23" i="16"/>
  <c r="AX29" i="16"/>
  <c r="BC169" i="16"/>
  <c r="AS13" i="16"/>
  <c r="AS16" i="16"/>
  <c r="AK17" i="16"/>
  <c r="W17" i="16"/>
  <c r="AW19" i="16"/>
  <c r="AW21" i="16"/>
  <c r="AU22" i="16"/>
  <c r="AN23" i="16"/>
  <c r="AC23" i="16"/>
  <c r="AU28" i="16"/>
  <c r="Y167" i="16"/>
  <c r="AV167" i="16"/>
  <c r="AS172" i="16"/>
  <c r="S172" i="16"/>
  <c r="BA179" i="16"/>
  <c r="AQ197" i="16"/>
  <c r="U197" i="16"/>
  <c r="AV203" i="16"/>
  <c r="AX16" i="16"/>
  <c r="AU18" i="16"/>
  <c r="AX21" i="16"/>
  <c r="AE29" i="16"/>
  <c r="AO29" i="16"/>
  <c r="BB167" i="16"/>
  <c r="AV177" i="16"/>
  <c r="Y177" i="16"/>
  <c r="Y182" i="16"/>
  <c r="AV182" i="16"/>
  <c r="U201" i="16"/>
  <c r="AQ201" i="16"/>
  <c r="AW202" i="16"/>
  <c r="U208" i="16"/>
  <c r="AQ208" i="16"/>
  <c r="AQ210" i="16"/>
  <c r="U210" i="16"/>
  <c r="AV211" i="16"/>
  <c r="AI11" i="16"/>
  <c r="S11" i="16"/>
  <c r="AS11" i="16"/>
  <c r="AX11" i="16"/>
  <c r="AK12" i="16"/>
  <c r="W12" i="16"/>
  <c r="AT12" i="16"/>
  <c r="AL13" i="16"/>
  <c r="Y13" i="16"/>
  <c r="AU13" i="16"/>
  <c r="AR17" i="16"/>
  <c r="AW17" i="16"/>
  <c r="AA18" i="16"/>
  <c r="AM18" i="16"/>
  <c r="AJ19" i="16"/>
  <c r="U19" i="16"/>
  <c r="AT19" i="16"/>
  <c r="AI21" i="16"/>
  <c r="S21" i="16"/>
  <c r="AR22" i="16"/>
  <c r="AI24" i="16"/>
  <c r="S24" i="16"/>
  <c r="AU26" i="16"/>
  <c r="AA28" i="16"/>
  <c r="AM28" i="16"/>
  <c r="AT29" i="16"/>
  <c r="AS165" i="16"/>
  <c r="S165" i="16"/>
  <c r="BC167" i="16"/>
  <c r="AS169" i="16"/>
  <c r="S169" i="16"/>
  <c r="BC171" i="16"/>
  <c r="BB172" i="16"/>
  <c r="BC176" i="16"/>
  <c r="BA177" i="16"/>
  <c r="BB180" i="16"/>
  <c r="AU196" i="16"/>
  <c r="AV197" i="16"/>
  <c r="S200" i="16"/>
  <c r="AP200" i="16"/>
  <c r="AU201" i="16"/>
  <c r="AW205" i="16"/>
  <c r="S207" i="16"/>
  <c r="AP207" i="16"/>
  <c r="W208" i="16"/>
  <c r="AR208" i="16"/>
  <c r="AW211" i="16"/>
  <c r="U11" i="16"/>
  <c r="AJ11" i="16"/>
  <c r="AT11" i="16"/>
  <c r="AL12" i="16"/>
  <c r="Y12" i="16"/>
  <c r="AN13" i="16"/>
  <c r="AC13" i="16"/>
  <c r="AI14" i="16"/>
  <c r="S14" i="16"/>
  <c r="AT14" i="16"/>
  <c r="AJ16" i="16"/>
  <c r="U16" i="16"/>
  <c r="AT16" i="16"/>
  <c r="AN18" i="16"/>
  <c r="AC18" i="16"/>
  <c r="AV18" i="16"/>
  <c r="AK19" i="16"/>
  <c r="W19" i="16"/>
  <c r="AJ21" i="16"/>
  <c r="U21" i="16"/>
  <c r="AT21" i="16"/>
  <c r="AT23" i="16"/>
  <c r="AJ24" i="16"/>
  <c r="U24" i="16"/>
  <c r="AV24" i="16"/>
  <c r="AV26" i="16"/>
  <c r="AI27" i="16"/>
  <c r="S27" i="16"/>
  <c r="AR28" i="16"/>
  <c r="BB164" i="16"/>
  <c r="AU165" i="16"/>
  <c r="W165" i="16"/>
  <c r="AZ169" i="16"/>
  <c r="AS174" i="16"/>
  <c r="S174" i="16"/>
  <c r="AW181" i="16"/>
  <c r="AA181" i="16"/>
  <c r="BB182" i="16"/>
  <c r="AW197" i="16"/>
  <c r="U200" i="16"/>
  <c r="AQ200" i="16"/>
  <c r="U207" i="16"/>
  <c r="AQ207" i="16"/>
  <c r="AQ213" i="16"/>
  <c r="U213" i="16"/>
  <c r="Y11" i="16"/>
  <c r="AL11" i="16"/>
  <c r="AM12" i="16"/>
  <c r="AA12" i="16"/>
  <c r="AU12" i="16"/>
  <c r="AE13" i="16"/>
  <c r="AO13" i="16"/>
  <c r="AV13" i="16"/>
  <c r="AK14" i="16"/>
  <c r="W14" i="16"/>
  <c r="AK16" i="16"/>
  <c r="W16" i="16"/>
  <c r="AS17" i="16"/>
  <c r="AO18" i="16"/>
  <c r="AE18" i="16"/>
  <c r="AW18" i="16"/>
  <c r="Y19" i="16"/>
  <c r="AL19" i="16"/>
  <c r="W21" i="16"/>
  <c r="AK21" i="16"/>
  <c r="AU21" i="16"/>
  <c r="W24" i="16"/>
  <c r="AK24" i="16"/>
  <c r="AA27" i="16"/>
  <c r="AM27" i="16"/>
  <c r="AS28" i="16"/>
  <c r="S166" i="16"/>
  <c r="AS166" i="16"/>
  <c r="AU170" i="16"/>
  <c r="W170" i="16"/>
  <c r="BC172" i="16"/>
  <c r="BC177" i="16"/>
  <c r="S179" i="16"/>
  <c r="AS179" i="16"/>
  <c r="AZ181" i="16"/>
  <c r="BC182" i="16"/>
  <c r="AV196" i="16"/>
  <c r="W200" i="16"/>
  <c r="AR200" i="16"/>
  <c r="W207" i="16"/>
  <c r="AR207" i="16"/>
  <c r="AP212" i="16"/>
  <c r="S212" i="16"/>
  <c r="AL18" i="16"/>
  <c r="Y18" i="16"/>
  <c r="AI19" i="16"/>
  <c r="S19" i="16"/>
  <c r="AS21" i="16"/>
  <c r="AE22" i="16"/>
  <c r="AO22" i="16"/>
  <c r="AR23" i="16"/>
  <c r="AW27" i="16"/>
  <c r="AU164" i="16"/>
  <c r="W164" i="16"/>
  <c r="BD170" i="16"/>
  <c r="AA11" i="16"/>
  <c r="AM11" i="16"/>
  <c r="AU11" i="16"/>
  <c r="AC12" i="16"/>
  <c r="AN12" i="16"/>
  <c r="AR13" i="16"/>
  <c r="AL14" i="16"/>
  <c r="Y14" i="16"/>
  <c r="AU14" i="16"/>
  <c r="AL16" i="16"/>
  <c r="Y16" i="16"/>
  <c r="AU16" i="16"/>
  <c r="AI17" i="16"/>
  <c r="S17" i="16"/>
  <c r="AR18" i="16"/>
  <c r="AX18" i="16"/>
  <c r="AA19" i="16"/>
  <c r="AM19" i="16"/>
  <c r="Y21" i="16"/>
  <c r="AL21" i="16"/>
  <c r="AV21" i="16"/>
  <c r="AI22" i="16"/>
  <c r="S22" i="16"/>
  <c r="W23" i="16"/>
  <c r="AK23" i="16"/>
  <c r="AU23" i="16"/>
  <c r="AA24" i="16"/>
  <c r="AM24" i="16"/>
  <c r="AW24" i="16"/>
  <c r="W26" i="16"/>
  <c r="AK26" i="16"/>
  <c r="AX26" i="16"/>
  <c r="AR27" i="16"/>
  <c r="AW29" i="16"/>
  <c r="BC164" i="16"/>
  <c r="BB165" i="16"/>
  <c r="AU166" i="16"/>
  <c r="W166" i="16"/>
  <c r="AZ170" i="16"/>
  <c r="BA174" i="16"/>
  <c r="AT175" i="16"/>
  <c r="U175" i="16"/>
  <c r="AA179" i="16"/>
  <c r="AW179" i="16"/>
  <c r="AV200" i="16"/>
  <c r="U206" i="16"/>
  <c r="AQ206" i="16"/>
  <c r="AU207" i="16"/>
  <c r="AU212" i="16"/>
  <c r="AR14" i="16"/>
  <c r="AV14" i="16"/>
  <c r="AE16" i="16"/>
  <c r="AO16" i="16"/>
  <c r="AL17" i="16"/>
  <c r="Y17" i="16"/>
  <c r="AT17" i="16"/>
  <c r="AX17" i="16"/>
  <c r="S18" i="16"/>
  <c r="AI18" i="16"/>
  <c r="AN19" i="16"/>
  <c r="AC19" i="16"/>
  <c r="AU19" i="16"/>
  <c r="AM21" i="16"/>
  <c r="AA21" i="16"/>
  <c r="AJ22" i="16"/>
  <c r="U22" i="16"/>
  <c r="AS22" i="16"/>
  <c r="AW22" i="16"/>
  <c r="AO23" i="16"/>
  <c r="AE23" i="16"/>
  <c r="Y24" i="16"/>
  <c r="AL24" i="16"/>
  <c r="AT24" i="16"/>
  <c r="AX24" i="16"/>
  <c r="AR26" i="16"/>
  <c r="U28" i="16"/>
  <c r="AJ28" i="16"/>
  <c r="AA29" i="16"/>
  <c r="AM29" i="16"/>
  <c r="AT164" i="16"/>
  <c r="U164" i="16"/>
  <c r="U165" i="16"/>
  <c r="AT165" i="16"/>
  <c r="BD165" i="16"/>
  <c r="AT166" i="16"/>
  <c r="U166" i="16"/>
  <c r="AT167" i="16"/>
  <c r="U167" i="16"/>
  <c r="AT171" i="16"/>
  <c r="U171" i="16"/>
  <c r="AT172" i="16"/>
  <c r="U172" i="16"/>
  <c r="BD172" i="16"/>
  <c r="BD174" i="16"/>
  <c r="BD175" i="16"/>
  <c r="AS176" i="16"/>
  <c r="S176" i="16"/>
  <c r="BD176" i="16"/>
  <c r="AU177" i="16"/>
  <c r="W177" i="16"/>
  <c r="BD177" i="16"/>
  <c r="BC180" i="16"/>
  <c r="BC181" i="16"/>
  <c r="U182" i="16"/>
  <c r="AT182" i="16"/>
  <c r="AV198" i="16"/>
  <c r="AU200" i="16"/>
  <c r="W201" i="16"/>
  <c r="AR201" i="16"/>
  <c r="AV207" i="16"/>
  <c r="AU208" i="16"/>
  <c r="AV213" i="16"/>
  <c r="W11" i="16"/>
  <c r="AK11" i="16"/>
  <c r="AR12" i="16"/>
  <c r="AV12" i="16"/>
  <c r="AA13" i="16"/>
  <c r="AM13" i="16"/>
  <c r="AJ14" i="16"/>
  <c r="U14" i="16"/>
  <c r="AS14" i="16"/>
  <c r="AW14" i="16"/>
  <c r="S16" i="16"/>
  <c r="AI16" i="16"/>
  <c r="AC17" i="16"/>
  <c r="AN17" i="16"/>
  <c r="AU17" i="16"/>
  <c r="AK18" i="16"/>
  <c r="W18" i="16"/>
  <c r="AR19" i="16"/>
  <c r="AV19" i="16"/>
  <c r="AE21" i="16"/>
  <c r="AO21" i="16"/>
  <c r="AL22" i="16"/>
  <c r="Y22" i="16"/>
  <c r="AT22" i="16"/>
  <c r="AX22" i="16"/>
  <c r="S23" i="16"/>
  <c r="AI23" i="16"/>
  <c r="AN24" i="16"/>
  <c r="AC24" i="16"/>
  <c r="AU24" i="16"/>
  <c r="AT26" i="16"/>
  <c r="AJ27" i="16"/>
  <c r="U27" i="16"/>
  <c r="AV27" i="16"/>
  <c r="AN28" i="16"/>
  <c r="AC28" i="16"/>
  <c r="AW28" i="16"/>
  <c r="AS29" i="16"/>
  <c r="AV164" i="16"/>
  <c r="Y164" i="16"/>
  <c r="Y165" i="16"/>
  <c r="AV165" i="16"/>
  <c r="AA166" i="16"/>
  <c r="AW166" i="16"/>
  <c r="AV169" i="16"/>
  <c r="Y169" i="16"/>
  <c r="AV170" i="16"/>
  <c r="Y170" i="16"/>
  <c r="AV171" i="16"/>
  <c r="Y171" i="16"/>
  <c r="Y172" i="16"/>
  <c r="AV172" i="16"/>
  <c r="AU174" i="16"/>
  <c r="W174" i="16"/>
  <c r="AW175" i="16"/>
  <c r="AA175" i="16"/>
  <c r="AW176" i="16"/>
  <c r="AA176" i="16"/>
  <c r="AA177" i="16"/>
  <c r="AW177" i="16"/>
  <c r="AT179" i="16"/>
  <c r="U179" i="16"/>
  <c r="AT180" i="16"/>
  <c r="U180" i="16"/>
  <c r="AS181" i="16"/>
  <c r="S181" i="16"/>
  <c r="BD181" i="16"/>
  <c r="W195" i="16"/>
  <c r="AR195" i="16"/>
  <c r="AW198" i="16"/>
  <c r="AU202" i="16"/>
  <c r="AP203" i="16"/>
  <c r="S203" i="16"/>
  <c r="S205" i="16"/>
  <c r="AP205" i="16"/>
  <c r="W210" i="16"/>
  <c r="AR210" i="16"/>
  <c r="AW213" i="16"/>
  <c r="AJ23" i="16"/>
  <c r="U23" i="16"/>
  <c r="AS23" i="16"/>
  <c r="AW23" i="16"/>
  <c r="AO24" i="16"/>
  <c r="AE24" i="16"/>
  <c r="AK27" i="16"/>
  <c r="W27" i="16"/>
  <c r="AO28" i="16"/>
  <c r="AE28" i="16"/>
  <c r="AW164" i="16"/>
  <c r="AA164" i="16"/>
  <c r="AZ165" i="16"/>
  <c r="BA166" i="16"/>
  <c r="BA167" i="16"/>
  <c r="AA169" i="16"/>
  <c r="AW169" i="16"/>
  <c r="AA170" i="16"/>
  <c r="AW170" i="16"/>
  <c r="AW171" i="16"/>
  <c r="AA171" i="16"/>
  <c r="AZ172" i="16"/>
  <c r="AZ174" i="16"/>
  <c r="AZ175" i="16"/>
  <c r="AZ176" i="16"/>
  <c r="AZ177" i="16"/>
  <c r="W179" i="16"/>
  <c r="AU179" i="16"/>
  <c r="AV180" i="16"/>
  <c r="Y180" i="16"/>
  <c r="AV181" i="16"/>
  <c r="Y181" i="16"/>
  <c r="BA182" i="16"/>
  <c r="AU195" i="16"/>
  <c r="AP196" i="16"/>
  <c r="S196" i="16"/>
  <c r="AU203" i="16"/>
  <c r="AQ205" i="16"/>
  <c r="U205" i="16"/>
  <c r="AP206" i="16"/>
  <c r="S206" i="16"/>
  <c r="AU210" i="16"/>
  <c r="W211" i="16"/>
  <c r="AR211" i="16"/>
  <c r="AE26" i="16"/>
  <c r="AO26" i="16"/>
  <c r="Y27" i="16"/>
  <c r="AL27" i="16"/>
  <c r="AT27" i="16"/>
  <c r="AX27" i="16"/>
  <c r="S28" i="16"/>
  <c r="AI28" i="16"/>
  <c r="AC29" i="16"/>
  <c r="AN29" i="16"/>
  <c r="AU29" i="16"/>
  <c r="AZ164" i="16"/>
  <c r="BD164" i="16"/>
  <c r="AA165" i="16"/>
  <c r="AW165" i="16"/>
  <c r="AV166" i="16"/>
  <c r="Y166" i="16"/>
  <c r="BC166" i="16"/>
  <c r="W167" i="16"/>
  <c r="AU167" i="16"/>
  <c r="BA169" i="16"/>
  <c r="AZ171" i="16"/>
  <c r="BD171" i="16"/>
  <c r="AA172" i="16"/>
  <c r="AW172" i="16"/>
  <c r="AT174" i="16"/>
  <c r="U174" i="16"/>
  <c r="BB174" i="16"/>
  <c r="AS175" i="16"/>
  <c r="S175" i="16"/>
  <c r="BA176" i="16"/>
  <c r="AV179" i="16"/>
  <c r="Y179" i="16"/>
  <c r="BC179" i="16"/>
  <c r="W180" i="16"/>
  <c r="AU180" i="16"/>
  <c r="BA181" i="16"/>
  <c r="W182" i="16"/>
  <c r="AU182" i="16"/>
  <c r="AW196" i="16"/>
  <c r="AP197" i="16"/>
  <c r="S197" i="16"/>
  <c r="AQ198" i="16"/>
  <c r="U198" i="16"/>
  <c r="AV201" i="16"/>
  <c r="AW203" i="16"/>
  <c r="AR205" i="16"/>
  <c r="W205" i="16"/>
  <c r="AU206" i="16"/>
  <c r="AV208" i="16"/>
  <c r="AV210" i="16"/>
  <c r="AW212" i="16"/>
  <c r="AP213" i="16"/>
  <c r="S213" i="16"/>
  <c r="S26" i="16"/>
  <c r="AI26" i="16"/>
  <c r="AN27" i="16"/>
  <c r="AC27" i="16"/>
  <c r="AU27" i="16"/>
  <c r="W28" i="16"/>
  <c r="AK28" i="16"/>
  <c r="AR29" i="16"/>
  <c r="AV29" i="16"/>
  <c r="BA164" i="16"/>
  <c r="AZ166" i="16"/>
  <c r="BD166" i="16"/>
  <c r="AW167" i="16"/>
  <c r="AA167" i="16"/>
  <c r="AT169" i="16"/>
  <c r="U169" i="16"/>
  <c r="BB169" i="16"/>
  <c r="S170" i="16"/>
  <c r="AS170" i="16"/>
  <c r="BA171" i="16"/>
  <c r="Y174" i="16"/>
  <c r="AV174" i="16"/>
  <c r="BC174" i="16"/>
  <c r="W175" i="16"/>
  <c r="AU175" i="16"/>
  <c r="AT176" i="16"/>
  <c r="U176" i="16"/>
  <c r="BB176" i="16"/>
  <c r="S177" i="16"/>
  <c r="AS177" i="16"/>
  <c r="AZ179" i="16"/>
  <c r="BD179" i="16"/>
  <c r="AW180" i="16"/>
  <c r="AA180" i="16"/>
  <c r="AT181" i="16"/>
  <c r="U181" i="16"/>
  <c r="BB181" i="16"/>
  <c r="AW182" i="16"/>
  <c r="AA182" i="16"/>
  <c r="AP195" i="16"/>
  <c r="S195" i="16"/>
  <c r="AQ196" i="16"/>
  <c r="U196" i="16"/>
  <c r="AR197" i="16"/>
  <c r="W197" i="16"/>
  <c r="AU198" i="16"/>
  <c r="AW201" i="16"/>
  <c r="AP202" i="16"/>
  <c r="S202" i="16"/>
  <c r="AQ203" i="16"/>
  <c r="U203" i="16"/>
  <c r="AV206" i="16"/>
  <c r="AW208" i="16"/>
  <c r="AW210" i="16"/>
  <c r="AP211" i="16"/>
  <c r="S211" i="16"/>
  <c r="AQ212" i="16"/>
  <c r="U212" i="16"/>
  <c r="AR213" i="16"/>
  <c r="W213" i="16"/>
  <c r="AJ26" i="16"/>
  <c r="U26" i="16"/>
  <c r="AS26" i="16"/>
  <c r="AW26" i="16"/>
  <c r="AO27" i="16"/>
  <c r="AE27" i="16"/>
  <c r="AL28" i="16"/>
  <c r="Y28" i="16"/>
  <c r="AT28" i="16"/>
  <c r="AX28" i="16"/>
  <c r="S29" i="16"/>
  <c r="AI29" i="16"/>
  <c r="AS164" i="16"/>
  <c r="S164" i="16"/>
  <c r="BA165" i="16"/>
  <c r="AZ167" i="16"/>
  <c r="BD167" i="16"/>
  <c r="W169" i="16"/>
  <c r="AU169" i="16"/>
  <c r="AT170" i="16"/>
  <c r="U170" i="16"/>
  <c r="BB170" i="16"/>
  <c r="AS171" i="16"/>
  <c r="S171" i="16"/>
  <c r="BA172" i="16"/>
  <c r="AW174" i="16"/>
  <c r="AA174" i="16"/>
  <c r="AV175" i="16"/>
  <c r="Y175" i="16"/>
  <c r="BC175" i="16"/>
  <c r="W176" i="16"/>
  <c r="AU176" i="16"/>
  <c r="AT177" i="16"/>
  <c r="U177" i="16"/>
  <c r="BB177" i="16"/>
  <c r="AZ180" i="16"/>
  <c r="BD180" i="16"/>
  <c r="W181" i="16"/>
  <c r="AU181" i="16"/>
  <c r="AZ182" i="16"/>
  <c r="BD182" i="16"/>
  <c r="U195" i="16"/>
  <c r="AQ195" i="16"/>
  <c r="W196" i="16"/>
  <c r="AR196" i="16"/>
  <c r="AU197" i="16"/>
  <c r="AW200" i="16"/>
  <c r="S201" i="16"/>
  <c r="AP201" i="16"/>
  <c r="U202" i="16"/>
  <c r="AQ202" i="16"/>
  <c r="AR203" i="16"/>
  <c r="W203" i="16"/>
  <c r="AV205" i="16"/>
  <c r="AW207" i="16"/>
  <c r="AP208" i="16"/>
  <c r="S208" i="16"/>
  <c r="AP210" i="16"/>
  <c r="S210" i="16"/>
  <c r="U211" i="16"/>
  <c r="AQ211" i="16"/>
  <c r="AR212" i="16"/>
  <c r="W212" i="16"/>
  <c r="AU213" i="16"/>
  <c r="AO162" i="16"/>
  <c r="AM165" i="16" l="1"/>
  <c r="F165" i="16"/>
  <c r="AF165" i="16" s="1"/>
  <c r="F171" i="16"/>
  <c r="AF171" i="16" s="1"/>
  <c r="AM166" i="16"/>
  <c r="AM170" i="16"/>
  <c r="F179" i="16"/>
  <c r="AF179" i="16" s="1"/>
  <c r="F169" i="16"/>
  <c r="AF169" i="16" s="1"/>
  <c r="AM167" i="16"/>
  <c r="F180" i="16"/>
  <c r="F177" i="16"/>
  <c r="AF177" i="16" s="1"/>
  <c r="F162" i="16"/>
  <c r="AM171" i="16"/>
  <c r="F176" i="16"/>
  <c r="AF176" i="16" s="1"/>
  <c r="AM169" i="16"/>
  <c r="AM174" i="16"/>
  <c r="F170" i="16"/>
  <c r="AF170" i="16" s="1"/>
  <c r="F182" i="16"/>
  <c r="AF182" i="16" s="1"/>
  <c r="F167" i="16"/>
  <c r="AF167" i="16" s="1"/>
  <c r="F172" i="16"/>
  <c r="AF172" i="16" s="1"/>
  <c r="F174" i="16"/>
  <c r="AF174" i="16" s="1"/>
  <c r="AM164" i="16"/>
  <c r="F164" i="16"/>
  <c r="AF164" i="16" s="1"/>
  <c r="F181" i="16"/>
  <c r="AF181" i="16" s="1"/>
  <c r="AM182" i="16"/>
  <c r="AM179" i="16"/>
  <c r="F175" i="16"/>
  <c r="AF175" i="16" s="1"/>
  <c r="AM176" i="16"/>
  <c r="AM172" i="16"/>
  <c r="F166" i="16"/>
  <c r="AF166" i="16" s="1"/>
  <c r="AM177" i="16"/>
  <c r="AM175" i="16"/>
  <c r="B140" i="16"/>
  <c r="H12" i="16"/>
  <c r="I145" i="16"/>
  <c r="X119" i="16"/>
  <c r="C103" i="16"/>
  <c r="C47" i="16"/>
  <c r="H58" i="16"/>
  <c r="W151" i="16"/>
  <c r="S84" i="16"/>
  <c r="F12" i="16"/>
  <c r="F54" i="16"/>
  <c r="U150" i="16"/>
  <c r="X139" i="16"/>
  <c r="E103" i="16"/>
  <c r="U109" i="16"/>
  <c r="V135" i="16"/>
  <c r="R104" i="16"/>
  <c r="X146" i="16"/>
  <c r="I121" i="16"/>
  <c r="F23" i="16"/>
  <c r="B49" i="16"/>
  <c r="I105" i="16"/>
  <c r="B234" i="16"/>
  <c r="R116" i="16"/>
  <c r="S85" i="16"/>
  <c r="F16" i="16"/>
  <c r="U116" i="16"/>
  <c r="B146" i="16"/>
  <c r="S227" i="16"/>
  <c r="G42" i="16"/>
  <c r="Y108" i="16"/>
  <c r="F59" i="16"/>
  <c r="Y101" i="16"/>
  <c r="E48" i="16"/>
  <c r="Q142" i="16"/>
  <c r="D44" i="16"/>
  <c r="U108" i="16"/>
  <c r="B54" i="16"/>
  <c r="H28" i="16"/>
  <c r="G147" i="16"/>
  <c r="H144" i="16"/>
  <c r="R229" i="16"/>
  <c r="F39" i="16"/>
  <c r="D12" i="16"/>
  <c r="E144" i="16"/>
  <c r="B136" i="16"/>
  <c r="T150" i="16"/>
  <c r="H121" i="16"/>
  <c r="F29" i="16"/>
  <c r="E114" i="16"/>
  <c r="H21" i="16"/>
  <c r="F151" i="16"/>
  <c r="N13" i="16"/>
  <c r="G121" i="16"/>
  <c r="S87" i="16"/>
  <c r="H59" i="16"/>
  <c r="F132" i="16"/>
  <c r="F240" i="16"/>
  <c r="B42" i="16"/>
  <c r="B121" i="16"/>
  <c r="Q78" i="16"/>
  <c r="H132" i="16"/>
  <c r="Q80" i="16"/>
  <c r="Q85" i="16"/>
  <c r="E111" i="16"/>
  <c r="U84" i="16"/>
  <c r="C135" i="16"/>
  <c r="I144" i="16"/>
  <c r="E56" i="16"/>
  <c r="X140" i="16"/>
  <c r="B108" i="16"/>
  <c r="R233" i="16"/>
  <c r="G118" i="16"/>
  <c r="W82" i="16"/>
  <c r="U104" i="16"/>
  <c r="B17" i="16"/>
  <c r="I104" i="16"/>
  <c r="B105" i="16"/>
  <c r="U147" i="16"/>
  <c r="R87" i="16"/>
  <c r="E139" i="16"/>
  <c r="B150" i="16"/>
  <c r="C114" i="16"/>
  <c r="S82" i="16"/>
  <c r="H19" i="16"/>
  <c r="N21" i="16"/>
  <c r="D59" i="16"/>
  <c r="G140" i="16"/>
  <c r="T89" i="16"/>
  <c r="B22" i="16"/>
  <c r="B137" i="16"/>
  <c r="B241" i="16"/>
  <c r="N24" i="16"/>
  <c r="H149" i="16"/>
  <c r="S114" i="16"/>
  <c r="R110" i="16"/>
  <c r="L19" i="16"/>
  <c r="Q90" i="16"/>
  <c r="U77" i="16"/>
  <c r="W87" i="16"/>
  <c r="H145" i="16"/>
  <c r="I137" i="16"/>
  <c r="C46" i="16"/>
  <c r="J14" i="16"/>
  <c r="T228" i="16"/>
  <c r="E54" i="16"/>
  <c r="N11" i="16"/>
  <c r="L22" i="16"/>
  <c r="W115" i="16"/>
  <c r="G52" i="16"/>
  <c r="F19" i="16"/>
  <c r="G151" i="16"/>
  <c r="I151" i="16"/>
  <c r="D14" i="16"/>
  <c r="V147" i="16"/>
  <c r="G44" i="16"/>
  <c r="V80" i="16"/>
  <c r="H22" i="16"/>
  <c r="B147" i="16"/>
  <c r="L11" i="16"/>
  <c r="E141" i="16"/>
  <c r="W104" i="16"/>
  <c r="U83" i="16"/>
  <c r="D13" i="16"/>
  <c r="U90" i="16"/>
  <c r="D48" i="16"/>
  <c r="W70" i="16"/>
  <c r="F142" i="16"/>
  <c r="H115" i="16"/>
  <c r="H135" i="16"/>
  <c r="W103" i="16"/>
  <c r="V113" i="16"/>
  <c r="U118" i="16"/>
  <c r="F233" i="16"/>
  <c r="F139" i="16"/>
  <c r="C142" i="16"/>
  <c r="Y114" i="16"/>
  <c r="F230" i="16"/>
  <c r="J18" i="16"/>
  <c r="W119" i="16"/>
  <c r="F228" i="16"/>
  <c r="G115" i="16"/>
  <c r="H104" i="16"/>
  <c r="X142" i="16"/>
  <c r="T134" i="16"/>
  <c r="E132" i="16"/>
  <c r="X151" i="16"/>
  <c r="H134" i="16"/>
  <c r="X135" i="16"/>
  <c r="D47" i="16"/>
  <c r="N19" i="16"/>
  <c r="W114" i="16"/>
  <c r="D241" i="16"/>
  <c r="V87" i="16"/>
  <c r="G139" i="16"/>
  <c r="G41" i="16"/>
  <c r="B106" i="16"/>
  <c r="D228" i="16"/>
  <c r="G105" i="16"/>
  <c r="T135" i="16"/>
  <c r="F152" i="16"/>
  <c r="S231" i="16"/>
  <c r="X111" i="16"/>
  <c r="X150" i="16"/>
  <c r="G49" i="16"/>
  <c r="F109" i="16"/>
  <c r="C147" i="16"/>
  <c r="U75" i="16"/>
  <c r="H150" i="16"/>
  <c r="H147" i="16"/>
  <c r="G46" i="16"/>
  <c r="W144" i="16"/>
  <c r="V109" i="16"/>
  <c r="C105" i="16"/>
  <c r="H103" i="16"/>
  <c r="F9" i="16"/>
  <c r="F101" i="16"/>
  <c r="C132" i="16"/>
  <c r="T77" i="16"/>
  <c r="F52" i="16"/>
  <c r="D54" i="16"/>
  <c r="F113" i="16"/>
  <c r="V150" i="16"/>
  <c r="S110" i="16"/>
  <c r="S228" i="16"/>
  <c r="E58" i="16"/>
  <c r="R113" i="16"/>
  <c r="R236" i="16"/>
  <c r="C110" i="16"/>
  <c r="W142" i="16"/>
  <c r="H39" i="16"/>
  <c r="X152" i="16"/>
  <c r="B23" i="16"/>
  <c r="W89" i="16"/>
  <c r="Y106" i="16"/>
  <c r="R83" i="16"/>
  <c r="I106" i="16"/>
  <c r="F119" i="16"/>
  <c r="R230" i="16"/>
  <c r="J27" i="16"/>
  <c r="U79" i="16"/>
  <c r="B14" i="16"/>
  <c r="G113" i="16"/>
  <c r="C54" i="16"/>
  <c r="R101" i="16"/>
  <c r="S89" i="16"/>
  <c r="G136" i="16"/>
  <c r="F108" i="16"/>
  <c r="V82" i="16"/>
  <c r="B101" i="16"/>
  <c r="X105" i="16"/>
  <c r="D46" i="16"/>
  <c r="F226" i="16"/>
  <c r="V75" i="16"/>
  <c r="X116" i="16"/>
  <c r="W146" i="16"/>
  <c r="B18" i="16"/>
  <c r="D24" i="16"/>
  <c r="W137" i="16"/>
  <c r="I109" i="16"/>
  <c r="V73" i="16"/>
  <c r="C113" i="16"/>
  <c r="R227" i="16"/>
  <c r="B111" i="16"/>
  <c r="W80" i="16"/>
  <c r="T78" i="16"/>
  <c r="S80" i="16"/>
  <c r="L26" i="16"/>
  <c r="X147" i="16"/>
  <c r="T229" i="16"/>
  <c r="F150" i="16"/>
  <c r="B118" i="16"/>
  <c r="X103" i="16"/>
  <c r="D9" i="16"/>
  <c r="F47" i="16"/>
  <c r="T227" i="16"/>
  <c r="H109" i="16"/>
  <c r="Y110" i="16"/>
  <c r="T87" i="16"/>
  <c r="F232" i="16"/>
  <c r="Q139" i="16"/>
  <c r="H105" i="16"/>
  <c r="D56" i="16"/>
  <c r="Q145" i="16"/>
  <c r="B139" i="16"/>
  <c r="R90" i="16"/>
  <c r="C53" i="16"/>
  <c r="H44" i="16"/>
  <c r="H23" i="16"/>
  <c r="V88" i="16"/>
  <c r="C150" i="16"/>
  <c r="L21" i="16"/>
  <c r="C109" i="16"/>
  <c r="W106" i="16"/>
  <c r="W150" i="16"/>
  <c r="T83" i="16"/>
  <c r="I134" i="16"/>
  <c r="J11" i="16"/>
  <c r="E49" i="16"/>
  <c r="B59" i="16"/>
  <c r="W101" i="16"/>
  <c r="X110" i="16"/>
  <c r="V118" i="16"/>
  <c r="T230" i="16"/>
  <c r="W108" i="16"/>
  <c r="X144" i="16"/>
  <c r="F227" i="16"/>
  <c r="V108" i="16"/>
  <c r="Y115" i="16"/>
  <c r="D233" i="16"/>
  <c r="U78" i="16"/>
  <c r="D231" i="16"/>
  <c r="F22" i="16"/>
  <c r="X134" i="16"/>
  <c r="R78" i="16"/>
  <c r="R88" i="16"/>
  <c r="S72" i="16"/>
  <c r="Q84" i="16"/>
  <c r="R114" i="16"/>
  <c r="B16" i="16"/>
  <c r="Q146" i="16"/>
  <c r="I146" i="16"/>
  <c r="C120" i="16"/>
  <c r="W149" i="16"/>
  <c r="U142" i="16"/>
  <c r="H13" i="16"/>
  <c r="B240" i="16"/>
  <c r="F46" i="16"/>
  <c r="D227" i="16"/>
  <c r="E109" i="16"/>
  <c r="B57" i="16"/>
  <c r="D229" i="16"/>
  <c r="U74" i="16"/>
  <c r="Y118" i="16"/>
  <c r="R152" i="16"/>
  <c r="F235" i="16"/>
  <c r="D239" i="16"/>
  <c r="N26" i="16"/>
  <c r="U137" i="16"/>
  <c r="T233" i="16"/>
  <c r="C104" i="16"/>
  <c r="F44" i="16"/>
  <c r="J23" i="16"/>
  <c r="F58" i="16"/>
  <c r="H120" i="16"/>
  <c r="Q75" i="16"/>
  <c r="B103" i="16"/>
  <c r="N12" i="16"/>
  <c r="W136" i="16"/>
  <c r="S224" i="16"/>
  <c r="F149" i="16"/>
  <c r="R231" i="16"/>
  <c r="H26" i="16"/>
  <c r="T142" i="16"/>
  <c r="N17" i="16"/>
  <c r="U89" i="16"/>
  <c r="J17" i="16"/>
  <c r="I141" i="16"/>
  <c r="G135" i="16"/>
  <c r="R144" i="16"/>
  <c r="Y120" i="16"/>
  <c r="T141" i="16"/>
  <c r="B237" i="16"/>
  <c r="H43" i="16"/>
  <c r="R109" i="16"/>
  <c r="F27" i="16"/>
  <c r="I140" i="16"/>
  <c r="N27" i="16"/>
  <c r="D28" i="16"/>
  <c r="B110" i="16"/>
  <c r="I101" i="16"/>
  <c r="E51" i="16"/>
  <c r="E121" i="16"/>
  <c r="R80" i="16"/>
  <c r="L13" i="16"/>
  <c r="E142" i="16"/>
  <c r="E108" i="16"/>
  <c r="C149" i="16"/>
  <c r="R137" i="16"/>
  <c r="T151" i="16"/>
  <c r="D23" i="16"/>
  <c r="D234" i="16"/>
  <c r="V140" i="16"/>
  <c r="X137" i="16"/>
  <c r="B119" i="16"/>
  <c r="D236" i="16"/>
  <c r="R237" i="16"/>
  <c r="R79" i="16"/>
  <c r="T144" i="16"/>
  <c r="C121" i="16"/>
  <c r="G43" i="16"/>
  <c r="E151" i="16"/>
  <c r="N23" i="16"/>
  <c r="L17" i="16"/>
  <c r="T137" i="16"/>
  <c r="I114" i="16"/>
  <c r="S240" i="16"/>
  <c r="C106" i="16"/>
  <c r="Q136" i="16"/>
  <c r="E57" i="16"/>
  <c r="F42" i="16"/>
  <c r="D26" i="16"/>
  <c r="R106" i="16"/>
  <c r="U145" i="16"/>
  <c r="I147" i="16"/>
  <c r="V145" i="16"/>
  <c r="R147" i="16"/>
  <c r="V144" i="16"/>
  <c r="X145" i="16"/>
  <c r="G150" i="16"/>
  <c r="F141" i="16"/>
  <c r="Y104" i="16"/>
  <c r="Q74" i="16"/>
  <c r="G39" i="16"/>
  <c r="T147" i="16"/>
  <c r="B134" i="16"/>
  <c r="S113" i="16"/>
  <c r="I152" i="16"/>
  <c r="F234" i="16"/>
  <c r="G144" i="16"/>
  <c r="F51" i="16"/>
  <c r="T85" i="16"/>
  <c r="H57" i="16"/>
  <c r="L23" i="16"/>
  <c r="J29" i="16"/>
  <c r="F241" i="16"/>
  <c r="F56" i="16"/>
  <c r="D22" i="16"/>
  <c r="G137" i="16"/>
  <c r="F115" i="16"/>
  <c r="U88" i="16"/>
  <c r="V79" i="16"/>
  <c r="T231" i="16"/>
  <c r="R70" i="16"/>
  <c r="Q134" i="16"/>
  <c r="H24" i="16"/>
  <c r="G59" i="16"/>
  <c r="Q79" i="16"/>
  <c r="T224" i="16"/>
  <c r="B43" i="16"/>
  <c r="G116" i="16"/>
  <c r="V149" i="16"/>
  <c r="R240" i="16"/>
  <c r="X149" i="16"/>
  <c r="C52" i="16"/>
  <c r="E46" i="16"/>
  <c r="H51" i="16"/>
  <c r="S75" i="16"/>
  <c r="U141" i="16"/>
  <c r="X121" i="16"/>
  <c r="Q73" i="16"/>
  <c r="C152" i="16"/>
  <c r="S103" i="16"/>
  <c r="S237" i="16"/>
  <c r="E106" i="16"/>
  <c r="C51" i="16"/>
  <c r="B19" i="16"/>
  <c r="R150" i="16"/>
  <c r="F49" i="16"/>
  <c r="H52" i="16"/>
  <c r="S104" i="16"/>
  <c r="R84" i="16"/>
  <c r="U151" i="16"/>
  <c r="Q147" i="16"/>
  <c r="H18" i="16"/>
  <c r="R108" i="16"/>
  <c r="W147" i="16"/>
  <c r="D41" i="16"/>
  <c r="D27" i="16"/>
  <c r="L9" i="16"/>
  <c r="F229" i="16"/>
  <c r="N29" i="16"/>
  <c r="V77" i="16"/>
  <c r="Q149" i="16"/>
  <c r="F231" i="16"/>
  <c r="C108" i="16"/>
  <c r="B115" i="16"/>
  <c r="G54" i="16"/>
  <c r="W83" i="16"/>
  <c r="G51" i="16"/>
  <c r="H42" i="16"/>
  <c r="Q140" i="16"/>
  <c r="B46" i="16"/>
  <c r="B224" i="16"/>
  <c r="V101" i="16"/>
  <c r="H140" i="16"/>
  <c r="I150" i="16"/>
  <c r="S109" i="16"/>
  <c r="G149" i="16"/>
  <c r="T90" i="16"/>
  <c r="R149" i="16"/>
  <c r="F26" i="16"/>
  <c r="E118" i="16"/>
  <c r="T235" i="16"/>
  <c r="R77" i="16"/>
  <c r="H101" i="16"/>
  <c r="J24" i="16"/>
  <c r="B135" i="16"/>
  <c r="I142" i="16"/>
  <c r="H11" i="16"/>
  <c r="W140" i="16"/>
  <c r="B239" i="16"/>
  <c r="F21" i="16"/>
  <c r="H27" i="16"/>
  <c r="H56" i="16"/>
  <c r="V132" i="16"/>
  <c r="G141" i="16"/>
  <c r="E115" i="16"/>
  <c r="U139" i="16"/>
  <c r="C57" i="16"/>
  <c r="B27" i="16"/>
  <c r="U135" i="16"/>
  <c r="E53" i="16"/>
  <c r="C111" i="16"/>
  <c r="H110" i="16"/>
  <c r="B109" i="16"/>
  <c r="B56" i="16"/>
  <c r="J26" i="16"/>
  <c r="T234" i="16"/>
  <c r="N16" i="16"/>
  <c r="N14" i="16"/>
  <c r="F106" i="16"/>
  <c r="U115" i="16"/>
  <c r="S234" i="16"/>
  <c r="S226" i="16"/>
  <c r="U106" i="16"/>
  <c r="E135" i="16"/>
  <c r="B116" i="16"/>
  <c r="V139" i="16"/>
  <c r="S230" i="16"/>
  <c r="I135" i="16"/>
  <c r="G48" i="16"/>
  <c r="V116" i="16"/>
  <c r="V142" i="16"/>
  <c r="G104" i="16"/>
  <c r="W135" i="16"/>
  <c r="F121" i="16"/>
  <c r="S101" i="16"/>
  <c r="E44" i="16"/>
  <c r="Q87" i="16"/>
  <c r="J28" i="16"/>
  <c r="B9" i="16"/>
  <c r="X120" i="16"/>
  <c r="Q135" i="16"/>
  <c r="B12" i="16"/>
  <c r="R228" i="16"/>
  <c r="X106" i="16"/>
  <c r="F105" i="16"/>
  <c r="W152" i="16"/>
  <c r="H46" i="16"/>
  <c r="B52" i="16"/>
  <c r="B26" i="16"/>
  <c r="S229" i="16"/>
  <c r="V115" i="16"/>
  <c r="I115" i="16"/>
  <c r="W121" i="16"/>
  <c r="T139" i="16"/>
  <c r="V84" i="16"/>
  <c r="B53" i="16"/>
  <c r="H111" i="16"/>
  <c r="C101" i="16"/>
  <c r="T232" i="16"/>
  <c r="E136" i="16"/>
  <c r="B141" i="16"/>
  <c r="U152" i="16"/>
  <c r="D237" i="16"/>
  <c r="V72" i="16"/>
  <c r="S121" i="16"/>
  <c r="F17" i="16"/>
  <c r="G108" i="16"/>
  <c r="F28" i="16"/>
  <c r="S90" i="16"/>
  <c r="S74" i="16"/>
  <c r="B41" i="16"/>
  <c r="X115" i="16"/>
  <c r="H14" i="16"/>
  <c r="D16" i="16"/>
  <c r="F137" i="16"/>
  <c r="B48" i="16"/>
  <c r="E134" i="16"/>
  <c r="U82" i="16"/>
  <c r="E52" i="16"/>
  <c r="U105" i="16"/>
  <c r="U80" i="16"/>
  <c r="R151" i="16"/>
  <c r="T79" i="16"/>
  <c r="X108" i="16"/>
  <c r="U149" i="16"/>
  <c r="F144" i="16"/>
  <c r="D21" i="16"/>
  <c r="G120" i="16"/>
  <c r="R235" i="16"/>
  <c r="F140" i="16"/>
  <c r="R111" i="16"/>
  <c r="T146" i="16"/>
  <c r="W110" i="16"/>
  <c r="Q77" i="16"/>
  <c r="I103" i="16"/>
  <c r="F18" i="16"/>
  <c r="S120" i="16"/>
  <c r="T239" i="16"/>
  <c r="C145" i="16"/>
  <c r="F103" i="16"/>
  <c r="B229" i="16"/>
  <c r="C56" i="16"/>
  <c r="H49" i="16"/>
  <c r="U73" i="16"/>
  <c r="B149" i="16"/>
  <c r="B228" i="16"/>
  <c r="R234" i="16"/>
  <c r="T226" i="16"/>
  <c r="U114" i="16"/>
  <c r="G119" i="16"/>
  <c r="C151" i="16"/>
  <c r="H54" i="16"/>
  <c r="R89" i="16"/>
  <c r="H114" i="16"/>
  <c r="L28" i="16"/>
  <c r="J9" i="16"/>
  <c r="C43" i="16"/>
  <c r="T237" i="16"/>
  <c r="H113" i="16"/>
  <c r="W78" i="16"/>
  <c r="J22" i="16"/>
  <c r="R226" i="16"/>
  <c r="V78" i="16"/>
  <c r="I120" i="16"/>
  <c r="X101" i="16"/>
  <c r="H151" i="16"/>
  <c r="S108" i="16"/>
  <c r="I111" i="16"/>
  <c r="V119" i="16"/>
  <c r="F136" i="16"/>
  <c r="U110" i="16"/>
  <c r="R145" i="16"/>
  <c r="R73" i="16"/>
  <c r="X132" i="16"/>
  <c r="W132" i="16"/>
  <c r="Q72" i="16"/>
  <c r="R232" i="16"/>
  <c r="Q83" i="16"/>
  <c r="T140" i="16"/>
  <c r="C136" i="16"/>
  <c r="Q141" i="16"/>
  <c r="S233" i="16"/>
  <c r="V151" i="16"/>
  <c r="T74" i="16"/>
  <c r="U119" i="16"/>
  <c r="S239" i="16"/>
  <c r="S236" i="16"/>
  <c r="H152" i="16"/>
  <c r="F13" i="16"/>
  <c r="W90" i="16"/>
  <c r="V120" i="16"/>
  <c r="D240" i="16"/>
  <c r="H139" i="16"/>
  <c r="R120" i="16"/>
  <c r="U85" i="16"/>
  <c r="R241" i="16"/>
  <c r="E113" i="16"/>
  <c r="D19" i="16"/>
  <c r="D52" i="16"/>
  <c r="F43" i="16"/>
  <c r="B230" i="16"/>
  <c r="I118" i="16"/>
  <c r="C49" i="16"/>
  <c r="V105" i="16"/>
  <c r="Q82" i="16"/>
  <c r="B238" i="16"/>
  <c r="G152" i="16"/>
  <c r="Y113" i="16"/>
  <c r="D17" i="16"/>
  <c r="V121" i="16"/>
  <c r="H29" i="16"/>
  <c r="W141" i="16"/>
  <c r="G58" i="16"/>
  <c r="I108" i="16"/>
  <c r="B152" i="16"/>
  <c r="G110" i="16"/>
  <c r="E145" i="16"/>
  <c r="G146" i="16"/>
  <c r="J16" i="16"/>
  <c r="D11" i="16"/>
  <c r="T240" i="16"/>
  <c r="E150" i="16"/>
  <c r="X141" i="16"/>
  <c r="X136" i="16"/>
  <c r="F135" i="16"/>
  <c r="G57" i="16"/>
  <c r="U120" i="16"/>
  <c r="D43" i="16"/>
  <c r="U134" i="16"/>
  <c r="B29" i="16"/>
  <c r="I119" i="16"/>
  <c r="F114" i="16"/>
  <c r="U146" i="16"/>
  <c r="S73" i="16"/>
  <c r="U113" i="16"/>
  <c r="C141" i="16"/>
  <c r="V85" i="16"/>
  <c r="E101" i="16"/>
  <c r="H47" i="16"/>
  <c r="N9" i="16"/>
  <c r="R139" i="16"/>
  <c r="U136" i="16"/>
  <c r="G101" i="16"/>
  <c r="B231" i="16"/>
  <c r="V70" i="16"/>
  <c r="J21" i="16"/>
  <c r="S118" i="16"/>
  <c r="N22" i="16"/>
  <c r="S115" i="16"/>
  <c r="V110" i="16"/>
  <c r="E39" i="16"/>
  <c r="H108" i="16"/>
  <c r="H119" i="16"/>
  <c r="V141" i="16"/>
  <c r="D29" i="16"/>
  <c r="B226" i="16"/>
  <c r="U144" i="16"/>
  <c r="B132" i="16"/>
  <c r="V134" i="16"/>
  <c r="I113" i="16"/>
  <c r="R103" i="16"/>
  <c r="F110" i="16"/>
  <c r="I136" i="16"/>
  <c r="E104" i="16"/>
  <c r="W85" i="16"/>
  <c r="U70" i="16"/>
  <c r="F239" i="16"/>
  <c r="I116" i="16"/>
  <c r="D235" i="16"/>
  <c r="B39" i="16"/>
  <c r="B120" i="16"/>
  <c r="L12" i="16"/>
  <c r="X118" i="16"/>
  <c r="T241" i="16"/>
  <c r="S119" i="16"/>
  <c r="C116" i="16"/>
  <c r="W73" i="16"/>
  <c r="Q88" i="16"/>
  <c r="E41" i="16"/>
  <c r="E147" i="16"/>
  <c r="S70" i="16"/>
  <c r="F48" i="16"/>
  <c r="V136" i="16"/>
  <c r="C59" i="16"/>
  <c r="R136" i="16"/>
  <c r="W139" i="16"/>
  <c r="U101" i="16"/>
  <c r="D42" i="16"/>
  <c r="B11" i="16"/>
  <c r="U132" i="16"/>
  <c r="R132" i="16"/>
  <c r="D224" i="16"/>
  <c r="B142" i="16"/>
  <c r="J19" i="16"/>
  <c r="C137" i="16"/>
  <c r="H16" i="16"/>
  <c r="T149" i="16"/>
  <c r="H9" i="16"/>
  <c r="I110" i="16"/>
  <c r="C144" i="16"/>
  <c r="C42" i="16"/>
  <c r="L29" i="16"/>
  <c r="W116" i="16"/>
  <c r="R238" i="16"/>
  <c r="L27" i="16"/>
  <c r="D39" i="16"/>
  <c r="W75" i="16"/>
  <c r="C39" i="16"/>
  <c r="B58" i="16"/>
  <c r="I149" i="16"/>
  <c r="D238" i="16"/>
  <c r="C119" i="16"/>
  <c r="E137" i="16"/>
  <c r="R142" i="16"/>
  <c r="V137" i="16"/>
  <c r="G56" i="16"/>
  <c r="V83" i="16"/>
  <c r="L24" i="16"/>
  <c r="F11" i="16"/>
  <c r="H146" i="16"/>
  <c r="Y121" i="16"/>
  <c r="C44" i="16"/>
  <c r="H136" i="16"/>
  <c r="G53" i="16"/>
  <c r="B227" i="16"/>
  <c r="G47" i="16"/>
  <c r="G145" i="16"/>
  <c r="B145" i="16"/>
  <c r="W79" i="16"/>
  <c r="B232" i="16"/>
  <c r="F116" i="16"/>
  <c r="H118" i="16"/>
  <c r="G103" i="16"/>
  <c r="H41" i="16"/>
  <c r="B13" i="16"/>
  <c r="Q132" i="16"/>
  <c r="R72" i="16"/>
  <c r="N18" i="16"/>
  <c r="N28" i="16"/>
  <c r="G142" i="16"/>
  <c r="Q144" i="16"/>
  <c r="W113" i="16"/>
  <c r="B144" i="16"/>
  <c r="G134" i="16"/>
  <c r="R146" i="16"/>
  <c r="T70" i="16"/>
  <c r="C140" i="16"/>
  <c r="C48" i="16"/>
  <c r="E149" i="16"/>
  <c r="G114" i="16"/>
  <c r="F41" i="16"/>
  <c r="F57" i="16"/>
  <c r="B21" i="16"/>
  <c r="B114" i="16"/>
  <c r="S238" i="16"/>
  <c r="Q89" i="16"/>
  <c r="X113" i="16"/>
  <c r="E105" i="16"/>
  <c r="L16" i="16"/>
  <c r="S111" i="16"/>
  <c r="C41" i="16"/>
  <c r="V89" i="16"/>
  <c r="F134" i="16"/>
  <c r="Y111" i="16"/>
  <c r="T132" i="16"/>
  <c r="L14" i="16"/>
  <c r="C139" i="16"/>
  <c r="S88" i="16"/>
  <c r="E119" i="16"/>
  <c r="B28" i="16"/>
  <c r="F146" i="16"/>
  <c r="C146" i="16"/>
  <c r="T236" i="16"/>
  <c r="R239" i="16"/>
  <c r="F120" i="16"/>
  <c r="E146" i="16"/>
  <c r="F104" i="16"/>
  <c r="Y105" i="16"/>
  <c r="H142" i="16"/>
  <c r="T75" i="16"/>
  <c r="S83" i="16"/>
  <c r="D226" i="16"/>
  <c r="X114" i="16"/>
  <c r="S235" i="16"/>
  <c r="Y109" i="16"/>
  <c r="E59" i="16"/>
  <c r="X109" i="16"/>
  <c r="T73" i="16"/>
  <c r="E42" i="16"/>
  <c r="V90" i="16"/>
  <c r="F145" i="16"/>
  <c r="R141" i="16"/>
  <c r="G106" i="16"/>
  <c r="E140" i="16"/>
  <c r="S232" i="16"/>
  <c r="D51" i="16"/>
  <c r="D232" i="16"/>
  <c r="H106" i="16"/>
  <c r="Y103" i="16"/>
  <c r="Q70" i="16"/>
  <c r="B233" i="16"/>
  <c r="C118" i="16"/>
  <c r="G111" i="16"/>
  <c r="R115" i="16"/>
  <c r="B113" i="16"/>
  <c r="F236" i="16"/>
  <c r="S106" i="16"/>
  <c r="F238" i="16"/>
  <c r="E120" i="16"/>
  <c r="S105" i="16"/>
  <c r="V152" i="16"/>
  <c r="E43" i="16"/>
  <c r="H48" i="16"/>
  <c r="V111" i="16"/>
  <c r="C115" i="16"/>
  <c r="S78" i="16"/>
  <c r="X104" i="16"/>
  <c r="W84" i="16"/>
  <c r="V103" i="16"/>
  <c r="H141" i="16"/>
  <c r="W134" i="16"/>
  <c r="S116" i="16"/>
  <c r="W118" i="16"/>
  <c r="B24" i="16"/>
  <c r="Y116" i="16"/>
  <c r="E110" i="16"/>
  <c r="B235" i="16"/>
  <c r="B47" i="16"/>
  <c r="R140" i="16"/>
  <c r="F24" i="16"/>
  <c r="W105" i="16"/>
  <c r="W109" i="16"/>
  <c r="Q150" i="16"/>
  <c r="B104" i="16"/>
  <c r="F224" i="16"/>
  <c r="U87" i="16"/>
  <c r="I132" i="16"/>
  <c r="C58" i="16"/>
  <c r="W88" i="16"/>
  <c r="T152" i="16"/>
  <c r="W77" i="16"/>
  <c r="V106" i="16"/>
  <c r="S79" i="16"/>
  <c r="C134" i="16"/>
  <c r="D49" i="16"/>
  <c r="Q137" i="16"/>
  <c r="Q151" i="16"/>
  <c r="R85" i="16"/>
  <c r="F14" i="16"/>
  <c r="D18" i="16"/>
  <c r="U121" i="16"/>
  <c r="U111" i="16"/>
  <c r="Q152" i="16"/>
  <c r="R82" i="16"/>
  <c r="S77" i="16"/>
  <c r="T238" i="16"/>
  <c r="R135" i="16"/>
  <c r="T72" i="16"/>
  <c r="J13" i="16"/>
  <c r="F118" i="16"/>
  <c r="G132" i="16"/>
  <c r="R224" i="16"/>
  <c r="B151" i="16"/>
  <c r="H53" i="16"/>
  <c r="W74" i="16"/>
  <c r="G109" i="16"/>
  <c r="R121" i="16"/>
  <c r="W72" i="16"/>
  <c r="W111" i="16"/>
  <c r="R134" i="16"/>
  <c r="B44" i="16"/>
  <c r="F237" i="16"/>
  <c r="H17" i="16"/>
  <c r="U140" i="16"/>
  <c r="R105" i="16"/>
  <c r="T84" i="16"/>
  <c r="B236" i="16"/>
  <c r="F111" i="16"/>
  <c r="D57" i="16"/>
  <c r="R75" i="16"/>
  <c r="W120" i="16"/>
  <c r="E116" i="16"/>
  <c r="E152" i="16"/>
  <c r="R118" i="16"/>
  <c r="U103" i="16"/>
  <c r="S241" i="16"/>
  <c r="H137" i="16"/>
  <c r="U72" i="16"/>
  <c r="R119" i="16"/>
  <c r="R74" i="16"/>
  <c r="Y119" i="16"/>
  <c r="D58" i="16"/>
  <c r="E47" i="16"/>
  <c r="T88" i="16"/>
  <c r="T80" i="16"/>
  <c r="F53" i="16"/>
  <c r="V146" i="16"/>
  <c r="V114" i="16"/>
  <c r="H116" i="16"/>
  <c r="F147" i="16"/>
  <c r="W145" i="16"/>
  <c r="T145" i="16"/>
  <c r="V74" i="16"/>
  <c r="J12" i="16"/>
  <c r="B51" i="16"/>
  <c r="D53" i="16"/>
  <c r="D230" i="16"/>
  <c r="V104" i="16"/>
  <c r="L18" i="16"/>
  <c r="I139" i="16"/>
  <c r="T136" i="16"/>
  <c r="T82" i="16"/>
  <c r="AK172" i="16" l="1"/>
  <c r="H234" i="16"/>
  <c r="X234" i="16"/>
  <c r="AN170" i="16"/>
  <c r="D172" i="16"/>
  <c r="AE172" i="16" s="1"/>
  <c r="AB224" i="16"/>
  <c r="C89" i="16"/>
  <c r="U230" i="16"/>
  <c r="F213" i="16"/>
  <c r="AF213" i="16" s="1"/>
  <c r="B169" i="16"/>
  <c r="AD169" i="16" s="1"/>
  <c r="X237" i="16"/>
  <c r="H237" i="16"/>
  <c r="F79" i="16"/>
  <c r="G74" i="16"/>
  <c r="F89" i="16"/>
  <c r="D75" i="16"/>
  <c r="U226" i="16"/>
  <c r="Y226" i="16" s="1"/>
  <c r="AK206" i="16"/>
  <c r="AP180" i="16"/>
  <c r="AP176" i="16"/>
  <c r="E74" i="16"/>
  <c r="AL175" i="16"/>
  <c r="AL179" i="16"/>
  <c r="F85" i="16"/>
  <c r="AK164" i="16"/>
  <c r="X241" i="16"/>
  <c r="H241" i="16"/>
  <c r="X235" i="16"/>
  <c r="H235" i="16"/>
  <c r="D170" i="16"/>
  <c r="AE170" i="16" s="1"/>
  <c r="D77" i="16"/>
  <c r="J169" i="16"/>
  <c r="AI169" i="16" s="1"/>
  <c r="E87" i="16"/>
  <c r="B208" i="16"/>
  <c r="AD208" i="16" s="1"/>
  <c r="AK202" i="16"/>
  <c r="J170" i="16"/>
  <c r="AI170" i="16" s="1"/>
  <c r="AB238" i="16"/>
  <c r="AK197" i="16"/>
  <c r="C83" i="16"/>
  <c r="AK176" i="16"/>
  <c r="AL174" i="16"/>
  <c r="D74" i="16"/>
  <c r="G84" i="16"/>
  <c r="H177" i="16"/>
  <c r="AG177" i="16" s="1"/>
  <c r="AN171" i="16"/>
  <c r="D182" i="16"/>
  <c r="AE182" i="16" s="1"/>
  <c r="AK165" i="16"/>
  <c r="AK177" i="16"/>
  <c r="C80" i="16"/>
  <c r="X224" i="16"/>
  <c r="H224" i="16"/>
  <c r="D210" i="16"/>
  <c r="AE210" i="16" s="1"/>
  <c r="D82" i="16"/>
  <c r="H182" i="16"/>
  <c r="AG182" i="16" s="1"/>
  <c r="F78" i="16"/>
  <c r="J162" i="16"/>
  <c r="F195" i="16"/>
  <c r="AF195" i="16" s="1"/>
  <c r="B205" i="16"/>
  <c r="AD205" i="16" s="1"/>
  <c r="AL207" i="16"/>
  <c r="H231" i="16"/>
  <c r="X231" i="16"/>
  <c r="F208" i="16"/>
  <c r="AF208" i="16" s="1"/>
  <c r="D83" i="16"/>
  <c r="G77" i="16"/>
  <c r="H239" i="16"/>
  <c r="X239" i="16"/>
  <c r="W234" i="16"/>
  <c r="AA234" i="16"/>
  <c r="B87" i="16"/>
  <c r="D213" i="16"/>
  <c r="AE213" i="16" s="1"/>
  <c r="B73" i="16"/>
  <c r="E77" i="16"/>
  <c r="AA230" i="16"/>
  <c r="W230" i="16"/>
  <c r="U241" i="16"/>
  <c r="AC241" i="16" s="1"/>
  <c r="C73" i="16"/>
  <c r="D197" i="16"/>
  <c r="AE197" i="16" s="1"/>
  <c r="H89" i="16"/>
  <c r="D195" i="16"/>
  <c r="AE195" i="16" s="1"/>
  <c r="AL165" i="16"/>
  <c r="J175" i="16"/>
  <c r="AI175" i="16" s="1"/>
  <c r="H227" i="16"/>
  <c r="X227" i="16"/>
  <c r="D177" i="16"/>
  <c r="AE177" i="16" s="1"/>
  <c r="AK195" i="16"/>
  <c r="D179" i="16"/>
  <c r="AE179" i="16" s="1"/>
  <c r="D174" i="16"/>
  <c r="AE174" i="16" s="1"/>
  <c r="H181" i="16"/>
  <c r="D171" i="16"/>
  <c r="AE171" i="16" s="1"/>
  <c r="W237" i="16"/>
  <c r="AA237" i="16"/>
  <c r="AK207" i="16"/>
  <c r="AK169" i="16"/>
  <c r="Z232" i="16"/>
  <c r="V232" i="16"/>
  <c r="AA236" i="16"/>
  <c r="W236" i="16"/>
  <c r="D175" i="16"/>
  <c r="AE175" i="16" s="1"/>
  <c r="F196" i="16"/>
  <c r="AF196" i="16" s="1"/>
  <c r="AB237" i="16"/>
  <c r="AP167" i="16"/>
  <c r="D206" i="16"/>
  <c r="AE206" i="16" s="1"/>
  <c r="Z229" i="16"/>
  <c r="V229" i="16"/>
  <c r="B89" i="16"/>
  <c r="U229" i="16"/>
  <c r="F80" i="16"/>
  <c r="G85" i="16"/>
  <c r="B78" i="16"/>
  <c r="X232" i="16"/>
  <c r="H232" i="16"/>
  <c r="D200" i="16"/>
  <c r="AE200" i="16" s="1"/>
  <c r="J182" i="16"/>
  <c r="AI182" i="16" s="1"/>
  <c r="B90" i="16"/>
  <c r="H74" i="16"/>
  <c r="H75" i="16"/>
  <c r="AA241" i="16"/>
  <c r="W241" i="16"/>
  <c r="AL169" i="16"/>
  <c r="F198" i="16"/>
  <c r="AF198" i="16" s="1"/>
  <c r="AA235" i="16"/>
  <c r="W235" i="16"/>
  <c r="AA224" i="16"/>
  <c r="W224" i="16"/>
  <c r="C90" i="16"/>
  <c r="G89" i="16"/>
  <c r="AL202" i="16"/>
  <c r="Z241" i="16"/>
  <c r="V241" i="16"/>
  <c r="F201" i="16"/>
  <c r="AF201" i="16" s="1"/>
  <c r="AB240" i="16"/>
  <c r="H229" i="16"/>
  <c r="X229" i="16"/>
  <c r="B176" i="16"/>
  <c r="AD176" i="16" s="1"/>
  <c r="Z227" i="16"/>
  <c r="V227" i="16"/>
  <c r="H82" i="16"/>
  <c r="B164" i="16"/>
  <c r="AD164" i="16" s="1"/>
  <c r="B82" i="16"/>
  <c r="B83" i="16"/>
  <c r="B162" i="16"/>
  <c r="Z235" i="16"/>
  <c r="V235" i="16"/>
  <c r="B77" i="16"/>
  <c r="C78" i="16"/>
  <c r="B177" i="16"/>
  <c r="AD177" i="16" s="1"/>
  <c r="AN179" i="16"/>
  <c r="AJ208" i="16"/>
  <c r="AJ197" i="16"/>
  <c r="D180" i="16"/>
  <c r="D89" i="16"/>
  <c r="F197" i="16"/>
  <c r="AF197" i="16" s="1"/>
  <c r="AB234" i="16"/>
  <c r="AL200" i="16"/>
  <c r="D208" i="16"/>
  <c r="AE208" i="16" s="1"/>
  <c r="H176" i="16"/>
  <c r="AG176" i="16" s="1"/>
  <c r="AK211" i="16"/>
  <c r="H180" i="16"/>
  <c r="F193" i="16"/>
  <c r="AN172" i="16"/>
  <c r="AL210" i="16"/>
  <c r="C74" i="16"/>
  <c r="F84" i="16"/>
  <c r="J181" i="16"/>
  <c r="AI181" i="16" s="1"/>
  <c r="AJ195" i="16"/>
  <c r="AB232" i="16"/>
  <c r="D78" i="16"/>
  <c r="B211" i="16"/>
  <c r="AD211" i="16" s="1"/>
  <c r="J171" i="16"/>
  <c r="AI171" i="16" s="1"/>
  <c r="AP171" i="16"/>
  <c r="C88" i="16"/>
  <c r="B202" i="16"/>
  <c r="AD202" i="16" s="1"/>
  <c r="AL208" i="16"/>
  <c r="D212" i="16"/>
  <c r="AE212" i="16" s="1"/>
  <c r="AN167" i="16"/>
  <c r="H83" i="16"/>
  <c r="AP170" i="16"/>
  <c r="F77" i="16"/>
  <c r="AJ200" i="16"/>
  <c r="D198" i="16"/>
  <c r="AE198" i="16" s="1"/>
  <c r="AL213" i="16"/>
  <c r="AL167" i="16"/>
  <c r="E84" i="16"/>
  <c r="F72" i="16"/>
  <c r="D165" i="16"/>
  <c r="AE165" i="16" s="1"/>
  <c r="AJ210" i="16"/>
  <c r="H84" i="16"/>
  <c r="AB241" i="16"/>
  <c r="AN165" i="16"/>
  <c r="B74" i="16"/>
  <c r="AK174" i="16"/>
  <c r="W229" i="16"/>
  <c r="AA229" i="16"/>
  <c r="E73" i="16"/>
  <c r="E83" i="16"/>
  <c r="F82" i="16"/>
  <c r="J165" i="16"/>
  <c r="AI165" i="16" s="1"/>
  <c r="U224" i="16"/>
  <c r="AC224" i="16" s="1"/>
  <c r="AL203" i="16"/>
  <c r="F200" i="16"/>
  <c r="AF200" i="16" s="1"/>
  <c r="AB236" i="16"/>
  <c r="H88" i="16"/>
  <c r="V236" i="16"/>
  <c r="Z236" i="16"/>
  <c r="AB226" i="16"/>
  <c r="V230" i="16"/>
  <c r="Z230" i="16"/>
  <c r="E82" i="16"/>
  <c r="J166" i="16"/>
  <c r="AI166" i="16" s="1"/>
  <c r="W228" i="16"/>
  <c r="AA228" i="16"/>
  <c r="B196" i="16"/>
  <c r="AD196" i="16" s="1"/>
  <c r="W240" i="16"/>
  <c r="AA240" i="16"/>
  <c r="B207" i="16"/>
  <c r="AD207" i="16" s="1"/>
  <c r="F202" i="16"/>
  <c r="AF202" i="16" s="1"/>
  <c r="H80" i="16"/>
  <c r="AB227" i="16"/>
  <c r="G73" i="16"/>
  <c r="C87" i="16"/>
  <c r="D202" i="16"/>
  <c r="AE202" i="16" s="1"/>
  <c r="H172" i="16"/>
  <c r="AG172" i="16" s="1"/>
  <c r="AK201" i="16"/>
  <c r="H179" i="16"/>
  <c r="AG179" i="16" s="1"/>
  <c r="AA226" i="16"/>
  <c r="W226" i="16"/>
  <c r="H170" i="16"/>
  <c r="AG170" i="16" s="1"/>
  <c r="F205" i="16"/>
  <c r="AF205" i="16" s="1"/>
  <c r="F207" i="16"/>
  <c r="AF207" i="16" s="1"/>
  <c r="AA239" i="16"/>
  <c r="W239" i="16"/>
  <c r="F88" i="16"/>
  <c r="V231" i="16"/>
  <c r="Z231" i="16"/>
  <c r="F75" i="16"/>
  <c r="D88" i="16"/>
  <c r="B201" i="16"/>
  <c r="AD201" i="16" s="1"/>
  <c r="B70" i="16"/>
  <c r="AJ198" i="16"/>
  <c r="AB231" i="16"/>
  <c r="J176" i="16"/>
  <c r="AI176" i="16" s="1"/>
  <c r="V240" i="16"/>
  <c r="Z240" i="16"/>
  <c r="AP177" i="16"/>
  <c r="U228" i="16"/>
  <c r="D84" i="16"/>
  <c r="AJ211" i="16"/>
  <c r="U233" i="16"/>
  <c r="AJ202" i="16"/>
  <c r="H174" i="16"/>
  <c r="AG174" i="16" s="1"/>
  <c r="D207" i="16"/>
  <c r="AE207" i="16" s="1"/>
  <c r="J179" i="16"/>
  <c r="AI179" i="16" s="1"/>
  <c r="G82" i="16"/>
  <c r="C79" i="16"/>
  <c r="F74" i="16"/>
  <c r="AN164" i="16"/>
  <c r="AJ212" i="16"/>
  <c r="B212" i="16"/>
  <c r="AD212" i="16" s="1"/>
  <c r="B172" i="16"/>
  <c r="AD172" i="16" s="1"/>
  <c r="B75" i="16"/>
  <c r="AJ203" i="16"/>
  <c r="V226" i="16"/>
  <c r="Z226" i="16"/>
  <c r="G72" i="16"/>
  <c r="AK166" i="16"/>
  <c r="AN166" i="16"/>
  <c r="AL211" i="16"/>
  <c r="D72" i="16"/>
  <c r="D203" i="16"/>
  <c r="AE203" i="16" s="1"/>
  <c r="AN177" i="16"/>
  <c r="AP179" i="16"/>
  <c r="W231" i="16"/>
  <c r="AA231" i="16"/>
  <c r="J167" i="16"/>
  <c r="AI167" i="16" s="1"/>
  <c r="B174" i="16"/>
  <c r="AD174" i="16" s="1"/>
  <c r="AP172" i="16"/>
  <c r="AK208" i="16"/>
  <c r="E88" i="16"/>
  <c r="X230" i="16"/>
  <c r="H230" i="16"/>
  <c r="AC230" i="16" s="1"/>
  <c r="AK170" i="16"/>
  <c r="AK200" i="16"/>
  <c r="B195" i="16"/>
  <c r="AD195" i="16" s="1"/>
  <c r="F83" i="16"/>
  <c r="AJ205" i="16"/>
  <c r="E72" i="16"/>
  <c r="E79" i="16"/>
  <c r="F203" i="16"/>
  <c r="AF203" i="16" s="1"/>
  <c r="D79" i="16"/>
  <c r="F70" i="16"/>
  <c r="B180" i="16"/>
  <c r="G83" i="16"/>
  <c r="AL170" i="16"/>
  <c r="D181" i="16"/>
  <c r="AE181" i="16" s="1"/>
  <c r="AL172" i="16"/>
  <c r="D80" i="16"/>
  <c r="U231" i="16"/>
  <c r="Y231" i="16" s="1"/>
  <c r="B171" i="16"/>
  <c r="AD171" i="16" s="1"/>
  <c r="F90" i="16"/>
  <c r="H226" i="16"/>
  <c r="X226" i="16"/>
  <c r="Z228" i="16"/>
  <c r="V228" i="16"/>
  <c r="J180" i="16"/>
  <c r="AI180" i="16" s="1"/>
  <c r="W233" i="16"/>
  <c r="AA233" i="16"/>
  <c r="B175" i="16"/>
  <c r="AD175" i="16" s="1"/>
  <c r="AP182" i="16"/>
  <c r="D90" i="16"/>
  <c r="X240" i="16"/>
  <c r="H240" i="16"/>
  <c r="B88" i="16"/>
  <c r="H162" i="16"/>
  <c r="U238" i="16"/>
  <c r="D167" i="16"/>
  <c r="AE167" i="16" s="1"/>
  <c r="B203" i="16"/>
  <c r="AD203" i="16" s="1"/>
  <c r="C70" i="16"/>
  <c r="Z234" i="16"/>
  <c r="V234" i="16"/>
  <c r="J177" i="16"/>
  <c r="AI177" i="16" s="1"/>
  <c r="Z239" i="16"/>
  <c r="V239" i="16"/>
  <c r="AB239" i="16"/>
  <c r="B166" i="16"/>
  <c r="AD166" i="16" s="1"/>
  <c r="E78" i="16"/>
  <c r="D70" i="16"/>
  <c r="AJ196" i="16"/>
  <c r="AP169" i="16"/>
  <c r="C84" i="16"/>
  <c r="D169" i="16"/>
  <c r="AE169" i="16" s="1"/>
  <c r="D193" i="16"/>
  <c r="AK203" i="16"/>
  <c r="AL166" i="16"/>
  <c r="AP175" i="16"/>
  <c r="B165" i="16"/>
  <c r="AD165" i="16" s="1"/>
  <c r="F206" i="16"/>
  <c r="AF206" i="16" s="1"/>
  <c r="H79" i="16"/>
  <c r="D166" i="16"/>
  <c r="AE166" i="16" s="1"/>
  <c r="F211" i="16"/>
  <c r="AF211" i="16" s="1"/>
  <c r="B179" i="16"/>
  <c r="AD179" i="16" s="1"/>
  <c r="Z233" i="16"/>
  <c r="V233" i="16"/>
  <c r="H238" i="16"/>
  <c r="X238" i="16"/>
  <c r="U236" i="16"/>
  <c r="U237" i="16"/>
  <c r="H85" i="16"/>
  <c r="G78" i="16"/>
  <c r="D205" i="16"/>
  <c r="AE205" i="16" s="1"/>
  <c r="C75" i="16"/>
  <c r="B213" i="16"/>
  <c r="AD213" i="16" s="1"/>
  <c r="B79" i="16"/>
  <c r="J174" i="16"/>
  <c r="AI174" i="16" s="1"/>
  <c r="J164" i="16"/>
  <c r="AI164" i="16" s="1"/>
  <c r="U239" i="16"/>
  <c r="Z224" i="16"/>
  <c r="V224" i="16"/>
  <c r="G87" i="16"/>
  <c r="H169" i="16"/>
  <c r="AG169" i="16" s="1"/>
  <c r="E85" i="16"/>
  <c r="AJ201" i="16"/>
  <c r="AN174" i="16"/>
  <c r="AL212" i="16"/>
  <c r="AP164" i="16"/>
  <c r="H233" i="16"/>
  <c r="X233" i="16"/>
  <c r="D196" i="16"/>
  <c r="AE196" i="16" s="1"/>
  <c r="H77" i="16"/>
  <c r="U232" i="16"/>
  <c r="Y232" i="16" s="1"/>
  <c r="AJ206" i="16"/>
  <c r="H90" i="16"/>
  <c r="B197" i="16"/>
  <c r="AD197" i="16" s="1"/>
  <c r="D164" i="16"/>
  <c r="AE164" i="16" s="1"/>
  <c r="H164" i="16"/>
  <c r="AG164" i="16" s="1"/>
  <c r="H73" i="16"/>
  <c r="AK213" i="16"/>
  <c r="AB229" i="16"/>
  <c r="C85" i="16"/>
  <c r="D201" i="16"/>
  <c r="AE201" i="16" s="1"/>
  <c r="G75" i="16"/>
  <c r="C72" i="16"/>
  <c r="U227" i="16"/>
  <c r="E80" i="16"/>
  <c r="B182" i="16"/>
  <c r="AD182" i="16" s="1"/>
  <c r="E89" i="16"/>
  <c r="G70" i="16"/>
  <c r="H171" i="16"/>
  <c r="AG171" i="16" s="1"/>
  <c r="AK175" i="16"/>
  <c r="AL205" i="16"/>
  <c r="AP174" i="16"/>
  <c r="AK171" i="16"/>
  <c r="G90" i="16"/>
  <c r="AK196" i="16"/>
  <c r="D85" i="16"/>
  <c r="AA238" i="16"/>
  <c r="W238" i="16"/>
  <c r="B200" i="16"/>
  <c r="AD200" i="16" s="1"/>
  <c r="F87" i="16"/>
  <c r="B80" i="16"/>
  <c r="AN169" i="16"/>
  <c r="AL195" i="16"/>
  <c r="AK205" i="16"/>
  <c r="AN182" i="16"/>
  <c r="D211" i="16"/>
  <c r="AE211" i="16" s="1"/>
  <c r="D87" i="16"/>
  <c r="AL197" i="16"/>
  <c r="G80" i="16"/>
  <c r="D162" i="16"/>
  <c r="H70" i="16"/>
  <c r="AL182" i="16"/>
  <c r="AP165" i="16"/>
  <c r="AL201" i="16"/>
  <c r="AL176" i="16"/>
  <c r="B85" i="16"/>
  <c r="AK182" i="16"/>
  <c r="AN175" i="16"/>
  <c r="B193" i="16"/>
  <c r="AJ207" i="16"/>
  <c r="Z238" i="16"/>
  <c r="V238" i="16"/>
  <c r="E75" i="16"/>
  <c r="AL196" i="16"/>
  <c r="D73" i="16"/>
  <c r="H165" i="16"/>
  <c r="AG165" i="16" s="1"/>
  <c r="AB230" i="16"/>
  <c r="F210" i="16"/>
  <c r="AF210" i="16" s="1"/>
  <c r="AA232" i="16"/>
  <c r="W232" i="16"/>
  <c r="H167" i="16"/>
  <c r="AG167" i="16" s="1"/>
  <c r="H236" i="16"/>
  <c r="X236" i="16"/>
  <c r="AK167" i="16"/>
  <c r="D176" i="16"/>
  <c r="AE176" i="16" s="1"/>
  <c r="AB233" i="16"/>
  <c r="AL177" i="16"/>
  <c r="AK210" i="16"/>
  <c r="B170" i="16"/>
  <c r="AD170" i="16" s="1"/>
  <c r="J172" i="16"/>
  <c r="AI172" i="16" s="1"/>
  <c r="AN176" i="16"/>
  <c r="AL198" i="16"/>
  <c r="C82" i="16"/>
  <c r="H78" i="16"/>
  <c r="AB228" i="16"/>
  <c r="B206" i="16"/>
  <c r="AD206" i="16" s="1"/>
  <c r="C77" i="16"/>
  <c r="U234" i="16"/>
  <c r="Y234" i="16" s="1"/>
  <c r="G79" i="16"/>
  <c r="AL164" i="16"/>
  <c r="F73" i="16"/>
  <c r="AJ213" i="16"/>
  <c r="AK179" i="16"/>
  <c r="U235" i="16"/>
  <c r="H166" i="16"/>
  <c r="AG166" i="16" s="1"/>
  <c r="H175" i="16"/>
  <c r="AG175" i="16" s="1"/>
  <c r="AK198" i="16"/>
  <c r="AL206" i="16"/>
  <c r="U240" i="16"/>
  <c r="AC240" i="16" s="1"/>
  <c r="B167" i="16"/>
  <c r="AD167" i="16" s="1"/>
  <c r="AP181" i="16"/>
  <c r="AP166" i="16"/>
  <c r="AK212" i="16"/>
  <c r="H87" i="16"/>
  <c r="E90" i="16"/>
  <c r="B72" i="16"/>
  <c r="H228" i="16"/>
  <c r="X228" i="16"/>
  <c r="E70" i="16"/>
  <c r="B84" i="16"/>
  <c r="G88" i="16"/>
  <c r="F212" i="16"/>
  <c r="AF212" i="16" s="1"/>
  <c r="B181" i="16"/>
  <c r="AL171" i="16"/>
  <c r="B210" i="16"/>
  <c r="AD210" i="16" s="1"/>
  <c r="H72" i="16"/>
  <c r="B198" i="16"/>
  <c r="AD198" i="16" s="1"/>
  <c r="AB235" i="16"/>
  <c r="W227" i="16"/>
  <c r="AA227" i="16"/>
  <c r="Z237" i="16"/>
  <c r="V237" i="16"/>
  <c r="AC239" i="16"/>
  <c r="AC226" i="16"/>
  <c r="AM162" i="16"/>
  <c r="AF162" i="16"/>
  <c r="Y241" i="16"/>
  <c r="AC229" i="16"/>
  <c r="Y239" i="16" l="1"/>
  <c r="AC227" i="16"/>
  <c r="AC235" i="16"/>
  <c r="Y228" i="16"/>
  <c r="Y235" i="16"/>
  <c r="AC238" i="16"/>
  <c r="AC233" i="16"/>
  <c r="AK193" i="16"/>
  <c r="AJ193" i="16"/>
  <c r="Y238" i="16"/>
  <c r="Y236" i="16"/>
  <c r="AE193" i="16"/>
  <c r="AC231" i="16"/>
  <c r="Y230" i="16"/>
  <c r="AC236" i="16"/>
  <c r="Y233" i="16"/>
  <c r="Y224" i="16"/>
  <c r="AF193" i="16"/>
  <c r="Y240" i="16"/>
  <c r="AC228" i="16"/>
  <c r="AP162" i="16"/>
  <c r="AD193" i="16"/>
  <c r="AK162" i="16"/>
  <c r="AD162" i="16"/>
  <c r="AL193" i="16"/>
  <c r="AL162" i="16"/>
  <c r="AG162" i="16"/>
  <c r="AI162" i="16"/>
  <c r="AE162" i="16"/>
  <c r="AC234" i="16"/>
  <c r="AN162" i="16"/>
  <c r="Y229" i="16"/>
  <c r="AC232" i="16"/>
  <c r="AC237" i="16"/>
  <c r="Y237" i="16"/>
  <c r="Y227"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C10" authorId="0" shapeId="0" xr:uid="{00000000-0006-0000-0000-000001000000}">
      <text>
        <r>
          <rPr>
            <b/>
            <sz val="10"/>
            <color indexed="81"/>
            <rFont val="Tahoma"/>
            <family val="2"/>
          </rPr>
          <t>jmarks:</t>
        </r>
        <r>
          <rPr>
            <sz val="10"/>
            <color indexed="81"/>
            <rFont val="Tahoma"/>
            <family val="2"/>
          </rPr>
          <t xml:space="preserve">
Formula for regional figure to use when all states report.</t>
        </r>
      </text>
    </comment>
    <comment ref="E10" authorId="0" shapeId="0" xr:uid="{00000000-0006-0000-0000-000002000000}">
      <text>
        <r>
          <rPr>
            <b/>
            <sz val="10"/>
            <color indexed="81"/>
            <rFont val="Tahoma"/>
            <family val="2"/>
          </rPr>
          <t>jmarks:</t>
        </r>
        <r>
          <rPr>
            <sz val="10"/>
            <color indexed="81"/>
            <rFont val="Tahoma"/>
            <family val="2"/>
          </rPr>
          <t xml:space="preserve">
Formula for regional figure to use when all states report.</t>
        </r>
      </text>
    </comment>
    <comment ref="G10" authorId="0" shapeId="0" xr:uid="{00000000-0006-0000-0000-000003000000}">
      <text>
        <r>
          <rPr>
            <b/>
            <sz val="10"/>
            <color indexed="81"/>
            <rFont val="Tahoma"/>
            <family val="2"/>
          </rPr>
          <t>jmarks:</t>
        </r>
        <r>
          <rPr>
            <sz val="10"/>
            <color indexed="81"/>
            <rFont val="Tahoma"/>
            <family val="2"/>
          </rPr>
          <t xml:space="preserve">
Formula for regional figure to use when all states report.</t>
        </r>
      </text>
    </comment>
    <comment ref="I10" authorId="0" shapeId="0" xr:uid="{00000000-0006-0000-0000-000004000000}">
      <text>
        <r>
          <rPr>
            <b/>
            <sz val="10"/>
            <color indexed="81"/>
            <rFont val="Tahoma"/>
            <family val="2"/>
          </rPr>
          <t>jmarks:</t>
        </r>
        <r>
          <rPr>
            <sz val="10"/>
            <color indexed="81"/>
            <rFont val="Tahoma"/>
            <family val="2"/>
          </rPr>
          <t xml:space="preserve">
Formula for regional figure to use when all states report.</t>
        </r>
      </text>
    </comment>
    <comment ref="K10" authorId="0" shapeId="0" xr:uid="{00000000-0006-0000-0000-000005000000}">
      <text>
        <r>
          <rPr>
            <b/>
            <sz val="10"/>
            <color indexed="81"/>
            <rFont val="Tahoma"/>
            <family val="2"/>
          </rPr>
          <t>jmarks:</t>
        </r>
        <r>
          <rPr>
            <sz val="10"/>
            <color indexed="81"/>
            <rFont val="Tahoma"/>
            <family val="2"/>
          </rPr>
          <t xml:space="preserve">
Formula for regional figure to use when all states report.</t>
        </r>
      </text>
    </comment>
    <comment ref="M10" authorId="0" shapeId="0" xr:uid="{00000000-0006-0000-0000-000006000000}">
      <text>
        <r>
          <rPr>
            <b/>
            <sz val="10"/>
            <color indexed="81"/>
            <rFont val="Tahoma"/>
            <family val="2"/>
          </rPr>
          <t>jmarks:</t>
        </r>
        <r>
          <rPr>
            <sz val="10"/>
            <color indexed="81"/>
            <rFont val="Tahoma"/>
            <family val="2"/>
          </rPr>
          <t xml:space="preserve">
Formula for regional figure to use when all states report.</t>
        </r>
      </text>
    </comment>
    <comment ref="O10" authorId="0" shapeId="0" xr:uid="{00000000-0006-0000-0000-000007000000}">
      <text>
        <r>
          <rPr>
            <b/>
            <sz val="10"/>
            <color indexed="81"/>
            <rFont val="Tahoma"/>
            <family val="2"/>
          </rPr>
          <t>jmarks:</t>
        </r>
        <r>
          <rPr>
            <sz val="10"/>
            <color indexed="81"/>
            <rFont val="Tahoma"/>
            <family val="2"/>
          </rPr>
          <t xml:space="preserve">
Formula for regional figure to use when all states report.</t>
        </r>
      </text>
    </comment>
    <comment ref="A163" authorId="0" shapeId="0" xr:uid="{00000000-0006-0000-0000-000008000000}">
      <text>
        <r>
          <rPr>
            <b/>
            <sz val="10"/>
            <color indexed="81"/>
            <rFont val="Tahoma"/>
            <family val="2"/>
          </rPr>
          <t>jmarks:</t>
        </r>
        <r>
          <rPr>
            <sz val="10"/>
            <color indexed="81"/>
            <rFont val="Tahoma"/>
            <family val="2"/>
          </rPr>
          <t xml:space="preserve">
Formulas for regional figures to use when all states report.</t>
        </r>
      </text>
    </comment>
    <comment ref="AE180" authorId="0" shapeId="0" xr:uid="{00000000-0006-0000-0000-000009000000}">
      <text>
        <r>
          <rPr>
            <b/>
            <sz val="8"/>
            <color indexed="81"/>
            <rFont val="Tahoma"/>
            <family val="2"/>
          </rPr>
          <t>jmarks:</t>
        </r>
        <r>
          <rPr>
            <sz val="8"/>
            <color indexed="81"/>
            <rFont val="Tahoma"/>
            <family val="2"/>
          </rPr>
          <t xml:space="preserve">
differs to match grouping of funding data</t>
        </r>
      </text>
    </comment>
    <comment ref="AF180" authorId="0" shapeId="0" xr:uid="{00000000-0006-0000-0000-00000A000000}">
      <text>
        <r>
          <rPr>
            <b/>
            <sz val="8"/>
            <color indexed="81"/>
            <rFont val="Tahoma"/>
            <family val="2"/>
          </rPr>
          <t>jmarks:</t>
        </r>
        <r>
          <rPr>
            <sz val="8"/>
            <color indexed="81"/>
            <rFont val="Tahoma"/>
            <family val="2"/>
          </rPr>
          <t xml:space="preserve">
differs to match grouping of funding data</t>
        </r>
      </text>
    </comment>
    <comment ref="AG180" authorId="0" shapeId="0" xr:uid="{00000000-0006-0000-0000-00000B000000}">
      <text>
        <r>
          <rPr>
            <b/>
            <sz val="8"/>
            <color indexed="81"/>
            <rFont val="Tahoma"/>
            <family val="2"/>
          </rPr>
          <t>jmarks:</t>
        </r>
        <r>
          <rPr>
            <sz val="8"/>
            <color indexed="81"/>
            <rFont val="Tahoma"/>
            <family val="2"/>
          </rPr>
          <t xml:space="preserve">
differs to match grouping of funding data</t>
        </r>
      </text>
    </comment>
    <comment ref="AL180" authorId="0" shapeId="0" xr:uid="{00000000-0006-0000-0000-00000C000000}">
      <text>
        <r>
          <rPr>
            <b/>
            <sz val="8"/>
            <color indexed="81"/>
            <rFont val="Tahoma"/>
            <family val="2"/>
          </rPr>
          <t>jmarks:</t>
        </r>
        <r>
          <rPr>
            <sz val="8"/>
            <color indexed="81"/>
            <rFont val="Tahoma"/>
            <family val="2"/>
          </rPr>
          <t xml:space="preserve">
differs to match grouping of funding data</t>
        </r>
      </text>
    </comment>
    <comment ref="AM180" authorId="0" shapeId="0" xr:uid="{00000000-0006-0000-0000-00000D000000}">
      <text>
        <r>
          <rPr>
            <b/>
            <sz val="8"/>
            <color indexed="81"/>
            <rFont val="Tahoma"/>
            <family val="2"/>
          </rPr>
          <t>jmarks:</t>
        </r>
        <r>
          <rPr>
            <sz val="8"/>
            <color indexed="81"/>
            <rFont val="Tahoma"/>
            <family val="2"/>
          </rPr>
          <t xml:space="preserve">
differs to match grouping of funding data</t>
        </r>
      </text>
    </comment>
    <comment ref="AN180" authorId="0" shapeId="0" xr:uid="{00000000-0006-0000-0000-00000E000000}">
      <text>
        <r>
          <rPr>
            <b/>
            <sz val="8"/>
            <color indexed="81"/>
            <rFont val="Tahoma"/>
            <family val="2"/>
          </rPr>
          <t>jmarks:</t>
        </r>
        <r>
          <rPr>
            <sz val="8"/>
            <color indexed="81"/>
            <rFont val="Tahoma"/>
            <family val="2"/>
          </rPr>
          <t xml:space="preserve">
differs to match grouping of funding data</t>
        </r>
      </text>
    </comment>
    <comment ref="AG181" authorId="0" shapeId="0" xr:uid="{00000000-0006-0000-0000-00000F000000}">
      <text>
        <r>
          <rPr>
            <b/>
            <sz val="8"/>
            <color indexed="81"/>
            <rFont val="Tahoma"/>
            <family val="2"/>
          </rPr>
          <t>lcowan:</t>
        </r>
        <r>
          <rPr>
            <sz val="8"/>
            <color indexed="81"/>
            <rFont val="Tahoma"/>
            <family val="2"/>
          </rPr>
          <t xml:space="preserve">
Since R.Bland is the only campus for which funding is identified, the R.B. FTE (10b) are put in this column.</t>
        </r>
      </text>
    </comment>
    <comment ref="AH181" authorId="0" shapeId="0" xr:uid="{00000000-0006-0000-0000-000010000000}">
      <text>
        <r>
          <rPr>
            <b/>
            <sz val="8"/>
            <color indexed="81"/>
            <rFont val="Tahoma"/>
            <family val="2"/>
          </rPr>
          <t>jmarks:</t>
        </r>
        <r>
          <rPr>
            <sz val="8"/>
            <color indexed="81"/>
            <rFont val="Tahoma"/>
            <family val="2"/>
          </rPr>
          <t xml:space="preserve">
differs to match grouping of funding dat</t>
        </r>
      </text>
    </comment>
    <comment ref="AN181" authorId="0" shapeId="0" xr:uid="{00000000-0006-0000-0000-000011000000}">
      <text>
        <r>
          <rPr>
            <b/>
            <sz val="8"/>
            <color indexed="81"/>
            <rFont val="Tahoma"/>
            <family val="2"/>
          </rPr>
          <t>lcowan:</t>
        </r>
        <r>
          <rPr>
            <sz val="8"/>
            <color indexed="81"/>
            <rFont val="Tahoma"/>
            <family val="2"/>
          </rPr>
          <t xml:space="preserve">
Since R.Bland is the only campus for which funding is identified, the R.B. FTE (10b) are put in this column.</t>
        </r>
      </text>
    </comment>
    <comment ref="A194" authorId="0" shapeId="0" xr:uid="{00000000-0006-0000-0000-000012000000}">
      <text>
        <r>
          <rPr>
            <b/>
            <sz val="10"/>
            <color indexed="81"/>
            <rFont val="Tahoma"/>
            <family val="2"/>
          </rPr>
          <t>jmarks:</t>
        </r>
        <r>
          <rPr>
            <sz val="10"/>
            <color indexed="81"/>
            <rFont val="Tahoma"/>
            <family val="2"/>
          </rPr>
          <t xml:space="preserve">
Formulas for regional figures to use when all states report.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1" authorId="0" shapeId="0" xr:uid="{00000000-0006-0000-0100-000001000000}">
      <text>
        <r>
          <rPr>
            <b/>
            <sz val="10"/>
            <color indexed="81"/>
            <rFont val="Tahoma"/>
            <family val="2"/>
          </rPr>
          <t>jmarks:</t>
        </r>
        <r>
          <rPr>
            <sz val="10"/>
            <color indexed="81"/>
            <rFont val="Tahoma"/>
            <family val="2"/>
          </rPr>
          <t xml:space="preserve">
This set of prior year tables are calculated based on institutional classification as of the current year.</t>
        </r>
      </text>
    </comment>
    <comment ref="C10" authorId="0" shapeId="0" xr:uid="{00000000-0006-0000-0100-000002000000}">
      <text>
        <r>
          <rPr>
            <b/>
            <sz val="10"/>
            <color indexed="81"/>
            <rFont val="Tahoma"/>
            <family val="2"/>
          </rPr>
          <t>jmarks:</t>
        </r>
        <r>
          <rPr>
            <sz val="10"/>
            <color indexed="81"/>
            <rFont val="Tahoma"/>
            <family val="2"/>
          </rPr>
          <t xml:space="preserve">
Formula for regional figure to use when all states report.</t>
        </r>
      </text>
    </comment>
    <comment ref="E10" authorId="0" shapeId="0" xr:uid="{00000000-0006-0000-0100-000003000000}">
      <text>
        <r>
          <rPr>
            <b/>
            <sz val="10"/>
            <color indexed="81"/>
            <rFont val="Tahoma"/>
            <family val="2"/>
          </rPr>
          <t>jmarks:</t>
        </r>
        <r>
          <rPr>
            <sz val="10"/>
            <color indexed="81"/>
            <rFont val="Tahoma"/>
            <family val="2"/>
          </rPr>
          <t xml:space="preserve">
Formula for regional figure to use when all states report.</t>
        </r>
      </text>
    </comment>
    <comment ref="G10" authorId="0" shapeId="0" xr:uid="{00000000-0006-0000-0100-000004000000}">
      <text>
        <r>
          <rPr>
            <b/>
            <sz val="10"/>
            <color indexed="81"/>
            <rFont val="Tahoma"/>
            <family val="2"/>
          </rPr>
          <t>jmarks:</t>
        </r>
        <r>
          <rPr>
            <sz val="10"/>
            <color indexed="81"/>
            <rFont val="Tahoma"/>
            <family val="2"/>
          </rPr>
          <t xml:space="preserve">
Formula for regional figure to use when all states report.</t>
        </r>
      </text>
    </comment>
    <comment ref="I10" authorId="0" shapeId="0" xr:uid="{00000000-0006-0000-0100-000005000000}">
      <text>
        <r>
          <rPr>
            <b/>
            <sz val="10"/>
            <color indexed="81"/>
            <rFont val="Tahoma"/>
            <family val="2"/>
          </rPr>
          <t>jmarks:</t>
        </r>
        <r>
          <rPr>
            <sz val="10"/>
            <color indexed="81"/>
            <rFont val="Tahoma"/>
            <family val="2"/>
          </rPr>
          <t xml:space="preserve">
Formula for regional figure to use when all states report.</t>
        </r>
      </text>
    </comment>
    <comment ref="K10" authorId="0" shapeId="0" xr:uid="{00000000-0006-0000-0100-000006000000}">
      <text>
        <r>
          <rPr>
            <b/>
            <sz val="10"/>
            <color indexed="81"/>
            <rFont val="Tahoma"/>
            <family val="2"/>
          </rPr>
          <t>jmarks:</t>
        </r>
        <r>
          <rPr>
            <sz val="10"/>
            <color indexed="81"/>
            <rFont val="Tahoma"/>
            <family val="2"/>
          </rPr>
          <t xml:space="preserve">
Formula for regional figure to use when all states report.</t>
        </r>
      </text>
    </comment>
    <comment ref="M10" authorId="0" shapeId="0" xr:uid="{00000000-0006-0000-0100-000007000000}">
      <text>
        <r>
          <rPr>
            <b/>
            <sz val="10"/>
            <color indexed="81"/>
            <rFont val="Tahoma"/>
            <family val="2"/>
          </rPr>
          <t>jmarks:</t>
        </r>
        <r>
          <rPr>
            <sz val="10"/>
            <color indexed="81"/>
            <rFont val="Tahoma"/>
            <family val="2"/>
          </rPr>
          <t xml:space="preserve">
Formula for regional figure to use when all states report.</t>
        </r>
      </text>
    </comment>
    <comment ref="O10" authorId="0" shapeId="0" xr:uid="{00000000-0006-0000-0100-000008000000}">
      <text>
        <r>
          <rPr>
            <b/>
            <sz val="10"/>
            <color indexed="81"/>
            <rFont val="Tahoma"/>
            <family val="2"/>
          </rPr>
          <t>jmarks:</t>
        </r>
        <r>
          <rPr>
            <sz val="10"/>
            <color indexed="81"/>
            <rFont val="Tahoma"/>
            <family val="2"/>
          </rPr>
          <t xml:space="preserve">
Formula for regional figure to use when all states report.</t>
        </r>
      </text>
    </comment>
    <comment ref="A162" authorId="0" shapeId="0" xr:uid="{00000000-0006-0000-0100-000009000000}">
      <text>
        <r>
          <rPr>
            <b/>
            <sz val="10"/>
            <color indexed="81"/>
            <rFont val="Tahoma"/>
            <family val="2"/>
          </rPr>
          <t>jmarks:</t>
        </r>
        <r>
          <rPr>
            <sz val="10"/>
            <color indexed="81"/>
            <rFont val="Tahoma"/>
            <family val="2"/>
          </rPr>
          <t xml:space="preserve">
Formulas for regional figures to use when all states report.</t>
        </r>
      </text>
    </comment>
    <comment ref="A193" authorId="0" shapeId="0" xr:uid="{00000000-0006-0000-0100-00000A000000}">
      <text>
        <r>
          <rPr>
            <b/>
            <sz val="10"/>
            <color indexed="81"/>
            <rFont val="Tahoma"/>
            <family val="2"/>
          </rPr>
          <t>jmarks:</t>
        </r>
        <r>
          <rPr>
            <sz val="10"/>
            <color indexed="81"/>
            <rFont val="Tahoma"/>
            <family val="2"/>
          </rPr>
          <t xml:space="preserve">
Formulas for regional figures to use when all states report.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mloverde</author>
    <author>jmarks</author>
    <author>Christiana</author>
    <author>Excel Validator</author>
  </authors>
  <commentList>
    <comment ref="Q4" authorId="0" shapeId="0" xr:uid="{EE6C5CB8-9338-4759-BB18-96D4B0D92FB9}">
      <text>
        <r>
          <rPr>
            <b/>
            <sz val="10"/>
            <color rgb="FF000000"/>
            <rFont val="Tahoma"/>
            <family val="2"/>
          </rPr>
          <t>jmarks: Formula must "fit" term code: /30 for semesters; /45 for quarters</t>
        </r>
      </text>
    </comment>
    <comment ref="V4" authorId="1" shapeId="0" xr:uid="{6656F9AB-9ADE-4F68-9103-3EBB0F3C40F4}">
      <text>
        <r>
          <rPr>
            <b/>
            <sz val="10"/>
            <color rgb="FF000000"/>
            <rFont val="Tahoma"/>
            <family val="2"/>
          </rPr>
          <t>jmarks:</t>
        </r>
        <r>
          <rPr>
            <sz val="10"/>
            <color rgb="FF000000"/>
            <rFont val="Tahoma"/>
            <family val="2"/>
          </rPr>
          <t xml:space="preserve">
To perform weighted averages, totals can only be included when h.s. student data present.</t>
        </r>
      </text>
    </comment>
    <comment ref="AG4" authorId="0" shapeId="0" xr:uid="{C5A1F657-33C9-4075-9A6E-306D6A3EBF28}">
      <text>
        <r>
          <rPr>
            <b/>
            <sz val="10"/>
            <color rgb="FF000000"/>
            <rFont val="Tahoma"/>
            <family val="2"/>
          </rPr>
          <t>jmarks: Formula must "fit" term code: /30 for semesters; /45 for quarters</t>
        </r>
      </text>
    </comment>
    <comment ref="AL4" authorId="1" shapeId="0" xr:uid="{39BD9DF5-CAEB-4793-A88A-E6A9FAD319F3}">
      <text>
        <r>
          <rPr>
            <b/>
            <sz val="10"/>
            <color rgb="FF000000"/>
            <rFont val="Tahoma"/>
            <family val="2"/>
          </rPr>
          <t>jmarks:</t>
        </r>
        <r>
          <rPr>
            <sz val="10"/>
            <color rgb="FF000000"/>
            <rFont val="Tahoma"/>
            <family val="2"/>
          </rPr>
          <t xml:space="preserve">
To perform weighted averages, totals can only be included when h.s. student data present.</t>
        </r>
      </text>
    </comment>
    <comment ref="AW4" authorId="0" shapeId="0" xr:uid="{032C667D-E5C3-49F6-BC4D-C31EA6928DB7}">
      <text>
        <r>
          <rPr>
            <b/>
            <sz val="10"/>
            <color rgb="FF000000"/>
            <rFont val="Tahoma"/>
            <family val="2"/>
          </rPr>
          <t>jmarks: Formula must "fit" term code: /30 for semesters; /45 for quarters</t>
        </r>
      </text>
    </comment>
    <comment ref="V6" authorId="1" shapeId="0" xr:uid="{BD791331-DE8E-4AFE-A1F1-BC266552ECDD}">
      <text>
        <r>
          <rPr>
            <b/>
            <sz val="10"/>
            <color rgb="FF000000"/>
            <rFont val="Tahoma"/>
            <family val="2"/>
          </rPr>
          <t>jmarks:</t>
        </r>
        <r>
          <rPr>
            <sz val="10"/>
            <color rgb="FF000000"/>
            <rFont val="Tahoma"/>
            <family val="2"/>
          </rPr>
          <t xml:space="preserve">
To perform weighted averages, totals can only be included when h.s. student data present.</t>
        </r>
      </text>
    </comment>
    <comment ref="AL6" authorId="1" shapeId="0" xr:uid="{B6ACF20E-A7BE-4FEE-94F8-1B791090878C}">
      <text>
        <r>
          <rPr>
            <b/>
            <sz val="10"/>
            <color rgb="FF000000"/>
            <rFont val="Tahoma"/>
            <family val="2"/>
          </rPr>
          <t>jmarks:</t>
        </r>
        <r>
          <rPr>
            <sz val="10"/>
            <color rgb="FF000000"/>
            <rFont val="Tahoma"/>
            <family val="2"/>
          </rPr>
          <t xml:space="preserve">
To perform weighted averages, totals can only be included when h.s. student data present.</t>
        </r>
      </text>
    </comment>
    <comment ref="B230" authorId="2" shapeId="0" xr:uid="{EDEE935A-95FB-46FA-9CC9-F7766029E905}">
      <text>
        <r>
          <rPr>
            <b/>
            <sz val="9"/>
            <color indexed="81"/>
            <rFont val="Tahoma"/>
            <family val="2"/>
          </rPr>
          <t>Christiana:</t>
        </r>
        <r>
          <rPr>
            <sz val="9"/>
            <color indexed="81"/>
            <rFont val="Tahoma"/>
            <family val="2"/>
          </rPr>
          <t xml:space="preserve">
Use with caution: 2019 data contains errors.</t>
        </r>
      </text>
    </comment>
    <comment ref="U250" authorId="3" shapeId="0" xr:uid="{011AA662-E30A-45B7-A9E5-DDDCE89CBC8A}">
      <text>
        <r>
          <rPr>
            <sz val="8"/>
            <color rgb="FF000000"/>
            <rFont val="Tahoma"/>
            <family val="2"/>
          </rPr>
          <t xml:space="preserve">Low Warning  AA006:  Metric difference from prior year &gt;= 20% </t>
        </r>
      </text>
    </comment>
    <comment ref="U255" authorId="3" shapeId="0" xr:uid="{7ECAD76A-F969-44CC-86EE-31581675367D}">
      <text>
        <r>
          <rPr>
            <sz val="8"/>
            <color rgb="FF000000"/>
            <rFont val="Tahoma"/>
            <family val="2"/>
          </rPr>
          <t xml:space="preserve">Low Warning  AA006:  Metric difference from prior year &gt;= 20% </t>
        </r>
      </text>
    </comment>
    <comment ref="U257" authorId="3" shapeId="0" xr:uid="{B7DDF29E-354E-4832-9699-04DE8D7AA6B1}">
      <text>
        <r>
          <rPr>
            <sz val="8"/>
            <color rgb="FF000000"/>
            <rFont val="Tahoma"/>
            <family val="2"/>
          </rPr>
          <t>Moderate Warning  AA008:  Large Metric difference from prior year &gt;= 50%</t>
        </r>
      </text>
    </comment>
    <comment ref="U258" authorId="3" shapeId="0" xr:uid="{6A73E762-611E-4D0A-A3B3-55D97531AA55}">
      <text>
        <r>
          <rPr>
            <sz val="8"/>
            <color rgb="FF000000"/>
            <rFont val="Tahoma"/>
            <family val="2"/>
          </rPr>
          <t xml:space="preserve">Low Warning  AA006:  Metric difference from prior year &gt;= 20% </t>
        </r>
      </text>
    </comment>
    <comment ref="U259" authorId="3" shapeId="0" xr:uid="{B28F5389-5480-4147-9EA0-C766291602EF}">
      <text>
        <r>
          <rPr>
            <sz val="8"/>
            <color rgb="FF000000"/>
            <rFont val="Tahoma"/>
            <family val="2"/>
          </rPr>
          <t xml:space="preserve">Low Warning  AA006:  Metric difference from prior year &gt;= 20% </t>
        </r>
      </text>
    </comment>
    <comment ref="U260" authorId="3" shapeId="0" xr:uid="{B488A5D0-F85E-446E-981B-35FC3E522F35}">
      <text>
        <r>
          <rPr>
            <sz val="8"/>
            <color rgb="FF000000"/>
            <rFont val="Tahoma"/>
            <family val="2"/>
          </rPr>
          <t xml:space="preserve">Low Warning  AA006:  Metric difference from prior year &gt;= 20% </t>
        </r>
      </text>
    </comment>
    <comment ref="U261" authorId="3" shapeId="0" xr:uid="{B3730C55-6C76-4258-8A91-2957255E38D2}">
      <text>
        <r>
          <rPr>
            <sz val="8"/>
            <color rgb="FF000000"/>
            <rFont val="Tahoma"/>
            <family val="2"/>
          </rPr>
          <t xml:space="preserve">Low Warning  AA006:  Metric difference from prior year &gt;= 20% </t>
        </r>
      </text>
    </comment>
    <comment ref="AQ340" authorId="3" shapeId="0" xr:uid="{4D4C6AA0-F188-432E-8710-AAA50F26BA3E}">
      <text>
        <r>
          <rPr>
            <sz val="8"/>
            <color rgb="FF000000"/>
            <rFont val="Tahoma"/>
            <family val="2"/>
          </rPr>
          <t>Moderate Warning  AA008:  Large Metric difference from prior year &gt;= 50%</t>
        </r>
      </text>
    </comment>
    <comment ref="AQ341" authorId="3" shapeId="0" xr:uid="{A4058755-8B11-4A7C-8633-D76ECC14732A}">
      <text>
        <r>
          <rPr>
            <sz val="8"/>
            <color rgb="FF000000"/>
            <rFont val="Tahoma"/>
            <family val="2"/>
          </rPr>
          <t xml:space="preserve">Low Warning  AA006:  Metric difference from prior year &gt;= 20% </t>
        </r>
      </text>
    </comment>
    <comment ref="AU341" authorId="3" shapeId="0" xr:uid="{52CE2452-4DAC-4BFB-B181-53CCD1A5B31D}">
      <text>
        <r>
          <rPr>
            <sz val="8"/>
            <color rgb="FF000000"/>
            <rFont val="Tahoma"/>
            <family val="2"/>
          </rPr>
          <t xml:space="preserve">Low Warning  AA006:  Metric difference from prior year &gt;= 20% </t>
        </r>
      </text>
    </comment>
    <comment ref="AQ347" authorId="3" shapeId="0" xr:uid="{08981816-1A41-4E3E-8BB5-DDEDCC121348}">
      <text>
        <r>
          <rPr>
            <sz val="8"/>
            <color rgb="FF000000"/>
            <rFont val="Tahoma"/>
            <family val="2"/>
          </rPr>
          <t xml:space="preserve">Low Warning  AA006:  Metric difference from prior year &gt;= 20% </t>
        </r>
      </text>
    </comment>
    <comment ref="K357" authorId="3" shapeId="0" xr:uid="{1F703338-E3E2-4AB4-A000-7671560CAF49}">
      <text>
        <r>
          <rPr>
            <sz val="8"/>
            <color rgb="FF000000"/>
            <rFont val="Tahoma"/>
            <family val="2"/>
          </rPr>
          <t xml:space="preserve">Low Warning  AA006:  Metric difference from prior year &gt;= 20% </t>
        </r>
      </text>
    </comment>
    <comment ref="K360" authorId="3" shapeId="0" xr:uid="{0FB2C509-6CF9-4292-A76F-A51E73068C61}">
      <text>
        <r>
          <rPr>
            <sz val="8"/>
            <color rgb="FF000000"/>
            <rFont val="Tahoma"/>
            <family val="2"/>
          </rPr>
          <t xml:space="preserve">Low Warning  AA006:  Metric difference from prior year &gt;= 20% </t>
        </r>
      </text>
    </comment>
    <comment ref="M360" authorId="3" shapeId="0" xr:uid="{081E543B-EA1C-40E4-B460-B34756ED72A1}">
      <text>
        <r>
          <rPr>
            <sz val="8"/>
            <color rgb="FF000000"/>
            <rFont val="Tahoma"/>
            <family val="2"/>
          </rPr>
          <t xml:space="preserve">Low Warning  AA006:  Metric difference from prior year &gt;= 20% </t>
        </r>
      </text>
    </comment>
    <comment ref="O360" authorId="3" shapeId="0" xr:uid="{B8932292-3318-42EA-AF30-4FDAC6DB3E77}">
      <text>
        <r>
          <rPr>
            <sz val="8"/>
            <color rgb="FF000000"/>
            <rFont val="Tahoma"/>
            <family val="2"/>
          </rPr>
          <t xml:space="preserve">Low Warning  AA006:  Metric difference from prior year &gt;= 20%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H11ug1" type="6" refreshedVersion="4" background="1" saveData="1">
    <textPr codePage="437" sourceFile="\\THECB-AUVFS41\UserDoc$\MeadDD\My Documents\My SAS Files\SREB\QWK04245\Page4\CH11ug1.txt">
      <textFields>
        <textField/>
      </textFields>
    </textPr>
  </connection>
  <connection id="2" xr16:uid="{00000000-0015-0000-FFFF-FFFF01000000}" name="CH11ug2" type="6" refreshedVersion="4" background="1" saveData="1">
    <textPr codePage="437" sourceFile="\\THECB-AUVFS41\UserDoc$\MeadDD\My Documents\My SAS Files\SREB\QWK04245\Page4\CH11ug2.txt">
      <textFields>
        <textField/>
      </textFields>
    </textPr>
  </connection>
  <connection id="3" xr16:uid="{00000000-0015-0000-FFFF-FFFF02000000}" name="CH11ug3" type="6" refreshedVersion="4" background="1" saveData="1">
    <textPr codePage="437" sourceFile="\\THECB-AUVFS41\UserDoc$\MeadDD\My Documents\My SAS Files\SREB\QWK04245\Page4\CH11ug3.txt">
      <textFields>
        <textField/>
      </textFields>
    </textPr>
  </connection>
  <connection id="4" xr16:uid="{00000000-0015-0000-FFFF-FFFF03000000}" name="CH11ug4" type="6" refreshedVersion="4" background="1" saveData="1">
    <textPr codePage="437" sourceFile="\\THECB-AUVFS41\UserDoc$\MeadDD\My Documents\My SAS Files\SREB\QWK04245\Page4\CH11ug4.txt">
      <textFields>
        <textField/>
      </textFields>
    </textPr>
  </connection>
  <connection id="5" xr16:uid="{00000000-0015-0000-FFFF-FFFF04000000}" name="CH13ug1" type="6" refreshedVersion="5" background="1" saveData="1">
    <textPr codePage="437" sourceFile="Z:\Mead\SASdocs\SREB\QWK04869\Page4\Paste\CH13ug1.txt">
      <textFields>
        <textField/>
      </textFields>
    </textPr>
  </connection>
  <connection id="6" xr16:uid="{00000000-0015-0000-FFFF-FFFF05000000}" name="CH13ug2" type="6" refreshedVersion="5" background="1" saveData="1">
    <textPr codePage="437" sourceFile="Z:\Mead\SASdocs\SREB\QWK04869\Page4\Paste\CH13ug2.txt">
      <textFields>
        <textField/>
      </textFields>
    </textPr>
  </connection>
  <connection id="7" xr16:uid="{00000000-0015-0000-FFFF-FFFF06000000}" name="CH13ug3" type="6" refreshedVersion="5" background="1" saveData="1">
    <textPr codePage="437" sourceFile="Z:\Mead\SASdocs\SREB\QWK04869\Page4\Paste\CH13ug3.txt">
      <textFields>
        <textField/>
      </textFields>
    </textPr>
  </connection>
  <connection id="8" xr16:uid="{00000000-0015-0000-FFFF-FFFF07000000}" name="CH13ug4" type="6" refreshedVersion="5" background="1" saveData="1">
    <textPr codePage="437" sourceFile="Z:\Mead\SASdocs\SREB\QWK04869\Page4\Paste\CH13ug4.txt">
      <textFields>
        <textField/>
      </textFields>
    </textPr>
  </connection>
  <connection id="9" xr16:uid="{F758E344-3AB3-401E-BD19-8073B2736990}" name="Dual07" type="6" refreshedVersion="3" deleted="1" background="1" saveData="1">
    <textPr codePage="437" sourceFile="\\CBNA42\UserDoc$\meaddd\My Documents\My SAS Files\SREB\QWK03256\Dual07.txt">
      <textFields>
        <textField/>
      </textFields>
    </textPr>
  </connection>
  <connection id="10" xr16:uid="{00000000-0015-0000-FFFF-FFFF08000000}" name="Dual11" type="6" refreshedVersion="4" background="1" saveData="1">
    <textPr codePage="437" sourceFile="\\THECB-AUVFS41\UserDoc$\MeadDD\My Documents\My SAS Files\SREB\QWK04245\Page4\Dual11.txt">
      <textFields>
        <textField/>
      </textFields>
    </textPr>
  </connection>
  <connection id="11" xr16:uid="{00000000-0015-0000-FFFF-FFFF09000000}" name="Dual13" type="6" refreshedVersion="5" background="1" saveData="1">
    <textPr codePage="437" sourceFile="Z:\Mead\SASdocs\SREB\QWK04869\Page4\Paste\Dual13.txt">
      <textFields>
        <textField/>
      </textFields>
    </textPr>
  </connection>
  <connection id="12" xr16:uid="{00000000-0015-0000-FFFF-FFFF0A000000}" name="SCH13ug2" type="6" refreshedVersion="5" background="1" saveData="1">
    <textPr codePage="437" sourceFile="Z:\Mead\SASdocs\SREB\QWK04869\Page4\Paste\SCH13ug2.txt">
      <textFields>
        <textField/>
      </textFields>
    </textPr>
  </connection>
  <connection id="13" xr16:uid="{00000000-0015-0000-FFFF-FFFF0B000000}" name="SCH13ug3" type="6" refreshedVersion="5" background="1" saveData="1">
    <textPr codePage="437" sourceFile="Z:\Mead\SASdocs\SREB\QWK04869\Page4\Paste\SCH13ug3.txt">
      <textFields>
        <textField/>
      </textFields>
    </textPr>
  </connection>
  <connection id="14" xr16:uid="{00000000-0015-0000-FFFF-FFFF0C000000}" name="SCH13ug4" type="6" refreshedVersion="5" background="1" saveData="1">
    <textPr codePage="437" sourceFile="Z:\Mead\SASdocs\SREB\QWK04869\Page4\Paste\SCH13ug4.txt">
      <textFields>
        <textField/>
      </textFields>
    </textPr>
  </connection>
  <connection id="15" xr16:uid="{65EAFA96-8592-4DCF-B540-DE82A77D592F}" name="SCH15ug11" type="6" refreshedVersion="5" background="1" saveData="1">
    <textPr codePage="437" sourceFile="Z:\Mead\SASdocs\SREB\QWK05160\Page4\Paste\SCH15ug1.txt">
      <textFields>
        <textField/>
      </textFields>
    </textPr>
  </connection>
</connections>
</file>

<file path=xl/sharedStrings.xml><?xml version="1.0" encoding="utf-8"?>
<sst xmlns="http://schemas.openxmlformats.org/spreadsheetml/2006/main" count="3290" uniqueCount="966">
  <si>
    <t xml:space="preserve">Part 4: Credit/Contact Hours </t>
  </si>
  <si>
    <t>Undergraduate Credit Hours</t>
  </si>
  <si>
    <t>Calculated</t>
  </si>
  <si>
    <t>Undergraduate Contact Hours</t>
  </si>
  <si>
    <t>Graduate Credit Hours</t>
  </si>
  <si>
    <t>Grand Total</t>
  </si>
  <si>
    <t>Comments:  Please look for comments and answer questions; add comments as needed</t>
  </si>
  <si>
    <t>Semester or Quarter</t>
  </si>
  <si>
    <t>Winter</t>
  </si>
  <si>
    <t>Spring</t>
  </si>
  <si>
    <t>Summer</t>
  </si>
  <si>
    <t>Fall</t>
  </si>
  <si>
    <t>Total Hours</t>
  </si>
  <si>
    <t>FTE</t>
  </si>
  <si>
    <t>Hours taken by students still in high school (dual enrollment, joint enrollment, early college, etc.)</t>
  </si>
  <si>
    <t>Total Hours for HS % of Total Calculation</t>
  </si>
  <si>
    <t>Grand
Total FTE</t>
  </si>
  <si>
    <t>State</t>
  </si>
  <si>
    <t>Institution</t>
  </si>
  <si>
    <t>Classification Notes</t>
  </si>
  <si>
    <t>IPEDS #</t>
  </si>
  <si>
    <t>Category</t>
  </si>
  <si>
    <t>Note</t>
  </si>
  <si>
    <t>IPEDS ID #</t>
  </si>
  <si>
    <t>Old-Term Code</t>
  </si>
  <si>
    <t>New-Term Code</t>
  </si>
  <si>
    <t>old-Winter Undg SCH</t>
  </si>
  <si>
    <t>new-Winter Undg SCH</t>
  </si>
  <si>
    <t>old-Spring Undg SCH</t>
  </si>
  <si>
    <t>new-Spring Undg SCH</t>
  </si>
  <si>
    <t>old-Summer Undg SCH</t>
  </si>
  <si>
    <t>new-Summer Undg SCH</t>
  </si>
  <si>
    <t>old-Fall Undg SCH</t>
  </si>
  <si>
    <t>new-Fall Undg SCH</t>
  </si>
  <si>
    <t>Old-Total Undg SCH</t>
  </si>
  <si>
    <t>Old-Total Undg SCH FTE</t>
  </si>
  <si>
    <t>New-Total Undg SCH</t>
  </si>
  <si>
    <t>New-Total Undg SCH FTE</t>
  </si>
  <si>
    <t>Old-Total HS SCH</t>
  </si>
  <si>
    <t>New-Total HS SCH</t>
  </si>
  <si>
    <t>Old-Total Undg SCH2</t>
  </si>
  <si>
    <t>New-Total Undg SCH2</t>
  </si>
  <si>
    <t>old-Winter Undg CH</t>
  </si>
  <si>
    <t>new-Winter Undg CH</t>
  </si>
  <si>
    <t>old-Spring Undg CH</t>
  </si>
  <si>
    <t>new-Spring Undg CH</t>
  </si>
  <si>
    <t>old-Summer Undg CH</t>
  </si>
  <si>
    <t>new-Summer Undg CH</t>
  </si>
  <si>
    <t>old-Fall Undg CH</t>
  </si>
  <si>
    <t>new-Fall Undg CH</t>
  </si>
  <si>
    <t>Old-Total Undg CH</t>
  </si>
  <si>
    <t>Old-Total Undg CH FTE</t>
  </si>
  <si>
    <t>New-Total Undg CH</t>
  </si>
  <si>
    <t>New-Total Undg CH FTE</t>
  </si>
  <si>
    <t>Old-Total HS CH</t>
  </si>
  <si>
    <t>New-Total HS CH</t>
  </si>
  <si>
    <t>Old-Total Undg CH2</t>
  </si>
  <si>
    <t>New-Total Undg CH2</t>
  </si>
  <si>
    <t>old-Winter Grad SCH</t>
  </si>
  <si>
    <t>new-Winter Grad SCH</t>
  </si>
  <si>
    <t>old-Spring Grad SCH</t>
  </si>
  <si>
    <t>new-Spring Grad SCH</t>
  </si>
  <si>
    <t>old-Summer Grad SCH</t>
  </si>
  <si>
    <t>new-Summer Grad SCH</t>
  </si>
  <si>
    <t>old-Fall Grad SCH</t>
  </si>
  <si>
    <t>new-Fall Grad SCH</t>
  </si>
  <si>
    <t>Old-Total Grad SCH</t>
  </si>
  <si>
    <t>Old-Total Grad FTE</t>
  </si>
  <si>
    <t>New-Total Grad SCH</t>
  </si>
  <si>
    <t>New-Total Grad FTE</t>
  </si>
  <si>
    <t>Old Grand Total FTE</t>
  </si>
  <si>
    <t>New Grand Total FTE</t>
  </si>
  <si>
    <t>AL</t>
  </si>
  <si>
    <t>Auburn University</t>
  </si>
  <si>
    <t>sem</t>
  </si>
  <si>
    <t xml:space="preserve">University of Alabama </t>
  </si>
  <si>
    <t>University of Alabama at Birmingham</t>
  </si>
  <si>
    <t>University of Alabama in Huntsville</t>
  </si>
  <si>
    <t>Alabama Agricultural &amp; Mechanical University</t>
  </si>
  <si>
    <t xml:space="preserve">Jacksonville State University </t>
  </si>
  <si>
    <t>Troy University</t>
  </si>
  <si>
    <t>University of South Alabama</t>
  </si>
  <si>
    <t xml:space="preserve">Alabama State University </t>
  </si>
  <si>
    <t>Auburn University at Montgomery</t>
  </si>
  <si>
    <t>University of North Alabama</t>
  </si>
  <si>
    <t>University of Montevallo</t>
  </si>
  <si>
    <t>University of West Alabama</t>
  </si>
  <si>
    <t>Athens State University</t>
  </si>
  <si>
    <t>100812</t>
  </si>
  <si>
    <t>Jefferson State Community College</t>
  </si>
  <si>
    <t>Bevill State Community College</t>
  </si>
  <si>
    <t>Bishop State Community College</t>
  </si>
  <si>
    <t>Gadsden State Community College</t>
  </si>
  <si>
    <t xml:space="preserve">Lawson State Community College </t>
  </si>
  <si>
    <t>Northwest-Shoals Community College</t>
  </si>
  <si>
    <t>Shelton State Community College</t>
  </si>
  <si>
    <t>Southern Union State Community College</t>
  </si>
  <si>
    <t>Central Alabama Community College</t>
  </si>
  <si>
    <t>George Corley Wallace State Community College - Selma</t>
  </si>
  <si>
    <t xml:space="preserve">Lurleen B. Wallace Community College </t>
  </si>
  <si>
    <t xml:space="preserve">Snead State Community College </t>
  </si>
  <si>
    <t xml:space="preserve">J.F. Ingram State Technical College </t>
  </si>
  <si>
    <t xml:space="preserve">Reid State Technical College </t>
  </si>
  <si>
    <t>AR</t>
  </si>
  <si>
    <t>University of Arkansas, Fayetteville</t>
  </si>
  <si>
    <t>University of Arkansas at Little Rock</t>
  </si>
  <si>
    <t>Arkansas State University</t>
  </si>
  <si>
    <t>Arkansas Tech University</t>
  </si>
  <si>
    <t xml:space="preserve">University of Central Arkansas </t>
  </si>
  <si>
    <t>Henderson State University</t>
  </si>
  <si>
    <t>Southern Arkansas University</t>
  </si>
  <si>
    <t>University of Arkansas at Monticello</t>
  </si>
  <si>
    <t>University of Arkansas at Fort Smith</t>
  </si>
  <si>
    <t>University of Arkansas at Pine Bluff</t>
  </si>
  <si>
    <t xml:space="preserve">Northwest Arkansas Community College </t>
  </si>
  <si>
    <t>Arkansas State University-Beebe</t>
  </si>
  <si>
    <t>National Park College</t>
  </si>
  <si>
    <t>Arkansas Northeastern College</t>
  </si>
  <si>
    <t>Arkansas State University Mid-South</t>
  </si>
  <si>
    <t>Arkansas State University Mountain Home</t>
  </si>
  <si>
    <t>Arkansas State University-Newport</t>
  </si>
  <si>
    <t>Black River Technical College</t>
  </si>
  <si>
    <t>Cossatot Community College of the University of Arkansas</t>
  </si>
  <si>
    <t xml:space="preserve">East Arkansas Community College </t>
  </si>
  <si>
    <t>North Arkansas College</t>
  </si>
  <si>
    <t xml:space="preserve">Ozarka College </t>
  </si>
  <si>
    <t>Phillips Community College of the Univ of Arkansas</t>
  </si>
  <si>
    <t>South Arkansas Community College</t>
  </si>
  <si>
    <t>Southeast Arkansas College</t>
  </si>
  <si>
    <t>Southern Arkansas University Tech</t>
  </si>
  <si>
    <t>University of Arkansas Community College at Batesville</t>
  </si>
  <si>
    <t>University of Arkansas Community College at Morrilton</t>
  </si>
  <si>
    <t>FL</t>
  </si>
  <si>
    <t>Eastern Florida State College</t>
  </si>
  <si>
    <t xml:space="preserve">Broward College </t>
  </si>
  <si>
    <t>College of Central Florida</t>
  </si>
  <si>
    <t xml:space="preserve">Chipola College </t>
  </si>
  <si>
    <t xml:space="preserve">Daytona State College </t>
  </si>
  <si>
    <t>Florida SouthWestern State College</t>
  </si>
  <si>
    <t>Florida State College at Jacksonville</t>
  </si>
  <si>
    <t xml:space="preserve">Gulf Coast State College </t>
  </si>
  <si>
    <t xml:space="preserve">Hillsborough Community College </t>
  </si>
  <si>
    <t xml:space="preserve">Indian River State College </t>
  </si>
  <si>
    <t>Florida Gateway College</t>
  </si>
  <si>
    <t xml:space="preserve">Lake-Sumter State College </t>
  </si>
  <si>
    <t>State College of Florida, Manatee-Sarasota</t>
  </si>
  <si>
    <t xml:space="preserve">Miami Dade College </t>
  </si>
  <si>
    <t>Northwest Florida State College</t>
  </si>
  <si>
    <t xml:space="preserve">Palm Beach State College </t>
  </si>
  <si>
    <t xml:space="preserve">Pasco-Hernando State College </t>
  </si>
  <si>
    <t xml:space="preserve">Pensacola State College </t>
  </si>
  <si>
    <t xml:space="preserve">Polk State College </t>
  </si>
  <si>
    <t xml:space="preserve">St. Johns River State College </t>
  </si>
  <si>
    <t xml:space="preserve">St. Petersburg College </t>
  </si>
  <si>
    <t xml:space="preserve">Santa Fe College </t>
  </si>
  <si>
    <t>Seminole State College of Florida</t>
  </si>
  <si>
    <t xml:space="preserve">South Florida State College </t>
  </si>
  <si>
    <t xml:space="preserve">Tallahassee Community College </t>
  </si>
  <si>
    <t xml:space="preserve">Valencia College </t>
  </si>
  <si>
    <t>GA</t>
  </si>
  <si>
    <t>University of Georgia</t>
  </si>
  <si>
    <t>Georgia Institute of Technology</t>
  </si>
  <si>
    <t>Georgia Southern University</t>
  </si>
  <si>
    <t>Kennesaw State University</t>
  </si>
  <si>
    <t>University of West Georgia</t>
  </si>
  <si>
    <t xml:space="preserve">Valdosta State University </t>
  </si>
  <si>
    <t xml:space="preserve">Albany State University </t>
  </si>
  <si>
    <t>Armstrong State University</t>
  </si>
  <si>
    <t>Clayton State University</t>
  </si>
  <si>
    <t>Columbus State University</t>
  </si>
  <si>
    <t>Fort Valley State University</t>
  </si>
  <si>
    <t>Georgia College and State University</t>
  </si>
  <si>
    <t>University of North Georgia</t>
  </si>
  <si>
    <t>Georgia Southwestern State University</t>
  </si>
  <si>
    <t>Savannah State University</t>
  </si>
  <si>
    <t xml:space="preserve">Dalton State College </t>
  </si>
  <si>
    <t>Georgia Gwinnett College</t>
  </si>
  <si>
    <t>Middle Georgia State College</t>
  </si>
  <si>
    <t xml:space="preserve">Abraham Baldwin Agricultural College </t>
  </si>
  <si>
    <t xml:space="preserve">College of Coastal Georgia </t>
  </si>
  <si>
    <t xml:space="preserve">Gordon State College </t>
  </si>
  <si>
    <t>Atlanta Metropolitan State College</t>
  </si>
  <si>
    <t xml:space="preserve">Bainbridge State College </t>
  </si>
  <si>
    <t>East Georgia State College</t>
  </si>
  <si>
    <t>Georgia Highlands College</t>
  </si>
  <si>
    <t>South Georgia State College</t>
  </si>
  <si>
    <t>Albany Technical College</t>
  </si>
  <si>
    <t>Athens Technical College</t>
  </si>
  <si>
    <t>Atlanta Technical College</t>
  </si>
  <si>
    <t>Augusta Technical College</t>
  </si>
  <si>
    <t>Central Georgia Technical College</t>
  </si>
  <si>
    <t>Chattahoochee Technical College</t>
  </si>
  <si>
    <t>Coastal Pines Technical College</t>
  </si>
  <si>
    <t>Columbus Technical College</t>
  </si>
  <si>
    <t>Georgia Northwestern Technical College</t>
  </si>
  <si>
    <t>Georgia Piedmont Technical College</t>
  </si>
  <si>
    <t>Gwinnett Technical College</t>
  </si>
  <si>
    <t>Lanier Technical College</t>
  </si>
  <si>
    <t>North Georgia Technical College</t>
  </si>
  <si>
    <t>Oconee Fall Line Technical College</t>
  </si>
  <si>
    <t>Ogeechee Technical College</t>
  </si>
  <si>
    <t>Savannah Technical College</t>
  </si>
  <si>
    <t>South Georgia Technical College</t>
  </si>
  <si>
    <t>Southeastern Technical College</t>
  </si>
  <si>
    <t>Southern Crescent Technical College</t>
  </si>
  <si>
    <t>Southern Regional Technical College</t>
  </si>
  <si>
    <t>West Georgia Technical College</t>
  </si>
  <si>
    <t>Wiregrass Georgia Technical College</t>
  </si>
  <si>
    <t>KY</t>
  </si>
  <si>
    <t>University of Kentucky</t>
  </si>
  <si>
    <t>University of Louisville</t>
  </si>
  <si>
    <t xml:space="preserve">Eastern Kentucky University </t>
  </si>
  <si>
    <t xml:space="preserve">Morehead State University </t>
  </si>
  <si>
    <t xml:space="preserve">Murray State University </t>
  </si>
  <si>
    <t xml:space="preserve">Northern Kentucky University </t>
  </si>
  <si>
    <t xml:space="preserve">Western Kentucky University </t>
  </si>
  <si>
    <t xml:space="preserve">Kentucky State University </t>
  </si>
  <si>
    <t>Bluegrass Community and Technical College</t>
  </si>
  <si>
    <t xml:space="preserve">Jefferson Community and Technical College </t>
  </si>
  <si>
    <t>Ashland Community and Technical College</t>
  </si>
  <si>
    <t xml:space="preserve">Big Sandy Community and Technical College </t>
  </si>
  <si>
    <t xml:space="preserve">Elizabethtown Community and Technical College </t>
  </si>
  <si>
    <t>Hazard Community and Technical College</t>
  </si>
  <si>
    <t xml:space="preserve">Hopkinsville Community College </t>
  </si>
  <si>
    <t>Madisonville Community College</t>
  </si>
  <si>
    <t xml:space="preserve">Maysville Community and Technical College </t>
  </si>
  <si>
    <t xml:space="preserve">Owensboro Community and Technical College </t>
  </si>
  <si>
    <t xml:space="preserve">Somerset Community and Technical College </t>
  </si>
  <si>
    <t>Southeast Kentucky Community and Technical College</t>
  </si>
  <si>
    <t>West Kentucky Community and Technical College</t>
  </si>
  <si>
    <t xml:space="preserve">Henderson Community College </t>
  </si>
  <si>
    <t>Gateway Community and Technical College</t>
  </si>
  <si>
    <t>Southcentral Kentucky Community and Technical College</t>
  </si>
  <si>
    <t>MS</t>
  </si>
  <si>
    <t>Mississippi State University</t>
  </si>
  <si>
    <t>University of Southern Mississippi</t>
  </si>
  <si>
    <t xml:space="preserve">Jackson State University </t>
  </si>
  <si>
    <t>University of Mississippi</t>
  </si>
  <si>
    <t>Alcorn State University</t>
  </si>
  <si>
    <t>Delta State University</t>
  </si>
  <si>
    <t>Mississippi Valley State University</t>
  </si>
  <si>
    <t>Mississippi University for Women</t>
  </si>
  <si>
    <t xml:space="preserve">Hinds Community College </t>
  </si>
  <si>
    <t xml:space="preserve">Itawamba Community College </t>
  </si>
  <si>
    <t xml:space="preserve">Mississippi Gulf Coast Community College </t>
  </si>
  <si>
    <t xml:space="preserve">Northwest Mississippi Community College </t>
  </si>
  <si>
    <t xml:space="preserve">Copiah-Lincoln Community College </t>
  </si>
  <si>
    <t xml:space="preserve">East Central Community College </t>
  </si>
  <si>
    <t xml:space="preserve">East Mississippi Community College </t>
  </si>
  <si>
    <t xml:space="preserve">Holmes Community College </t>
  </si>
  <si>
    <t xml:space="preserve">Jones County Junior College </t>
  </si>
  <si>
    <t xml:space="preserve">Meridian Community College </t>
  </si>
  <si>
    <t xml:space="preserve">Mississippi Delta Community College </t>
  </si>
  <si>
    <t xml:space="preserve">Northeast Mississippi Community College </t>
  </si>
  <si>
    <t xml:space="preserve">Pearl River Community College </t>
  </si>
  <si>
    <t xml:space="preserve">Coahoma Community College </t>
  </si>
  <si>
    <t>Southwest Mississippi Community College</t>
  </si>
  <si>
    <t>NC</t>
  </si>
  <si>
    <t>Asheville-Buncombe Technical Community College</t>
  </si>
  <si>
    <t>Cape Fear Community College</t>
  </si>
  <si>
    <t xml:space="preserve">Central Piedmont Community College </t>
  </si>
  <si>
    <t>Fayetteville Technical Community College</t>
  </si>
  <si>
    <t>Forsyth Technical Community College</t>
  </si>
  <si>
    <t>Guilford Technical Community College</t>
  </si>
  <si>
    <t>Pitt Community College</t>
  </si>
  <si>
    <t>Rowan-Cabarrus Community College</t>
  </si>
  <si>
    <t>Wake Technical Community College</t>
  </si>
  <si>
    <t>Alamance Community College</t>
  </si>
  <si>
    <t>Caldwell Community College &amp; Technical Institute</t>
  </si>
  <si>
    <t>Catawba Valley Community College</t>
  </si>
  <si>
    <t>Central Carolina Commuity College</t>
  </si>
  <si>
    <t>Cleveland Community College</t>
  </si>
  <si>
    <t xml:space="preserve">Coastal Carolina Community College </t>
  </si>
  <si>
    <t xml:space="preserve">Craven Community College </t>
  </si>
  <si>
    <t xml:space="preserve">Davidson County Community College </t>
  </si>
  <si>
    <t>Durham Technical Community College</t>
  </si>
  <si>
    <t>Edgecombe Community College</t>
  </si>
  <si>
    <t xml:space="preserve">Gaston College </t>
  </si>
  <si>
    <t>Johnston Community College</t>
  </si>
  <si>
    <t xml:space="preserve">Lenoir Community College </t>
  </si>
  <si>
    <t xml:space="preserve">Mitchell Community College </t>
  </si>
  <si>
    <t>Nash Community College</t>
  </si>
  <si>
    <t>Randolph Community College</t>
  </si>
  <si>
    <t>Richmond Community College</t>
  </si>
  <si>
    <t>Robeson Community College</t>
  </si>
  <si>
    <t xml:space="preserve">Sandhills Community College </t>
  </si>
  <si>
    <t>Stanly Community College</t>
  </si>
  <si>
    <t xml:space="preserve">Surry Community College </t>
  </si>
  <si>
    <t xml:space="preserve">Vance-Granville Community College </t>
  </si>
  <si>
    <t>Wayne Community College</t>
  </si>
  <si>
    <t xml:space="preserve">Western Piedmont Community College </t>
  </si>
  <si>
    <t xml:space="preserve">Wilkes Community College </t>
  </si>
  <si>
    <t xml:space="preserve">Beaufort County Community College </t>
  </si>
  <si>
    <t>Bladen Community College</t>
  </si>
  <si>
    <t>Blue Ridge Community College</t>
  </si>
  <si>
    <t>Brunswick Community College</t>
  </si>
  <si>
    <t>Carteret Community College</t>
  </si>
  <si>
    <t>College of the Albemarle</t>
  </si>
  <si>
    <t xml:space="preserve">Halifax Community College </t>
  </si>
  <si>
    <t>Haywood Community College</t>
  </si>
  <si>
    <t xml:space="preserve">Isothermal Community College </t>
  </si>
  <si>
    <t>James Sprunt Community College</t>
  </si>
  <si>
    <t xml:space="preserve">Martin Community College </t>
  </si>
  <si>
    <t>Mayland Community College</t>
  </si>
  <si>
    <t>McDowell Technical Community College</t>
  </si>
  <si>
    <t>Montgomery Community College</t>
  </si>
  <si>
    <t>Pamlico Community College</t>
  </si>
  <si>
    <t>Piedmont Community College</t>
  </si>
  <si>
    <t>Roanoke-Chowan Community College</t>
  </si>
  <si>
    <t xml:space="preserve">Rockingham Community College </t>
  </si>
  <si>
    <t>Sampson Community College</t>
  </si>
  <si>
    <t>South Piedmont Community College</t>
  </si>
  <si>
    <t xml:space="preserve">Southeastern Community College </t>
  </si>
  <si>
    <t xml:space="preserve">Southwestern Community College </t>
  </si>
  <si>
    <t xml:space="preserve">Tri-County Community College </t>
  </si>
  <si>
    <t>Wilson Community College</t>
  </si>
  <si>
    <t xml:space="preserve">North Carolina State University </t>
  </si>
  <si>
    <t xml:space="preserve">University of North Carolina at Chapel Hill </t>
  </si>
  <si>
    <t>University of North Carolina at Charlotte</t>
  </si>
  <si>
    <t>University of North Carolina at Greensboro</t>
  </si>
  <si>
    <t xml:space="preserve">East Carolina University </t>
  </si>
  <si>
    <t xml:space="preserve">Appalachian State University </t>
  </si>
  <si>
    <t>North Carolina A&amp;T State University</t>
  </si>
  <si>
    <t xml:space="preserve">North Carolina Central University </t>
  </si>
  <si>
    <t>University of North Carolina at Wilmington</t>
  </si>
  <si>
    <t xml:space="preserve">Western Carolina University </t>
  </si>
  <si>
    <t xml:space="preserve">Fayetteville State University </t>
  </si>
  <si>
    <t>University of North Carolina at Pembroke</t>
  </si>
  <si>
    <t xml:space="preserve">Winston-Salem State University </t>
  </si>
  <si>
    <t xml:space="preserve">Elizabeth City State University </t>
  </si>
  <si>
    <t>University of North Carolina at Asheville</t>
  </si>
  <si>
    <t>OK</t>
  </si>
  <si>
    <t xml:space="preserve">Canadian Valley Technology Center                 </t>
  </si>
  <si>
    <t xml:space="preserve">Francis Tuttle Technology Center                  </t>
  </si>
  <si>
    <t xml:space="preserve">Metro Technology Centers                          </t>
  </si>
  <si>
    <t xml:space="preserve">Tulsa Technology Center-Lemley Campus             </t>
  </si>
  <si>
    <t xml:space="preserve">Autry Technology Center                           </t>
  </si>
  <si>
    <t xml:space="preserve">Caddo Kiowa Technology Center                     </t>
  </si>
  <si>
    <t xml:space="preserve">Central Technology Center                         </t>
  </si>
  <si>
    <t xml:space="preserve">Chisholm Trail Technology Center                  </t>
  </si>
  <si>
    <t xml:space="preserve">Eastern Oklahoma County Technology Center         </t>
  </si>
  <si>
    <t xml:space="preserve">Gordon Cooper Technology Center                   </t>
  </si>
  <si>
    <t xml:space="preserve">Great Plains Technology Center                    </t>
  </si>
  <si>
    <t xml:space="preserve">Green Country Technology Center                   </t>
  </si>
  <si>
    <t xml:space="preserve">High Plains Technology Center                     </t>
  </si>
  <si>
    <t xml:space="preserve">Indian Capital Technology Center-Muskogee         </t>
  </si>
  <si>
    <t xml:space="preserve">Indian Capital Technology Center-Sallisaw         </t>
  </si>
  <si>
    <t xml:space="preserve">Indian Capital Technology Center-Stilwell         </t>
  </si>
  <si>
    <t xml:space="preserve">Indian Capital Technology Center-Tahlequah        </t>
  </si>
  <si>
    <t xml:space="preserve">Kiamichi Technology Center-Atoka                  </t>
  </si>
  <si>
    <t xml:space="preserve">Kiamichi Technology Center-Durant                 </t>
  </si>
  <si>
    <t xml:space="preserve">Kiamichi Technology Center-Hugo                   </t>
  </si>
  <si>
    <t xml:space="preserve">Kiamichi Technology Center-Idabel                 </t>
  </si>
  <si>
    <t xml:space="preserve">Kiamichi Technology Center-McAlester              </t>
  </si>
  <si>
    <t xml:space="preserve">Kiamichi Technology Center-Poteau                 </t>
  </si>
  <si>
    <t xml:space="preserve">Kiamichi Technology Center-Spiro                  </t>
  </si>
  <si>
    <t xml:space="preserve">Kiamichi Technology Center-Stigler                </t>
  </si>
  <si>
    <t xml:space="preserve">Kiamichi Technology Center-Talihina               </t>
  </si>
  <si>
    <t xml:space="preserve">Meridian Technology Center                        </t>
  </si>
  <si>
    <t xml:space="preserve">Mid-America Technology Center                     </t>
  </si>
  <si>
    <t xml:space="preserve">Mid-Del Technology Center                         </t>
  </si>
  <si>
    <t xml:space="preserve">Moore Norman Technology Center                    </t>
  </si>
  <si>
    <t xml:space="preserve">Northeast Technology Center-Afton                 </t>
  </si>
  <si>
    <t>Northeast Technology Center-Claremore</t>
  </si>
  <si>
    <t xml:space="preserve">Northeast Technology Center-Kansas                </t>
  </si>
  <si>
    <t xml:space="preserve">Northeast Technology Center-Pryor                 </t>
  </si>
  <si>
    <t xml:space="preserve">Northwest Technology Center-Alva                  </t>
  </si>
  <si>
    <t xml:space="preserve">Northwest Technology Center-Fairview              </t>
  </si>
  <si>
    <t xml:space="preserve">Pioneer Technology Center                         </t>
  </si>
  <si>
    <t xml:space="preserve">Pontotoc Technology Center                        </t>
  </si>
  <si>
    <t xml:space="preserve">Red River Technology Center                       </t>
  </si>
  <si>
    <t xml:space="preserve">Southern Oklahoma Technology Center               </t>
  </si>
  <si>
    <t xml:space="preserve">Southwest Technology Center                       </t>
  </si>
  <si>
    <t xml:space="preserve">Tri County Technology Center                      </t>
  </si>
  <si>
    <t xml:space="preserve">Tulsa County Area Voc Tech School Dist 18-Peoria  </t>
  </si>
  <si>
    <t xml:space="preserve">Tulsa Technology Center-Broken Arrow Campus       </t>
  </si>
  <si>
    <t xml:space="preserve">Tulsa Technology Center-Riverside Campus          </t>
  </si>
  <si>
    <t xml:space="preserve">Wes Watkins Technology Center                     </t>
  </si>
  <si>
    <t xml:space="preserve">Western Technology Center                         </t>
  </si>
  <si>
    <t>Oklahoma State University Main Campus</t>
  </si>
  <si>
    <t>University of Oklahoma Norman Campus</t>
  </si>
  <si>
    <t>Northeastern State University</t>
  </si>
  <si>
    <t>University of Central Oklahoma</t>
  </si>
  <si>
    <t xml:space="preserve">Southeastern Oklahoma State University </t>
  </si>
  <si>
    <t xml:space="preserve">Cameron University </t>
  </si>
  <si>
    <t xml:space="preserve">East Central University </t>
  </si>
  <si>
    <t>Langston University</t>
  </si>
  <si>
    <t xml:space="preserve">Northwestern Oklahoma State University </t>
  </si>
  <si>
    <t>Southwestern Oklahoma State University</t>
  </si>
  <si>
    <t xml:space="preserve">Oklahoma Panhandle State University </t>
  </si>
  <si>
    <t>Rogers State University</t>
  </si>
  <si>
    <t>University of Science and Arts of Oklahoma</t>
  </si>
  <si>
    <t xml:space="preserve">Oklahoma State University-Oklahoma City </t>
  </si>
  <si>
    <t xml:space="preserve">Oklahoma City Community College </t>
  </si>
  <si>
    <t xml:space="preserve">Tulsa Community College </t>
  </si>
  <si>
    <t xml:space="preserve">Northern Oklahoma College </t>
  </si>
  <si>
    <t xml:space="preserve">Rose State College </t>
  </si>
  <si>
    <t>Carl Albert State College</t>
  </si>
  <si>
    <t xml:space="preserve">Connors State College </t>
  </si>
  <si>
    <t xml:space="preserve">Eastern Oklahoma State College </t>
  </si>
  <si>
    <t xml:space="preserve">Murray State College </t>
  </si>
  <si>
    <t xml:space="preserve">Northeastern Oklahoma A &amp; M College </t>
  </si>
  <si>
    <t>Redlands Community College</t>
  </si>
  <si>
    <t xml:space="preserve">Seminole State College </t>
  </si>
  <si>
    <t xml:space="preserve">Western Oklahoma State College </t>
  </si>
  <si>
    <t>TN</t>
  </si>
  <si>
    <t>University of Memphis</t>
  </si>
  <si>
    <t>University of Tennessee, Knoxville</t>
  </si>
  <si>
    <t xml:space="preserve">East Tennessee State University </t>
  </si>
  <si>
    <t xml:space="preserve">Tennessee State University </t>
  </si>
  <si>
    <t xml:space="preserve">Austin Peay State University </t>
  </si>
  <si>
    <t xml:space="preserve">Middle Tennessee State University </t>
  </si>
  <si>
    <t xml:space="preserve">Tennessee Technological University </t>
  </si>
  <si>
    <t>University of Tennessee at Chattanooga</t>
  </si>
  <si>
    <t>University of Tennessee at Martin</t>
  </si>
  <si>
    <t xml:space="preserve">Chattanooga State Technical Community College </t>
  </si>
  <si>
    <t>Nashville State Technical Community College</t>
  </si>
  <si>
    <t>Pellissippi State Technical Community College</t>
  </si>
  <si>
    <t>Southwest Tennessee Community College</t>
  </si>
  <si>
    <t xml:space="preserve">Volunteer State Community College </t>
  </si>
  <si>
    <t xml:space="preserve">Cleveland State Community College </t>
  </si>
  <si>
    <t xml:space="preserve">Columbia State Community College </t>
  </si>
  <si>
    <t xml:space="preserve">Dyersburg State Community College </t>
  </si>
  <si>
    <t xml:space="preserve">Jackson State Community College </t>
  </si>
  <si>
    <t xml:space="preserve">Motlow State Community College </t>
  </si>
  <si>
    <t>Northeast State Technical Community College</t>
  </si>
  <si>
    <t xml:space="preserve">Roane State Community College </t>
  </si>
  <si>
    <t xml:space="preserve">Walters State Community College </t>
  </si>
  <si>
    <t>Tennessee College of Applied Technology at Chattanooga</t>
  </si>
  <si>
    <t>219824B</t>
  </si>
  <si>
    <t>Tennessee College of Applied Technology at Athens</t>
  </si>
  <si>
    <t>Tennessee College of Applied Technology at Covington</t>
  </si>
  <si>
    <t>Tennessee College of Applied Technology at Crossville</t>
  </si>
  <si>
    <t>Tennessee College of Applied Technology at Crump</t>
  </si>
  <si>
    <t>Tennessee College of Applied Technology at Dickson</t>
  </si>
  <si>
    <t>Tennessee College of Applied Technology at Elizabethton</t>
  </si>
  <si>
    <t>Tennessee College of Applied Technology at Harriman</t>
  </si>
  <si>
    <t>Tennessee College of Applied Technology at Hartsville</t>
  </si>
  <si>
    <t>Tennessee College of Applied Technology at Hohenwald</t>
  </si>
  <si>
    <t>Tennessee College of Applied Technology at Jacksboro</t>
  </si>
  <si>
    <t>Tennessee College of Applied Technology at Jackson</t>
  </si>
  <si>
    <t>Tennessee College of Applied Technology at Knoxville</t>
  </si>
  <si>
    <t>Tennessee College of Applied Technology at Livingston</t>
  </si>
  <si>
    <t>Tennessee College of Applied Technology at McKenzie</t>
  </si>
  <si>
    <t>Tennessee College of Applied Technology at McMinnville</t>
  </si>
  <si>
    <t>Tennessee College of Applied Technology at Memphis</t>
  </si>
  <si>
    <t>Tennessee College of Applied Technology at Morristown</t>
  </si>
  <si>
    <t>Tennessee College of Applied Technology at Murfreesboro</t>
  </si>
  <si>
    <t>Tennessee College of Applied Technology at Nashville</t>
  </si>
  <si>
    <t>Tennessee College of Applied Technology at Newbern</t>
  </si>
  <si>
    <t>Tennessee College of Applied Technology at Oneida</t>
  </si>
  <si>
    <t>Tennessee College of Applied Technology at Paris</t>
  </si>
  <si>
    <t>Tennessee College of Applied Technology at Pulaski</t>
  </si>
  <si>
    <t>Tennessee College of Applied Technology at Ripley</t>
  </si>
  <si>
    <t>Tennessee College of Applied Technology at Shelbyville</t>
  </si>
  <si>
    <t>Tennessee College of Applied Technology at Whiteville</t>
  </si>
  <si>
    <t>WV</t>
  </si>
  <si>
    <t>West Virginia University</t>
  </si>
  <si>
    <t xml:space="preserve">Marshall University </t>
  </si>
  <si>
    <t>Fairmont State University</t>
  </si>
  <si>
    <t xml:space="preserve">Shepherd University </t>
  </si>
  <si>
    <t xml:space="preserve">Bluefield State College </t>
  </si>
  <si>
    <t xml:space="preserve">Concord University </t>
  </si>
  <si>
    <t xml:space="preserve">Glenville State College </t>
  </si>
  <si>
    <t>West Liberty University</t>
  </si>
  <si>
    <t xml:space="preserve">West Virginia State University </t>
  </si>
  <si>
    <t>West Virginia University at Parkersburg</t>
  </si>
  <si>
    <t>West Virginia University Institute of Technology</t>
  </si>
  <si>
    <t>Potomac State College of West Virginia University</t>
  </si>
  <si>
    <t>New River Community &amp; Technical College</t>
  </si>
  <si>
    <t>Pierpont Community &amp; Technical College</t>
  </si>
  <si>
    <t>Blue Ridge Community &amp; Technical College</t>
  </si>
  <si>
    <t>BridgeValley Community &amp; Technical College</t>
  </si>
  <si>
    <t>Eastern West Virginia Community &amp; Technical College</t>
  </si>
  <si>
    <t>Mountwest Community &amp; Technical College</t>
  </si>
  <si>
    <t xml:space="preserve">Southern West Virginia Community &amp; Technical College </t>
  </si>
  <si>
    <t>West Virginia Northern Community College</t>
  </si>
  <si>
    <t>DE</t>
  </si>
  <si>
    <t>University of Delaware</t>
  </si>
  <si>
    <t>Delaware State University</t>
  </si>
  <si>
    <t>Delaware Technical and Community College--Terry</t>
  </si>
  <si>
    <t>LA</t>
  </si>
  <si>
    <t>Louisiana State University and A&amp;M College</t>
  </si>
  <si>
    <t xml:space="preserve">Louisiana Tech University </t>
  </si>
  <si>
    <t>University of Louisiana at Lafayette</t>
  </si>
  <si>
    <t>University of New Orleans</t>
  </si>
  <si>
    <t xml:space="preserve">Southeastern Louisiana University </t>
  </si>
  <si>
    <t xml:space="preserve">Southern University and A&amp;M College at Baton Rouge </t>
  </si>
  <si>
    <t>University of Louisiana at Monroe</t>
  </si>
  <si>
    <t>Grambling State University</t>
  </si>
  <si>
    <t>Louisiana State University in Shreveport</t>
  </si>
  <si>
    <t>McNeese State University</t>
  </si>
  <si>
    <t xml:space="preserve">Nicholls State University </t>
  </si>
  <si>
    <t>Northwestern State University</t>
  </si>
  <si>
    <t>Southern University at New Orleans</t>
  </si>
  <si>
    <t>Louisiana State University at Alexandria</t>
  </si>
  <si>
    <t>Baton Rouge Community College</t>
  </si>
  <si>
    <t>Bossier Parish Community College</t>
  </si>
  <si>
    <t xml:space="preserve">Delgado Community College </t>
  </si>
  <si>
    <t>Louisiana Delta Community College</t>
  </si>
  <si>
    <t>South Louisiana Community College</t>
  </si>
  <si>
    <t>Southern University in Shreveport</t>
  </si>
  <si>
    <t>Louisiana State University at Eunice</t>
  </si>
  <si>
    <t>Nunez Community College</t>
  </si>
  <si>
    <t>River Parishes Community College</t>
  </si>
  <si>
    <t>L.E. Fletcher Technical Community College</t>
  </si>
  <si>
    <t>Northshore Technical College</t>
  </si>
  <si>
    <t>Northwest LA Technical College</t>
  </si>
  <si>
    <t>South Central LA Technical College</t>
  </si>
  <si>
    <t>Sowela Technical Community College</t>
  </si>
  <si>
    <t>MD</t>
  </si>
  <si>
    <t>University of Maryland College Park</t>
  </si>
  <si>
    <t>Morgan State University</t>
  </si>
  <si>
    <t>University of Maryland, Baltimore County</t>
  </si>
  <si>
    <t xml:space="preserve">Towson University </t>
  </si>
  <si>
    <t xml:space="preserve">Bowie State University </t>
  </si>
  <si>
    <t xml:space="preserve">Frostburg State University </t>
  </si>
  <si>
    <t xml:space="preserve">Salisbury University </t>
  </si>
  <si>
    <t>University of Baltimore</t>
  </si>
  <si>
    <t xml:space="preserve">University of Maryland Eastern Shore </t>
  </si>
  <si>
    <t>Coppin State University</t>
  </si>
  <si>
    <t>Saint Mary's College of Maryland</t>
  </si>
  <si>
    <t xml:space="preserve">Anne Arundel Community College </t>
  </si>
  <si>
    <t>College of Southern Maryland</t>
  </si>
  <si>
    <t>Community College of Baltimore County (all campuses)</t>
  </si>
  <si>
    <t xml:space="preserve">Howard Community College </t>
  </si>
  <si>
    <t>Montgomery College (all campuses)</t>
  </si>
  <si>
    <t xml:space="preserve">Prince George's Community College </t>
  </si>
  <si>
    <t>Allegany College of Maryland</t>
  </si>
  <si>
    <t>Baltimore City Community College</t>
  </si>
  <si>
    <t>Carroll Community College</t>
  </si>
  <si>
    <t xml:space="preserve">Frederick Community College </t>
  </si>
  <si>
    <t xml:space="preserve">Hagerstown Community College </t>
  </si>
  <si>
    <t xml:space="preserve">Harford Community College </t>
  </si>
  <si>
    <t xml:space="preserve">Wor-Wic Community College </t>
  </si>
  <si>
    <t xml:space="preserve">Cecil Community College </t>
  </si>
  <si>
    <t xml:space="preserve">Chesapeake College </t>
  </si>
  <si>
    <t xml:space="preserve">Garrett College </t>
  </si>
  <si>
    <t>SC</t>
  </si>
  <si>
    <t>Clemson University</t>
  </si>
  <si>
    <t>University of South Carolina-Columbia</t>
  </si>
  <si>
    <t>College of Charleston</t>
  </si>
  <si>
    <t xml:space="preserve">The Citadel, the Military College of South Carolina </t>
  </si>
  <si>
    <t xml:space="preserve">Winthrop University </t>
  </si>
  <si>
    <t>Coastal Carolina University</t>
  </si>
  <si>
    <t xml:space="preserve">Francis Marion University </t>
  </si>
  <si>
    <t xml:space="preserve">South Carolina State University </t>
  </si>
  <si>
    <t>Lander University</t>
  </si>
  <si>
    <t>University of South Carolina-Aiken</t>
  </si>
  <si>
    <t>University of South Carolina-Beaufort</t>
  </si>
  <si>
    <t>University of South Carolina-Upstate</t>
  </si>
  <si>
    <t xml:space="preserve">Florence-Darlington Technical College </t>
  </si>
  <si>
    <t xml:space="preserve">Greenville Technical College </t>
  </si>
  <si>
    <t xml:space="preserve">Horry-Georgetown Technical College </t>
  </si>
  <si>
    <t xml:space="preserve">Midlands Technical College </t>
  </si>
  <si>
    <t xml:space="preserve">Piedmont Technical College </t>
  </si>
  <si>
    <t xml:space="preserve">Tri-County Technical College </t>
  </si>
  <si>
    <t xml:space="preserve">Trident Technical College </t>
  </si>
  <si>
    <t xml:space="preserve">Aiken Technical College </t>
  </si>
  <si>
    <t xml:space="preserve">Central Carolina Technical College </t>
  </si>
  <si>
    <t xml:space="preserve">Orangeburg-Calhoun Technical College </t>
  </si>
  <si>
    <t xml:space="preserve">Spartanburg Community College </t>
  </si>
  <si>
    <t xml:space="preserve">York Technical College </t>
  </si>
  <si>
    <t xml:space="preserve">Denmark Technical College </t>
  </si>
  <si>
    <t xml:space="preserve">Northeastern Technical College </t>
  </si>
  <si>
    <t>Technical College of the Lowcountry</t>
  </si>
  <si>
    <t>University of South Carolina-Lancaster</t>
  </si>
  <si>
    <t>University of South Carolina-Salkehatchie</t>
  </si>
  <si>
    <t>University of South Carolina-Sumter</t>
  </si>
  <si>
    <t>University of South Carolina-Union</t>
  </si>
  <si>
    <t>TX</t>
  </si>
  <si>
    <t xml:space="preserve">Texas A&amp;M University </t>
  </si>
  <si>
    <t xml:space="preserve">Texas Tech University </t>
  </si>
  <si>
    <t>University of Houston</t>
  </si>
  <si>
    <t>University of North Texas</t>
  </si>
  <si>
    <t>University of Texas at Arlington</t>
  </si>
  <si>
    <t>University of Texas at Austin</t>
  </si>
  <si>
    <t>University of Texas at Dallas</t>
  </si>
  <si>
    <t>Texas Woman's University</t>
  </si>
  <si>
    <t>University of Texas at El Paso</t>
  </si>
  <si>
    <t>University of Texas at San Antonio</t>
  </si>
  <si>
    <t>Angelo State University</t>
  </si>
  <si>
    <t>Lamar University</t>
  </si>
  <si>
    <t>Midwestern State University</t>
  </si>
  <si>
    <t>Prairie View A&amp;M University</t>
  </si>
  <si>
    <t xml:space="preserve">Sam Houston State University </t>
  </si>
  <si>
    <t>Stephen F. Austin State University</t>
  </si>
  <si>
    <t xml:space="preserve">Sul Ross State University </t>
  </si>
  <si>
    <t>Tarleton State University</t>
  </si>
  <si>
    <t>Texas A&amp;M International University</t>
  </si>
  <si>
    <t>Texas A&amp;M University-Commerce</t>
  </si>
  <si>
    <t xml:space="preserve">Texas A&amp;M University-Corpus Christi </t>
  </si>
  <si>
    <t>Texas A&amp;M University-Kingsville</t>
  </si>
  <si>
    <t xml:space="preserve">Texas Southern University </t>
  </si>
  <si>
    <t>Texas State University</t>
  </si>
  <si>
    <t xml:space="preserve">University of Houston-Clear Lake </t>
  </si>
  <si>
    <t>University of Texas - Rio Grande Valley</t>
  </si>
  <si>
    <t>University of Texas at Tyler</t>
  </si>
  <si>
    <t>University of Texas of the Permian Basin</t>
  </si>
  <si>
    <t>West Texas A&amp;M University</t>
  </si>
  <si>
    <t>Texas A &amp; M University - Central Texas</t>
  </si>
  <si>
    <t>Texas A&amp;M -Texarkana</t>
  </si>
  <si>
    <t>University of Houston-Victoria</t>
  </si>
  <si>
    <t>Sul Ross State University-Rio Grande College</t>
  </si>
  <si>
    <t>228501B</t>
  </si>
  <si>
    <t>University of Houston-Downtown</t>
  </si>
  <si>
    <t>Texas A&amp;M University at Galveston</t>
  </si>
  <si>
    <t xml:space="preserve">Brazosport College </t>
  </si>
  <si>
    <t xml:space="preserve">Midland College </t>
  </si>
  <si>
    <t>South Texas College</t>
  </si>
  <si>
    <t xml:space="preserve">Amarillo College </t>
  </si>
  <si>
    <t xml:space="preserve">Austin Community College </t>
  </si>
  <si>
    <t xml:space="preserve">Blinn College </t>
  </si>
  <si>
    <t xml:space="preserve">Central Texas College </t>
  </si>
  <si>
    <t>Collin County Community College District</t>
  </si>
  <si>
    <t xml:space="preserve">Del Mar College </t>
  </si>
  <si>
    <t>El Paso County Community College District</t>
  </si>
  <si>
    <t>Houston Community College</t>
  </si>
  <si>
    <t xml:space="preserve">Laredo Community College </t>
  </si>
  <si>
    <t>Lone Star College System District</t>
  </si>
  <si>
    <t xml:space="preserve">McLennan Community College </t>
  </si>
  <si>
    <t xml:space="preserve">Navarro College </t>
  </si>
  <si>
    <t>North Central Texas Community College</t>
  </si>
  <si>
    <t>Northwest Vista College (ACCD)</t>
  </si>
  <si>
    <t>San Antonio College (ACCD)</t>
  </si>
  <si>
    <t>San Jacinto College</t>
  </si>
  <si>
    <t xml:space="preserve">South Plains College </t>
  </si>
  <si>
    <t>Tarrant County College</t>
  </si>
  <si>
    <t>Trinity Valley Community College</t>
  </si>
  <si>
    <t xml:space="preserve">Tyler Junior College </t>
  </si>
  <si>
    <t xml:space="preserve">Alvin Community College </t>
  </si>
  <si>
    <t xml:space="preserve">Angelina College </t>
  </si>
  <si>
    <t>Cisco Junior College</t>
  </si>
  <si>
    <t>Coastal Bend College</t>
  </si>
  <si>
    <t>College of the Mainland</t>
  </si>
  <si>
    <t xml:space="preserve">Grayson County College </t>
  </si>
  <si>
    <t>Hill College</t>
  </si>
  <si>
    <t>Howard College (HCJCD)</t>
  </si>
  <si>
    <t xml:space="preserve">Kilgore College </t>
  </si>
  <si>
    <t>Lamar Institute of Technology</t>
  </si>
  <si>
    <t>Lamar State College-Port Arthur</t>
  </si>
  <si>
    <t xml:space="preserve">Lee College </t>
  </si>
  <si>
    <t xml:space="preserve">Northeast Texas Community College </t>
  </si>
  <si>
    <t xml:space="preserve">Odessa College </t>
  </si>
  <si>
    <t>Paris Junior College</t>
  </si>
  <si>
    <t xml:space="preserve">Southwest Texas Junior College </t>
  </si>
  <si>
    <t xml:space="preserve">Temple College </t>
  </si>
  <si>
    <t xml:space="preserve">Texarkana College </t>
  </si>
  <si>
    <t xml:space="preserve">Texas Southmost College </t>
  </si>
  <si>
    <t xml:space="preserve">Texas State Technical College-Harlingen </t>
  </si>
  <si>
    <t>Texas State Technical College-Waco</t>
  </si>
  <si>
    <t xml:space="preserve">Vernon College </t>
  </si>
  <si>
    <t xml:space="preserve">Victoria College </t>
  </si>
  <si>
    <t xml:space="preserve">Weatherford College </t>
  </si>
  <si>
    <t xml:space="preserve">Wharton County Junior College </t>
  </si>
  <si>
    <t xml:space="preserve">Clarendon College </t>
  </si>
  <si>
    <t xml:space="preserve">Frank Phillips College </t>
  </si>
  <si>
    <t xml:space="preserve">Galveston College </t>
  </si>
  <si>
    <t>Lamar State College-Orange</t>
  </si>
  <si>
    <t>Northeast Lakeview College (ACCD)</t>
  </si>
  <si>
    <t>Panola College</t>
  </si>
  <si>
    <t xml:space="preserve">Ranger College </t>
  </si>
  <si>
    <t>Southwest Collegiate Institute for the Deaf (HCJCD)</t>
  </si>
  <si>
    <t>Texas State Technical College-Marshall</t>
  </si>
  <si>
    <t>Texas State Technical College-West Texas</t>
  </si>
  <si>
    <t xml:space="preserve">Western Texas College </t>
  </si>
  <si>
    <t>Alamo Community College District (ACCD)</t>
  </si>
  <si>
    <t>Howard County Community/Junior College District (HCJCD)</t>
  </si>
  <si>
    <t>University of North Texas at Dallas</t>
  </si>
  <si>
    <t>08b</t>
  </si>
  <si>
    <t>09b</t>
  </si>
  <si>
    <t>10b</t>
  </si>
  <si>
    <t>Texas State Technical College-North Texas</t>
  </si>
  <si>
    <t>Texas State Technical College-Fort Bend</t>
  </si>
  <si>
    <t>VA</t>
  </si>
  <si>
    <t xml:space="preserve">George Mason University </t>
  </si>
  <si>
    <t xml:space="preserve">Old Dominion University </t>
  </si>
  <si>
    <t>University of Virginia</t>
  </si>
  <si>
    <t>Virginia Commonwealth University</t>
  </si>
  <si>
    <t xml:space="preserve">Virginia Tech </t>
  </si>
  <si>
    <t>College of William &amp; Mary</t>
  </si>
  <si>
    <t>James Madison University</t>
  </si>
  <si>
    <t xml:space="preserve">Longwood University </t>
  </si>
  <si>
    <t xml:space="preserve">Norfolk State University </t>
  </si>
  <si>
    <t>Radford University</t>
  </si>
  <si>
    <t xml:space="preserve">University of Mary Washington </t>
  </si>
  <si>
    <t xml:space="preserve">Virginia State University </t>
  </si>
  <si>
    <t>Christopher Newport University</t>
  </si>
  <si>
    <t xml:space="preserve">University of Virginia's College at Wise </t>
  </si>
  <si>
    <t>J.S. Reynolds Community College</t>
  </si>
  <si>
    <t>John Tyler Community College</t>
  </si>
  <si>
    <t xml:space="preserve">Northern Virginia Community College </t>
  </si>
  <si>
    <t xml:space="preserve">Thomas Nelson Community College </t>
  </si>
  <si>
    <t xml:space="preserve">Tidewater Community College </t>
  </si>
  <si>
    <t xml:space="preserve">Blue Ridge Community College </t>
  </si>
  <si>
    <t xml:space="preserve">Central Virginia Community College </t>
  </si>
  <si>
    <t xml:space="preserve">Danville Community College </t>
  </si>
  <si>
    <t>Germanna Community College</t>
  </si>
  <si>
    <t>Lord Fairfax Community College</t>
  </si>
  <si>
    <t xml:space="preserve">New River Community College </t>
  </si>
  <si>
    <t xml:space="preserve">Patrick Henry Community College </t>
  </si>
  <si>
    <t xml:space="preserve">Piedmont Virginia Community College </t>
  </si>
  <si>
    <t>Southside Virginia Community College</t>
  </si>
  <si>
    <t xml:space="preserve">Virginia Western Community College </t>
  </si>
  <si>
    <t xml:space="preserve">Wytheville Community College </t>
  </si>
  <si>
    <t xml:space="preserve">D.S. Lancaster Community College </t>
  </si>
  <si>
    <t>Eastern Shore Community College</t>
  </si>
  <si>
    <t>Mountain Empire Community College</t>
  </si>
  <si>
    <t>Paul D. Camp Community College</t>
  </si>
  <si>
    <t>Rappahannock Community College</t>
  </si>
  <si>
    <t xml:space="preserve">Richard Bland College </t>
  </si>
  <si>
    <t xml:space="preserve">Southwest Virginia Community College </t>
  </si>
  <si>
    <t xml:space="preserve">Virginia Highlands Community College </t>
  </si>
  <si>
    <t>All Community Colleges except R. Bland</t>
  </si>
  <si>
    <t>All CC - Bland</t>
  </si>
  <si>
    <t>all 8's</t>
  </si>
  <si>
    <t>all 9's</t>
  </si>
  <si>
    <t>Richard Bland College B</t>
  </si>
  <si>
    <t>All'10's except R.B.</t>
  </si>
  <si>
    <t>Row Labels</t>
  </si>
  <si>
    <t>Sum of Old-Total Undg SCH FTE</t>
  </si>
  <si>
    <t>Sum of New-Total Undg SCH FTE</t>
  </si>
  <si>
    <t>08b Total</t>
  </si>
  <si>
    <t>09b Total</t>
  </si>
  <si>
    <t>10b Total</t>
  </si>
  <si>
    <t>Total Sum of Old-Total Undg SCH FTE</t>
  </si>
  <si>
    <t>Total Sum of New-Total Undg SCH FTE</t>
  </si>
  <si>
    <t>Column Labels</t>
  </si>
  <si>
    <t>Sum of Old-Total Undg CH FTE</t>
  </si>
  <si>
    <t>Total Sum of Old-Total Undg CH FTE</t>
  </si>
  <si>
    <t>Sum of New-Total Undg CH FTE</t>
  </si>
  <si>
    <t>Total Sum of New-Total Undg CH FTE</t>
  </si>
  <si>
    <t>Sum of Old-Total Grad FTE</t>
  </si>
  <si>
    <t>Total Sum of Old-Total Grad FTE</t>
  </si>
  <si>
    <t>Sum of New-Total Grad FTE</t>
  </si>
  <si>
    <t>Total Sum of New-Total Grad FTE</t>
  </si>
  <si>
    <t>Sum of Old Grand Total FTE</t>
  </si>
  <si>
    <t>Total Sum of Old Grand Total FTE</t>
  </si>
  <si>
    <t>Sum of New Grand Total FTE</t>
  </si>
  <si>
    <t>Total Sum of New Grand Total FTE</t>
  </si>
  <si>
    <t>Sum of % Change Undergrad SCH FTE</t>
  </si>
  <si>
    <t>Total Sum of % Change Undergrad SCH FTE</t>
  </si>
  <si>
    <t>Sum of % Change Undergrad CH FTE</t>
  </si>
  <si>
    <t>Total Sum of % Change Undergrad CH FTE</t>
  </si>
  <si>
    <t>Sum of % Change Graduate FTE</t>
  </si>
  <si>
    <t>Total Sum of % Change Graduate FTE</t>
  </si>
  <si>
    <t>Sum of % Change Grand Total FTE</t>
  </si>
  <si>
    <t>Total Sum of % Change Grand Total FTE</t>
  </si>
  <si>
    <t>Four-Year Total</t>
  </si>
  <si>
    <t>Four-Year</t>
  </si>
  <si>
    <t>Two-Year</t>
  </si>
  <si>
    <t>Two-Year Total</t>
  </si>
  <si>
    <t>Technical</t>
  </si>
  <si>
    <t>Technical Total</t>
  </si>
  <si>
    <t>Values</t>
  </si>
  <si>
    <t>Table 80</t>
  </si>
  <si>
    <t>Full-Year Full-Time-Equivalent Undergraduate Enrollment</t>
  </si>
  <si>
    <t>OLD</t>
  </si>
  <si>
    <t>For use in FB_42_43</t>
  </si>
  <si>
    <t>For use in DE Highlights and Fact Book</t>
  </si>
  <si>
    <t>NEW</t>
  </si>
  <si>
    <t>All</t>
  </si>
  <si>
    <t>Four-Year 1</t>
  </si>
  <si>
    <t>All Four Year</t>
  </si>
  <si>
    <t>Total</t>
  </si>
  <si>
    <t>Percent by Students Still in High School</t>
  </si>
  <si>
    <r>
      <rPr>
        <b/>
        <sz val="10"/>
        <rFont val="Arial"/>
        <family val="2"/>
      </rPr>
      <t>Old</t>
    </r>
    <r>
      <rPr>
        <sz val="10"/>
        <rFont val="Arial"/>
        <family val="2"/>
      </rPr>
      <t xml:space="preserve"> % by H.S. Students</t>
    </r>
  </si>
  <si>
    <t>Points change</t>
  </si>
  <si>
    <t>Pct by Students Still in HS</t>
  </si>
  <si>
    <t>SREB states</t>
  </si>
  <si>
    <t>=+GETPIVOTDATA("Sum of Old-HS % of Total",'Pivot-HS Student % of Undergrad'!$A$3,"Category",1,"Category2","Four-Year")</t>
  </si>
  <si>
    <t>=+GETPIVOTDATA("Sum of Old-HS % of Total",'Pivot-HS Student % of Undergrad'!$A$3,"Category",2,"Category2","Four-Year")</t>
  </si>
  <si>
    <t>=+GETPIVOTDATA("Sum of Old-HS % of Total",'Pivot-HS Student % of Undergrad'!$A$3,"Category",3,"Category2","Four-Year")</t>
  </si>
  <si>
    <t>=+GETPIVOTDATA("Sum of Old-HS % of Total",'Pivot-HS Student % of Undergrad'!$A$3,"Category",4,"Category2","Four-Year")</t>
  </si>
  <si>
    <t>=+GETPIVOTDATA("Sum of Old-HS % of Total",'Pivot-HS Student % of Undergrad'!$A$3,"Category",5,"Category2","Four-Year")</t>
  </si>
  <si>
    <t>=+GETPIVOTDATA("Sum of Old-HS % of Total",'Pivot-HS Student % of Undergrad'!$A$3,"Category",6,"Category2","Four-Year")</t>
  </si>
  <si>
    <t>=+GETPIVOTDATA("Sum of Old-HS % of Total",'Pivot-HS Student % of Undergrad'!$A$3,"Category2","Four-Year")</t>
  </si>
  <si>
    <t>Alabama</t>
  </si>
  <si>
    <t>Arkansas</t>
  </si>
  <si>
    <t>Delaware</t>
  </si>
  <si>
    <t>Florida</t>
  </si>
  <si>
    <t>Georgia</t>
  </si>
  <si>
    <t>Kentucky</t>
  </si>
  <si>
    <t>Louisiana</t>
  </si>
  <si>
    <t>Maryland</t>
  </si>
  <si>
    <t>Mississippi</t>
  </si>
  <si>
    <t>North Carolina</t>
  </si>
  <si>
    <t>Oklahoma</t>
  </si>
  <si>
    <t>South Carolina</t>
  </si>
  <si>
    <t>Tennessee</t>
  </si>
  <si>
    <t>Texas</t>
  </si>
  <si>
    <t>Virginia</t>
  </si>
  <si>
    <t>West Virginia</t>
  </si>
  <si>
    <t>Table 81</t>
  </si>
  <si>
    <t>Full-Year Full-Time-Equivalent Graduate Enrollment</t>
  </si>
  <si>
    <t>Table 82</t>
  </si>
  <si>
    <t>Total Full-Year Full-Time-Equivalent Enrollment</t>
  </si>
  <si>
    <t>for use in Highlights and Fact Book</t>
  </si>
  <si>
    <t>Table 83</t>
  </si>
  <si>
    <t>Full-Year Full-Time-Equivalent Credit-Hour Enrollment</t>
  </si>
  <si>
    <t>Public Two-Year Colleges and Technical Institutes or Colleges</t>
  </si>
  <si>
    <t xml:space="preserve"> Two-Year</t>
  </si>
  <si>
    <t>Technical Institutes or Colleges</t>
  </si>
  <si>
    <t xml:space="preserve"> </t>
  </si>
  <si>
    <t>With Bachelor's</t>
  </si>
  <si>
    <t>Table 84</t>
  </si>
  <si>
    <t>Full-Year Full-Time-Equivalent Contact-Hour Enrollment</t>
  </si>
  <si>
    <t>Table 85</t>
  </si>
  <si>
    <t>Totals for Per FTE Funding Calculation</t>
  </si>
  <si>
    <t>w/ Bachelors</t>
  </si>
  <si>
    <t>w/ Bachelor's</t>
  </si>
  <si>
    <t>Two Year 1</t>
  </si>
  <si>
    <t>All Two Year</t>
  </si>
  <si>
    <t>Old Percent by H.S. Students</t>
  </si>
  <si>
    <t>Size Unknown</t>
  </si>
  <si>
    <t>=+GETPIVOTDATA("Sum of New-HS % of Total",'Pivot-HS Student % of Undergrad'!$A$3,"Category",7,"Category2","Two-Year")</t>
  </si>
  <si>
    <t>=+GETPIVOTDATA("Sum of New-HS % of Total",'Pivot-HS Student % of Undergrad'!$A$3,"Category",8,"Category2","Two-Year")</t>
  </si>
  <si>
    <t>=+GETPIVOTDATA("Sum of New-HS % of Total",'Pivot-HS Student % of Undergrad'!$A$3,"Category",9,"Category2","Two-Year")</t>
  </si>
  <si>
    <t>=+GETPIVOTDATA("Sum of New-HS % of Total",'Pivot-HS Student % of Undergrad'!$A$3,"Category",10,"Category2","Two-Year")</t>
  </si>
  <si>
    <t>=+GETPIVOTDATA("Sum of New-HS % of Total",'Pivot-HS Student % of Undergrad'!$A$3,"Category2","Group2")</t>
  </si>
  <si>
    <t>=+GETPIVOTDATA("Sum of Old-HS % of Total",'Pivot-HS Student % of Undergrad'!$A$3,"Category",7,"Category2","Two-Year")</t>
  </si>
  <si>
    <t>=+GETPIVOTDATA("Sum of Old-HS % of Total",'Pivot-HS Student % of Undergrad'!$A$3,"Category",8,"Category2","Two-Year")</t>
  </si>
  <si>
    <t>=+GETPIVOTDATA("Sum of Old-HS % of Total",'Pivot-HS Student % of Undergrad'!$A$3,"Category",9,"Category2","Two-Year")</t>
  </si>
  <si>
    <t>=+GETPIVOTDATA("Sum of Old-HS % of Total",'Pivot-HS Student % of Undergrad'!$A$3,"Category",10,"Category2","Two-Year")</t>
  </si>
  <si>
    <t>=+GETPIVOTDATA("Sum of Old-HS % of Total",'Pivot-HS Student % of Undergrad'!$A$3,"Category2","Two-Year")</t>
  </si>
  <si>
    <t>Table 86</t>
  </si>
  <si>
    <t>Technical 1</t>
  </si>
  <si>
    <t>All Technical</t>
  </si>
  <si>
    <t>=+GETPIVOTDATA("Sum of New-HS % of Total",'Pivot-HS Student % of Undergrad'!$A$3,"Category",12,"Category2","Technical")</t>
  </si>
  <si>
    <t>=+GETPIVOTDATA("Sum of New-HS % of Total",'Pivot-HS Student % of Undergrad'!$A$3,"Category",13,"Category2","Technical")</t>
  </si>
  <si>
    <t>=+GETPIVOTDATA("Sum of New-HS % of Total",'Pivot-HS Student % of Undergrad'!$A$3,"Category2","Group3")</t>
  </si>
  <si>
    <r>
      <t>………. "86B"</t>
    </r>
    <r>
      <rPr>
        <b/>
        <sz val="14"/>
        <color rgb="FFC00000"/>
        <rFont val="Arial"/>
        <family val="2"/>
      </rPr>
      <t>Discontinued but still used for summary info and Fact Book</t>
    </r>
    <r>
      <rPr>
        <b/>
        <sz val="14"/>
        <rFont val="Arial"/>
        <family val="2"/>
      </rPr>
      <t>-------see sections to right---------------&gt;&gt;&gt;&gt;&gt;&gt;&gt;&gt;</t>
    </r>
  </si>
  <si>
    <t>Public Four-Year Universities, Two-Year Colleges</t>
  </si>
  <si>
    <t>For use in FB 37 and DE Highlights</t>
  </si>
  <si>
    <t>Prior year for Highlights report</t>
  </si>
  <si>
    <t>#Change from prior year</t>
  </si>
  <si>
    <t>%Change from prior year</t>
  </si>
  <si>
    <t>TOTAL</t>
  </si>
  <si>
    <t>=+GETPIVOTDATA("Sum of New-Total Undg SCH FTE",'Pivot-HS Student % of Undergrad'!$A$3,"Category",1,"Category2","Four-Year")</t>
  </si>
  <si>
    <t>=+GETPIVOTDATA("Sum of New-Total Undg SCH FTE",'Pivot-HS Student % of Undergrad'!$A$3,"Category",2,"Category2","Four-Year")</t>
  </si>
  <si>
    <t>=+GETPIVOTDATA("Sum of New-Total Undg SCH FTE",'Pivot-HS Student % of Undergrad'!$A$3,"Category",3,"Category2","Four-Year")</t>
  </si>
  <si>
    <t>=+GETPIVOTDATA("Sum of New-Total Undg SCH FTE",'Pivot-HS Student % of Undergrad'!$A$3,"Category",4,"Category2","Four-Year")</t>
  </si>
  <si>
    <t>=+GETPIVOTDATA("Sum of New-Total Undg SCH FTE",'Pivot-HS Student % of Undergrad'!$A$3,"Category",5,"Category2","Four-Year")</t>
  </si>
  <si>
    <t>=+GETPIVOTDATA("Sum of New-Total Undg SCH FTE",'Pivot-HS Student % of Undergrad'!$A$3,"Category",6,"Category2","Four-Year")</t>
  </si>
  <si>
    <t>=+GETPIVOTDATA("Sum of New-Total Undg SCH FTE",'Pivot-HS Student % of Undergrad'!$A$3,"Category2","Group1")</t>
  </si>
  <si>
    <t>—</t>
  </si>
  <si>
    <t>Category2</t>
  </si>
  <si>
    <t>11 Total</t>
  </si>
  <si>
    <t>Data</t>
  </si>
  <si>
    <t>Sum of Old-Total UGH</t>
  </si>
  <si>
    <t>Sum of Old-Total HSH</t>
  </si>
  <si>
    <t>Sum of Old-HS % of Total</t>
  </si>
  <si>
    <t>Sum of New-Total UGH</t>
  </si>
  <si>
    <t>Sum of New-Total HSH</t>
  </si>
  <si>
    <t>Sum of New-HS % of Total</t>
  </si>
  <si>
    <t xml:space="preserve"> HS Percentage-point Change</t>
  </si>
  <si>
    <t>Total Sum of Old-Total UGH</t>
  </si>
  <si>
    <t>Total Sum of Old-Total HSH</t>
  </si>
  <si>
    <t>Total Sum of Old-HS % of Total</t>
  </si>
  <si>
    <t>Total Sum of New-Total UGH</t>
  </si>
  <si>
    <t>Total Sum of New-Total HSH</t>
  </si>
  <si>
    <t>Total Sum of New-HS % of Total</t>
  </si>
  <si>
    <t>Total  HS Percentage-point Change</t>
  </si>
  <si>
    <t>10 minus 10b</t>
  </si>
  <si>
    <t>=+GETPIVOTDATA("Sum of New-HS % of Total",'Pivot-HS Student % of Undergrad'!$A$3,"Category",1,"Category2","Four-Year")</t>
  </si>
  <si>
    <t>=+GETPIVOTDATA("Sum of New-HS % of Total",'Pivot-HS Student % of Undergrad'!$A$3,"Category",2,"Category2","Four-Year")</t>
  </si>
  <si>
    <t>=+GETPIVOTDATA("Sum of New-HS % of Total",'Pivot-HS Student % of Undergrad'!$A$3,"Category",3,"Category2","Four-Year")</t>
  </si>
  <si>
    <t>=+GETPIVOTDATA("Sum of New-HS % of Total",'Pivot-HS Student % of Undergrad'!$A$3,"Category",4,"Category2","Four-Year")</t>
  </si>
  <si>
    <t>=+GETPIVOTDATA("Sum of New-HS % of Total",'Pivot-HS Student % of Undergrad'!$A$3,"Category",5,"Category2","Four-Year")</t>
  </si>
  <si>
    <t>=+GETPIVOTDATA("Sum of New-HS % of Total",'Pivot-HS Student % of Undergrad'!$A$3,"Category",6,"Category2","Four-Year")</t>
  </si>
  <si>
    <t>=+GETPIVOTDATA("Sum of New-HS % of Total",'Pivot-HS Student % of Undergrad'!$A$3,"Category2","Group1")</t>
  </si>
  <si>
    <t>=+GETPIVOTDATA("Sum of Old-HS % of Total",'Pivot-HS Student % of Undergrad'!$A$3,"Category",12,"Category2","Technical")</t>
  </si>
  <si>
    <t>=+GETPIVOTDATA("Sum of Old-HS % of Total",'Pivot-HS Student % of Undergrad'!$A$3,"Category",13,"Category2","Technical")</t>
  </si>
  <si>
    <t>=+GETPIVOTDATA("Sum of Old-HS % of Total",'Pivot-HS Student % of Undergrad'!$A$3,"Category2","Group3")</t>
  </si>
  <si>
    <r>
      <t>……….</t>
    </r>
    <r>
      <rPr>
        <b/>
        <sz val="14"/>
        <color rgb="FFC00000"/>
        <rFont val="Arial"/>
        <family val="2"/>
      </rPr>
      <t>Discontinued but still used for summary info and Fact Book</t>
    </r>
    <r>
      <rPr>
        <b/>
        <sz val="14"/>
        <rFont val="Arial"/>
        <family val="2"/>
      </rPr>
      <t>-----</t>
    </r>
  </si>
  <si>
    <t xml:space="preserve">Georgia State University </t>
  </si>
  <si>
    <t>233338</t>
  </si>
  <si>
    <r>
      <rPr>
        <b/>
        <sz val="10"/>
        <color rgb="FF000000"/>
        <rFont val="Arial"/>
        <family val="2"/>
      </rPr>
      <t xml:space="preserve">Data Columns:  </t>
    </r>
    <r>
      <rPr>
        <sz val="10"/>
        <color rgb="FF000000"/>
        <rFont val="Arial"/>
        <family val="2"/>
      </rPr>
      <t>White = New Data, Peach = Old Data, Purple/Grey = Calculated Data.</t>
    </r>
  </si>
  <si>
    <t xml:space="preserve">John C. Calhoun Community College </t>
  </si>
  <si>
    <t>George C. Wallace Community College-Dothan</t>
  </si>
  <si>
    <t>George C. Wallace State Community College-Hanceville</t>
  </si>
  <si>
    <t>Chattahoochee Valley Community College</t>
  </si>
  <si>
    <t>Enterprise State Community College</t>
  </si>
  <si>
    <t>Northeast Alabama Community College</t>
  </si>
  <si>
    <t>H. Councill Trenholm State Community College</t>
  </si>
  <si>
    <t>J.F. Drake State Community and Technical College</t>
  </si>
  <si>
    <t>University of Arkansas - Pulaski Technical College</t>
  </si>
  <si>
    <t>University of Arkansas Community College Rich Mountain</t>
  </si>
  <si>
    <t>*Delete after 2017-18; Institution was consolidated into Georgia Southern University</t>
  </si>
  <si>
    <t>Augusta University</t>
  </si>
  <si>
    <t>*Delete after 2017-18; Institution was consolidated into Abraham Baldwin Agricultural College. Met the criteria for Two-Year with Bachelor's in 2017-18 amd 2018-19.</t>
  </si>
  <si>
    <t>Central LA Technical Community College</t>
  </si>
  <si>
    <t>University of North Carolina School of the Arts</t>
  </si>
  <si>
    <t>Tulsa Technology Center-Owasso</t>
  </si>
  <si>
    <t>Tulsa Technology Center-Sand Springs</t>
  </si>
  <si>
    <t xml:space="preserve">Williamsburg Technical College </t>
  </si>
  <si>
    <t>Brookhaven College (DCCCD)</t>
  </si>
  <si>
    <t>Eastfield College (DCCCD)</t>
  </si>
  <si>
    <t>El Centro College (DCCCD)</t>
  </si>
  <si>
    <t>North Lake College (DCCCD)</t>
  </si>
  <si>
    <t>Palo Alto College (ACCD)</t>
  </si>
  <si>
    <t>Richland College (DCCCD)</t>
  </si>
  <si>
    <t>St. Philip's College (ACCD)</t>
  </si>
  <si>
    <t>Cedar Valley College (DCCCD)</t>
  </si>
  <si>
    <t>Mountain View College (DCCCD)</t>
  </si>
  <si>
    <t>N/A</t>
  </si>
  <si>
    <t>Dallas County Community College District (DCCCD)</t>
  </si>
  <si>
    <t>15 Total</t>
  </si>
  <si>
    <t>(blank)</t>
  </si>
  <si>
    <t>(blank) Total</t>
  </si>
  <si>
    <t>Public Four-Year Institutions, 2018-19</t>
  </si>
  <si>
    <t>Public Two-Year Colleges and Technical Institutes or Colleges, 2018-19</t>
  </si>
  <si>
    <t>Public Two-Year Colleges, 2018-19</t>
  </si>
  <si>
    <t>Public Technical Institutes or Colleges, 2018-19</t>
  </si>
  <si>
    <t xml:space="preserve"> and Technical Institutes or Colleges, 2018-19</t>
  </si>
  <si>
    <t>Met the criteria for Four-Year 3 in 2018-19 and 2019-20.</t>
  </si>
  <si>
    <t>Met the criteria for Four-Year 4 in 2018-19 and 2019-20.</t>
  </si>
  <si>
    <t>Met the criteria for Four-Year 5 in 2019-20.</t>
  </si>
  <si>
    <t>Coastal Alabama Community College</t>
  </si>
  <si>
    <t>Met the criteria for Two-Year 1 in 2018-19 and 2019-20.</t>
  </si>
  <si>
    <t>Met the criteria for Two-Year 2 in 2018-19 and 2019-20.</t>
  </si>
  <si>
    <t>Reclassified: Met the criteria for Four-Year 4 in 2017-18, 2018-19, and 2019-20.</t>
  </si>
  <si>
    <t>Arkansas State University Three Rivers</t>
  </si>
  <si>
    <t>2019-20: Institution joined one of our university systems</t>
  </si>
  <si>
    <t>University of Arkansas Community College at Hope-Texarkana</t>
  </si>
  <si>
    <t xml:space="preserve">Met the criteria for Two-Year with Bachelor's in 2019-20. </t>
  </si>
  <si>
    <t xml:space="preserve">North Florida College </t>
  </si>
  <si>
    <t>The College of the Florida Keys</t>
  </si>
  <si>
    <t xml:space="preserve">Met the criteria for Two-Year with Bachelor's in 2018-19 and 2019-20. </t>
  </si>
  <si>
    <t>Met the criteria for Four-Year 2 in 2019-20.</t>
  </si>
  <si>
    <t>Met the criteria for Four-Year 5 in 2018-19 and 2019-20.</t>
  </si>
  <si>
    <t xml:space="preserve">Reclassified: Met the criteria for Four-Year 6 in 2017-18, 2018-19, and 2019-20. </t>
  </si>
  <si>
    <t>Reclassified: Met the criteria for Two-Year 3 in 2017-18, 2018-19, and 2019-20.</t>
  </si>
  <si>
    <t>Met the criteria for Two-Year 3 in 2019-20.</t>
  </si>
  <si>
    <t>Reclassified: Met the criteria for Two-Year 2 in 2017-18, 2018-19, and 2019-20.</t>
  </si>
  <si>
    <t>Reclassified: Met the criteria for Technical Institute or College 2 in 2017-18, 2018-19, and 2019-20.</t>
  </si>
  <si>
    <t>*Delete after 2017-18; campuses have been absorbed into other institutions.</t>
  </si>
  <si>
    <t>Southern University Law Center</t>
  </si>
  <si>
    <t>Met the criteria for Four-Year 4 in 2019-20.</t>
  </si>
  <si>
    <t>Met the criteria for Two-Year 3 in 2018-19 and 2019-20.</t>
  </si>
  <si>
    <t>Met the criteria for Two-Year 2 in 2019-20.</t>
  </si>
  <si>
    <t>Oklahoma State University Institute of Technology - Okmulgee</t>
  </si>
  <si>
    <t>Met the criteria for Technical Institute or College 2 in 2019-20.</t>
  </si>
  <si>
    <t>Met the criteria for Technical Institute or College 1 in 2019-20.</t>
  </si>
  <si>
    <t>Texas A&amp;M University-San Antonio</t>
  </si>
  <si>
    <t>Reclassified: Met the criteria for Four-Year 4 in 2017-18 and 2018-19 and 2019-20.</t>
  </si>
  <si>
    <t>Met the criteria for Two-Year with Bachelor's in 2019-20.</t>
  </si>
  <si>
    <t>Reclassified: Met the criteria for Two-Year 2 in 2017-18, 2018-19, and 2019-20. </t>
  </si>
  <si>
    <t>Public Four-Year Institutions, 2019-20</t>
  </si>
  <si>
    <t>Public Two-Year Colleges and Technical Institutes or Colleges, 2019-20</t>
  </si>
  <si>
    <t>Public Two-Year Colleges, 2019-20</t>
  </si>
  <si>
    <t>Public Technical Institutes or Colleges, 2019-20</t>
  </si>
  <si>
    <t xml:space="preserve"> and Technical Institutes or Colleges, 2019-20</t>
  </si>
  <si>
    <t xml:space="preserve">   Feb 2021</t>
  </si>
  <si>
    <t xml:space="preserve">  Feb 2021</t>
  </si>
  <si>
    <t>Maryland*</t>
  </si>
  <si>
    <t>*Provisionary data reported. Interpret with caution.</t>
  </si>
  <si>
    <t>Notes: Full-year full-time-equivalent (FTE) undergraduate enrollment for 2019-20 is estimated by taking the credit hours from calendar year 2019 (i.e. winter, spring, summer and fall terms of 2019) and by dividing total undergraduate semester credit hours by 30 and total undergraduate quarter hours by 45.</t>
  </si>
  <si>
    <t>Notes: Full-year full-time-equivalent (FTE) graduate enrollment for 2019-20 is estimated by taking the credit hours from calendar year 2019 (i.e. winter, spring, summer and fall terms of 2019) and by dividing total graduate semester credit hours by 24 and total graduate quarter hours by 36.</t>
  </si>
  <si>
    <t>Notes: Full-year full-time-equivalent (FTE) enrollment for 2019-20 is estimated by taking the credit hours from calendar year 2019 (i.e. winter, spring, summer and fall terms of 2019), and by dividing total undergraduate semester credit hours by 30; total undergraduate quarter hours by 45; total graduate semester credit hours by 24; and total graduate quarter hours by 36.</t>
  </si>
  <si>
    <r>
      <t>Notes:  Full-year full-time-equivalent (FTE) undergraduate enrollment for 2019-20 is estimated by taking the credit hours from calendar year 2019 (i.e. winter, spring, summer and fall terms of 2019) and by dividing total undergraduate semester credit hours by 30; total undergraduate contact hours by 900 (the equivalent of a 30 hour week);</t>
    </r>
    <r>
      <rPr>
        <sz val="8"/>
        <color rgb="FFFF0000"/>
        <rFont val="Arial"/>
        <family val="2"/>
      </rPr>
      <t xml:space="preserve"> </t>
    </r>
    <r>
      <rPr>
        <sz val="8"/>
        <color theme="1"/>
        <rFont val="Arial"/>
        <family val="2"/>
      </rPr>
      <t>and total graduate semester credit hours by 24</t>
    </r>
    <r>
      <rPr>
        <sz val="8"/>
        <rFont val="Arial"/>
        <family val="2"/>
      </rPr>
      <t xml:space="preserve">. </t>
    </r>
  </si>
  <si>
    <t xml:space="preserve">Notes:  Full-year full-time-equivalent (FTE) undergraduate enrollment for 2019-20 is estimated by taking the credit hours from calendar year 2019 (i.e. winter, spring, summer and fall terms of 2019) and by dividing total undergraduate semester credit hours by 30; total undergraduate quarter hours by 45; total undergraduate contact hours by 900 (the equivalent of a 30 hour week); total graduate semester credit hours by 24; and total graduate quarter hours by 36. </t>
  </si>
  <si>
    <t>Notes: Full-year full-time-equivalent (FTE) undergraduate enrollment for 2018-19 is estimated by taking the credit hours from calendar year 2018 (i.e. winter, spring, summer and fall terms of 2018) and by dividing total undergraduate semester credit hours by 30 and total undergraduate quarter hours by 45.</t>
  </si>
  <si>
    <t>Notes: Full-year full-time-equivalent (FTE) undergraduate enrollment for 2018-19 is estimated by taking the credit hours from calendar year 2018 (i.e. winter, spring, summer and fall terms of 2018) and by dividing total graduate semester credit hours by 24 and total graduate quarter hours by 36.</t>
  </si>
  <si>
    <t>Notes: Full-year full-time-equivalent (FTE) undergraduate enrollment for 2018-19 is estimated by taking the credit hours from calendar year 2018 (i.e. winter, spring, summer and fall terms of 2018) and by dividing total undergraduate semester credit hours by 30; total undergraduate quarter hours by 45; total graduate semester hours by 24; and total graduate quarter hours by 36.</t>
  </si>
  <si>
    <t xml:space="preserve">Notes:  Full-year full-time-equivalent (FTE) undergraduate enrollment for 2018-19 is estimated by taking the credit hours from calendar year 2018 (i.e. winter, spring, summer and fall terms of 2018) and by dividing total undergraduate semester credit hours by 30; total undergraduate quarter hours by 45; total undergraduate contact hours by 900 (the equivalent of a 30 hour week); total graduate semester credit hours by 24; and total graduate quarter hours by 36.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</si>
</sst>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0_)"/>
    <numFmt numFmtId="165" formatCode="_(* #,##0_);_(* \(#,##0\);_(* &quot;-&quot;??_);_(@_)"/>
    <numFmt numFmtId="166" formatCode="General_)"/>
    <numFmt numFmtId="167" formatCode="#,##0.0"/>
    <numFmt numFmtId="168" formatCode="0.0%"/>
    <numFmt numFmtId="169" formatCode="0.000"/>
    <numFmt numFmtId="170" formatCode="0.0"/>
    <numFmt numFmtId="171" formatCode="#,##0.000"/>
    <numFmt numFmtId="172" formatCode="[$-10409]###,###"/>
  </numFmts>
  <fonts count="97">
    <font>
      <sz val="8"/>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Garamond"/>
      <family val="3"/>
    </font>
    <font>
      <sz val="12"/>
      <name val="AGaramond"/>
      <family val="1"/>
    </font>
    <font>
      <sz val="8"/>
      <name val="Arial"/>
      <family val="2"/>
    </font>
    <font>
      <sz val="10"/>
      <name val="Arial"/>
      <family val="2"/>
    </font>
    <font>
      <sz val="12"/>
      <name val="Arial"/>
      <family val="2"/>
    </font>
    <font>
      <b/>
      <sz val="14"/>
      <name val="Arial"/>
      <family val="2"/>
    </font>
    <font>
      <b/>
      <sz val="10"/>
      <name val="Arial"/>
      <family val="2"/>
    </font>
    <font>
      <sz val="10"/>
      <color indexed="8"/>
      <name val="Arial"/>
      <family val="2"/>
    </font>
    <font>
      <b/>
      <sz val="10"/>
      <color indexed="12"/>
      <name val="Arial"/>
      <family val="2"/>
    </font>
    <font>
      <sz val="10"/>
      <name val="Helv"/>
    </font>
    <font>
      <b/>
      <sz val="10"/>
      <color rgb="FFC00000"/>
      <name val="ARIAL"/>
      <family val="2"/>
    </font>
    <font>
      <sz val="10"/>
      <color rgb="FF0000FF"/>
      <name val="Arial"/>
      <family val="2"/>
    </font>
    <font>
      <b/>
      <sz val="10"/>
      <color theme="0"/>
      <name val="Arial"/>
      <family val="2"/>
    </font>
    <font>
      <b/>
      <sz val="10"/>
      <color rgb="FF0000FF"/>
      <name val="Arial"/>
      <family val="2"/>
    </font>
    <font>
      <b/>
      <sz val="12"/>
      <color rgb="FF0000FF"/>
      <name val="Arial"/>
      <family val="2"/>
    </font>
    <font>
      <b/>
      <sz val="14"/>
      <color theme="0"/>
      <name val="Arial"/>
      <family val="2"/>
    </font>
    <font>
      <sz val="10"/>
      <color theme="1"/>
      <name val="Arial"/>
      <family val="2"/>
    </font>
    <font>
      <sz val="11"/>
      <color indexed="8"/>
      <name val="Calibri"/>
      <family val="2"/>
    </font>
    <font>
      <sz val="10"/>
      <name val="Courier"/>
      <family val="3"/>
    </font>
    <font>
      <sz val="12"/>
      <name val="AGaramond"/>
      <family val="1"/>
    </font>
    <font>
      <sz val="10"/>
      <color rgb="FF000000"/>
      <name val="Times New Roman"/>
      <family val="1"/>
    </font>
    <font>
      <sz val="10"/>
      <color rgb="FF000000"/>
      <name val="Times New Roman"/>
      <family val="1"/>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2"/>
      <name val="AGaramond"/>
    </font>
    <font>
      <sz val="10"/>
      <name val="Arial"/>
      <family val="2"/>
    </font>
    <font>
      <sz val="11"/>
      <name val="Calibri"/>
      <family val="2"/>
    </font>
    <font>
      <sz val="10"/>
      <color indexed="12"/>
      <name val="Arial"/>
      <family val="2"/>
    </font>
    <font>
      <b/>
      <sz val="10"/>
      <color rgb="FFFF0000"/>
      <name val="Arial"/>
      <family val="2"/>
    </font>
    <font>
      <b/>
      <sz val="10"/>
      <color indexed="8"/>
      <name val="Arial"/>
      <family val="2"/>
    </font>
    <font>
      <sz val="10"/>
      <name val="Calibri"/>
      <family val="2"/>
    </font>
    <font>
      <sz val="8"/>
      <color theme="1"/>
      <name val="Arial"/>
      <family val="2"/>
    </font>
    <font>
      <sz val="14"/>
      <name val="Arial"/>
      <family val="2"/>
    </font>
    <font>
      <b/>
      <sz val="12"/>
      <name val="Arial"/>
      <family val="2"/>
    </font>
    <font>
      <sz val="10"/>
      <color indexed="16"/>
      <name val="Arial"/>
      <family val="2"/>
    </font>
    <font>
      <sz val="10"/>
      <color indexed="10"/>
      <name val="Arial"/>
      <family val="2"/>
    </font>
    <font>
      <b/>
      <sz val="9"/>
      <name val="Arial"/>
      <family val="2"/>
    </font>
    <font>
      <sz val="9"/>
      <name val="Arial"/>
      <family val="2"/>
    </font>
    <font>
      <sz val="10"/>
      <color indexed="17"/>
      <name val="Arial"/>
      <family val="2"/>
    </font>
    <font>
      <sz val="10"/>
      <color theme="0"/>
      <name val="Arial"/>
      <family val="2"/>
    </font>
    <font>
      <sz val="10"/>
      <color rgb="FFFFFF00"/>
      <name val="Arial"/>
      <family val="2"/>
    </font>
    <font>
      <b/>
      <sz val="9"/>
      <color indexed="12"/>
      <name val="Arial"/>
      <family val="2"/>
    </font>
    <font>
      <sz val="9"/>
      <color indexed="12"/>
      <name val="Arial"/>
      <family val="2"/>
    </font>
    <font>
      <sz val="10"/>
      <color rgb="FFC00000"/>
      <name val="Arial"/>
      <family val="2"/>
    </font>
    <font>
      <sz val="8"/>
      <color rgb="FFFF0000"/>
      <name val="Arial"/>
      <family val="2"/>
    </font>
    <font>
      <b/>
      <sz val="14"/>
      <color rgb="FFC00000"/>
      <name val="Arial"/>
      <family val="2"/>
    </font>
    <font>
      <b/>
      <sz val="10"/>
      <color indexed="81"/>
      <name val="Tahoma"/>
      <family val="2"/>
    </font>
    <font>
      <sz val="10"/>
      <color indexed="81"/>
      <name val="Tahoma"/>
      <family val="2"/>
    </font>
    <font>
      <b/>
      <sz val="8"/>
      <color indexed="81"/>
      <name val="Tahoma"/>
      <family val="2"/>
    </font>
    <font>
      <sz val="8"/>
      <color indexed="81"/>
      <name val="Tahoma"/>
      <family val="2"/>
    </font>
    <font>
      <b/>
      <sz val="11"/>
      <color theme="1"/>
      <name val="Calibri"/>
      <family val="2"/>
      <scheme val="minor"/>
    </font>
    <font>
      <b/>
      <sz val="11"/>
      <color rgb="FFC00000"/>
      <name val="Calibri"/>
      <family val="2"/>
      <scheme val="minor"/>
    </font>
    <font>
      <b/>
      <sz val="10"/>
      <color rgb="FF000000"/>
      <name val="Arial"/>
      <family val="2"/>
    </font>
    <font>
      <sz val="10"/>
      <color rgb="FF000000"/>
      <name val="Arial"/>
      <family val="2"/>
    </font>
    <font>
      <b/>
      <sz val="10"/>
      <color rgb="FF000000"/>
      <name val="Tahoma"/>
      <family val="2"/>
    </font>
    <font>
      <sz val="10"/>
      <color rgb="FF000000"/>
      <name val="Tahoma"/>
      <family val="2"/>
    </font>
    <font>
      <sz val="8"/>
      <name val="Arial, Helvetica"/>
    </font>
    <font>
      <sz val="10"/>
      <color rgb="FF9C0000"/>
      <name val="Arial"/>
      <family val="2"/>
    </font>
    <font>
      <b/>
      <sz val="11"/>
      <name val="Calibri"/>
      <family val="2"/>
      <scheme val="minor"/>
    </font>
    <font>
      <sz val="9"/>
      <color indexed="81"/>
      <name val="Tahoma"/>
      <family val="2"/>
    </font>
    <font>
      <b/>
      <sz val="9"/>
      <color indexed="81"/>
      <name val="Tahoma"/>
      <family val="2"/>
    </font>
    <font>
      <sz val="8"/>
      <color rgb="FF000000"/>
      <name val="Tahoma"/>
      <family val="2"/>
    </font>
  </fonts>
  <fills count="68">
    <fill>
      <patternFill patternType="none"/>
    </fill>
    <fill>
      <patternFill patternType="gray125"/>
    </fill>
    <fill>
      <patternFill patternType="solid">
        <fgColor indexed="13"/>
        <bgColor indexed="64"/>
      </patternFill>
    </fill>
    <fill>
      <patternFill patternType="solid">
        <fgColor theme="0" tint="-0.14999847407452621"/>
        <bgColor indexed="64"/>
      </patternFill>
    </fill>
    <fill>
      <patternFill patternType="solid">
        <fgColor theme="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rgb="FFB2A1C7"/>
        <bgColor indexed="64"/>
      </patternFill>
    </fill>
    <fill>
      <patternFill patternType="solid">
        <fgColor theme="0"/>
        <bgColor indexed="64"/>
      </patternFill>
    </fill>
    <fill>
      <patternFill patternType="solid">
        <fgColor rgb="FFC00000"/>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99CC"/>
        <bgColor indexed="64"/>
      </patternFill>
    </fill>
    <fill>
      <patternFill patternType="solid">
        <fgColor rgb="FFFFFFFF"/>
        <bgColor rgb="FFFFFFFF"/>
      </patternFill>
    </fill>
    <fill>
      <patternFill patternType="solid">
        <fgColor indexed="47"/>
        <bgColor indexed="64"/>
      </patternFill>
    </fill>
    <fill>
      <patternFill patternType="solid">
        <fgColor rgb="FFFFCC99"/>
        <bgColor rgb="FFFFCC99"/>
      </patternFill>
    </fill>
    <fill>
      <patternFill patternType="solid">
        <fgColor indexed="42"/>
        <bgColor indexed="64"/>
      </patternFill>
    </fill>
    <fill>
      <patternFill patternType="solid">
        <fgColor rgb="FFFFFF00"/>
        <bgColor indexed="64"/>
      </patternFill>
    </fill>
    <fill>
      <patternFill patternType="solid">
        <fgColor indexed="15"/>
        <bgColor indexed="64"/>
      </patternFill>
    </fill>
    <fill>
      <patternFill patternType="solid">
        <fgColor rgb="FF00ABEA"/>
        <bgColor rgb="FF00ABEA"/>
      </patternFill>
    </fill>
    <fill>
      <patternFill patternType="solid">
        <fgColor rgb="FFFF99CC"/>
        <bgColor rgb="FFFF99CC"/>
      </patternFill>
    </fill>
    <fill>
      <patternFill patternType="solid">
        <fgColor rgb="FF00FFFF"/>
        <bgColor indexed="64"/>
      </patternFill>
    </fill>
    <fill>
      <patternFill patternType="solid">
        <fgColor indexed="45"/>
        <bgColor indexed="42"/>
      </patternFill>
    </fill>
    <fill>
      <patternFill patternType="solid">
        <fgColor rgb="FFCC99FF"/>
        <bgColor rgb="FFCC99FF"/>
      </patternFill>
    </fill>
    <fill>
      <patternFill patternType="solid">
        <fgColor rgb="FFFFCC00"/>
        <bgColor indexed="64"/>
      </patternFill>
    </fill>
    <fill>
      <patternFill patternType="solid">
        <fgColor rgb="FFCCFFCC"/>
        <bgColor rgb="FFCCFFCC"/>
      </patternFill>
    </fill>
    <fill>
      <patternFill patternType="solid">
        <fgColor indexed="42"/>
        <bgColor indexed="42"/>
      </patternFill>
    </fill>
    <fill>
      <patternFill patternType="solid">
        <fgColor indexed="50"/>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0" tint="-0.249977111117893"/>
        <bgColor indexed="64"/>
      </patternFill>
    </fill>
    <fill>
      <patternFill patternType="solid">
        <fgColor rgb="FFCCFFCC"/>
        <bgColor indexed="64"/>
      </patternFill>
    </fill>
    <fill>
      <patternFill patternType="solid">
        <fgColor rgb="FFFFCC99"/>
        <bgColor indexed="64"/>
      </patternFill>
    </fill>
    <fill>
      <patternFill patternType="solid">
        <fgColor rgb="FFFFFF99"/>
        <bgColor indexed="64"/>
      </patternFill>
    </fill>
    <fill>
      <patternFill patternType="solid">
        <fgColor rgb="FF99CCFF"/>
        <bgColor indexed="64"/>
      </patternFill>
    </fill>
    <fill>
      <patternFill patternType="solid">
        <fgColor rgb="FFCC99FF"/>
        <bgColor indexed="64"/>
      </patternFill>
    </fill>
    <fill>
      <patternFill patternType="solid">
        <fgColor theme="9" tint="0.59999389629810485"/>
        <bgColor theme="9" tint="0.59999389629810485"/>
      </patternFill>
    </fill>
    <fill>
      <patternFill patternType="solid">
        <fgColor indexed="43"/>
        <bgColor indexed="64"/>
      </patternFill>
    </fill>
    <fill>
      <patternFill patternType="solid">
        <fgColor rgb="FF99CCFF"/>
        <bgColor rgb="FF99CCFF"/>
      </patternFill>
    </fill>
    <fill>
      <patternFill patternType="solid">
        <fgColor rgb="FF99CCFF"/>
      </patternFill>
    </fill>
    <fill>
      <patternFill patternType="solid">
        <fgColor rgb="FFFFCC00"/>
        <bgColor rgb="FFFFCC00"/>
      </patternFill>
    </fill>
    <fill>
      <patternFill patternType="solid">
        <fgColor rgb="FFFF99CC"/>
        <bgColor rgb="FF000000"/>
      </patternFill>
    </fill>
    <fill>
      <patternFill patternType="solid">
        <fgColor rgb="FFFFC8C8"/>
        <bgColor rgb="FFFFC8C8"/>
      </patternFill>
    </fill>
  </fills>
  <borders count="99">
    <border>
      <left/>
      <right/>
      <top/>
      <bottom/>
      <diagonal/>
    </border>
    <border>
      <left style="medium">
        <color auto="1"/>
      </left>
      <right style="medium">
        <color auto="1"/>
      </right>
      <top/>
      <bottom/>
      <diagonal/>
    </border>
    <border>
      <left style="thin">
        <color indexed="8"/>
      </left>
      <right/>
      <top style="thin">
        <color indexed="65"/>
      </top>
      <bottom/>
      <diagonal/>
    </border>
    <border>
      <left style="double">
        <color auto="1"/>
      </left>
      <right/>
      <top/>
      <bottom/>
      <diagonal/>
    </border>
    <border>
      <left style="medium">
        <color auto="1"/>
      </left>
      <right style="thin">
        <color auto="1"/>
      </right>
      <top/>
      <bottom/>
      <diagonal/>
    </border>
    <border>
      <left/>
      <right style="medium">
        <color auto="1"/>
      </right>
      <top/>
      <bottom/>
      <diagonal/>
    </border>
    <border>
      <left style="double">
        <color auto="1"/>
      </left>
      <right style="thin">
        <color auto="1"/>
      </right>
      <top/>
      <bottom/>
      <diagonal/>
    </border>
    <border>
      <left/>
      <right/>
      <top style="thin">
        <color auto="1"/>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style="thin">
        <color auto="1"/>
      </right>
      <top style="thin">
        <color auto="1"/>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indexed="65"/>
      </left>
      <right/>
      <top style="thin">
        <color indexed="65"/>
      </top>
      <bottom/>
      <diagonal/>
    </border>
    <border>
      <left/>
      <right/>
      <top/>
      <bottom style="thin">
        <color indexed="8"/>
      </bottom>
      <diagonal/>
    </border>
    <border>
      <left style="thin">
        <color indexed="65"/>
      </left>
      <right/>
      <top style="thin">
        <color indexed="8"/>
      </top>
      <bottom/>
      <diagonal/>
    </border>
    <border>
      <left style="thin">
        <color indexed="64"/>
      </left>
      <right/>
      <top style="thin">
        <color indexed="8"/>
      </top>
      <bottom/>
      <diagonal/>
    </border>
    <border>
      <left style="thin">
        <color indexed="65"/>
      </left>
      <right style="thin">
        <color indexed="8"/>
      </right>
      <top style="thin">
        <color indexed="8"/>
      </top>
      <bottom/>
      <diagonal/>
    </border>
    <border>
      <left/>
      <right/>
      <top style="thin">
        <color indexed="8"/>
      </top>
      <bottom/>
      <diagonal/>
    </border>
    <border>
      <left style="thin">
        <color indexed="8"/>
      </left>
      <right/>
      <top style="thin">
        <color indexed="8"/>
      </top>
      <bottom/>
      <diagonal/>
    </border>
    <border>
      <left style="thin">
        <color indexed="8"/>
      </left>
      <right style="thin">
        <color indexed="8"/>
      </right>
      <top style="thin">
        <color indexed="8"/>
      </top>
      <bottom/>
      <diagonal/>
    </border>
    <border>
      <left style="thin">
        <color rgb="FF999999"/>
      </left>
      <right style="thin">
        <color rgb="FF999999"/>
      </right>
      <top style="thin">
        <color rgb="FF999999"/>
      </top>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style="thin">
        <color indexed="8"/>
      </left>
      <right/>
      <top style="thin">
        <color indexed="65"/>
      </top>
      <bottom style="thin">
        <color indexed="64"/>
      </bottom>
      <diagonal/>
    </border>
    <border>
      <left style="thin">
        <color indexed="8"/>
      </left>
      <right style="thin">
        <color indexed="8"/>
      </right>
      <top style="thin">
        <color indexed="65"/>
      </top>
      <bottom/>
      <diagonal/>
    </border>
    <border>
      <left style="thin">
        <color rgb="FF999999"/>
      </left>
      <right style="thin">
        <color rgb="FF999999"/>
      </right>
      <top style="thin">
        <color indexed="65"/>
      </top>
      <bottom/>
      <diagonal/>
    </border>
    <border>
      <left style="thin">
        <color indexed="8"/>
      </left>
      <right style="thin">
        <color indexed="64"/>
      </right>
      <top style="thin">
        <color indexed="8"/>
      </top>
      <bottom/>
      <diagonal/>
    </border>
    <border>
      <left style="thin">
        <color indexed="8"/>
      </left>
      <right style="thin">
        <color indexed="8"/>
      </right>
      <top/>
      <bottom/>
      <diagonal/>
    </border>
    <border>
      <left style="thin">
        <color indexed="8"/>
      </left>
      <right/>
      <top/>
      <bottom/>
      <diagonal/>
    </border>
    <border>
      <left style="thin">
        <color indexed="8"/>
      </left>
      <right style="thin">
        <color indexed="64"/>
      </right>
      <top/>
      <bottom/>
      <diagonal/>
    </border>
    <border>
      <left style="thin">
        <color rgb="FF999999"/>
      </left>
      <right/>
      <top/>
      <bottom/>
      <diagonal/>
    </border>
    <border>
      <left style="thin">
        <color rgb="FF999999"/>
      </left>
      <right style="thin">
        <color rgb="FF999999"/>
      </right>
      <top/>
      <bottom/>
      <diagonal/>
    </border>
    <border>
      <left style="thin">
        <color indexed="64"/>
      </left>
      <right/>
      <top/>
      <bottom/>
      <diagonal/>
    </border>
    <border>
      <left style="thin">
        <color indexed="8"/>
      </left>
      <right style="thin">
        <color indexed="8"/>
      </right>
      <top/>
      <bottom style="thin">
        <color indexed="64"/>
      </bottom>
      <diagonal/>
    </border>
    <border>
      <left style="thin">
        <color rgb="FF999999"/>
      </left>
      <right/>
      <top style="thin">
        <color rgb="FF999999"/>
      </top>
      <bottom style="thin">
        <color indexed="64"/>
      </bottom>
      <diagonal/>
    </border>
    <border>
      <left style="thin">
        <color rgb="FF999999"/>
      </left>
      <right style="thin">
        <color rgb="FF999999"/>
      </right>
      <top style="thin">
        <color rgb="FF999999"/>
      </top>
      <bottom style="thin">
        <color indexed="64"/>
      </bottom>
      <diagonal/>
    </border>
    <border>
      <left/>
      <right/>
      <top style="thin">
        <color indexed="64"/>
      </top>
      <bottom/>
      <diagonal/>
    </border>
    <border>
      <left style="thin">
        <color indexed="8"/>
      </left>
      <right/>
      <top/>
      <bottom style="thin">
        <color indexed="64"/>
      </bottom>
      <diagonal/>
    </border>
    <border>
      <left style="thin">
        <color indexed="8"/>
      </left>
      <right/>
      <top style="thin">
        <color indexed="64"/>
      </top>
      <bottom/>
      <diagonal/>
    </border>
    <border>
      <left style="thin">
        <color indexed="8"/>
      </left>
      <right style="thin">
        <color indexed="8"/>
      </right>
      <top style="thin">
        <color indexed="64"/>
      </top>
      <bottom/>
      <diagonal/>
    </border>
    <border>
      <left/>
      <right/>
      <top style="thin">
        <color indexed="8"/>
      </top>
      <bottom style="thin">
        <color indexed="8"/>
      </bottom>
      <diagonal/>
    </border>
    <border>
      <left style="thin">
        <color indexed="64"/>
      </left>
      <right/>
      <top style="thin">
        <color indexed="8"/>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8"/>
      </right>
      <top/>
      <bottom style="thin">
        <color indexed="64"/>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style="thin">
        <color indexed="64"/>
      </bottom>
      <diagonal/>
    </border>
    <border>
      <left/>
      <right style="thin">
        <color indexed="8"/>
      </right>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8"/>
      </bottom>
      <diagonal/>
    </border>
    <border>
      <left style="thin">
        <color indexed="64"/>
      </left>
      <right/>
      <top/>
      <bottom style="thin">
        <color indexed="8"/>
      </bottom>
      <diagonal/>
    </border>
    <border>
      <left style="thin">
        <color indexed="64"/>
      </left>
      <right/>
      <top style="thin">
        <color indexed="64"/>
      </top>
      <bottom/>
      <diagonal/>
    </border>
    <border>
      <left style="thin">
        <color indexed="64"/>
      </left>
      <right/>
      <top style="thin">
        <color indexed="8"/>
      </top>
      <bottom style="thin">
        <color indexed="8"/>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auto="1"/>
      </left>
      <right style="double">
        <color auto="1"/>
      </right>
      <top/>
      <bottom/>
      <diagonal/>
    </border>
    <border>
      <left/>
      <right/>
      <top/>
      <bottom style="double">
        <color indexed="64"/>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ouble">
        <color auto="1"/>
      </left>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top/>
      <bottom style="double">
        <color auto="1"/>
      </bottom>
      <diagonal/>
    </border>
    <border>
      <left style="medium">
        <color auto="1"/>
      </left>
      <right style="thin">
        <color auto="1"/>
      </right>
      <top/>
      <bottom style="double">
        <color auto="1"/>
      </bottom>
      <diagonal/>
    </border>
    <border>
      <left style="thin">
        <color auto="1"/>
      </left>
      <right style="thin">
        <color auto="1"/>
      </right>
      <top/>
      <bottom style="double">
        <color auto="1"/>
      </bottom>
      <diagonal/>
    </border>
    <border>
      <left style="thin">
        <color auto="1"/>
      </left>
      <right/>
      <top/>
      <bottom style="double">
        <color auto="1"/>
      </bottom>
      <diagonal/>
    </border>
    <border>
      <left/>
      <right style="medium">
        <color auto="1"/>
      </right>
      <top/>
      <bottom style="double">
        <color auto="1"/>
      </bottom>
      <diagonal/>
    </border>
    <border>
      <left style="thin">
        <color auto="1"/>
      </left>
      <right style="double">
        <color auto="1"/>
      </right>
      <top/>
      <bottom style="double">
        <color auto="1"/>
      </bottom>
      <diagonal/>
    </border>
    <border>
      <left style="double">
        <color auto="1"/>
      </left>
      <right style="thin">
        <color auto="1"/>
      </right>
      <top/>
      <bottom style="double">
        <color auto="1"/>
      </bottom>
      <diagonal/>
    </border>
    <border>
      <left style="thin">
        <color rgb="FFA9A9A9"/>
      </left>
      <right style="thin">
        <color rgb="FFA9A9A9"/>
      </right>
      <top style="thin">
        <color rgb="FFA9A9A9"/>
      </top>
      <bottom style="thin">
        <color rgb="FFA9A9A9"/>
      </bottom>
      <diagonal/>
    </border>
    <border>
      <left style="thin">
        <color rgb="FFA9A9A9"/>
      </left>
      <right style="thin">
        <color rgb="FF000000"/>
      </right>
      <top style="thin">
        <color rgb="FFA9A9A9"/>
      </top>
      <bottom style="thin">
        <color rgb="FFA9A9A9"/>
      </bottom>
      <diagonal/>
    </border>
    <border>
      <left style="thin">
        <color rgb="FFA9A9A9"/>
      </left>
      <right style="thin">
        <color rgb="FFA9A9A9"/>
      </right>
      <top style="thin">
        <color rgb="FFA9A9A9"/>
      </top>
      <bottom style="thin">
        <color rgb="FF000000"/>
      </bottom>
      <diagonal/>
    </border>
    <border>
      <left style="thin">
        <color rgb="FFA9A9A9"/>
      </left>
      <right style="thin">
        <color rgb="FF000000"/>
      </right>
      <top style="thin">
        <color rgb="FFA9A9A9"/>
      </top>
      <bottom style="thin">
        <color rgb="FF000000"/>
      </bottom>
      <diagonal/>
    </border>
    <border>
      <left/>
      <right style="thin">
        <color rgb="FFC1C1C1"/>
      </right>
      <top/>
      <bottom style="thin">
        <color rgb="FFC1C1C1"/>
      </bottom>
      <diagonal/>
    </border>
    <border>
      <left style="thin">
        <color auto="1"/>
      </left>
      <right style="thin">
        <color auto="1"/>
      </right>
      <top/>
      <bottom style="thin">
        <color auto="1"/>
      </bottom>
      <diagonal/>
    </border>
    <border>
      <left/>
      <right/>
      <top style="medium">
        <color auto="1"/>
      </top>
      <bottom/>
      <diagonal/>
    </border>
  </borders>
  <cellStyleXfs count="51606">
    <xf numFmtId="3" fontId="0" fillId="0" borderId="0"/>
    <xf numFmtId="166" fontId="30" fillId="0" borderId="0"/>
    <xf numFmtId="166" fontId="30" fillId="0" borderId="0"/>
    <xf numFmtId="3" fontId="24" fillId="0" borderId="1" applyFont="0"/>
    <xf numFmtId="164" fontId="27" fillId="0" borderId="2" applyNumberFormat="0" applyFont="0" applyBorder="0" applyAlignment="0"/>
    <xf numFmtId="164" fontId="2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2" fillId="0" borderId="0" applyFont="0" applyFill="0" applyBorder="0" applyAlignment="0" applyProtection="0"/>
    <xf numFmtId="43" fontId="21" fillId="0" borderId="0" applyFont="0" applyFill="0" applyBorder="0" applyAlignment="0" applyProtection="0"/>
    <xf numFmtId="0" fontId="24" fillId="0" borderId="0"/>
    <xf numFmtId="0" fontId="24" fillId="0" borderId="0"/>
    <xf numFmtId="0" fontId="37" fillId="0" borderId="0"/>
    <xf numFmtId="9" fontId="37" fillId="0" borderId="0" applyFont="0" applyFill="0" applyBorder="0" applyAlignment="0" applyProtection="0"/>
    <xf numFmtId="9" fontId="22" fillId="0" borderId="0" applyFont="0" applyFill="0" applyBorder="0" applyAlignment="0" applyProtection="0"/>
    <xf numFmtId="164" fontId="22" fillId="0" borderId="0"/>
    <xf numFmtId="0" fontId="20" fillId="0" borderId="0"/>
    <xf numFmtId="0" fontId="37" fillId="0" borderId="0"/>
    <xf numFmtId="9" fontId="37" fillId="0" borderId="0" applyFont="0" applyFill="0" applyBorder="0" applyAlignment="0" applyProtection="0"/>
    <xf numFmtId="43" fontId="37" fillId="0" borderId="0" applyFont="0" applyFill="0" applyBorder="0" applyAlignment="0" applyProtection="0"/>
    <xf numFmtId="0" fontId="38" fillId="0" borderId="0"/>
    <xf numFmtId="0" fontId="38" fillId="0" borderId="0"/>
    <xf numFmtId="0" fontId="38" fillId="0" borderId="0"/>
    <xf numFmtId="0" fontId="38" fillId="0" borderId="0"/>
    <xf numFmtId="0" fontId="28" fillId="0" borderId="0"/>
    <xf numFmtId="0" fontId="28" fillId="0" borderId="0">
      <alignment vertical="top"/>
    </xf>
    <xf numFmtId="0" fontId="24" fillId="0" borderId="0"/>
    <xf numFmtId="0" fontId="24" fillId="0" borderId="0"/>
    <xf numFmtId="0" fontId="20" fillId="0" borderId="0"/>
    <xf numFmtId="43" fontId="2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39" fillId="0" borderId="0">
      <alignment horizontal="left" wrapText="1"/>
    </xf>
    <xf numFmtId="0" fontId="37" fillId="0" borderId="0"/>
    <xf numFmtId="0" fontId="25" fillId="0" borderId="0"/>
    <xf numFmtId="0" fontId="24" fillId="0" borderId="0"/>
    <xf numFmtId="0" fontId="24" fillId="0" borderId="0"/>
    <xf numFmtId="0" fontId="24" fillId="0" borderId="0"/>
    <xf numFmtId="0" fontId="20" fillId="0" borderId="0"/>
    <xf numFmtId="0" fontId="24" fillId="0" borderId="0"/>
    <xf numFmtId="0" fontId="24" fillId="0" borderId="0"/>
    <xf numFmtId="0" fontId="24" fillId="0" borderId="0"/>
    <xf numFmtId="0" fontId="24" fillId="0" borderId="0"/>
    <xf numFmtId="0" fontId="24" fillId="0" borderId="0"/>
    <xf numFmtId="0" fontId="24" fillId="0" borderId="0"/>
    <xf numFmtId="164" fontId="40" fillId="0" borderId="0"/>
    <xf numFmtId="164" fontId="40" fillId="0" borderId="0"/>
    <xf numFmtId="164" fontId="21" fillId="0" borderId="0"/>
    <xf numFmtId="9" fontId="21" fillId="0" borderId="0" applyFont="0" applyFill="0" applyBorder="0" applyAlignment="0" applyProtection="0"/>
    <xf numFmtId="43" fontId="21"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4" fontId="40" fillId="0" borderId="0"/>
    <xf numFmtId="0" fontId="19" fillId="0" borderId="0"/>
    <xf numFmtId="0" fontId="19" fillId="0" borderId="0"/>
    <xf numFmtId="0" fontId="19" fillId="0" borderId="0"/>
    <xf numFmtId="3" fontId="24" fillId="0" borderId="1" applyFont="0"/>
    <xf numFmtId="0" fontId="24" fillId="0" borderId="0"/>
    <xf numFmtId="0" fontId="24" fillId="0" borderId="0"/>
    <xf numFmtId="0" fontId="24" fillId="0" borderId="0"/>
    <xf numFmtId="0" fontId="24" fillId="0" borderId="0"/>
    <xf numFmtId="0" fontId="24" fillId="0" borderId="0"/>
    <xf numFmtId="43" fontId="22" fillId="0" borderId="0" applyFont="0" applyFill="0" applyBorder="0" applyAlignment="0" applyProtection="0"/>
    <xf numFmtId="0" fontId="19" fillId="0" borderId="0"/>
    <xf numFmtId="0" fontId="19" fillId="0" borderId="0"/>
    <xf numFmtId="0" fontId="19" fillId="0" borderId="0"/>
    <xf numFmtId="0" fontId="19" fillId="0" borderId="0"/>
    <xf numFmtId="0" fontId="37" fillId="0" borderId="0"/>
    <xf numFmtId="9" fontId="37"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3" fontId="23" fillId="0" borderId="0"/>
    <xf numFmtId="43" fontId="22" fillId="0" borderId="0" applyFont="0" applyFill="0" applyBorder="0" applyAlignment="0" applyProtection="0"/>
    <xf numFmtId="166" fontId="30" fillId="0" borderId="0"/>
    <xf numFmtId="0" fontId="37" fillId="0" borderId="0"/>
    <xf numFmtId="9" fontId="37" fillId="0" borderId="0" applyFont="0" applyFill="0" applyBorder="0" applyAlignment="0" applyProtection="0"/>
    <xf numFmtId="0" fontId="24"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164" fontId="40" fillId="0" borderId="0"/>
    <xf numFmtId="164" fontId="40" fillId="0" borderId="0"/>
    <xf numFmtId="164" fontId="40"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166" fontId="30" fillId="0" borderId="0"/>
    <xf numFmtId="0" fontId="24" fillId="0" borderId="0"/>
    <xf numFmtId="0" fontId="24" fillId="0" borderId="0"/>
    <xf numFmtId="0" fontId="24" fillId="0" borderId="0"/>
    <xf numFmtId="0" fontId="24"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64" fontId="40" fillId="0" borderId="0"/>
    <xf numFmtId="164" fontId="40"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166" fontId="30" fillId="0" borderId="0"/>
    <xf numFmtId="164" fontId="40"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166" fontId="30" fillId="0" borderId="0"/>
    <xf numFmtId="0" fontId="16" fillId="0" borderId="0"/>
    <xf numFmtId="0" fontId="16" fillId="0" borderId="0"/>
    <xf numFmtId="0" fontId="16" fillId="0" borderId="0"/>
    <xf numFmtId="9" fontId="21" fillId="0" borderId="0" applyFont="0" applyFill="0" applyBorder="0" applyAlignment="0" applyProtection="0"/>
    <xf numFmtId="0" fontId="16" fillId="0" borderId="0"/>
    <xf numFmtId="0" fontId="24"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24"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41" fillId="0" borderId="0"/>
    <xf numFmtId="0" fontId="15" fillId="0" borderId="0"/>
    <xf numFmtId="0" fontId="42" fillId="0" borderId="0"/>
    <xf numFmtId="0" fontId="15" fillId="0" borderId="0"/>
    <xf numFmtId="0" fontId="41" fillId="0" borderId="0"/>
    <xf numFmtId="0" fontId="15" fillId="0" borderId="0"/>
    <xf numFmtId="0" fontId="15" fillId="0" borderId="0"/>
    <xf numFmtId="164" fontId="40" fillId="0" borderId="0"/>
    <xf numFmtId="164" fontId="40"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4" fontId="22" fillId="0" borderId="0"/>
    <xf numFmtId="164" fontId="22" fillId="0" borderId="0"/>
    <xf numFmtId="164" fontId="22" fillId="0" borderId="0"/>
    <xf numFmtId="0" fontId="13" fillId="0" borderId="0"/>
    <xf numFmtId="0" fontId="13" fillId="0" borderId="0"/>
    <xf numFmtId="0" fontId="13" fillId="0" borderId="0"/>
    <xf numFmtId="0" fontId="13" fillId="0" borderId="0"/>
    <xf numFmtId="0" fontId="13"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8" applyNumberFormat="0" applyFont="0" applyAlignment="0" applyProtection="0"/>
    <xf numFmtId="0" fontId="38" fillId="11"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19" borderId="0" applyNumberFormat="0" applyBorder="0" applyAlignment="0" applyProtection="0"/>
    <xf numFmtId="0" fontId="38" fillId="14" borderId="0" applyNumberFormat="0" applyBorder="0" applyAlignment="0" applyProtection="0"/>
    <xf numFmtId="0" fontId="38" fillId="17" borderId="0" applyNumberFormat="0" applyBorder="0" applyAlignment="0" applyProtection="0"/>
    <xf numFmtId="0" fontId="38" fillId="20" borderId="0" applyNumberFormat="0" applyBorder="0" applyAlignment="0" applyProtection="0"/>
    <xf numFmtId="0" fontId="43" fillId="21"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3" fillId="25" borderId="0" applyNumberFormat="0" applyBorder="0" applyAlignment="0" applyProtection="0"/>
    <xf numFmtId="0" fontId="43" fillId="26" borderId="0" applyNumberFormat="0" applyBorder="0" applyAlignment="0" applyProtection="0"/>
    <xf numFmtId="0" fontId="43" fillId="27"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28" borderId="0" applyNumberFormat="0" applyBorder="0" applyAlignment="0" applyProtection="0"/>
    <xf numFmtId="0" fontId="44" fillId="12" borderId="0" applyNumberFormat="0" applyBorder="0" applyAlignment="0" applyProtection="0"/>
    <xf numFmtId="0" fontId="45" fillId="29" borderId="9" applyNumberFormat="0" applyAlignment="0" applyProtection="0"/>
    <xf numFmtId="0" fontId="46" fillId="30" borderId="10" applyNumberFormat="0" applyAlignment="0" applyProtection="0"/>
    <xf numFmtId="43" fontId="38" fillId="0" borderId="0" applyFont="0" applyFill="0" applyBorder="0" applyAlignment="0" applyProtection="0"/>
    <xf numFmtId="0" fontId="47" fillId="0" borderId="0" applyNumberFormat="0" applyFill="0" applyBorder="0" applyAlignment="0" applyProtection="0"/>
    <xf numFmtId="0" fontId="48" fillId="13" borderId="0" applyNumberFormat="0" applyBorder="0" applyAlignment="0" applyProtection="0"/>
    <xf numFmtId="0" fontId="49" fillId="0" borderId="11" applyNumberFormat="0" applyFill="0" applyAlignment="0" applyProtection="0"/>
    <xf numFmtId="0" fontId="50" fillId="0" borderId="12" applyNumberFormat="0" applyFill="0" applyAlignment="0" applyProtection="0"/>
    <xf numFmtId="0" fontId="51" fillId="0" borderId="13" applyNumberFormat="0" applyFill="0" applyAlignment="0" applyProtection="0"/>
    <xf numFmtId="0" fontId="51" fillId="0" borderId="0" applyNumberFormat="0" applyFill="0" applyBorder="0" applyAlignment="0" applyProtection="0"/>
    <xf numFmtId="0" fontId="52" fillId="16" borderId="9" applyNumberFormat="0" applyAlignment="0" applyProtection="0"/>
    <xf numFmtId="0" fontId="53" fillId="0" borderId="14" applyNumberFormat="0" applyFill="0" applyAlignment="0" applyProtection="0"/>
    <xf numFmtId="0" fontId="54" fillId="31" borderId="0" applyNumberFormat="0" applyBorder="0" applyAlignment="0" applyProtection="0"/>
    <xf numFmtId="0" fontId="38" fillId="0" borderId="0"/>
    <xf numFmtId="0" fontId="24" fillId="32" borderId="15" applyNumberFormat="0" applyFont="0" applyAlignment="0" applyProtection="0"/>
    <xf numFmtId="0" fontId="38" fillId="32" borderId="15" applyNumberFormat="0" applyFont="0" applyAlignment="0" applyProtection="0"/>
    <xf numFmtId="0" fontId="55" fillId="29" borderId="16" applyNumberFormat="0" applyAlignment="0" applyProtection="0"/>
    <xf numFmtId="9" fontId="24" fillId="0" borderId="0" applyFont="0" applyFill="0" applyBorder="0" applyAlignment="0" applyProtection="0"/>
    <xf numFmtId="9" fontId="38" fillId="0" borderId="0" applyFont="0" applyFill="0" applyBorder="0" applyAlignment="0" applyProtection="0"/>
    <xf numFmtId="0" fontId="56" fillId="0" borderId="0" applyNumberFormat="0" applyFill="0" applyBorder="0" applyAlignment="0" applyProtection="0"/>
    <xf numFmtId="0" fontId="57" fillId="0" borderId="17" applyNumberFormat="0" applyFill="0" applyAlignment="0" applyProtection="0"/>
    <xf numFmtId="0" fontId="58" fillId="0" borderId="0" applyNumberFormat="0" applyFill="0" applyBorder="0" applyAlignment="0" applyProtection="0"/>
    <xf numFmtId="0" fontId="38" fillId="32" borderId="15" applyNumberFormat="0" applyFont="0" applyAlignment="0" applyProtection="0"/>
    <xf numFmtId="0" fontId="24" fillId="32" borderId="15" applyNumberFormat="0" applyFont="0" applyAlignment="0" applyProtection="0"/>
    <xf numFmtId="0" fontId="52" fillId="16" borderId="9" applyNumberFormat="0" applyAlignment="0" applyProtection="0"/>
    <xf numFmtId="0" fontId="45" fillId="29" borderId="9" applyNumberFormat="0" applyAlignment="0" applyProtection="0"/>
    <xf numFmtId="0" fontId="55" fillId="29" borderId="16" applyNumberFormat="0" applyAlignment="0" applyProtection="0"/>
    <xf numFmtId="0" fontId="57" fillId="0" borderId="17" applyNumberFormat="0" applyFill="0" applyAlignment="0" applyProtection="0"/>
    <xf numFmtId="164" fontId="59"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59" fillId="0" borderId="0"/>
    <xf numFmtId="166" fontId="30"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64" fontId="22" fillId="0" borderId="0"/>
    <xf numFmtId="164" fontId="22" fillId="0" borderId="0"/>
    <xf numFmtId="164"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164" fontId="22" fillId="0" borderId="0"/>
    <xf numFmtId="164" fontId="22" fillId="0" borderId="0"/>
    <xf numFmtId="164" fontId="22"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64" fontId="22" fillId="0" borderId="0"/>
    <xf numFmtId="164" fontId="22"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164" fontId="22"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164" fontId="22" fillId="0" borderId="0"/>
    <xf numFmtId="164" fontId="22"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0" borderId="8" applyNumberFormat="0" applyFont="0" applyAlignment="0" applyProtection="0"/>
    <xf numFmtId="164" fontId="59"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0" borderId="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22" fillId="0" borderId="0"/>
    <xf numFmtId="164" fontId="22" fillId="0" borderId="0"/>
    <xf numFmtId="164" fontId="22" fillId="0" borderId="0"/>
    <xf numFmtId="0" fontId="11" fillId="0" borderId="0"/>
    <xf numFmtId="0" fontId="11" fillId="0" borderId="0"/>
    <xf numFmtId="0" fontId="11" fillId="0" borderId="0"/>
    <xf numFmtId="0" fontId="11" fillId="0" borderId="0"/>
    <xf numFmtId="0" fontId="11"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 fontId="2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10" borderId="8" applyNumberFormat="0" applyFont="0" applyAlignment="0" applyProtection="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 fontId="2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 fontId="23"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59" fillId="0" borderId="0"/>
    <xf numFmtId="164" fontId="59" fillId="0" borderId="0"/>
    <xf numFmtId="166" fontId="30" fillId="0" borderId="0"/>
    <xf numFmtId="166" fontId="30" fillId="0" borderId="0"/>
    <xf numFmtId="166" fontId="30" fillId="0" borderId="0"/>
    <xf numFmtId="164" fontId="59" fillId="0" borderId="0"/>
    <xf numFmtId="164" fontId="59" fillId="0" borderId="0"/>
    <xf numFmtId="164" fontId="59" fillId="0" borderId="0"/>
    <xf numFmtId="164"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59" fillId="0" borderId="0"/>
    <xf numFmtId="164" fontId="59" fillId="0" borderId="0"/>
    <xf numFmtId="164" fontId="5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164" fontId="5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10" borderId="8"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8"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10" borderId="8" applyNumberFormat="0" applyFont="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 fontId="2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8" applyNumberFormat="0" applyFont="0" applyAlignment="0" applyProtection="0"/>
    <xf numFmtId="3" fontId="23"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8"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10" borderId="8" applyNumberFormat="0" applyFont="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 fontId="23" fillId="0" borderId="0"/>
    <xf numFmtId="164" fontId="59"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8"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8"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10" borderId="8" applyNumberFormat="0" applyFont="0" applyAlignment="0" applyProtection="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8"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8"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8"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10" borderId="8" applyNumberFormat="0" applyFont="0" applyAlignment="0" applyProtection="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0" fillId="0" borderId="0"/>
    <xf numFmtId="0" fontId="60" fillId="0" borderId="0"/>
    <xf numFmtId="0" fontId="60" fillId="0" borderId="0"/>
    <xf numFmtId="0" fontId="60" fillId="0" borderId="0"/>
    <xf numFmtId="0" fontId="60"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1" fillId="0" borderId="0"/>
    <xf numFmtId="0" fontId="61" fillId="0" borderId="0"/>
    <xf numFmtId="0" fontId="61" fillId="0" borderId="0"/>
    <xf numFmtId="0" fontId="6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0" borderId="8" applyNumberFormat="0" applyFont="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4" fillId="5" borderId="77">
      <protection locked="0"/>
    </xf>
    <xf numFmtId="37" fontId="24" fillId="0" borderId="77">
      <alignment horizontal="center" vertical="top"/>
      <protection locked="0"/>
    </xf>
    <xf numFmtId="38" fontId="32" fillId="6" borderId="77">
      <alignment horizontal="right"/>
    </xf>
    <xf numFmtId="38" fontId="32" fillId="3" borderId="77">
      <alignment horizontal="right"/>
    </xf>
    <xf numFmtId="3" fontId="23" fillId="0" borderId="0"/>
  </cellStyleXfs>
  <cellXfs count="617">
    <xf numFmtId="3" fontId="0" fillId="0" borderId="0" xfId="0"/>
    <xf numFmtId="49" fontId="31" fillId="39" borderId="0" xfId="0" applyNumberFormat="1" applyFont="1" applyFill="1" applyAlignment="1" applyProtection="1">
      <alignment horizontal="left"/>
      <protection locked="0"/>
    </xf>
    <xf numFmtId="1" fontId="24" fillId="39" borderId="0" xfId="0" applyNumberFormat="1" applyFont="1" applyFill="1" applyAlignment="1" applyProtection="1">
      <alignment horizontal="center"/>
      <protection locked="0"/>
    </xf>
    <xf numFmtId="49" fontId="27" fillId="39" borderId="0" xfId="0" applyNumberFormat="1" applyFont="1" applyFill="1" applyAlignment="1" applyProtection="1">
      <alignment horizontal="left"/>
      <protection locked="0"/>
    </xf>
    <xf numFmtId="49" fontId="24" fillId="39" borderId="0" xfId="0" applyNumberFormat="1" applyFont="1" applyFill="1" applyAlignment="1" applyProtection="1">
      <alignment horizontal="left"/>
      <protection locked="0"/>
    </xf>
    <xf numFmtId="49" fontId="24" fillId="39" borderId="0" xfId="0" applyNumberFormat="1" applyFont="1" applyFill="1" applyAlignment="1" applyProtection="1">
      <alignment horizontal="center"/>
      <protection locked="0"/>
    </xf>
    <xf numFmtId="49" fontId="27" fillId="37" borderId="0" xfId="0" applyNumberFormat="1" applyFont="1" applyFill="1" applyAlignment="1" applyProtection="1">
      <alignment horizontal="left"/>
      <protection locked="0"/>
    </xf>
    <xf numFmtId="1" fontId="24" fillId="37" borderId="0" xfId="0" applyNumberFormat="1" applyFont="1" applyFill="1" applyAlignment="1" applyProtection="1">
      <alignment horizontal="center"/>
      <protection locked="0"/>
    </xf>
    <xf numFmtId="49" fontId="24" fillId="37" borderId="0" xfId="0" applyNumberFormat="1" applyFont="1" applyFill="1" applyAlignment="1" applyProtection="1">
      <alignment horizontal="left"/>
      <protection locked="0"/>
    </xf>
    <xf numFmtId="49" fontId="24" fillId="37" borderId="0" xfId="0" applyNumberFormat="1" applyFont="1" applyFill="1" applyAlignment="1" applyProtection="1">
      <alignment horizontal="center"/>
      <protection locked="0"/>
    </xf>
    <xf numFmtId="49" fontId="24" fillId="36" borderId="0" xfId="0" applyNumberFormat="1" applyFont="1" applyFill="1" applyAlignment="1" applyProtection="1">
      <alignment horizontal="left"/>
      <protection locked="0"/>
    </xf>
    <xf numFmtId="49" fontId="24" fillId="35" borderId="0" xfId="0" applyNumberFormat="1" applyFont="1" applyFill="1" applyAlignment="1" applyProtection="1">
      <alignment horizontal="center"/>
      <protection locked="0"/>
    </xf>
    <xf numFmtId="49" fontId="31" fillId="35" borderId="0" xfId="0" applyNumberFormat="1" applyFont="1" applyFill="1" applyAlignment="1" applyProtection="1">
      <alignment horizontal="left"/>
      <protection locked="0"/>
    </xf>
    <xf numFmtId="1" fontId="24" fillId="35" borderId="0" xfId="0" applyNumberFormat="1" applyFont="1" applyFill="1" applyAlignment="1" applyProtection="1">
      <alignment horizontal="center"/>
      <protection locked="0"/>
    </xf>
    <xf numFmtId="49" fontId="24" fillId="35" borderId="0" xfId="0" applyNumberFormat="1" applyFont="1" applyFill="1" applyAlignment="1" applyProtection="1">
      <alignment horizontal="left"/>
      <protection locked="0"/>
    </xf>
    <xf numFmtId="3" fontId="24" fillId="0" borderId="0" xfId="0" applyFont="1"/>
    <xf numFmtId="49" fontId="24" fillId="12" borderId="0" xfId="0" applyNumberFormat="1" applyFont="1" applyFill="1" applyAlignment="1" applyProtection="1">
      <alignment horizontal="center"/>
      <protection locked="0"/>
    </xf>
    <xf numFmtId="49" fontId="24" fillId="12" borderId="0" xfId="0" applyNumberFormat="1" applyFont="1" applyFill="1" applyAlignment="1" applyProtection="1">
      <alignment horizontal="left"/>
      <protection locked="0"/>
    </xf>
    <xf numFmtId="49" fontId="27" fillId="12" borderId="0" xfId="0" applyNumberFormat="1" applyFont="1" applyFill="1" applyAlignment="1" applyProtection="1">
      <alignment horizontal="left"/>
      <protection locked="0"/>
    </xf>
    <xf numFmtId="1" fontId="24" fillId="12" borderId="0" xfId="0" applyNumberFormat="1" applyFont="1" applyFill="1" applyAlignment="1" applyProtection="1">
      <alignment horizontal="center"/>
      <protection locked="0"/>
    </xf>
    <xf numFmtId="49" fontId="27" fillId="33" borderId="0" xfId="0" applyNumberFormat="1" applyFont="1" applyFill="1" applyAlignment="1" applyProtection="1">
      <alignment horizontal="left"/>
      <protection locked="0"/>
    </xf>
    <xf numFmtId="3" fontId="24" fillId="12" borderId="0" xfId="0" applyFont="1" applyFill="1" applyProtection="1">
      <protection locked="0"/>
    </xf>
    <xf numFmtId="49" fontId="31" fillId="33" borderId="0" xfId="0" applyNumberFormat="1" applyFont="1" applyFill="1" applyAlignment="1" applyProtection="1">
      <alignment horizontal="left"/>
      <protection locked="0"/>
    </xf>
    <xf numFmtId="0" fontId="24" fillId="0" borderId="0" xfId="0" applyNumberFormat="1" applyFont="1" applyAlignment="1">
      <alignment horizontal="center"/>
    </xf>
    <xf numFmtId="49" fontId="27" fillId="17" borderId="0" xfId="0" applyNumberFormat="1" applyFont="1" applyFill="1" applyAlignment="1" applyProtection="1">
      <alignment horizontal="left"/>
      <protection locked="0"/>
    </xf>
    <xf numFmtId="1" fontId="24" fillId="17" borderId="0" xfId="0" applyNumberFormat="1" applyFont="1" applyFill="1" applyAlignment="1" applyProtection="1">
      <alignment horizontal="center"/>
      <protection locked="0"/>
    </xf>
    <xf numFmtId="49" fontId="24" fillId="17" borderId="0" xfId="0" applyNumberFormat="1" applyFont="1" applyFill="1" applyAlignment="1" applyProtection="1">
      <alignment horizontal="left"/>
      <protection locked="0"/>
    </xf>
    <xf numFmtId="49" fontId="31" fillId="17" borderId="0" xfId="0" applyNumberFormat="1" applyFont="1" applyFill="1" applyAlignment="1" applyProtection="1">
      <alignment horizontal="left"/>
      <protection locked="0"/>
    </xf>
    <xf numFmtId="0" fontId="24" fillId="17" borderId="0" xfId="0" applyNumberFormat="1" applyFont="1" applyFill="1" applyAlignment="1" applyProtection="1">
      <alignment horizontal="center"/>
      <protection locked="0"/>
    </xf>
    <xf numFmtId="3" fontId="24" fillId="17" borderId="0" xfId="0" applyFont="1" applyFill="1" applyProtection="1">
      <protection locked="0"/>
    </xf>
    <xf numFmtId="3" fontId="62" fillId="0" borderId="0" xfId="0" applyFont="1"/>
    <xf numFmtId="49" fontId="24" fillId="33" borderId="0" xfId="0" applyNumberFormat="1" applyFont="1" applyFill="1" applyAlignment="1" applyProtection="1">
      <alignment horizontal="left"/>
      <protection locked="0"/>
    </xf>
    <xf numFmtId="3" fontId="32" fillId="0" borderId="0" xfId="0" applyFont="1"/>
    <xf numFmtId="0" fontId="24" fillId="37" borderId="0" xfId="0" applyNumberFormat="1" applyFont="1" applyFill="1" applyAlignment="1" applyProtection="1">
      <alignment horizontal="center"/>
      <protection locked="0"/>
    </xf>
    <xf numFmtId="49" fontId="24" fillId="14" borderId="0" xfId="0" applyNumberFormat="1" applyFont="1" applyFill="1" applyAlignment="1" applyProtection="1">
      <alignment horizontal="left"/>
      <protection locked="0"/>
    </xf>
    <xf numFmtId="49" fontId="27" fillId="14" borderId="0" xfId="0" applyNumberFormat="1" applyFont="1" applyFill="1" applyAlignment="1" applyProtection="1">
      <alignment horizontal="left"/>
      <protection locked="0"/>
    </xf>
    <xf numFmtId="1" fontId="24" fillId="14" borderId="0" xfId="0" applyNumberFormat="1" applyFont="1" applyFill="1" applyAlignment="1" applyProtection="1">
      <alignment horizontal="center"/>
      <protection locked="0"/>
    </xf>
    <xf numFmtId="49" fontId="31" fillId="14" borderId="0" xfId="0" applyNumberFormat="1" applyFont="1" applyFill="1" applyAlignment="1" applyProtection="1">
      <alignment horizontal="left"/>
      <protection locked="0"/>
    </xf>
    <xf numFmtId="49" fontId="24" fillId="35" borderId="0" xfId="0" applyNumberFormat="1" applyFont="1" applyFill="1" applyProtection="1">
      <protection locked="0"/>
    </xf>
    <xf numFmtId="0" fontId="24" fillId="35" borderId="0" xfId="0" applyNumberFormat="1" applyFont="1" applyFill="1" applyAlignment="1" applyProtection="1">
      <alignment horizontal="center"/>
      <protection locked="0"/>
    </xf>
    <xf numFmtId="1" fontId="24" fillId="34" borderId="0" xfId="0" applyNumberFormat="1" applyFont="1" applyFill="1" applyAlignment="1" applyProtection="1">
      <alignment horizontal="center"/>
      <protection locked="0"/>
    </xf>
    <xf numFmtId="49" fontId="31" fillId="12" borderId="0" xfId="0" applyNumberFormat="1" applyFont="1" applyFill="1" applyAlignment="1" applyProtection="1">
      <alignment horizontal="left"/>
      <protection locked="0"/>
    </xf>
    <xf numFmtId="1" fontId="24" fillId="43" borderId="0" xfId="0" applyNumberFormat="1" applyFont="1" applyFill="1" applyAlignment="1" applyProtection="1">
      <alignment horizontal="center"/>
      <protection locked="0"/>
    </xf>
    <xf numFmtId="49" fontId="24" fillId="31" borderId="0" xfId="0" applyNumberFormat="1" applyFont="1" applyFill="1" applyAlignment="1" applyProtection="1">
      <alignment horizontal="left"/>
      <protection locked="0"/>
    </xf>
    <xf numFmtId="49" fontId="27" fillId="31" borderId="0" xfId="0" applyNumberFormat="1" applyFont="1" applyFill="1" applyAlignment="1" applyProtection="1">
      <alignment horizontal="left"/>
      <protection locked="0"/>
    </xf>
    <xf numFmtId="1" fontId="24" fillId="31" borderId="0" xfId="0" applyNumberFormat="1" applyFont="1" applyFill="1" applyAlignment="1" applyProtection="1">
      <alignment horizontal="center"/>
      <protection locked="0"/>
    </xf>
    <xf numFmtId="49" fontId="31" fillId="31" borderId="0" xfId="0" applyNumberFormat="1" applyFont="1" applyFill="1" applyAlignment="1" applyProtection="1">
      <alignment horizontal="left"/>
      <protection locked="0"/>
    </xf>
    <xf numFmtId="49" fontId="24" fillId="31" borderId="0" xfId="0" applyNumberFormat="1" applyFont="1" applyFill="1" applyAlignment="1" applyProtection="1">
      <alignment horizontal="center"/>
      <protection locked="0"/>
    </xf>
    <xf numFmtId="49" fontId="24" fillId="44" borderId="0" xfId="0" applyNumberFormat="1" applyFont="1" applyFill="1" applyAlignment="1" applyProtection="1">
      <alignment horizontal="left"/>
      <protection locked="0"/>
    </xf>
    <xf numFmtId="1" fontId="24" fillId="44" borderId="0" xfId="0" applyNumberFormat="1" applyFont="1" applyFill="1" applyAlignment="1" applyProtection="1">
      <alignment horizontal="center"/>
      <protection locked="0"/>
    </xf>
    <xf numFmtId="49" fontId="24" fillId="20" borderId="0" xfId="0" applyNumberFormat="1" applyFont="1" applyFill="1" applyAlignment="1" applyProtection="1">
      <alignment horizontal="left"/>
      <protection locked="0"/>
    </xf>
    <xf numFmtId="49" fontId="27" fillId="20" borderId="0" xfId="0" applyNumberFormat="1" applyFont="1" applyFill="1" applyAlignment="1" applyProtection="1">
      <alignment horizontal="left"/>
      <protection locked="0"/>
    </xf>
    <xf numFmtId="1" fontId="24" fillId="20" borderId="0" xfId="0" applyNumberFormat="1" applyFont="1" applyFill="1" applyAlignment="1" applyProtection="1">
      <alignment horizontal="center"/>
      <protection locked="0"/>
    </xf>
    <xf numFmtId="49" fontId="31" fillId="20" borderId="0" xfId="0" applyNumberFormat="1" applyFont="1" applyFill="1" applyAlignment="1" applyProtection="1">
      <alignment horizontal="left"/>
      <protection locked="0"/>
    </xf>
    <xf numFmtId="3" fontId="24" fillId="20" borderId="0" xfId="0" applyFont="1" applyFill="1" applyProtection="1">
      <protection locked="0"/>
    </xf>
    <xf numFmtId="1" fontId="24" fillId="45" borderId="0" xfId="0" applyNumberFormat="1" applyFont="1" applyFill="1" applyAlignment="1" applyProtection="1">
      <alignment horizontal="center"/>
      <protection locked="0"/>
    </xf>
    <xf numFmtId="49" fontId="24" fillId="45" borderId="0" xfId="0" applyNumberFormat="1" applyFont="1" applyFill="1" applyAlignment="1" applyProtection="1">
      <alignment horizontal="left"/>
      <protection locked="0"/>
    </xf>
    <xf numFmtId="49" fontId="27" fillId="45" borderId="0" xfId="0" applyNumberFormat="1" applyFont="1" applyFill="1" applyAlignment="1" applyProtection="1">
      <alignment horizontal="left"/>
      <protection locked="0"/>
    </xf>
    <xf numFmtId="3" fontId="24" fillId="0" borderId="0" xfId="0" applyFont="1" applyAlignment="1">
      <alignment vertical="center"/>
    </xf>
    <xf numFmtId="49" fontId="24" fillId="46" borderId="0" xfId="0" applyNumberFormat="1" applyFont="1" applyFill="1" applyAlignment="1" applyProtection="1">
      <alignment horizontal="left"/>
      <protection locked="0"/>
    </xf>
    <xf numFmtId="37" fontId="24" fillId="46" borderId="0" xfId="0" applyNumberFormat="1" applyFont="1" applyFill="1" applyProtection="1">
      <protection locked="0"/>
    </xf>
    <xf numFmtId="49" fontId="24" fillId="37" borderId="0" xfId="0" applyNumberFormat="1" applyFont="1" applyFill="1" applyProtection="1">
      <protection locked="0"/>
    </xf>
    <xf numFmtId="1" fontId="24" fillId="47" borderId="0" xfId="0" applyNumberFormat="1" applyFont="1" applyFill="1" applyAlignment="1" applyProtection="1">
      <alignment horizontal="center"/>
      <protection locked="0"/>
    </xf>
    <xf numFmtId="49" fontId="24" fillId="46" borderId="0" xfId="0" applyNumberFormat="1" applyFont="1" applyFill="1" applyProtection="1">
      <protection locked="0"/>
    </xf>
    <xf numFmtId="49" fontId="24" fillId="29" borderId="0" xfId="0" applyNumberFormat="1" applyFont="1" applyFill="1" applyProtection="1">
      <protection locked="0"/>
    </xf>
    <xf numFmtId="3" fontId="24" fillId="37" borderId="0" xfId="0" applyFont="1" applyFill="1" applyProtection="1">
      <protection locked="0"/>
    </xf>
    <xf numFmtId="49" fontId="24" fillId="48" borderId="0" xfId="0" applyNumberFormat="1" applyFont="1" applyFill="1" applyProtection="1">
      <protection locked="0"/>
    </xf>
    <xf numFmtId="49" fontId="24" fillId="23" borderId="0" xfId="0" applyNumberFormat="1" applyFont="1" applyFill="1" applyProtection="1">
      <protection locked="0"/>
    </xf>
    <xf numFmtId="1" fontId="31" fillId="37" borderId="0" xfId="0" applyNumberFormat="1" applyFont="1" applyFill="1" applyAlignment="1" applyProtection="1">
      <alignment horizontal="center"/>
      <protection locked="0"/>
    </xf>
    <xf numFmtId="49" fontId="27" fillId="48" borderId="0" xfId="0" applyNumberFormat="1" applyFont="1" applyFill="1" applyProtection="1">
      <protection locked="0"/>
    </xf>
    <xf numFmtId="49" fontId="27" fillId="29" borderId="0" xfId="0" applyNumberFormat="1" applyFont="1" applyFill="1" applyProtection="1">
      <protection locked="0"/>
    </xf>
    <xf numFmtId="49" fontId="27" fillId="49" borderId="0" xfId="0" applyNumberFormat="1" applyFont="1" applyFill="1" applyProtection="1">
      <protection locked="0"/>
    </xf>
    <xf numFmtId="49" fontId="27" fillId="23" borderId="0" xfId="0" applyNumberFormat="1" applyFont="1" applyFill="1" applyProtection="1">
      <protection locked="0"/>
    </xf>
    <xf numFmtId="49" fontId="27" fillId="50" borderId="0" xfId="0" applyNumberFormat="1" applyFont="1" applyFill="1" applyProtection="1">
      <protection locked="0"/>
    </xf>
    <xf numFmtId="49" fontId="27" fillId="51" borderId="0" xfId="0" applyNumberFormat="1" applyFont="1" applyFill="1" applyProtection="1">
      <protection locked="0"/>
    </xf>
    <xf numFmtId="3" fontId="24" fillId="0" borderId="24" xfId="0" applyFont="1" applyBorder="1"/>
    <xf numFmtId="3" fontId="24" fillId="55" borderId="0" xfId="0" applyFont="1" applyFill="1"/>
    <xf numFmtId="165" fontId="24" fillId="0" borderId="25" xfId="0" applyNumberFormat="1" applyFont="1" applyBorder="1"/>
    <xf numFmtId="165" fontId="24" fillId="0" borderId="26" xfId="0" applyNumberFormat="1" applyFont="1" applyBorder="1"/>
    <xf numFmtId="165" fontId="24" fillId="0" borderId="27" xfId="0" applyNumberFormat="1" applyFont="1" applyBorder="1"/>
    <xf numFmtId="165" fontId="24" fillId="0" borderId="28" xfId="0" applyNumberFormat="1" applyFont="1" applyBorder="1"/>
    <xf numFmtId="165" fontId="24" fillId="55" borderId="25" xfId="0" applyNumberFormat="1" applyFont="1" applyFill="1" applyBorder="1"/>
    <xf numFmtId="165" fontId="24" fillId="55" borderId="27" xfId="0" applyNumberFormat="1" applyFont="1" applyFill="1" applyBorder="1"/>
    <xf numFmtId="165" fontId="24" fillId="0" borderId="21" xfId="0" applyNumberFormat="1" applyFont="1" applyBorder="1"/>
    <xf numFmtId="165" fontId="24" fillId="0" borderId="22" xfId="0" applyNumberFormat="1" applyFont="1" applyBorder="1"/>
    <xf numFmtId="165" fontId="24" fillId="0" borderId="0" xfId="0" applyNumberFormat="1" applyFont="1"/>
    <xf numFmtId="165" fontId="24" fillId="0" borderId="29" xfId="0" applyNumberFormat="1" applyFont="1" applyBorder="1"/>
    <xf numFmtId="165" fontId="24" fillId="0" borderId="29" xfId="0" applyNumberFormat="1" applyFont="1" applyBorder="1" applyAlignment="1">
      <alignment wrapText="1"/>
    </xf>
    <xf numFmtId="165" fontId="24" fillId="55" borderId="29" xfId="0" applyNumberFormat="1" applyFont="1" applyFill="1" applyBorder="1"/>
    <xf numFmtId="165" fontId="24" fillId="55" borderId="30" xfId="0" applyNumberFormat="1" applyFont="1" applyFill="1" applyBorder="1"/>
    <xf numFmtId="165" fontId="24" fillId="0" borderId="20" xfId="0" applyNumberFormat="1" applyFont="1" applyBorder="1"/>
    <xf numFmtId="165" fontId="24" fillId="0" borderId="31" xfId="0" applyNumberFormat="1" applyFont="1" applyBorder="1"/>
    <xf numFmtId="165" fontId="24" fillId="0" borderId="30" xfId="0" applyNumberFormat="1" applyFont="1" applyBorder="1"/>
    <xf numFmtId="165" fontId="24" fillId="0" borderId="32" xfId="0" applyNumberFormat="1" applyFont="1" applyBorder="1"/>
    <xf numFmtId="165" fontId="24" fillId="0" borderId="33" xfId="0" applyNumberFormat="1" applyFont="1" applyBorder="1"/>
    <xf numFmtId="165" fontId="24" fillId="0" borderId="34" xfId="0" applyNumberFormat="1" applyFont="1" applyBorder="1" applyAlignment="1">
      <alignment wrapText="1"/>
    </xf>
    <xf numFmtId="165" fontId="24" fillId="0" borderId="32" xfId="0" applyNumberFormat="1" applyFont="1" applyBorder="1" applyAlignment="1">
      <alignment horizontal="right"/>
    </xf>
    <xf numFmtId="165" fontId="24" fillId="0" borderId="33" xfId="0" applyNumberFormat="1" applyFont="1" applyBorder="1" applyAlignment="1">
      <alignment horizontal="right"/>
    </xf>
    <xf numFmtId="165" fontId="24" fillId="0" borderId="2" xfId="0" applyNumberFormat="1" applyFont="1" applyBorder="1"/>
    <xf numFmtId="165" fontId="24" fillId="55" borderId="2" xfId="0" applyNumberFormat="1" applyFont="1" applyFill="1" applyBorder="1"/>
    <xf numFmtId="165" fontId="24" fillId="55" borderId="32" xfId="0" applyNumberFormat="1" applyFont="1" applyFill="1" applyBorder="1"/>
    <xf numFmtId="165" fontId="24" fillId="55" borderId="34" xfId="0" applyNumberFormat="1" applyFont="1" applyFill="1" applyBorder="1"/>
    <xf numFmtId="165" fontId="24" fillId="55" borderId="35" xfId="0" applyNumberFormat="1" applyFont="1" applyFill="1" applyBorder="1"/>
    <xf numFmtId="165" fontId="24" fillId="0" borderId="36" xfId="0" applyNumberFormat="1" applyFont="1" applyBorder="1"/>
    <xf numFmtId="165" fontId="27" fillId="0" borderId="29" xfId="0" applyNumberFormat="1" applyFont="1" applyBorder="1"/>
    <xf numFmtId="165" fontId="24" fillId="55" borderId="37" xfId="0" applyNumberFormat="1" applyFont="1" applyFill="1" applyBorder="1"/>
    <xf numFmtId="165" fontId="27" fillId="0" borderId="2" xfId="0" applyNumberFormat="1" applyFont="1" applyBorder="1"/>
    <xf numFmtId="165" fontId="24" fillId="0" borderId="38" xfId="0" applyNumberFormat="1" applyFont="1" applyBorder="1"/>
    <xf numFmtId="165" fontId="24" fillId="0" borderId="39" xfId="0" applyNumberFormat="1" applyFont="1" applyBorder="1"/>
    <xf numFmtId="165" fontId="24" fillId="55" borderId="39" xfId="0" applyNumberFormat="1" applyFont="1" applyFill="1" applyBorder="1"/>
    <xf numFmtId="165" fontId="24" fillId="55" borderId="40" xfId="0" applyNumberFormat="1" applyFont="1" applyFill="1" applyBorder="1"/>
    <xf numFmtId="165" fontId="24" fillId="0" borderId="41" xfId="0" applyNumberFormat="1" applyFont="1" applyBorder="1"/>
    <xf numFmtId="165" fontId="24" fillId="0" borderId="42" xfId="0" applyNumberFormat="1" applyFont="1" applyBorder="1"/>
    <xf numFmtId="167" fontId="27" fillId="0" borderId="38" xfId="0" applyNumberFormat="1" applyFont="1" applyBorder="1" applyAlignment="1">
      <alignment horizontal="right"/>
    </xf>
    <xf numFmtId="168" fontId="27" fillId="0" borderId="39" xfId="0" applyNumberFormat="1" applyFont="1" applyBorder="1" applyAlignment="1">
      <alignment horizontal="right"/>
    </xf>
    <xf numFmtId="168" fontId="27" fillId="0" borderId="0" xfId="0" applyNumberFormat="1" applyFont="1" applyAlignment="1">
      <alignment horizontal="right"/>
    </xf>
    <xf numFmtId="168" fontId="27" fillId="0" borderId="43" xfId="0" applyNumberFormat="1" applyFont="1" applyBorder="1" applyAlignment="1">
      <alignment horizontal="right"/>
    </xf>
    <xf numFmtId="168" fontId="27" fillId="55" borderId="39" xfId="0" applyNumberFormat="1" applyFont="1" applyFill="1" applyBorder="1" applyAlignment="1">
      <alignment horizontal="right"/>
    </xf>
    <xf numFmtId="168" fontId="27" fillId="55" borderId="40" xfId="0" applyNumberFormat="1" applyFont="1" applyFill="1" applyBorder="1" applyAlignment="1">
      <alignment horizontal="right"/>
    </xf>
    <xf numFmtId="167" fontId="27" fillId="0" borderId="41" xfId="0" applyNumberFormat="1" applyFont="1" applyBorder="1" applyAlignment="1">
      <alignment horizontal="right"/>
    </xf>
    <xf numFmtId="167" fontId="27" fillId="0" borderId="42" xfId="0" applyNumberFormat="1" applyFont="1" applyBorder="1" applyAlignment="1">
      <alignment horizontal="right"/>
    </xf>
    <xf numFmtId="165" fontId="24" fillId="0" borderId="43" xfId="0" applyNumberFormat="1" applyFont="1" applyBorder="1"/>
    <xf numFmtId="165" fontId="24" fillId="55" borderId="38" xfId="0" applyNumberFormat="1" applyFont="1" applyFill="1" applyBorder="1"/>
    <xf numFmtId="165" fontId="27" fillId="0" borderId="34" xfId="0" applyNumberFormat="1" applyFont="1" applyBorder="1"/>
    <xf numFmtId="165" fontId="27" fillId="0" borderId="44" xfId="0" applyNumberFormat="1" applyFont="1" applyBorder="1" applyAlignment="1">
      <alignment horizontal="right"/>
    </xf>
    <xf numFmtId="43" fontId="24" fillId="0" borderId="0" xfId="0" applyNumberFormat="1" applyFont="1"/>
    <xf numFmtId="43" fontId="24" fillId="0" borderId="39" xfId="0" applyNumberFormat="1" applyFont="1" applyBorder="1"/>
    <xf numFmtId="167" fontId="64" fillId="0" borderId="0" xfId="0" applyNumberFormat="1" applyFont="1"/>
    <xf numFmtId="3" fontId="64" fillId="0" borderId="0" xfId="0" applyFont="1"/>
    <xf numFmtId="3" fontId="31" fillId="0" borderId="0" xfId="0" applyFont="1"/>
    <xf numFmtId="167" fontId="31" fillId="0" borderId="0" xfId="0" applyNumberFormat="1" applyFont="1"/>
    <xf numFmtId="165" fontId="24" fillId="0" borderId="37" xfId="0" applyNumberFormat="1" applyFont="1" applyBorder="1"/>
    <xf numFmtId="165" fontId="24" fillId="0" borderId="40" xfId="0" applyNumberFormat="1" applyFont="1" applyBorder="1"/>
    <xf numFmtId="168" fontId="27" fillId="0" borderId="40" xfId="0" applyNumberFormat="1" applyFont="1" applyBorder="1" applyAlignment="1">
      <alignment horizontal="right"/>
    </xf>
    <xf numFmtId="167" fontId="27" fillId="0" borderId="20" xfId="0" applyNumberFormat="1" applyFont="1" applyBorder="1"/>
    <xf numFmtId="167" fontId="27" fillId="0" borderId="31" xfId="0" applyNumberFormat="1" applyFont="1" applyBorder="1"/>
    <xf numFmtId="167" fontId="27" fillId="0" borderId="20" xfId="0" applyNumberFormat="1" applyFont="1" applyBorder="1" applyAlignment="1">
      <alignment horizontal="right"/>
    </xf>
    <xf numFmtId="167" fontId="27" fillId="0" borderId="31" xfId="0" applyNumberFormat="1" applyFont="1" applyBorder="1" applyAlignment="1">
      <alignment horizontal="right"/>
    </xf>
    <xf numFmtId="165" fontId="24" fillId="0" borderId="45" xfId="0" applyNumberFormat="1" applyFont="1" applyBorder="1"/>
    <xf numFmtId="165" fontId="24" fillId="0" borderId="46" xfId="0" applyNumberFormat="1" applyFont="1" applyBorder="1"/>
    <xf numFmtId="3" fontId="24" fillId="0" borderId="47" xfId="0" applyFont="1" applyBorder="1"/>
    <xf numFmtId="3" fontId="65" fillId="0" borderId="0" xfId="0" applyFont="1"/>
    <xf numFmtId="167" fontId="24" fillId="0" borderId="0" xfId="0" applyNumberFormat="1" applyFont="1"/>
    <xf numFmtId="3" fontId="24" fillId="0" borderId="29" xfId="0" applyFont="1" applyBorder="1"/>
    <xf numFmtId="3" fontId="24" fillId="0" borderId="25" xfId="0" applyFont="1" applyBorder="1"/>
    <xf numFmtId="3" fontId="24" fillId="55" borderId="25" xfId="0" applyFont="1" applyFill="1" applyBorder="1"/>
    <xf numFmtId="3" fontId="24" fillId="55" borderId="27" xfId="0" applyFont="1" applyFill="1" applyBorder="1"/>
    <xf numFmtId="3" fontId="24" fillId="0" borderId="21" xfId="0" applyFont="1" applyBorder="1"/>
    <xf numFmtId="3" fontId="24" fillId="0" borderId="22" xfId="0" applyFont="1" applyBorder="1"/>
    <xf numFmtId="3" fontId="24" fillId="0" borderId="2" xfId="0" applyFont="1" applyBorder="1"/>
    <xf numFmtId="3" fontId="24" fillId="0" borderId="23" xfId="0" applyFont="1" applyBorder="1"/>
    <xf numFmtId="3" fontId="24" fillId="55" borderId="29" xfId="0" applyFont="1" applyFill="1" applyBorder="1"/>
    <xf numFmtId="3" fontId="24" fillId="55" borderId="30" xfId="0" applyFont="1" applyFill="1" applyBorder="1"/>
    <xf numFmtId="3" fontId="24" fillId="0" borderId="20" xfId="0" applyFont="1" applyBorder="1"/>
    <xf numFmtId="3" fontId="24" fillId="0" borderId="31" xfId="0" applyFont="1" applyBorder="1"/>
    <xf numFmtId="3" fontId="24" fillId="0" borderId="28" xfId="0" applyFont="1" applyBorder="1"/>
    <xf numFmtId="3" fontId="24" fillId="55" borderId="2" xfId="0" applyFont="1" applyFill="1" applyBorder="1"/>
    <xf numFmtId="3" fontId="24" fillId="55" borderId="35" xfId="0" applyFont="1" applyFill="1" applyBorder="1"/>
    <xf numFmtId="3" fontId="24" fillId="0" borderId="36" xfId="0" applyFont="1" applyBorder="1"/>
    <xf numFmtId="3" fontId="27" fillId="0" borderId="29" xfId="0" applyFont="1" applyBorder="1"/>
    <xf numFmtId="3" fontId="27" fillId="0" borderId="2" xfId="0" applyFont="1" applyBorder="1"/>
    <xf numFmtId="3" fontId="24" fillId="0" borderId="39" xfId="0" applyFont="1" applyBorder="1"/>
    <xf numFmtId="3" fontId="24" fillId="55" borderId="39" xfId="0" applyFont="1" applyFill="1" applyBorder="1"/>
    <xf numFmtId="3" fontId="24" fillId="55" borderId="38" xfId="0" applyFont="1" applyFill="1" applyBorder="1"/>
    <xf numFmtId="3" fontId="24" fillId="0" borderId="41" xfId="0" applyFont="1" applyBorder="1"/>
    <xf numFmtId="3" fontId="24" fillId="0" borderId="42" xfId="0" applyFont="1" applyBorder="1"/>
    <xf numFmtId="168" fontId="27" fillId="0" borderId="39" xfId="0" applyNumberFormat="1" applyFont="1" applyBorder="1"/>
    <xf numFmtId="168" fontId="27" fillId="0" borderId="0" xfId="0" applyNumberFormat="1" applyFont="1"/>
    <xf numFmtId="168" fontId="27" fillId="55" borderId="39" xfId="0" applyNumberFormat="1" applyFont="1" applyFill="1" applyBorder="1"/>
    <xf numFmtId="168" fontId="27" fillId="55" borderId="38" xfId="0" applyNumberFormat="1" applyFont="1" applyFill="1" applyBorder="1"/>
    <xf numFmtId="168" fontId="27" fillId="0" borderId="48" xfId="0" applyNumberFormat="1" applyFont="1" applyBorder="1"/>
    <xf numFmtId="168" fontId="27" fillId="55" borderId="48" xfId="0" applyNumberFormat="1" applyFont="1" applyFill="1" applyBorder="1"/>
    <xf numFmtId="168" fontId="27" fillId="55" borderId="44" xfId="0" applyNumberFormat="1" applyFont="1" applyFill="1" applyBorder="1"/>
    <xf numFmtId="3" fontId="27" fillId="0" borderId="34" xfId="0" applyFont="1" applyBorder="1"/>
    <xf numFmtId="3" fontId="31" fillId="0" borderId="39" xfId="0" applyFont="1" applyBorder="1"/>
    <xf numFmtId="168" fontId="31" fillId="0" borderId="49" xfId="0" applyNumberFormat="1" applyFont="1" applyBorder="1"/>
    <xf numFmtId="168" fontId="31" fillId="0" borderId="47" xfId="0" applyNumberFormat="1" applyFont="1" applyBorder="1"/>
    <xf numFmtId="168" fontId="31" fillId="55" borderId="49" xfId="0" applyNumberFormat="1" applyFont="1" applyFill="1" applyBorder="1"/>
    <xf numFmtId="168" fontId="31" fillId="55" borderId="50" xfId="0" applyNumberFormat="1" applyFont="1" applyFill="1" applyBorder="1"/>
    <xf numFmtId="168" fontId="27" fillId="0" borderId="20" xfId="0" applyNumberFormat="1" applyFont="1" applyBorder="1"/>
    <xf numFmtId="168" fontId="27" fillId="0" borderId="31" xfId="0" applyNumberFormat="1" applyFont="1" applyBorder="1"/>
    <xf numFmtId="3" fontId="24" fillId="0" borderId="45" xfId="0" applyFont="1" applyBorder="1"/>
    <xf numFmtId="3" fontId="24" fillId="0" borderId="46" xfId="0" applyFont="1" applyBorder="1"/>
    <xf numFmtId="3" fontId="63" fillId="8" borderId="39" xfId="0" applyFont="1" applyFill="1" applyBorder="1"/>
    <xf numFmtId="37" fontId="26" fillId="0" borderId="0" xfId="0" applyNumberFormat="1" applyFont="1" applyAlignment="1">
      <alignment horizontal="centerContinuous"/>
    </xf>
    <xf numFmtId="3" fontId="67" fillId="0" borderId="0" xfId="0" applyFont="1" applyAlignment="1">
      <alignment horizontal="centerContinuous"/>
    </xf>
    <xf numFmtId="3" fontId="25" fillId="0" borderId="0" xfId="0" applyFont="1" applyAlignment="1">
      <alignment horizontal="centerContinuous"/>
    </xf>
    <xf numFmtId="3" fontId="24" fillId="0" borderId="0" xfId="0" applyFont="1" applyAlignment="1">
      <alignment horizontal="centerContinuous"/>
    </xf>
    <xf numFmtId="3" fontId="68" fillId="0" borderId="0" xfId="0" applyFont="1" applyAlignment="1">
      <alignment horizontal="centerContinuous"/>
    </xf>
    <xf numFmtId="3" fontId="69" fillId="0" borderId="0" xfId="0" applyFont="1" applyAlignment="1">
      <alignment horizontal="centerContinuous"/>
    </xf>
    <xf numFmtId="37" fontId="68" fillId="0" borderId="0" xfId="0" applyNumberFormat="1" applyFont="1" applyAlignment="1">
      <alignment horizontal="centerContinuous"/>
    </xf>
    <xf numFmtId="3" fontId="70" fillId="0" borderId="0" xfId="0" applyFont="1" applyAlignment="1">
      <alignment horizontal="centerContinuous"/>
    </xf>
    <xf numFmtId="37" fontId="27" fillId="0" borderId="28" xfId="0" applyNumberFormat="1" applyFont="1" applyBorder="1" applyAlignment="1">
      <alignment horizontal="centerContinuous"/>
    </xf>
    <xf numFmtId="37" fontId="71" fillId="0" borderId="51" xfId="0" applyNumberFormat="1" applyFont="1" applyBorder="1" applyAlignment="1">
      <alignment horizontal="centerContinuous"/>
    </xf>
    <xf numFmtId="3" fontId="72" fillId="0" borderId="51" xfId="0" applyFont="1" applyBorder="1" applyAlignment="1">
      <alignment horizontal="centerContinuous"/>
    </xf>
    <xf numFmtId="3" fontId="72" fillId="0" borderId="28" xfId="0" applyFont="1" applyBorder="1" applyAlignment="1">
      <alignment horizontal="centerContinuous"/>
    </xf>
    <xf numFmtId="3" fontId="72" fillId="0" borderId="33" xfId="0" applyFont="1" applyBorder="1" applyAlignment="1">
      <alignment horizontal="centerContinuous"/>
    </xf>
    <xf numFmtId="37" fontId="27" fillId="0" borderId="33" xfId="0" applyNumberFormat="1" applyFont="1" applyBorder="1" applyAlignment="1">
      <alignment horizontal="center"/>
    </xf>
    <xf numFmtId="37" fontId="71" fillId="0" borderId="33" xfId="0" applyNumberFormat="1" applyFont="1" applyBorder="1" applyAlignment="1">
      <alignment horizontal="centerContinuous"/>
    </xf>
    <xf numFmtId="37" fontId="71" fillId="0" borderId="52" xfId="0" applyNumberFormat="1" applyFont="1" applyBorder="1" applyAlignment="1">
      <alignment horizontal="centerContinuous"/>
    </xf>
    <xf numFmtId="37" fontId="71" fillId="0" borderId="53" xfId="0" applyNumberFormat="1" applyFont="1" applyBorder="1" applyAlignment="1">
      <alignment horizontal="centerContinuous" wrapText="1"/>
    </xf>
    <xf numFmtId="37" fontId="24" fillId="0" borderId="0" xfId="0" quotePrefix="1" applyNumberFormat="1" applyFont="1" applyAlignment="1">
      <alignment horizontal="left"/>
    </xf>
    <xf numFmtId="3" fontId="24" fillId="0" borderId="53" xfId="0" applyFont="1" applyBorder="1"/>
    <xf numFmtId="3" fontId="24" fillId="0" borderId="54" xfId="0" applyFont="1" applyBorder="1"/>
    <xf numFmtId="3" fontId="24" fillId="0" borderId="55" xfId="0" applyFont="1" applyBorder="1" applyAlignment="1">
      <alignment horizontal="center"/>
    </xf>
    <xf numFmtId="37" fontId="27" fillId="0" borderId="53" xfId="0" applyNumberFormat="1" applyFont="1" applyBorder="1" applyAlignment="1">
      <alignment horizontal="center"/>
    </xf>
    <xf numFmtId="37" fontId="71" fillId="0" borderId="53" xfId="0" applyNumberFormat="1" applyFont="1" applyBorder="1" applyAlignment="1">
      <alignment horizontal="center"/>
    </xf>
    <xf numFmtId="37" fontId="71" fillId="0" borderId="53" xfId="0" applyNumberFormat="1" applyFont="1" applyBorder="1" applyAlignment="1">
      <alignment horizontal="center" wrapText="1"/>
    </xf>
    <xf numFmtId="37" fontId="71" fillId="0" borderId="54" xfId="0" applyNumberFormat="1" applyFont="1" applyBorder="1" applyAlignment="1">
      <alignment horizontal="center"/>
    </xf>
    <xf numFmtId="3" fontId="27" fillId="0" borderId="55" xfId="0" applyFont="1" applyBorder="1"/>
    <xf numFmtId="3" fontId="24" fillId="0" borderId="55" xfId="0" applyFont="1" applyBorder="1" applyAlignment="1">
      <alignment horizontal="right" wrapText="1"/>
    </xf>
    <xf numFmtId="3" fontId="24" fillId="0" borderId="56" xfId="0" applyFont="1" applyBorder="1" applyAlignment="1">
      <alignment horizontal="right" wrapText="1"/>
    </xf>
    <xf numFmtId="3" fontId="24" fillId="0" borderId="55" xfId="0" applyFont="1" applyBorder="1" applyAlignment="1">
      <alignment wrapText="1"/>
    </xf>
    <xf numFmtId="37" fontId="24" fillId="0" borderId="0" xfId="0" quotePrefix="1" applyNumberFormat="1" applyFont="1" applyAlignment="1">
      <alignment horizontal="right"/>
    </xf>
    <xf numFmtId="168" fontId="24" fillId="0" borderId="0" xfId="24" quotePrefix="1" applyNumberFormat="1" applyFont="1" applyAlignment="1">
      <alignment horizontal="right"/>
    </xf>
    <xf numFmtId="37" fontId="24" fillId="0" borderId="43" xfId="0" quotePrefix="1" applyNumberFormat="1" applyFont="1" applyBorder="1" applyAlignment="1">
      <alignment horizontal="right"/>
    </xf>
    <xf numFmtId="37" fontId="24" fillId="0" borderId="43" xfId="0" applyNumberFormat="1" applyFont="1" applyBorder="1" applyAlignment="1">
      <alignment horizontal="right"/>
    </xf>
    <xf numFmtId="10" fontId="24" fillId="0" borderId="47" xfId="24" applyNumberFormat="1" applyFont="1" applyBorder="1"/>
    <xf numFmtId="2" fontId="73" fillId="38" borderId="57" xfId="18" applyNumberFormat="1" applyFont="1" applyFill="1" applyBorder="1" applyAlignment="1">
      <alignment horizontal="center"/>
    </xf>
    <xf numFmtId="10" fontId="24" fillId="0" borderId="43" xfId="24" applyNumberFormat="1" applyFont="1" applyBorder="1"/>
    <xf numFmtId="3" fontId="24" fillId="0" borderId="58" xfId="0" applyFont="1" applyBorder="1"/>
    <xf numFmtId="37" fontId="74" fillId="0" borderId="0" xfId="0" quotePrefix="1" applyNumberFormat="1" applyFont="1" applyAlignment="1">
      <alignment horizontal="right"/>
    </xf>
    <xf numFmtId="168" fontId="74" fillId="0" borderId="0" xfId="24" quotePrefix="1" applyNumberFormat="1" applyFont="1" applyAlignment="1">
      <alignment horizontal="right"/>
    </xf>
    <xf numFmtId="37" fontId="74" fillId="0" borderId="43" xfId="0" quotePrefix="1" applyNumberFormat="1" applyFont="1" applyBorder="1" applyAlignment="1">
      <alignment horizontal="right"/>
    </xf>
    <xf numFmtId="10" fontId="74" fillId="0" borderId="0" xfId="24" quotePrefix="1" applyNumberFormat="1" applyFont="1"/>
    <xf numFmtId="2" fontId="73" fillId="38" borderId="58" xfId="24" applyNumberFormat="1" applyFont="1" applyFill="1" applyBorder="1" applyAlignment="1">
      <alignment horizontal="center"/>
    </xf>
    <xf numFmtId="10" fontId="74" fillId="0" borderId="43" xfId="24" quotePrefix="1" applyNumberFormat="1" applyFont="1" applyBorder="1"/>
    <xf numFmtId="37" fontId="24" fillId="0" borderId="0" xfId="0" applyNumberFormat="1" applyFont="1" applyAlignment="1">
      <alignment horizontal="right"/>
    </xf>
    <xf numFmtId="168" fontId="24" fillId="0" borderId="0" xfId="24" applyNumberFormat="1" applyFont="1" applyAlignment="1">
      <alignment horizontal="right"/>
    </xf>
    <xf numFmtId="10" fontId="24" fillId="0" borderId="0" xfId="24" applyNumberFormat="1" applyFont="1"/>
    <xf numFmtId="2" fontId="73" fillId="38" borderId="58" xfId="18" applyNumberFormat="1" applyFont="1" applyFill="1" applyBorder="1" applyAlignment="1">
      <alignment horizontal="center"/>
    </xf>
    <xf numFmtId="4" fontId="75" fillId="0" borderId="0" xfId="0" applyNumberFormat="1" applyFont="1"/>
    <xf numFmtId="169" fontId="73" fillId="38" borderId="58" xfId="18" applyNumberFormat="1" applyFont="1" applyFill="1" applyBorder="1" applyAlignment="1">
      <alignment horizontal="center"/>
    </xf>
    <xf numFmtId="10" fontId="24" fillId="0" borderId="0" xfId="24" applyNumberFormat="1" applyFont="1" applyAlignment="1">
      <alignment horizontal="right"/>
    </xf>
    <xf numFmtId="3" fontId="24" fillId="0" borderId="55" xfId="0" applyFont="1" applyBorder="1"/>
    <xf numFmtId="37" fontId="24" fillId="0" borderId="55" xfId="0" applyNumberFormat="1" applyFont="1" applyBorder="1" applyAlignment="1">
      <alignment horizontal="right"/>
    </xf>
    <xf numFmtId="168" fontId="24" fillId="0" borderId="55" xfId="24" applyNumberFormat="1" applyFont="1" applyBorder="1" applyAlignment="1">
      <alignment horizontal="right"/>
    </xf>
    <xf numFmtId="37" fontId="24" fillId="0" borderId="56" xfId="0" applyNumberFormat="1" applyFont="1" applyBorder="1" applyAlignment="1">
      <alignment horizontal="right"/>
    </xf>
    <xf numFmtId="168" fontId="24" fillId="0" borderId="59" xfId="24" applyNumberFormat="1" applyFont="1" applyBorder="1" applyAlignment="1">
      <alignment horizontal="right"/>
    </xf>
    <xf numFmtId="10" fontId="24" fillId="0" borderId="55" xfId="24" applyNumberFormat="1" applyFont="1" applyBorder="1"/>
    <xf numFmtId="2" fontId="73" fillId="38" borderId="59" xfId="18" applyNumberFormat="1" applyFont="1" applyFill="1" applyBorder="1" applyAlignment="1">
      <alignment horizontal="center"/>
    </xf>
    <xf numFmtId="10" fontId="24" fillId="0" borderId="56" xfId="24" applyNumberFormat="1" applyFont="1" applyBorder="1"/>
    <xf numFmtId="3" fontId="24" fillId="0" borderId="59" xfId="0" applyFont="1" applyBorder="1"/>
    <xf numFmtId="4" fontId="75" fillId="0" borderId="55" xfId="0" applyNumberFormat="1" applyFont="1" applyBorder="1"/>
    <xf numFmtId="4" fontId="75" fillId="0" borderId="56" xfId="0" applyNumberFormat="1" applyFont="1" applyBorder="1"/>
    <xf numFmtId="37" fontId="0" fillId="0" borderId="0" xfId="0" applyNumberFormat="1" applyAlignment="1">
      <alignment horizontal="left"/>
    </xf>
    <xf numFmtId="3" fontId="23" fillId="0" borderId="0" xfId="0" applyFont="1"/>
    <xf numFmtId="17" fontId="0" fillId="0" borderId="0" xfId="0" quotePrefix="1" applyNumberFormat="1" applyAlignment="1">
      <alignment horizontal="right"/>
    </xf>
    <xf numFmtId="39" fontId="68" fillId="0" borderId="0" xfId="0" applyNumberFormat="1" applyFont="1" applyAlignment="1">
      <alignment horizontal="centerContinuous"/>
    </xf>
    <xf numFmtId="37" fontId="71" fillId="0" borderId="28" xfId="0" applyNumberFormat="1" applyFont="1" applyBorder="1"/>
    <xf numFmtId="37" fontId="71" fillId="0" borderId="33" xfId="0" applyNumberFormat="1" applyFont="1" applyBorder="1" applyAlignment="1">
      <alignment horizontal="center"/>
    </xf>
    <xf numFmtId="37" fontId="71" fillId="0" borderId="33" xfId="0" applyNumberFormat="1" applyFont="1" applyBorder="1" applyAlignment="1">
      <alignment horizontal="right"/>
    </xf>
    <xf numFmtId="37" fontId="71" fillId="0" borderId="60" xfId="0" applyNumberFormat="1" applyFont="1" applyBorder="1" applyAlignment="1">
      <alignment horizontal="right"/>
    </xf>
    <xf numFmtId="3" fontId="24" fillId="0" borderId="0" xfId="18" applyNumberFormat="1" applyFont="1" applyAlignment="1">
      <alignment horizontal="right"/>
    </xf>
    <xf numFmtId="3" fontId="24" fillId="0" borderId="58" xfId="18" applyNumberFormat="1" applyFont="1" applyBorder="1" applyAlignment="1">
      <alignment horizontal="right"/>
    </xf>
    <xf numFmtId="3" fontId="69" fillId="0" borderId="0" xfId="0" applyFont="1"/>
    <xf numFmtId="3" fontId="24" fillId="0" borderId="55" xfId="18" applyNumberFormat="1" applyFont="1" applyBorder="1" applyAlignment="1">
      <alignment horizontal="right"/>
    </xf>
    <xf numFmtId="3" fontId="24" fillId="0" borderId="59" xfId="18" applyNumberFormat="1" applyFont="1" applyBorder="1" applyAlignment="1">
      <alignment horizontal="right"/>
    </xf>
    <xf numFmtId="37" fontId="0" fillId="0" borderId="0" xfId="0" applyNumberFormat="1" applyAlignment="1">
      <alignment vertical="top" wrapText="1"/>
    </xf>
    <xf numFmtId="37" fontId="23" fillId="0" borderId="0" xfId="0" applyNumberFormat="1" applyFont="1" applyAlignment="1">
      <alignment horizontal="left"/>
    </xf>
    <xf numFmtId="49" fontId="0" fillId="0" borderId="0" xfId="0" applyNumberFormat="1" applyAlignment="1">
      <alignment horizontal="right"/>
    </xf>
    <xf numFmtId="37" fontId="25" fillId="0" borderId="0" xfId="0" applyNumberFormat="1" applyFont="1" applyAlignment="1">
      <alignment horizontal="centerContinuous"/>
    </xf>
    <xf numFmtId="37" fontId="76" fillId="0" borderId="51" xfId="0" applyNumberFormat="1" applyFont="1" applyBorder="1" applyAlignment="1">
      <alignment horizontal="center"/>
    </xf>
    <xf numFmtId="3" fontId="77" fillId="0" borderId="51" xfId="0" applyFont="1" applyBorder="1" applyAlignment="1">
      <alignment horizontal="center"/>
    </xf>
    <xf numFmtId="3" fontId="77" fillId="0" borderId="28" xfId="0" applyFont="1" applyBorder="1" applyAlignment="1">
      <alignment horizontal="center"/>
    </xf>
    <xf numFmtId="37" fontId="76" fillId="0" borderId="33" xfId="0" applyNumberFormat="1" applyFont="1" applyBorder="1" applyAlignment="1">
      <alignment horizontal="right"/>
    </xf>
    <xf numFmtId="37" fontId="76" fillId="0" borderId="51" xfId="0" applyNumberFormat="1" applyFont="1" applyBorder="1" applyAlignment="1">
      <alignment horizontal="right"/>
    </xf>
    <xf numFmtId="37" fontId="76" fillId="0" borderId="61" xfId="0" applyNumberFormat="1" applyFont="1" applyBorder="1" applyAlignment="1">
      <alignment horizontal="right"/>
    </xf>
    <xf numFmtId="37" fontId="26" fillId="0" borderId="0" xfId="0" applyNumberFormat="1" applyFont="1" applyAlignment="1">
      <alignment horizontal="center"/>
    </xf>
    <xf numFmtId="37" fontId="68" fillId="0" borderId="0" xfId="0" applyNumberFormat="1" applyFont="1" applyAlignment="1">
      <alignment horizontal="center"/>
    </xf>
    <xf numFmtId="37" fontId="68" fillId="0" borderId="0" xfId="0" applyNumberFormat="1" applyFont="1" applyAlignment="1">
      <alignment horizontal="left"/>
    </xf>
    <xf numFmtId="3" fontId="24" fillId="0" borderId="0" xfId="0" applyFont="1" applyAlignment="1">
      <alignment horizontal="left"/>
    </xf>
    <xf numFmtId="37" fontId="27" fillId="0" borderId="28" xfId="0" applyNumberFormat="1" applyFont="1" applyBorder="1"/>
    <xf numFmtId="37" fontId="71" fillId="0" borderId="28" xfId="0" applyNumberFormat="1" applyFont="1" applyBorder="1" applyAlignment="1">
      <alignment horizontal="centerContinuous"/>
    </xf>
    <xf numFmtId="3" fontId="72" fillId="0" borderId="62" xfId="0" applyFont="1" applyBorder="1" applyAlignment="1">
      <alignment horizontal="centerContinuous"/>
    </xf>
    <xf numFmtId="37" fontId="71" fillId="0" borderId="29" xfId="0" applyNumberFormat="1" applyFont="1" applyBorder="1" applyAlignment="1">
      <alignment horizontal="centerContinuous"/>
    </xf>
    <xf numFmtId="3" fontId="24" fillId="0" borderId="51" xfId="0" applyFont="1" applyBorder="1" applyAlignment="1">
      <alignment horizontal="centerContinuous"/>
    </xf>
    <xf numFmtId="37" fontId="71" fillId="0" borderId="29" xfId="0" applyNumberFormat="1" applyFont="1" applyBorder="1" applyAlignment="1">
      <alignment horizontal="centerContinuous" vertical="center"/>
    </xf>
    <xf numFmtId="3" fontId="72" fillId="0" borderId="28" xfId="0" applyFont="1" applyBorder="1" applyAlignment="1">
      <alignment horizontal="centerContinuous" vertical="center"/>
    </xf>
    <xf numFmtId="3" fontId="24" fillId="0" borderId="51" xfId="0" applyFont="1" applyBorder="1" applyAlignment="1">
      <alignment horizontal="centerContinuous" vertical="center"/>
    </xf>
    <xf numFmtId="37" fontId="71" fillId="0" borderId="33" xfId="0" applyNumberFormat="1" applyFont="1" applyBorder="1" applyAlignment="1">
      <alignment horizontal="center" wrapText="1"/>
    </xf>
    <xf numFmtId="37" fontId="71" fillId="0" borderId="63" xfId="0" applyNumberFormat="1" applyFont="1" applyBorder="1" applyAlignment="1">
      <alignment horizontal="right"/>
    </xf>
    <xf numFmtId="37" fontId="71" fillId="0" borderId="61" xfId="0" applyNumberFormat="1" applyFont="1" applyBorder="1" applyAlignment="1">
      <alignment horizontal="center" wrapText="1"/>
    </xf>
    <xf numFmtId="37" fontId="71" fillId="0" borderId="51" xfId="0" applyNumberFormat="1" applyFont="1" applyBorder="1" applyAlignment="1">
      <alignment horizontal="right"/>
    </xf>
    <xf numFmtId="37" fontId="71" fillId="0" borderId="0" xfId="0" applyNumberFormat="1" applyFont="1" applyAlignment="1">
      <alignment horizontal="right"/>
    </xf>
    <xf numFmtId="37" fontId="24" fillId="0" borderId="64" xfId="0" applyNumberFormat="1" applyFont="1" applyBorder="1" applyAlignment="1">
      <alignment horizontal="right"/>
    </xf>
    <xf numFmtId="37" fontId="24" fillId="0" borderId="39" xfId="0" applyNumberFormat="1" applyFont="1" applyBorder="1" applyAlignment="1">
      <alignment horizontal="right"/>
    </xf>
    <xf numFmtId="37" fontId="24" fillId="0" borderId="60" xfId="0" applyNumberFormat="1" applyFont="1" applyBorder="1" applyAlignment="1">
      <alignment horizontal="right"/>
    </xf>
    <xf numFmtId="37" fontId="24" fillId="0" borderId="48" xfId="0" applyNumberFormat="1" applyFont="1" applyBorder="1" applyAlignment="1">
      <alignment horizontal="right"/>
    </xf>
    <xf numFmtId="37" fontId="23" fillId="0" borderId="0" xfId="0" applyNumberFormat="1" applyFont="1" applyAlignment="1">
      <alignment horizontal="left" vertical="top" wrapText="1"/>
    </xf>
    <xf numFmtId="49" fontId="23" fillId="0" borderId="0" xfId="0" quotePrefix="1" applyNumberFormat="1" applyFont="1" applyAlignment="1">
      <alignment horizontal="right"/>
    </xf>
    <xf numFmtId="39" fontId="25" fillId="0" borderId="0" xfId="0" applyNumberFormat="1" applyFont="1" applyAlignment="1">
      <alignment horizontal="left"/>
    </xf>
    <xf numFmtId="37" fontId="27" fillId="0" borderId="28" xfId="0" applyNumberFormat="1" applyFont="1" applyBorder="1" applyAlignment="1">
      <alignment horizontal="center"/>
    </xf>
    <xf numFmtId="37" fontId="71" fillId="0" borderId="28" xfId="0" applyNumberFormat="1" applyFont="1" applyBorder="1" applyAlignment="1">
      <alignment horizontal="center"/>
    </xf>
    <xf numFmtId="3" fontId="72" fillId="0" borderId="51" xfId="0" applyFont="1" applyBorder="1" applyAlignment="1">
      <alignment horizontal="center"/>
    </xf>
    <xf numFmtId="37" fontId="71" fillId="0" borderId="29" xfId="0" applyNumberFormat="1" applyFont="1" applyBorder="1" applyAlignment="1">
      <alignment horizontal="center"/>
    </xf>
    <xf numFmtId="3" fontId="72" fillId="0" borderId="28" xfId="0" applyFont="1" applyBorder="1" applyAlignment="1">
      <alignment horizontal="center"/>
    </xf>
    <xf numFmtId="3" fontId="24" fillId="0" borderId="51" xfId="0" applyFont="1" applyBorder="1" applyAlignment="1">
      <alignment horizontal="center"/>
    </xf>
    <xf numFmtId="3" fontId="24" fillId="0" borderId="0" xfId="0" applyFont="1" applyAlignment="1">
      <alignment horizontal="right"/>
    </xf>
    <xf numFmtId="3" fontId="24" fillId="0" borderId="58" xfId="0" applyFont="1" applyBorder="1" applyAlignment="1">
      <alignment horizontal="right"/>
    </xf>
    <xf numFmtId="4" fontId="24" fillId="0" borderId="0" xfId="0" applyNumberFormat="1" applyFont="1" applyAlignment="1">
      <alignment horizontal="right"/>
    </xf>
    <xf numFmtId="4" fontId="24" fillId="0" borderId="58" xfId="0" applyNumberFormat="1" applyFont="1" applyBorder="1" applyAlignment="1">
      <alignment horizontal="right"/>
    </xf>
    <xf numFmtId="3" fontId="24" fillId="0" borderId="55" xfId="0" applyFont="1" applyBorder="1" applyAlignment="1">
      <alignment horizontal="right"/>
    </xf>
    <xf numFmtId="3" fontId="24" fillId="0" borderId="59" xfId="0" applyFont="1" applyBorder="1" applyAlignment="1">
      <alignment horizontal="right"/>
    </xf>
    <xf numFmtId="3" fontId="24" fillId="37" borderId="0" xfId="0" applyFont="1" applyFill="1"/>
    <xf numFmtId="3" fontId="31" fillId="0" borderId="55" xfId="0" applyFont="1" applyBorder="1"/>
    <xf numFmtId="3" fontId="31" fillId="37" borderId="0" xfId="0" applyFont="1" applyFill="1"/>
    <xf numFmtId="3" fontId="62" fillId="56" borderId="56" xfId="0" applyFont="1" applyFill="1" applyBorder="1"/>
    <xf numFmtId="3" fontId="31" fillId="56" borderId="0" xfId="0" applyFont="1" applyFill="1"/>
    <xf numFmtId="3" fontId="62" fillId="56" borderId="0" xfId="0" applyFont="1" applyFill="1"/>
    <xf numFmtId="37" fontId="71" fillId="0" borderId="33" xfId="0" applyNumberFormat="1" applyFont="1" applyBorder="1" applyAlignment="1">
      <alignment horizontal="centerContinuous" wrapText="1"/>
    </xf>
    <xf numFmtId="37" fontId="71" fillId="0" borderId="52" xfId="0" applyNumberFormat="1" applyFont="1" applyBorder="1" applyAlignment="1">
      <alignment horizontal="right"/>
    </xf>
    <xf numFmtId="37" fontId="71" fillId="0" borderId="54" xfId="0" applyNumberFormat="1" applyFont="1" applyBorder="1" applyAlignment="1">
      <alignment horizontal="right"/>
    </xf>
    <xf numFmtId="37" fontId="71" fillId="0" borderId="55" xfId="0" applyNumberFormat="1" applyFont="1" applyBorder="1" applyAlignment="1">
      <alignment horizontal="center" wrapText="1"/>
    </xf>
    <xf numFmtId="37" fontId="71" fillId="37" borderId="28" xfId="0" applyNumberFormat="1" applyFont="1" applyFill="1" applyBorder="1" applyAlignment="1">
      <alignment horizontal="centerContinuous"/>
    </xf>
    <xf numFmtId="3" fontId="72" fillId="37" borderId="51" xfId="0" applyFont="1" applyFill="1" applyBorder="1" applyAlignment="1">
      <alignment horizontal="centerContinuous"/>
    </xf>
    <xf numFmtId="3" fontId="62" fillId="56" borderId="43" xfId="0" applyFont="1" applyFill="1" applyBorder="1"/>
    <xf numFmtId="37" fontId="76" fillId="56" borderId="28" xfId="0" applyNumberFormat="1" applyFont="1" applyFill="1" applyBorder="1" applyAlignment="1">
      <alignment horizontal="centerContinuous"/>
    </xf>
    <xf numFmtId="3" fontId="77" fillId="56" borderId="51" xfId="0" applyFont="1" applyFill="1" applyBorder="1" applyAlignment="1">
      <alignment horizontal="centerContinuous"/>
    </xf>
    <xf numFmtId="37" fontId="27" fillId="0" borderId="55" xfId="0" applyNumberFormat="1" applyFont="1" applyBorder="1" applyAlignment="1">
      <alignment horizontal="center"/>
    </xf>
    <xf numFmtId="37" fontId="71" fillId="0" borderId="56" xfId="0" applyNumberFormat="1" applyFont="1" applyBorder="1" applyAlignment="1">
      <alignment horizontal="center" wrapText="1"/>
    </xf>
    <xf numFmtId="3" fontId="29" fillId="0" borderId="65" xfId="0" applyFont="1" applyBorder="1" applyAlignment="1">
      <alignment vertical="center"/>
    </xf>
    <xf numFmtId="37" fontId="71" fillId="37" borderId="33" xfId="0" applyNumberFormat="1" applyFont="1" applyFill="1" applyBorder="1" applyAlignment="1">
      <alignment horizontal="center" wrapText="1"/>
    </xf>
    <xf numFmtId="37" fontId="71" fillId="56" borderId="33" xfId="0" applyNumberFormat="1" applyFont="1" applyFill="1" applyBorder="1" applyAlignment="1">
      <alignment horizontal="right"/>
    </xf>
    <xf numFmtId="37" fontId="71" fillId="37" borderId="33" xfId="0" applyNumberFormat="1" applyFont="1" applyFill="1" applyBorder="1" applyAlignment="1">
      <alignment horizontal="right"/>
    </xf>
    <xf numFmtId="3" fontId="29" fillId="56" borderId="66" xfId="0" applyFont="1" applyFill="1" applyBorder="1" applyAlignment="1">
      <alignment vertical="center"/>
    </xf>
    <xf numFmtId="37" fontId="76" fillId="56" borderId="33" xfId="0" applyNumberFormat="1" applyFont="1" applyFill="1" applyBorder="1" applyAlignment="1">
      <alignment horizontal="center" wrapText="1"/>
    </xf>
    <xf numFmtId="37" fontId="76" fillId="56" borderId="33" xfId="0" applyNumberFormat="1" applyFont="1" applyFill="1" applyBorder="1" applyAlignment="1">
      <alignment horizontal="right"/>
    </xf>
    <xf numFmtId="3" fontId="24" fillId="0" borderId="43" xfId="0" applyFont="1" applyBorder="1" applyAlignment="1">
      <alignment horizontal="right"/>
    </xf>
    <xf numFmtId="10" fontId="24" fillId="0" borderId="47" xfId="24" quotePrefix="1" applyNumberFormat="1" applyFont="1" applyBorder="1"/>
    <xf numFmtId="10" fontId="73" fillId="38" borderId="0" xfId="24" applyNumberFormat="1" applyFont="1" applyFill="1" applyAlignment="1">
      <alignment horizontal="center"/>
    </xf>
    <xf numFmtId="3" fontId="24" fillId="37" borderId="0" xfId="0" applyFont="1" applyFill="1" applyAlignment="1">
      <alignment vertical="center"/>
    </xf>
    <xf numFmtId="3" fontId="62" fillId="56" borderId="0" xfId="0" applyFont="1" applyFill="1" applyAlignment="1">
      <alignment horizontal="right"/>
    </xf>
    <xf numFmtId="3" fontId="74" fillId="0" borderId="0" xfId="0" applyFont="1"/>
    <xf numFmtId="3" fontId="74" fillId="0" borderId="0" xfId="0" applyFont="1" applyAlignment="1">
      <alignment horizontal="right"/>
    </xf>
    <xf numFmtId="168" fontId="74" fillId="0" borderId="0" xfId="24" quotePrefix="1" applyNumberFormat="1" applyFont="1" applyAlignment="1">
      <alignment vertical="center"/>
    </xf>
    <xf numFmtId="3" fontId="74" fillId="0" borderId="43" xfId="0" applyFont="1" applyBorder="1" applyAlignment="1">
      <alignment horizontal="right"/>
    </xf>
    <xf numFmtId="3" fontId="74" fillId="0" borderId="43" xfId="0" applyFont="1" applyBorder="1"/>
    <xf numFmtId="10" fontId="74" fillId="38" borderId="0" xfId="24" quotePrefix="1" applyNumberFormat="1" applyFont="1" applyFill="1" applyAlignment="1">
      <alignment horizontal="center"/>
    </xf>
    <xf numFmtId="168" fontId="24" fillId="0" borderId="0" xfId="24" applyNumberFormat="1" applyFont="1"/>
    <xf numFmtId="170" fontId="73" fillId="38" borderId="0" xfId="24" applyNumberFormat="1" applyFont="1" applyFill="1" applyAlignment="1">
      <alignment horizontal="center"/>
    </xf>
    <xf numFmtId="3" fontId="62" fillId="56" borderId="58" xfId="0" applyFont="1" applyFill="1" applyBorder="1" applyAlignment="1">
      <alignment horizontal="right"/>
    </xf>
    <xf numFmtId="167" fontId="75" fillId="0" borderId="0" xfId="0" applyNumberFormat="1" applyFont="1" applyAlignment="1">
      <alignment vertical="center"/>
    </xf>
    <xf numFmtId="171" fontId="24" fillId="0" borderId="0" xfId="0" applyNumberFormat="1" applyFont="1"/>
    <xf numFmtId="10" fontId="24" fillId="0" borderId="43" xfId="0" applyNumberFormat="1" applyFont="1" applyBorder="1"/>
    <xf numFmtId="3" fontId="78" fillId="37" borderId="0" xfId="0" applyFont="1" applyFill="1" applyAlignment="1">
      <alignment vertical="center"/>
    </xf>
    <xf numFmtId="3" fontId="78" fillId="56" borderId="0" xfId="0" applyFont="1" applyFill="1" applyAlignment="1">
      <alignment vertical="center"/>
    </xf>
    <xf numFmtId="168" fontId="24" fillId="0" borderId="55" xfId="24" applyNumberFormat="1" applyFont="1" applyBorder="1"/>
    <xf numFmtId="3" fontId="24" fillId="0" borderId="56" xfId="0" applyFont="1" applyBorder="1" applyAlignment="1">
      <alignment horizontal="right"/>
    </xf>
    <xf numFmtId="3" fontId="32" fillId="56" borderId="56" xfId="0" applyFont="1" applyFill="1" applyBorder="1"/>
    <xf numFmtId="3" fontId="62" fillId="56" borderId="55" xfId="0" applyFont="1" applyFill="1" applyBorder="1" applyAlignment="1">
      <alignment horizontal="right"/>
    </xf>
    <xf numFmtId="3" fontId="62" fillId="56" borderId="59" xfId="0" applyFont="1" applyFill="1" applyBorder="1" applyAlignment="1">
      <alignment horizontal="right"/>
    </xf>
    <xf numFmtId="167" fontId="75" fillId="0" borderId="55" xfId="0" applyNumberFormat="1" applyFont="1" applyBorder="1" applyAlignment="1">
      <alignment vertical="center"/>
    </xf>
    <xf numFmtId="3" fontId="27" fillId="37" borderId="0" xfId="0" applyFont="1" applyFill="1"/>
    <xf numFmtId="3" fontId="29" fillId="37" borderId="0" xfId="0" applyFont="1" applyFill="1"/>
    <xf numFmtId="37" fontId="71" fillId="0" borderId="67" xfId="0" applyNumberFormat="1" applyFont="1" applyBorder="1" applyAlignment="1">
      <alignment horizontal="center" wrapText="1"/>
    </xf>
    <xf numFmtId="37" fontId="71" fillId="0" borderId="68" xfId="0" applyNumberFormat="1" applyFont="1" applyBorder="1" applyAlignment="1">
      <alignment horizontal="right"/>
    </xf>
    <xf numFmtId="37" fontId="71" fillId="0" borderId="56" xfId="0" applyNumberFormat="1" applyFont="1" applyBorder="1" applyAlignment="1">
      <alignment horizontal="right"/>
    </xf>
    <xf numFmtId="3" fontId="24" fillId="0" borderId="69" xfId="0" applyFont="1" applyBorder="1"/>
    <xf numFmtId="37" fontId="71" fillId="37" borderId="26" xfId="0" applyNumberFormat="1" applyFont="1" applyFill="1" applyBorder="1" applyAlignment="1">
      <alignment horizontal="centerContinuous"/>
    </xf>
    <xf numFmtId="3" fontId="72" fillId="37" borderId="28" xfId="0" applyFont="1" applyFill="1" applyBorder="1" applyAlignment="1">
      <alignment horizontal="centerContinuous"/>
    </xf>
    <xf numFmtId="3" fontId="24" fillId="37" borderId="28" xfId="0" applyFont="1" applyFill="1" applyBorder="1" applyAlignment="1">
      <alignment horizontal="centerContinuous"/>
    </xf>
    <xf numFmtId="3" fontId="24" fillId="37" borderId="51" xfId="0" applyFont="1" applyFill="1" applyBorder="1" applyAlignment="1">
      <alignment horizontal="centerContinuous"/>
    </xf>
    <xf numFmtId="3" fontId="24" fillId="0" borderId="0" xfId="0" applyFont="1" applyAlignment="1">
      <alignment horizontal="right" wrapText="1"/>
    </xf>
    <xf numFmtId="37" fontId="71" fillId="37" borderId="70" xfId="0" applyNumberFormat="1" applyFont="1" applyFill="1" applyBorder="1" applyAlignment="1">
      <alignment horizontal="center" wrapText="1"/>
    </xf>
    <xf numFmtId="37" fontId="71" fillId="37" borderId="51" xfId="0" applyNumberFormat="1" applyFont="1" applyFill="1" applyBorder="1" applyAlignment="1">
      <alignment horizontal="right"/>
    </xf>
    <xf numFmtId="2" fontId="73" fillId="0" borderId="0" xfId="24" applyNumberFormat="1" applyFont="1" applyAlignment="1">
      <alignment horizontal="center"/>
    </xf>
    <xf numFmtId="3" fontId="24" fillId="37" borderId="43" xfId="0" applyFont="1" applyFill="1" applyBorder="1" applyAlignment="1">
      <alignment vertical="center"/>
    </xf>
    <xf numFmtId="170" fontId="73" fillId="0" borderId="0" xfId="24" applyNumberFormat="1" applyFont="1" applyAlignment="1">
      <alignment horizontal="center"/>
    </xf>
    <xf numFmtId="3" fontId="24" fillId="37" borderId="39" xfId="0" applyFont="1" applyFill="1" applyBorder="1" applyAlignment="1">
      <alignment vertical="center"/>
    </xf>
    <xf numFmtId="167" fontId="75" fillId="0" borderId="0" xfId="0" applyNumberFormat="1" applyFont="1"/>
    <xf numFmtId="169" fontId="73" fillId="0" borderId="0" xfId="24" applyNumberFormat="1" applyFont="1" applyAlignment="1">
      <alignment horizontal="center"/>
    </xf>
    <xf numFmtId="3" fontId="24" fillId="37" borderId="55" xfId="0" applyFont="1" applyFill="1" applyBorder="1"/>
    <xf numFmtId="3" fontId="24" fillId="37" borderId="56" xfId="0" applyFont="1" applyFill="1" applyBorder="1" applyAlignment="1">
      <alignment vertical="center"/>
    </xf>
    <xf numFmtId="3" fontId="24" fillId="37" borderId="55" xfId="0" applyFont="1" applyFill="1" applyBorder="1" applyAlignment="1">
      <alignment vertical="center"/>
    </xf>
    <xf numFmtId="3" fontId="24" fillId="37" borderId="48" xfId="0" applyFont="1" applyFill="1" applyBorder="1" applyAlignment="1">
      <alignment vertical="center"/>
    </xf>
    <xf numFmtId="37" fontId="26" fillId="0" borderId="0" xfId="0" applyNumberFormat="1" applyFont="1"/>
    <xf numFmtId="3" fontId="29" fillId="35" borderId="0" xfId="0" applyFont="1" applyFill="1"/>
    <xf numFmtId="3" fontId="24" fillId="35" borderId="0" xfId="0" applyFont="1" applyFill="1"/>
    <xf numFmtId="3" fontId="24" fillId="35" borderId="58" xfId="0" applyFont="1" applyFill="1" applyBorder="1"/>
    <xf numFmtId="3" fontId="27" fillId="35" borderId="43" xfId="0" applyFont="1" applyFill="1" applyBorder="1"/>
    <xf numFmtId="37" fontId="27" fillId="0" borderId="33" xfId="0" applyNumberFormat="1" applyFont="1" applyBorder="1"/>
    <xf numFmtId="37" fontId="71" fillId="0" borderId="53" xfId="0" applyNumberFormat="1" applyFont="1" applyBorder="1" applyAlignment="1">
      <alignment horizontal="centerContinuous"/>
    </xf>
    <xf numFmtId="37" fontId="71" fillId="0" borderId="54" xfId="0" applyNumberFormat="1" applyFont="1" applyBorder="1" applyAlignment="1">
      <alignment horizontal="centerContinuous"/>
    </xf>
    <xf numFmtId="37" fontId="71" fillId="0" borderId="0" xfId="0" applyNumberFormat="1" applyFont="1" applyAlignment="1">
      <alignment horizontal="centerContinuous" wrapText="1"/>
    </xf>
    <xf numFmtId="37" fontId="71" fillId="35" borderId="53" xfId="0" applyNumberFormat="1" applyFont="1" applyFill="1" applyBorder="1" applyAlignment="1">
      <alignment horizontal="centerContinuous"/>
    </xf>
    <xf numFmtId="37" fontId="71" fillId="35" borderId="53" xfId="0" applyNumberFormat="1" applyFont="1" applyFill="1" applyBorder="1" applyAlignment="1">
      <alignment horizontal="centerContinuous" wrapText="1"/>
    </xf>
    <xf numFmtId="37" fontId="71" fillId="35" borderId="71" xfId="0" applyNumberFormat="1" applyFont="1" applyFill="1" applyBorder="1" applyAlignment="1">
      <alignment horizontal="centerContinuous" wrapText="1"/>
    </xf>
    <xf numFmtId="37" fontId="71" fillId="35" borderId="54" xfId="0" applyNumberFormat="1" applyFont="1" applyFill="1" applyBorder="1" applyAlignment="1">
      <alignment horizontal="centerContinuous"/>
    </xf>
    <xf numFmtId="37" fontId="24" fillId="0" borderId="0" xfId="0" applyNumberFormat="1" applyFont="1" applyAlignment="1">
      <alignment horizontal="center"/>
    </xf>
    <xf numFmtId="3" fontId="24" fillId="0" borderId="43" xfId="0" applyFont="1" applyBorder="1"/>
    <xf numFmtId="165" fontId="24" fillId="35" borderId="57" xfId="18" applyNumberFormat="1" applyFont="1" applyFill="1" applyBorder="1"/>
    <xf numFmtId="3" fontId="24" fillId="35" borderId="43" xfId="18" applyNumberFormat="1" applyFont="1" applyFill="1" applyBorder="1"/>
    <xf numFmtId="3" fontId="24" fillId="35" borderId="0" xfId="18" applyNumberFormat="1" applyFont="1" applyFill="1"/>
    <xf numFmtId="168" fontId="24" fillId="35" borderId="43" xfId="24" applyNumberFormat="1" applyFont="1" applyFill="1" applyBorder="1"/>
    <xf numFmtId="168" fontId="24" fillId="35" borderId="0" xfId="24" applyNumberFormat="1" applyFont="1" applyFill="1"/>
    <xf numFmtId="165" fontId="24" fillId="35" borderId="58" xfId="18" applyNumberFormat="1" applyFont="1" applyFill="1" applyBorder="1"/>
    <xf numFmtId="37" fontId="24" fillId="0" borderId="55" xfId="0" applyNumberFormat="1" applyFont="1" applyBorder="1" applyAlignment="1">
      <alignment horizontal="center"/>
    </xf>
    <xf numFmtId="3" fontId="24" fillId="0" borderId="56" xfId="0" applyFont="1" applyBorder="1"/>
    <xf numFmtId="165" fontId="24" fillId="35" borderId="59" xfId="18" applyNumberFormat="1" applyFont="1" applyFill="1" applyBorder="1"/>
    <xf numFmtId="3" fontId="24" fillId="35" borderId="56" xfId="18" applyNumberFormat="1" applyFont="1" applyFill="1" applyBorder="1"/>
    <xf numFmtId="3" fontId="24" fillId="35" borderId="55" xfId="18" applyNumberFormat="1" applyFont="1" applyFill="1" applyBorder="1"/>
    <xf numFmtId="3" fontId="24" fillId="35" borderId="59" xfId="18" applyNumberFormat="1" applyFont="1" applyFill="1" applyBorder="1"/>
    <xf numFmtId="168" fontId="24" fillId="35" borderId="56" xfId="24" applyNumberFormat="1" applyFont="1" applyFill="1" applyBorder="1"/>
    <xf numFmtId="168" fontId="24" fillId="35" borderId="55" xfId="24" applyNumberFormat="1" applyFont="1" applyFill="1" applyBorder="1"/>
    <xf numFmtId="37" fontId="24" fillId="0" borderId="47" xfId="0" applyNumberFormat="1" applyFont="1" applyBorder="1" applyAlignment="1">
      <alignment horizontal="right"/>
    </xf>
    <xf numFmtId="3" fontId="70" fillId="0" borderId="0" xfId="0" applyFont="1"/>
    <xf numFmtId="3" fontId="72" fillId="0" borderId="33" xfId="0" applyFont="1" applyBorder="1" applyAlignment="1">
      <alignment horizontal="center"/>
    </xf>
    <xf numFmtId="37" fontId="23" fillId="0" borderId="0" xfId="0" applyNumberFormat="1" applyFont="1" applyAlignment="1">
      <alignment vertical="top" wrapText="1"/>
    </xf>
    <xf numFmtId="37" fontId="26" fillId="0" borderId="0" xfId="0" applyNumberFormat="1" applyFont="1" applyAlignment="1">
      <alignment horizontal="left"/>
    </xf>
    <xf numFmtId="37" fontId="24" fillId="61" borderId="77" xfId="0" applyNumberFormat="1" applyFont="1" applyFill="1" applyBorder="1" applyAlignment="1" applyProtection="1">
      <alignment horizontal="center"/>
      <protection locked="0"/>
    </xf>
    <xf numFmtId="37" fontId="24" fillId="34" borderId="77" xfId="0" applyNumberFormat="1" applyFont="1" applyFill="1" applyBorder="1" applyAlignment="1" applyProtection="1">
      <alignment horizontal="center" vertical="top"/>
      <protection locked="0"/>
    </xf>
    <xf numFmtId="38" fontId="32" fillId="6" borderId="77" xfId="0" applyNumberFormat="1" applyFont="1" applyFill="1" applyBorder="1" applyAlignment="1">
      <alignment horizontal="right"/>
    </xf>
    <xf numFmtId="38" fontId="32" fillId="3" borderId="77" xfId="0" applyNumberFormat="1" applyFont="1" applyFill="1" applyBorder="1" applyAlignment="1">
      <alignment horizontal="right"/>
    </xf>
    <xf numFmtId="3" fontId="27" fillId="12" borderId="0" xfId="0" applyFont="1" applyFill="1" applyAlignment="1" applyProtection="1">
      <alignment horizontal="left"/>
      <protection locked="0"/>
    </xf>
    <xf numFmtId="49" fontId="24" fillId="35" borderId="43" xfId="0" applyNumberFormat="1" applyFont="1" applyFill="1" applyBorder="1" applyAlignment="1" applyProtection="1">
      <alignment horizontal="center"/>
      <protection locked="0"/>
    </xf>
    <xf numFmtId="49" fontId="27" fillId="16" borderId="0" xfId="0" applyNumberFormat="1" applyFont="1" applyFill="1" applyAlignment="1" applyProtection="1">
      <alignment horizontal="left"/>
      <protection locked="0"/>
    </xf>
    <xf numFmtId="1" fontId="24" fillId="16" borderId="0" xfId="0" applyNumberFormat="1" applyFont="1" applyFill="1" applyAlignment="1" applyProtection="1">
      <alignment horizontal="center"/>
      <protection locked="0"/>
    </xf>
    <xf numFmtId="49" fontId="31" fillId="16" borderId="0" xfId="0" applyNumberFormat="1" applyFont="1" applyFill="1" applyAlignment="1" applyProtection="1">
      <alignment horizontal="left"/>
      <protection locked="0"/>
    </xf>
    <xf numFmtId="1" fontId="24" fillId="57" borderId="0" xfId="0" applyNumberFormat="1" applyFont="1" applyFill="1" applyAlignment="1" applyProtection="1">
      <alignment horizontal="center"/>
      <protection locked="0"/>
    </xf>
    <xf numFmtId="1" fontId="31" fillId="57" borderId="0" xfId="0" applyNumberFormat="1" applyFont="1" applyFill="1" applyAlignment="1" applyProtection="1">
      <alignment horizontal="center"/>
      <protection locked="0"/>
    </xf>
    <xf numFmtId="49" fontId="27" fillId="62" borderId="0" xfId="0" applyNumberFormat="1" applyFont="1" applyFill="1" applyAlignment="1" applyProtection="1">
      <alignment horizontal="left"/>
      <protection locked="0"/>
    </xf>
    <xf numFmtId="49" fontId="31" fillId="62" borderId="0" xfId="0" applyNumberFormat="1" applyFont="1" applyFill="1" applyAlignment="1" applyProtection="1">
      <alignment horizontal="left"/>
      <protection locked="0"/>
    </xf>
    <xf numFmtId="49" fontId="27" fillId="13" borderId="0" xfId="0" applyNumberFormat="1" applyFont="1" applyFill="1" applyAlignment="1" applyProtection="1">
      <alignment horizontal="left"/>
      <protection locked="0"/>
    </xf>
    <xf numFmtId="3" fontId="31" fillId="39" borderId="0" xfId="0" applyFont="1" applyFill="1" applyAlignment="1" applyProtection="1">
      <alignment horizontal="left"/>
      <protection locked="0"/>
    </xf>
    <xf numFmtId="1" fontId="24" fillId="42" borderId="0" xfId="0" applyNumberFormat="1" applyFont="1" applyFill="1" applyAlignment="1" applyProtection="1">
      <alignment horizontal="center"/>
      <protection locked="0"/>
    </xf>
    <xf numFmtId="49" fontId="63" fillId="39" borderId="0" xfId="0" applyNumberFormat="1" applyFont="1" applyFill="1" applyAlignment="1" applyProtection="1">
      <alignment horizontal="left"/>
      <protection locked="0"/>
    </xf>
    <xf numFmtId="1" fontId="31" fillId="42" borderId="0" xfId="0" applyNumberFormat="1" applyFont="1" applyFill="1" applyAlignment="1" applyProtection="1">
      <alignment horizontal="center"/>
      <protection locked="0"/>
    </xf>
    <xf numFmtId="49" fontId="24" fillId="17" borderId="43" xfId="0" applyNumberFormat="1" applyFont="1" applyFill="1" applyBorder="1" applyAlignment="1" applyProtection="1">
      <alignment horizontal="center"/>
      <protection locked="0"/>
    </xf>
    <xf numFmtId="49" fontId="24" fillId="63" borderId="0" xfId="0" applyNumberFormat="1" applyFont="1" applyFill="1" applyAlignment="1" applyProtection="1">
      <alignment horizontal="left"/>
      <protection locked="0"/>
    </xf>
    <xf numFmtId="1" fontId="24" fillId="59" borderId="0" xfId="0" applyNumberFormat="1" applyFont="1" applyFill="1" applyAlignment="1" applyProtection="1">
      <alignment horizontal="center"/>
      <protection locked="0"/>
    </xf>
    <xf numFmtId="49" fontId="24" fillId="12" borderId="43" xfId="0" applyNumberFormat="1" applyFont="1" applyFill="1" applyBorder="1" applyAlignment="1" applyProtection="1">
      <alignment horizontal="center"/>
      <protection locked="0"/>
    </xf>
    <xf numFmtId="49" fontId="24" fillId="20" borderId="43" xfId="0" applyNumberFormat="1" applyFont="1" applyFill="1" applyBorder="1" applyAlignment="1" applyProtection="1">
      <alignment horizontal="center"/>
      <protection locked="0"/>
    </xf>
    <xf numFmtId="3" fontId="27" fillId="20" borderId="0" xfId="0" applyFont="1" applyFill="1" applyAlignment="1" applyProtection="1">
      <alignment horizontal="left"/>
      <protection locked="0"/>
    </xf>
    <xf numFmtId="49" fontId="24" fillId="31" borderId="43" xfId="0" applyNumberFormat="1" applyFont="1" applyFill="1" applyBorder="1" applyAlignment="1" applyProtection="1">
      <alignment horizontal="center"/>
      <protection locked="0"/>
    </xf>
    <xf numFmtId="1" fontId="24" fillId="58" borderId="0" xfId="0" applyNumberFormat="1" applyFont="1" applyFill="1" applyAlignment="1" applyProtection="1">
      <alignment horizontal="center"/>
      <protection locked="0"/>
    </xf>
    <xf numFmtId="49" fontId="24" fillId="37" borderId="43" xfId="0" applyNumberFormat="1" applyFont="1" applyFill="1" applyBorder="1" applyAlignment="1" applyProtection="1">
      <alignment horizontal="center"/>
      <protection locked="0"/>
    </xf>
    <xf numFmtId="1" fontId="24" fillId="13" borderId="0" xfId="0" applyNumberFormat="1" applyFont="1" applyFill="1" applyAlignment="1" applyProtection="1">
      <alignment horizontal="center"/>
      <protection locked="0"/>
    </xf>
    <xf numFmtId="49" fontId="24" fillId="39" borderId="43" xfId="0" applyNumberFormat="1" applyFont="1" applyFill="1" applyBorder="1" applyAlignment="1" applyProtection="1">
      <alignment horizontal="center"/>
      <protection locked="0"/>
    </xf>
    <xf numFmtId="49" fontId="24" fillId="14" borderId="43" xfId="0" applyNumberFormat="1" applyFont="1" applyFill="1" applyBorder="1" applyAlignment="1" applyProtection="1">
      <alignment horizontal="center"/>
      <protection locked="0"/>
    </xf>
    <xf numFmtId="49" fontId="27" fillId="64" borderId="0" xfId="0" applyNumberFormat="1" applyFont="1" applyFill="1" applyAlignment="1" applyProtection="1">
      <alignment horizontal="left"/>
      <protection locked="0"/>
    </xf>
    <xf numFmtId="1" fontId="24" fillId="64" borderId="0" xfId="0" applyNumberFormat="1" applyFont="1" applyFill="1" applyAlignment="1" applyProtection="1">
      <alignment horizontal="center"/>
      <protection locked="0"/>
    </xf>
    <xf numFmtId="3" fontId="27" fillId="64" borderId="0" xfId="0" applyFont="1" applyFill="1" applyAlignment="1" applyProtection="1">
      <alignment horizontal="left"/>
      <protection locked="0"/>
    </xf>
    <xf numFmtId="49" fontId="31" fillId="64" borderId="0" xfId="0" applyNumberFormat="1" applyFont="1" applyFill="1" applyAlignment="1" applyProtection="1">
      <alignment horizontal="left"/>
      <protection locked="0"/>
    </xf>
    <xf numFmtId="1" fontId="24" fillId="36" borderId="0" xfId="0" applyNumberFormat="1" applyFont="1" applyFill="1" applyAlignment="1" applyProtection="1">
      <alignment horizontal="center"/>
      <protection locked="0"/>
    </xf>
    <xf numFmtId="1" fontId="31" fillId="45" borderId="0" xfId="0" applyNumberFormat="1" applyFont="1" applyFill="1" applyAlignment="1" applyProtection="1">
      <alignment horizontal="center"/>
      <protection locked="0"/>
    </xf>
    <xf numFmtId="1" fontId="24" fillId="56" borderId="0" xfId="0" applyNumberFormat="1" applyFont="1" applyFill="1" applyAlignment="1" applyProtection="1">
      <alignment horizontal="center"/>
      <protection locked="0"/>
    </xf>
    <xf numFmtId="49" fontId="24" fillId="3" borderId="0" xfId="0" applyNumberFormat="1" applyFont="1" applyFill="1" applyProtection="1">
      <protection locked="0"/>
    </xf>
    <xf numFmtId="49" fontId="24" fillId="40" borderId="0" xfId="0" applyNumberFormat="1" applyFont="1" applyFill="1" applyProtection="1">
      <protection locked="0"/>
    </xf>
    <xf numFmtId="49" fontId="24" fillId="52" borderId="0" xfId="0" applyNumberFormat="1" applyFont="1" applyFill="1" applyProtection="1">
      <protection locked="0"/>
    </xf>
    <xf numFmtId="49" fontId="24" fillId="53" borderId="0" xfId="0" applyNumberFormat="1" applyFont="1" applyFill="1" applyProtection="1">
      <protection locked="0"/>
    </xf>
    <xf numFmtId="49" fontId="24" fillId="53" borderId="0" xfId="0" applyNumberFormat="1" applyFont="1" applyFill="1" applyAlignment="1" applyProtection="1">
      <alignment horizontal="right"/>
      <protection locked="0"/>
    </xf>
    <xf numFmtId="49" fontId="24" fillId="10" borderId="0" xfId="0" applyNumberFormat="1" applyFont="1" applyFill="1" applyProtection="1">
      <protection locked="0"/>
    </xf>
    <xf numFmtId="49" fontId="24" fillId="10" borderId="0" xfId="0" applyNumberFormat="1" applyFont="1" applyFill="1" applyAlignment="1" applyProtection="1">
      <alignment horizontal="right"/>
      <protection locked="0"/>
    </xf>
    <xf numFmtId="49" fontId="24" fillId="54" borderId="0" xfId="0" applyNumberFormat="1" applyFont="1" applyFill="1" applyProtection="1">
      <protection locked="0"/>
    </xf>
    <xf numFmtId="49" fontId="24" fillId="54" borderId="0" xfId="0" applyNumberFormat="1" applyFont="1" applyFill="1" applyAlignment="1" applyProtection="1">
      <alignment horizontal="right"/>
      <protection locked="0"/>
    </xf>
    <xf numFmtId="1" fontId="24" fillId="60" borderId="0" xfId="0" applyNumberFormat="1" applyFont="1" applyFill="1" applyAlignment="1" applyProtection="1">
      <alignment horizontal="center"/>
      <protection locked="0"/>
    </xf>
    <xf numFmtId="164" fontId="28" fillId="0" borderId="0" xfId="0" applyNumberFormat="1" applyFont="1" applyAlignment="1">
      <alignment horizontal="center"/>
    </xf>
    <xf numFmtId="164" fontId="29" fillId="0" borderId="0" xfId="0" applyNumberFormat="1" applyFont="1" applyAlignment="1">
      <alignment horizontal="center"/>
    </xf>
    <xf numFmtId="164" fontId="28" fillId="0" borderId="0" xfId="0" applyNumberFormat="1" applyFont="1"/>
    <xf numFmtId="164" fontId="29" fillId="0" borderId="0" xfId="0" applyNumberFormat="1" applyFont="1"/>
    <xf numFmtId="164" fontId="24" fillId="0" borderId="0" xfId="0" applyNumberFormat="1" applyFont="1"/>
    <xf numFmtId="49" fontId="24" fillId="9" borderId="0" xfId="0" applyNumberFormat="1" applyFont="1" applyFill="1" applyAlignment="1" applyProtection="1">
      <alignment horizontal="left"/>
      <protection locked="0"/>
    </xf>
    <xf numFmtId="1" fontId="24" fillId="9" borderId="0" xfId="0" applyNumberFormat="1" applyFont="1" applyFill="1" applyAlignment="1" applyProtection="1">
      <alignment horizontal="center"/>
      <protection locked="0"/>
    </xf>
    <xf numFmtId="49" fontId="24" fillId="9" borderId="0" xfId="0" applyNumberFormat="1" applyFont="1" applyFill="1" applyAlignment="1" applyProtection="1">
      <alignment horizontal="center"/>
      <protection locked="0"/>
    </xf>
    <xf numFmtId="165" fontId="28" fillId="9" borderId="4" xfId="0" applyNumberFormat="1" applyFont="1" applyFill="1" applyBorder="1" applyAlignment="1" applyProtection="1">
      <alignment horizontal="center"/>
      <protection locked="0"/>
    </xf>
    <xf numFmtId="165" fontId="29" fillId="9" borderId="0" xfId="0" applyNumberFormat="1" applyFont="1" applyFill="1" applyAlignment="1" applyProtection="1">
      <alignment horizontal="center"/>
      <protection locked="0"/>
    </xf>
    <xf numFmtId="3" fontId="28" fillId="9" borderId="72" xfId="0" applyFont="1" applyFill="1" applyBorder="1" applyAlignment="1" applyProtection="1">
      <alignment horizontal="right"/>
      <protection locked="0"/>
    </xf>
    <xf numFmtId="3" fontId="29" fillId="9" borderId="0" xfId="0" applyFont="1" applyFill="1" applyAlignment="1" applyProtection="1">
      <alignment horizontal="right"/>
      <protection locked="0"/>
    </xf>
    <xf numFmtId="3" fontId="32" fillId="6" borderId="72" xfId="0" applyFont="1" applyFill="1" applyBorder="1" applyAlignment="1">
      <alignment horizontal="right"/>
    </xf>
    <xf numFmtId="3" fontId="32" fillId="6" borderId="43" xfId="0" applyFont="1" applyFill="1" applyBorder="1" applyAlignment="1">
      <alignment horizontal="right"/>
    </xf>
    <xf numFmtId="3" fontId="34" fillId="3" borderId="72" xfId="0" applyFont="1" applyFill="1" applyBorder="1" applyAlignment="1">
      <alignment horizontal="right"/>
    </xf>
    <xf numFmtId="3" fontId="34" fillId="3" borderId="43" xfId="0" applyFont="1" applyFill="1" applyBorder="1" applyAlignment="1">
      <alignment horizontal="right"/>
    </xf>
    <xf numFmtId="3" fontId="34" fillId="3" borderId="5" xfId="0" applyFont="1" applyFill="1" applyBorder="1" applyAlignment="1">
      <alignment horizontal="right"/>
    </xf>
    <xf numFmtId="3" fontId="28" fillId="9" borderId="4" xfId="0" applyFont="1" applyFill="1" applyBorder="1" applyAlignment="1" applyProtection="1">
      <alignment horizontal="right"/>
      <protection locked="0"/>
    </xf>
    <xf numFmtId="3" fontId="32" fillId="6" borderId="0" xfId="0" applyFont="1" applyFill="1" applyAlignment="1">
      <alignment horizontal="right"/>
    </xf>
    <xf numFmtId="3" fontId="34" fillId="3" borderId="73" xfId="0" applyFont="1" applyFill="1" applyBorder="1" applyAlignment="1">
      <alignment horizontal="right"/>
    </xf>
    <xf numFmtId="3" fontId="32" fillId="6" borderId="6" xfId="0" applyFont="1" applyFill="1" applyBorder="1" applyAlignment="1">
      <alignment horizontal="right"/>
    </xf>
    <xf numFmtId="0" fontId="36" fillId="4" borderId="74" xfId="0" applyNumberFormat="1" applyFont="1" applyFill="1" applyBorder="1" applyAlignment="1">
      <alignment horizontal="left"/>
    </xf>
    <xf numFmtId="0" fontId="0" fillId="0" borderId="0" xfId="0" applyNumberFormat="1"/>
    <xf numFmtId="165" fontId="27" fillId="0" borderId="0" xfId="0" applyNumberFormat="1" applyFont="1" applyAlignment="1">
      <alignment horizontal="left" vertical="top"/>
    </xf>
    <xf numFmtId="164" fontId="27" fillId="0" borderId="0" xfId="0" applyNumberFormat="1" applyFont="1" applyAlignment="1">
      <alignment horizontal="left" vertical="top"/>
    </xf>
    <xf numFmtId="164" fontId="27" fillId="0" borderId="18" xfId="0" applyNumberFormat="1" applyFont="1" applyBorder="1" applyAlignment="1">
      <alignment horizontal="center"/>
    </xf>
    <xf numFmtId="37" fontId="29" fillId="0" borderId="19" xfId="0" applyNumberFormat="1" applyFont="1" applyBorder="1" applyAlignment="1">
      <alignment horizontal="center"/>
    </xf>
    <xf numFmtId="164" fontId="26" fillId="0" borderId="78" xfId="0" applyNumberFormat="1" applyFont="1" applyBorder="1" applyAlignment="1">
      <alignment horizontal="centerContinuous"/>
    </xf>
    <xf numFmtId="37" fontId="29" fillId="0" borderId="79" xfId="0" applyNumberFormat="1" applyFont="1" applyBorder="1" applyAlignment="1">
      <alignment horizontal="centerContinuous"/>
    </xf>
    <xf numFmtId="164" fontId="27" fillId="0" borderId="79" xfId="0" applyNumberFormat="1" applyFont="1" applyBorder="1" applyAlignment="1">
      <alignment horizontal="centerContinuous"/>
    </xf>
    <xf numFmtId="165" fontId="29" fillId="0" borderId="79" xfId="0" applyNumberFormat="1" applyFont="1" applyBorder="1" applyAlignment="1">
      <alignment horizontal="centerContinuous"/>
    </xf>
    <xf numFmtId="164" fontId="27" fillId="0" borderId="79" xfId="0" applyNumberFormat="1" applyFont="1" applyBorder="1" applyAlignment="1">
      <alignment horizontal="center"/>
    </xf>
    <xf numFmtId="37" fontId="29" fillId="0" borderId="79" xfId="0" applyNumberFormat="1" applyFont="1" applyBorder="1" applyAlignment="1">
      <alignment horizontal="center"/>
    </xf>
    <xf numFmtId="37" fontId="29" fillId="0" borderId="80" xfId="0" applyNumberFormat="1" applyFont="1" applyBorder="1" applyAlignment="1">
      <alignment horizontal="centerContinuous"/>
    </xf>
    <xf numFmtId="164" fontId="27" fillId="0" borderId="78" xfId="0" applyNumberFormat="1" applyFont="1" applyBorder="1" applyAlignment="1">
      <alignment horizontal="centerContinuous"/>
    </xf>
    <xf numFmtId="37" fontId="29" fillId="0" borderId="78" xfId="0" applyNumberFormat="1" applyFont="1" applyBorder="1" applyAlignment="1">
      <alignment horizontal="centerContinuous"/>
    </xf>
    <xf numFmtId="37" fontId="29" fillId="0" borderId="7" xfId="0" applyNumberFormat="1" applyFont="1" applyBorder="1" applyAlignment="1">
      <alignment horizontal="centerContinuous"/>
    </xf>
    <xf numFmtId="164" fontId="24" fillId="0" borderId="0" xfId="0" applyNumberFormat="1" applyFont="1" applyAlignment="1">
      <alignment horizontal="center"/>
    </xf>
    <xf numFmtId="49" fontId="27" fillId="8" borderId="43" xfId="0" applyNumberFormat="1" applyFont="1" applyFill="1" applyBorder="1" applyAlignment="1">
      <alignment horizontal="left" vertical="top"/>
    </xf>
    <xf numFmtId="49" fontId="27" fillId="8" borderId="0" xfId="0" applyNumberFormat="1" applyFont="1" applyFill="1" applyAlignment="1">
      <alignment horizontal="left" vertical="top"/>
    </xf>
    <xf numFmtId="37" fontId="27" fillId="0" borderId="82" xfId="0" applyNumberFormat="1" applyFont="1" applyBorder="1" applyAlignment="1">
      <alignment horizontal="centerContinuous" wrapText="1"/>
    </xf>
    <xf numFmtId="37" fontId="29" fillId="0" borderId="83" xfId="0" applyNumberFormat="1" applyFont="1" applyBorder="1" applyAlignment="1">
      <alignment horizontal="centerContinuous" wrapText="1"/>
    </xf>
    <xf numFmtId="37" fontId="27" fillId="7" borderId="78" xfId="0" applyNumberFormat="1" applyFont="1" applyFill="1" applyBorder="1" applyAlignment="1">
      <alignment horizontal="center" wrapText="1"/>
    </xf>
    <xf numFmtId="37" fontId="29" fillId="3" borderId="78" xfId="0" applyNumberFormat="1" applyFont="1" applyFill="1" applyBorder="1" applyAlignment="1">
      <alignment horizontal="center" wrapText="1"/>
    </xf>
    <xf numFmtId="37" fontId="29" fillId="3" borderId="84" xfId="0" applyNumberFormat="1" applyFont="1" applyFill="1" applyBorder="1" applyAlignment="1">
      <alignment horizontal="center" wrapText="1"/>
    </xf>
    <xf numFmtId="37" fontId="29" fillId="0" borderId="79" xfId="0" applyNumberFormat="1" applyFont="1" applyBorder="1" applyAlignment="1">
      <alignment horizontal="centerContinuous" wrapText="1"/>
    </xf>
    <xf numFmtId="0" fontId="34" fillId="6" borderId="75" xfId="0" applyNumberFormat="1" applyFont="1" applyFill="1" applyBorder="1" applyAlignment="1">
      <alignment horizontal="centerContinuous"/>
    </xf>
    <xf numFmtId="0" fontId="34" fillId="3" borderId="76" xfId="0" applyNumberFormat="1" applyFont="1" applyFill="1" applyBorder="1" applyAlignment="1">
      <alignment horizontal="centerContinuous"/>
    </xf>
    <xf numFmtId="164" fontId="24" fillId="2" borderId="0" xfId="0" applyNumberFormat="1" applyFont="1" applyFill="1" applyAlignment="1">
      <alignment wrapText="1"/>
    </xf>
    <xf numFmtId="0" fontId="24" fillId="2" borderId="0" xfId="0" applyNumberFormat="1" applyFont="1" applyFill="1" applyAlignment="1">
      <alignment horizontal="center" wrapText="1"/>
    </xf>
    <xf numFmtId="164" fontId="24" fillId="2" borderId="0" xfId="0" applyNumberFormat="1" applyFont="1" applyFill="1" applyAlignment="1">
      <alignment horizontal="center" wrapText="1"/>
    </xf>
    <xf numFmtId="37" fontId="24" fillId="2" borderId="0" xfId="0" applyNumberFormat="1" applyFont="1" applyFill="1" applyAlignment="1">
      <alignment horizontal="center" wrapText="1"/>
    </xf>
    <xf numFmtId="165" fontId="24" fillId="2" borderId="0" xfId="0" applyNumberFormat="1" applyFont="1" applyFill="1" applyAlignment="1">
      <alignment horizontal="center" wrapText="1"/>
    </xf>
    <xf numFmtId="164" fontId="24" fillId="2" borderId="3" xfId="0" applyNumberFormat="1" applyFont="1" applyFill="1" applyBorder="1" applyAlignment="1">
      <alignment horizontal="center" wrapText="1"/>
    </xf>
    <xf numFmtId="164" fontId="24" fillId="0" borderId="0" xfId="0" applyNumberFormat="1" applyFont="1" applyAlignment="1">
      <alignment wrapText="1"/>
    </xf>
    <xf numFmtId="3" fontId="24" fillId="12" borderId="0" xfId="0" applyFont="1" applyFill="1" applyAlignment="1" applyProtection="1">
      <alignment horizontal="left"/>
      <protection locked="0"/>
    </xf>
    <xf numFmtId="37" fontId="24" fillId="12" borderId="0" xfId="0" applyNumberFormat="1" applyFont="1" applyFill="1" applyAlignment="1" applyProtection="1">
      <alignment horizontal="left"/>
      <protection locked="0"/>
    </xf>
    <xf numFmtId="3" fontId="24" fillId="33" borderId="0" xfId="0" applyFont="1" applyFill="1" applyAlignment="1" applyProtection="1">
      <alignment horizontal="left"/>
      <protection locked="0"/>
    </xf>
    <xf numFmtId="3" fontId="24" fillId="36" borderId="0" xfId="0" applyFont="1" applyFill="1" applyAlignment="1" applyProtection="1">
      <alignment horizontal="left"/>
      <protection locked="0"/>
    </xf>
    <xf numFmtId="3" fontId="31" fillId="16" borderId="0" xfId="0" applyFont="1" applyFill="1" applyAlignment="1" applyProtection="1">
      <alignment horizontal="left"/>
      <protection locked="0"/>
    </xf>
    <xf numFmtId="49" fontId="24" fillId="13" borderId="0" xfId="0" applyNumberFormat="1" applyFont="1" applyFill="1" applyAlignment="1" applyProtection="1">
      <alignment horizontal="left"/>
      <protection locked="0"/>
    </xf>
    <xf numFmtId="49" fontId="24" fillId="59" borderId="43" xfId="0" applyNumberFormat="1" applyFont="1" applyFill="1" applyBorder="1" applyAlignment="1" applyProtection="1">
      <alignment horizontal="center"/>
      <protection locked="0"/>
    </xf>
    <xf numFmtId="49" fontId="27" fillId="59" borderId="0" xfId="0" applyNumberFormat="1" applyFont="1" applyFill="1" applyAlignment="1" applyProtection="1">
      <alignment horizontal="left"/>
      <protection locked="0"/>
    </xf>
    <xf numFmtId="3" fontId="24" fillId="59" borderId="0" xfId="0" applyFont="1" applyFill="1" applyAlignment="1" applyProtection="1">
      <alignment horizontal="left"/>
      <protection locked="0"/>
    </xf>
    <xf numFmtId="49" fontId="24" fillId="59" borderId="0" xfId="0" applyNumberFormat="1" applyFont="1" applyFill="1" applyAlignment="1" applyProtection="1">
      <alignment horizontal="left"/>
      <protection locked="0"/>
    </xf>
    <xf numFmtId="3" fontId="24" fillId="34" borderId="0" xfId="0" applyFont="1" applyFill="1" applyProtection="1">
      <protection locked="0"/>
    </xf>
    <xf numFmtId="49" fontId="24" fillId="20" borderId="0" xfId="0" applyNumberFormat="1" applyFont="1" applyFill="1" applyAlignment="1" applyProtection="1">
      <alignment horizontal="center"/>
      <protection locked="0"/>
    </xf>
    <xf numFmtId="3" fontId="24" fillId="20" borderId="0" xfId="0" applyFont="1" applyFill="1" applyAlignment="1" applyProtection="1">
      <alignment horizontal="left"/>
      <protection locked="0"/>
    </xf>
    <xf numFmtId="1" fontId="31" fillId="58" borderId="0" xfId="0" applyNumberFormat="1" applyFont="1" applyFill="1" applyAlignment="1" applyProtection="1">
      <alignment horizontal="center"/>
      <protection locked="0"/>
    </xf>
    <xf numFmtId="3" fontId="24" fillId="31" borderId="0" xfId="0" applyFont="1" applyFill="1" applyProtection="1">
      <protection locked="0"/>
    </xf>
    <xf numFmtId="3" fontId="86" fillId="56" borderId="0" xfId="0" applyFont="1" applyFill="1" applyAlignment="1" applyProtection="1">
      <alignment horizontal="left"/>
      <protection locked="0"/>
    </xf>
    <xf numFmtId="49" fontId="24" fillId="14" borderId="0" xfId="0" applyNumberFormat="1" applyFont="1" applyFill="1" applyAlignment="1" applyProtection="1">
      <alignment horizontal="center"/>
      <protection locked="0"/>
    </xf>
    <xf numFmtId="49" fontId="27" fillId="35" borderId="0" xfId="0" applyNumberFormat="1" applyFont="1" applyFill="1" applyAlignment="1" applyProtection="1">
      <alignment horizontal="left"/>
      <protection locked="0"/>
    </xf>
    <xf numFmtId="3" fontId="86" fillId="45" borderId="0" xfId="0" applyFont="1" applyFill="1" applyAlignment="1" applyProtection="1">
      <alignment horizontal="left"/>
      <protection locked="0"/>
    </xf>
    <xf numFmtId="3" fontId="85" fillId="45" borderId="0" xfId="0" applyFont="1" applyFill="1" applyAlignment="1" applyProtection="1">
      <alignment horizontal="left"/>
      <protection locked="0"/>
    </xf>
    <xf numFmtId="3" fontId="85" fillId="45" borderId="0" xfId="0" applyFont="1" applyFill="1" applyProtection="1">
      <protection locked="0"/>
    </xf>
    <xf numFmtId="3" fontId="86" fillId="45" borderId="0" xfId="0" applyFont="1" applyFill="1" applyProtection="1">
      <protection locked="0"/>
    </xf>
    <xf numFmtId="49" fontId="24" fillId="65" borderId="0" xfId="0" applyNumberFormat="1" applyFont="1" applyFill="1" applyAlignment="1" applyProtection="1">
      <alignment horizontal="left"/>
      <protection locked="0"/>
    </xf>
    <xf numFmtId="3" fontId="86" fillId="58" borderId="0" xfId="0" applyFont="1" applyFill="1" applyAlignment="1" applyProtection="1">
      <alignment horizontal="left"/>
      <protection locked="0"/>
    </xf>
    <xf numFmtId="3" fontId="85" fillId="58" borderId="0" xfId="0" applyFont="1" applyFill="1" applyProtection="1">
      <protection locked="0"/>
    </xf>
    <xf numFmtId="3" fontId="85" fillId="58" borderId="0" xfId="0" applyFont="1" applyFill="1" applyAlignment="1" applyProtection="1">
      <alignment horizontal="left"/>
      <protection locked="0"/>
    </xf>
    <xf numFmtId="3" fontId="85" fillId="56" borderId="0" xfId="0" applyFont="1" applyFill="1" applyAlignment="1" applyProtection="1">
      <alignment horizontal="left"/>
      <protection locked="0"/>
    </xf>
    <xf numFmtId="3" fontId="85" fillId="42" borderId="0" xfId="0" applyFont="1" applyFill="1" applyAlignment="1" applyProtection="1">
      <alignment horizontal="left"/>
      <protection locked="0"/>
    </xf>
    <xf numFmtId="3" fontId="86" fillId="42" borderId="0" xfId="0" applyFont="1" applyFill="1" applyAlignment="1" applyProtection="1">
      <alignment horizontal="left"/>
      <protection locked="0"/>
    </xf>
    <xf numFmtId="3" fontId="24" fillId="39" borderId="0" xfId="0" applyFont="1" applyFill="1" applyProtection="1">
      <protection locked="0"/>
    </xf>
    <xf numFmtId="37" fontId="24" fillId="61" borderId="77" xfId="0" applyNumberFormat="1" applyFont="1" applyFill="1" applyBorder="1" applyAlignment="1" applyProtection="1">
      <alignment horizontal="center" vertical="top"/>
      <protection locked="0"/>
    </xf>
    <xf numFmtId="3" fontId="86" fillId="60" borderId="0" xfId="0" applyFont="1" applyFill="1" applyAlignment="1" applyProtection="1">
      <alignment horizontal="left"/>
      <protection locked="0"/>
    </xf>
    <xf numFmtId="3" fontId="85" fillId="60" borderId="0" xfId="0" applyFont="1" applyFill="1" applyAlignment="1" applyProtection="1">
      <alignment horizontal="left"/>
      <protection locked="0"/>
    </xf>
    <xf numFmtId="3" fontId="24" fillId="14" borderId="0" xfId="0" applyFont="1" applyFill="1" applyAlignment="1" applyProtection="1">
      <alignment horizontal="left"/>
      <protection locked="0"/>
    </xf>
    <xf numFmtId="3" fontId="27" fillId="14" borderId="0" xfId="0" applyFont="1" applyFill="1" applyAlignment="1" applyProtection="1">
      <alignment horizontal="left"/>
      <protection locked="0"/>
    </xf>
    <xf numFmtId="0" fontId="33" fillId="4" borderId="85" xfId="0" applyNumberFormat="1" applyFont="1" applyFill="1" applyBorder="1" applyAlignment="1">
      <alignment horizontal="center"/>
    </xf>
    <xf numFmtId="0" fontId="33" fillId="4" borderId="85" xfId="0" applyNumberFormat="1" applyFont="1" applyFill="1" applyBorder="1" applyAlignment="1">
      <alignment horizontal="left" wrapText="1"/>
    </xf>
    <xf numFmtId="1" fontId="33" fillId="4" borderId="85" xfId="0" applyNumberFormat="1" applyFont="1" applyFill="1" applyBorder="1" applyAlignment="1">
      <alignment horizontal="center"/>
    </xf>
    <xf numFmtId="0" fontId="27" fillId="5" borderId="86" xfId="0" applyNumberFormat="1" applyFont="1" applyFill="1" applyBorder="1" applyAlignment="1">
      <alignment horizontal="center"/>
    </xf>
    <xf numFmtId="0" fontId="27" fillId="0" borderId="85" xfId="0" applyNumberFormat="1" applyFont="1" applyBorder="1" applyAlignment="1">
      <alignment horizontal="center"/>
    </xf>
    <xf numFmtId="0" fontId="34" fillId="6" borderId="87" xfId="0" applyNumberFormat="1" applyFont="1" applyFill="1" applyBorder="1" applyAlignment="1">
      <alignment horizontal="center"/>
    </xf>
    <xf numFmtId="0" fontId="34" fillId="6" borderId="88" xfId="0" applyNumberFormat="1" applyFont="1" applyFill="1" applyBorder="1" applyAlignment="1">
      <alignment horizontal="center"/>
    </xf>
    <xf numFmtId="0" fontId="34" fillId="3" borderId="87" xfId="0" applyNumberFormat="1" applyFont="1" applyFill="1" applyBorder="1" applyAlignment="1">
      <alignment horizontal="center"/>
    </xf>
    <xf numFmtId="0" fontId="34" fillId="3" borderId="88" xfId="0" applyNumberFormat="1" applyFont="1" applyFill="1" applyBorder="1" applyAlignment="1">
      <alignment horizontal="center"/>
    </xf>
    <xf numFmtId="0" fontId="34" fillId="3" borderId="89" xfId="0" applyNumberFormat="1" applyFont="1" applyFill="1" applyBorder="1" applyAlignment="1">
      <alignment horizontal="center"/>
    </xf>
    <xf numFmtId="0" fontId="34" fillId="3" borderId="90" xfId="0" applyNumberFormat="1" applyFont="1" applyFill="1" applyBorder="1" applyAlignment="1">
      <alignment horizontal="center"/>
    </xf>
    <xf numFmtId="0" fontId="34" fillId="6" borderId="91" xfId="0" applyNumberFormat="1" applyFont="1" applyFill="1" applyBorder="1" applyAlignment="1">
      <alignment horizontal="center"/>
    </xf>
    <xf numFmtId="3" fontId="27" fillId="66" borderId="0" xfId="0" applyFont="1" applyFill="1" applyAlignment="1">
      <alignment horizontal="left"/>
    </xf>
    <xf numFmtId="1" fontId="31" fillId="16" borderId="0" xfId="0" applyNumberFormat="1" applyFont="1" applyFill="1" applyAlignment="1" applyProtection="1">
      <alignment horizontal="center"/>
      <protection locked="0"/>
    </xf>
    <xf numFmtId="0" fontId="24" fillId="31" borderId="0" xfId="0" applyNumberFormat="1" applyFont="1" applyFill="1" applyAlignment="1" applyProtection="1">
      <alignment horizontal="center"/>
      <protection locked="0"/>
    </xf>
    <xf numFmtId="0" fontId="27" fillId="62" borderId="0" xfId="0" applyNumberFormat="1" applyFont="1" applyFill="1" applyAlignment="1" applyProtection="1">
      <alignment horizontal="left"/>
      <protection locked="0"/>
    </xf>
    <xf numFmtId="49" fontId="24" fillId="13" borderId="43" xfId="0" applyNumberFormat="1" applyFont="1" applyFill="1" applyBorder="1" applyAlignment="1" applyProtection="1">
      <alignment horizontal="center"/>
      <protection locked="0"/>
    </xf>
    <xf numFmtId="49" fontId="31" fillId="13" borderId="0" xfId="0" applyNumberFormat="1" applyFont="1" applyFill="1" applyAlignment="1" applyProtection="1">
      <alignment horizontal="left"/>
      <protection locked="0"/>
    </xf>
    <xf numFmtId="37" fontId="24" fillId="34" borderId="77" xfId="0" applyNumberFormat="1" applyFont="1" applyFill="1" applyBorder="1" applyAlignment="1" applyProtection="1">
      <alignment horizontal="right" vertical="top"/>
      <protection locked="0"/>
    </xf>
    <xf numFmtId="1" fontId="31" fillId="59" borderId="0" xfId="0" applyNumberFormat="1" applyFont="1" applyFill="1" applyAlignment="1" applyProtection="1">
      <alignment horizontal="center"/>
      <protection locked="0"/>
    </xf>
    <xf numFmtId="3" fontId="24" fillId="66" borderId="43" xfId="0" applyFont="1" applyFill="1" applyBorder="1" applyAlignment="1">
      <alignment horizontal="center"/>
    </xf>
    <xf numFmtId="3" fontId="24" fillId="66" borderId="0" xfId="0" applyFont="1" applyFill="1" applyAlignment="1">
      <alignment horizontal="left"/>
    </xf>
    <xf numFmtId="3" fontId="24" fillId="66" borderId="0" xfId="0" applyFont="1" applyFill="1" applyAlignment="1">
      <alignment horizontal="center"/>
    </xf>
    <xf numFmtId="3" fontId="24" fillId="66" borderId="0" xfId="0" applyFont="1" applyFill="1" applyAlignment="1" applyProtection="1">
      <alignment horizontal="center"/>
      <protection locked="0"/>
    </xf>
    <xf numFmtId="3" fontId="24" fillId="41" borderId="0" xfId="0" applyFont="1" applyFill="1" applyAlignment="1">
      <alignment horizontal="left"/>
    </xf>
    <xf numFmtId="3" fontId="24" fillId="41" borderId="0" xfId="0" applyFont="1" applyFill="1" applyAlignment="1">
      <alignment horizontal="center"/>
    </xf>
    <xf numFmtId="172" fontId="23" fillId="34" borderId="92" xfId="0" applyNumberFormat="1" applyFont="1" applyFill="1" applyBorder="1" applyAlignment="1" applyProtection="1">
      <alignment horizontal="right" wrapText="1" readingOrder="1"/>
      <protection locked="0"/>
    </xf>
    <xf numFmtId="172" fontId="23" fillId="34" borderId="93" xfId="0" applyNumberFormat="1" applyFont="1" applyFill="1" applyBorder="1" applyAlignment="1" applyProtection="1">
      <alignment horizontal="right" wrapText="1" readingOrder="1"/>
      <protection locked="0"/>
    </xf>
    <xf numFmtId="172" fontId="23" fillId="34" borderId="94" xfId="0" applyNumberFormat="1" applyFont="1" applyFill="1" applyBorder="1" applyAlignment="1" applyProtection="1">
      <alignment horizontal="right" wrapText="1" readingOrder="1"/>
      <protection locked="0"/>
    </xf>
    <xf numFmtId="172" fontId="23" fillId="34" borderId="95" xfId="0" applyNumberFormat="1" applyFont="1" applyFill="1" applyBorder="1" applyAlignment="1" applyProtection="1">
      <alignment horizontal="right" wrapText="1" readingOrder="1"/>
      <protection locked="0"/>
    </xf>
    <xf numFmtId="1" fontId="24" fillId="65" borderId="0" xfId="0" applyNumberFormat="1" applyFont="1" applyFill="1" applyAlignment="1" applyProtection="1">
      <alignment horizontal="center"/>
      <protection locked="0"/>
    </xf>
    <xf numFmtId="37" fontId="24" fillId="61" borderId="77" xfId="0" applyNumberFormat="1" applyFont="1" applyFill="1" applyBorder="1" applyProtection="1">
      <protection locked="0"/>
    </xf>
    <xf numFmtId="3" fontId="31" fillId="62" borderId="0" xfId="0" applyFont="1" applyFill="1" applyAlignment="1" applyProtection="1">
      <alignment horizontal="left"/>
      <protection locked="0"/>
    </xf>
    <xf numFmtId="1" fontId="31" fillId="13" borderId="0" xfId="0" applyNumberFormat="1" applyFont="1" applyFill="1" applyAlignment="1" applyProtection="1">
      <alignment horizontal="center"/>
      <protection locked="0"/>
    </xf>
    <xf numFmtId="167" fontId="91" fillId="34" borderId="96" xfId="0" applyNumberFormat="1" applyFont="1" applyFill="1" applyBorder="1" applyAlignment="1" applyProtection="1">
      <alignment horizontal="right"/>
      <protection locked="0"/>
    </xf>
    <xf numFmtId="37" fontId="24" fillId="61" borderId="97" xfId="0" applyNumberFormat="1" applyFont="1" applyFill="1" applyBorder="1" applyAlignment="1" applyProtection="1">
      <alignment horizontal="center"/>
      <protection locked="0"/>
    </xf>
    <xf numFmtId="38" fontId="32" fillId="6" borderId="97" xfId="0" applyNumberFormat="1" applyFont="1" applyFill="1" applyBorder="1" applyAlignment="1">
      <alignment horizontal="right"/>
    </xf>
    <xf numFmtId="38" fontId="32" fillId="3" borderId="97" xfId="0" applyNumberFormat="1" applyFont="1" applyFill="1" applyBorder="1" applyAlignment="1">
      <alignment horizontal="right"/>
    </xf>
    <xf numFmtId="37" fontId="24" fillId="34" borderId="97" xfId="0" applyNumberFormat="1" applyFont="1" applyFill="1" applyBorder="1" applyAlignment="1" applyProtection="1">
      <alignment horizontal="center" vertical="top"/>
      <protection locked="0"/>
    </xf>
    <xf numFmtId="37" fontId="92" fillId="67" borderId="97" xfId="0" applyNumberFormat="1" applyFont="1" applyFill="1" applyBorder="1" applyAlignment="1" applyProtection="1">
      <alignment horizontal="center" vertical="top"/>
      <protection locked="0"/>
    </xf>
    <xf numFmtId="37" fontId="24" fillId="61" borderId="97" xfId="0" applyNumberFormat="1" applyFont="1" applyFill="1" applyBorder="1" applyProtection="1">
      <protection locked="0"/>
    </xf>
    <xf numFmtId="49" fontId="24" fillId="35" borderId="98" xfId="0" applyNumberFormat="1" applyFont="1" applyFill="1" applyBorder="1" applyAlignment="1" applyProtection="1">
      <alignment horizontal="center"/>
      <protection locked="0"/>
    </xf>
    <xf numFmtId="49" fontId="24" fillId="35" borderId="98" xfId="0" applyNumberFormat="1" applyFont="1" applyFill="1" applyBorder="1" applyProtection="1">
      <protection locked="0"/>
    </xf>
    <xf numFmtId="49" fontId="27" fillId="35" borderId="98" xfId="0" applyNumberFormat="1" applyFont="1" applyFill="1" applyBorder="1" applyAlignment="1" applyProtection="1">
      <alignment horizontal="left"/>
      <protection locked="0"/>
    </xf>
    <xf numFmtId="1" fontId="24" fillId="35" borderId="98" xfId="0" applyNumberFormat="1" applyFont="1" applyFill="1" applyBorder="1" applyAlignment="1" applyProtection="1">
      <alignment horizontal="center"/>
      <protection locked="0"/>
    </xf>
    <xf numFmtId="1" fontId="24" fillId="57" borderId="98" xfId="0" applyNumberFormat="1" applyFont="1" applyFill="1" applyBorder="1" applyAlignment="1" applyProtection="1">
      <alignment horizontal="center"/>
      <protection locked="0"/>
    </xf>
    <xf numFmtId="37" fontId="24" fillId="61" borderId="83" xfId="0" applyNumberFormat="1" applyFont="1" applyFill="1" applyBorder="1" applyAlignment="1" applyProtection="1">
      <alignment horizontal="center"/>
      <protection locked="0"/>
    </xf>
    <xf numFmtId="3" fontId="93" fillId="58" borderId="0" xfId="0" applyFont="1" applyFill="1" applyAlignment="1" applyProtection="1">
      <alignment horizontal="left"/>
      <protection locked="0"/>
    </xf>
    <xf numFmtId="1" fontId="31" fillId="62" borderId="0" xfId="0" applyNumberFormat="1" applyFont="1" applyFill="1" applyAlignment="1" applyProtection="1">
      <alignment horizontal="center"/>
      <protection locked="0"/>
    </xf>
    <xf numFmtId="1" fontId="24" fillId="46" borderId="0" xfId="0" applyNumberFormat="1" applyFont="1" applyFill="1" applyAlignment="1" applyProtection="1">
      <alignment horizontal="center"/>
      <protection locked="0"/>
    </xf>
    <xf numFmtId="0" fontId="24" fillId="14" borderId="0" xfId="0" applyNumberFormat="1" applyFont="1" applyFill="1" applyAlignment="1" applyProtection="1">
      <alignment horizontal="center"/>
      <protection locked="0"/>
    </xf>
    <xf numFmtId="1" fontId="31" fillId="60" borderId="0" xfId="0" applyNumberFormat="1" applyFont="1" applyFill="1" applyAlignment="1" applyProtection="1">
      <alignment horizontal="center"/>
      <protection locked="0"/>
    </xf>
    <xf numFmtId="3" fontId="24" fillId="59" borderId="0" xfId="0" applyFont="1" applyFill="1" applyAlignment="1" applyProtection="1">
      <alignment horizontal="center"/>
      <protection locked="0"/>
    </xf>
    <xf numFmtId="37" fontId="0" fillId="0" borderId="0" xfId="0" applyNumberFormat="1" applyBorder="1" applyAlignment="1">
      <alignment horizontal="left" vertical="top" wrapText="1"/>
    </xf>
    <xf numFmtId="37" fontId="23" fillId="0" borderId="0" xfId="0" applyNumberFormat="1" applyFont="1" applyBorder="1" applyAlignment="1">
      <alignment horizontal="left" vertical="top" wrapText="1"/>
    </xf>
    <xf numFmtId="3" fontId="0" fillId="0" borderId="0" xfId="0" applyBorder="1" applyAlignment="1">
      <alignment horizontal="left" vertical="top" wrapText="1"/>
    </xf>
    <xf numFmtId="37" fontId="0" fillId="0" borderId="47" xfId="0" applyNumberFormat="1" applyBorder="1" applyAlignment="1">
      <alignment horizontal="left" vertical="top" wrapText="1"/>
    </xf>
    <xf numFmtId="37" fontId="26" fillId="0" borderId="0" xfId="0" applyNumberFormat="1" applyFont="1" applyAlignment="1">
      <alignment horizontal="center"/>
    </xf>
    <xf numFmtId="37" fontId="68" fillId="0" borderId="0" xfId="0" applyNumberFormat="1" applyFont="1" applyAlignment="1">
      <alignment horizontal="center"/>
    </xf>
    <xf numFmtId="37" fontId="0" fillId="0" borderId="0" xfId="0" applyNumberFormat="1" applyBorder="1" applyAlignment="1">
      <alignment horizontal="left" vertical="top" wrapText="1"/>
    </xf>
    <xf numFmtId="37" fontId="0" fillId="0" borderId="0" xfId="0" applyNumberFormat="1" applyAlignment="1">
      <alignment horizontal="left" vertical="top" wrapText="1"/>
    </xf>
    <xf numFmtId="3" fontId="23" fillId="0" borderId="0" xfId="0" applyFont="1" applyAlignment="1">
      <alignment wrapText="1"/>
    </xf>
    <xf numFmtId="3" fontId="0" fillId="0" borderId="0" xfId="0" applyAlignment="1">
      <alignment wrapText="1"/>
    </xf>
    <xf numFmtId="37" fontId="71" fillId="0" borderId="51" xfId="0" applyNumberFormat="1" applyFont="1" applyBorder="1" applyAlignment="1">
      <alignment horizontal="center"/>
    </xf>
    <xf numFmtId="3" fontId="72" fillId="0" borderId="51" xfId="0" applyFont="1" applyBorder="1" applyAlignment="1">
      <alignment horizontal="center"/>
    </xf>
    <xf numFmtId="3" fontId="23" fillId="0" borderId="0" xfId="0" applyFont="1"/>
    <xf numFmtId="37" fontId="23" fillId="0" borderId="47" xfId="0" applyNumberFormat="1" applyFont="1" applyBorder="1" applyAlignment="1">
      <alignment horizontal="left" vertical="top" wrapText="1"/>
    </xf>
    <xf numFmtId="3" fontId="0" fillId="0" borderId="47" xfId="0" applyBorder="1" applyAlignment="1">
      <alignment horizontal="left" vertical="top" wrapText="1"/>
    </xf>
    <xf numFmtId="165" fontId="35" fillId="0" borderId="81" xfId="0" applyNumberFormat="1" applyFont="1" applyBorder="1" applyAlignment="1">
      <alignment horizontal="center"/>
    </xf>
    <xf numFmtId="165" fontId="35" fillId="0" borderId="80" xfId="0" applyNumberFormat="1" applyFont="1" applyBorder="1" applyAlignment="1">
      <alignment horizontal="center"/>
    </xf>
  </cellXfs>
  <cellStyles count="51606">
    <cellStyle name="20% - Accent1 2" xfId="984" xr:uid="{00000000-0005-0000-0000-000000000000}"/>
    <cellStyle name="20% - Accent2 2" xfId="985" xr:uid="{00000000-0005-0000-0000-000001000000}"/>
    <cellStyle name="20% - Accent3 2" xfId="986" xr:uid="{00000000-0005-0000-0000-000002000000}"/>
    <cellStyle name="20% - Accent4 2" xfId="987" xr:uid="{00000000-0005-0000-0000-000003000000}"/>
    <cellStyle name="20% - Accent5 2" xfId="988" xr:uid="{00000000-0005-0000-0000-000004000000}"/>
    <cellStyle name="20% - Accent6 2" xfId="989" xr:uid="{00000000-0005-0000-0000-000005000000}"/>
    <cellStyle name="40% - Accent1 2" xfId="990" xr:uid="{00000000-0005-0000-0000-000006000000}"/>
    <cellStyle name="40% - Accent2 2" xfId="991" xr:uid="{00000000-0005-0000-0000-000007000000}"/>
    <cellStyle name="40% - Accent3 2" xfId="992" xr:uid="{00000000-0005-0000-0000-000008000000}"/>
    <cellStyle name="40% - Accent4 2" xfId="993" xr:uid="{00000000-0005-0000-0000-000009000000}"/>
    <cellStyle name="40% - Accent5 2" xfId="994" xr:uid="{00000000-0005-0000-0000-00000A000000}"/>
    <cellStyle name="40% - Accent6 2" xfId="995" xr:uid="{00000000-0005-0000-0000-00000B000000}"/>
    <cellStyle name="60% - Accent1 2" xfId="996" xr:uid="{00000000-0005-0000-0000-00000C000000}"/>
    <cellStyle name="60% - Accent2 2" xfId="997" xr:uid="{00000000-0005-0000-0000-00000D000000}"/>
    <cellStyle name="60% - Accent3 2" xfId="998" xr:uid="{00000000-0005-0000-0000-00000E000000}"/>
    <cellStyle name="60% - Accent4 2" xfId="999" xr:uid="{00000000-0005-0000-0000-00000F000000}"/>
    <cellStyle name="60% - Accent5 2" xfId="1000" xr:uid="{00000000-0005-0000-0000-000010000000}"/>
    <cellStyle name="60% - Accent6 2" xfId="1001" xr:uid="{00000000-0005-0000-0000-000011000000}"/>
    <cellStyle name="Accent1 2" xfId="1002" xr:uid="{00000000-0005-0000-0000-000012000000}"/>
    <cellStyle name="Accent2 2" xfId="1003" xr:uid="{00000000-0005-0000-0000-000013000000}"/>
    <cellStyle name="Accent3 2" xfId="1004" xr:uid="{00000000-0005-0000-0000-000014000000}"/>
    <cellStyle name="Accent4 2" xfId="1005" xr:uid="{00000000-0005-0000-0000-000015000000}"/>
    <cellStyle name="Accent5 2" xfId="1006" xr:uid="{00000000-0005-0000-0000-000016000000}"/>
    <cellStyle name="Accent6 2" xfId="1007" xr:uid="{00000000-0005-0000-0000-000017000000}"/>
    <cellStyle name="Bad 2" xfId="1008" xr:uid="{00000000-0005-0000-0000-000018000000}"/>
    <cellStyle name="CalcNumNew" xfId="51604" xr:uid="{BE529ECA-1812-44E6-B1D4-6C8C74172D27}"/>
    <cellStyle name="CalcNumOld" xfId="51603" xr:uid="{28633B53-81FC-4A89-83F7-496FA560CC99}"/>
    <cellStyle name="Calculation 2" xfId="1009" xr:uid="{00000000-0005-0000-0000-000019000000}"/>
    <cellStyle name="Calculation 3" xfId="1033" xr:uid="{00000000-0005-0000-0000-00001A000000}"/>
    <cellStyle name="Check Cell 2" xfId="1010" xr:uid="{00000000-0005-0000-0000-00001B000000}"/>
    <cellStyle name="Comma 2" xfId="18" xr:uid="{00000000-0005-0000-0000-00001C000000}"/>
    <cellStyle name="Comma 2 2" xfId="102" xr:uid="{00000000-0005-0000-0000-00001D000000}"/>
    <cellStyle name="Comma 2 3" xfId="60" xr:uid="{00000000-0005-0000-0000-00001E000000}"/>
    <cellStyle name="Comma 2 4" xfId="1011" xr:uid="{00000000-0005-0000-0000-00001F000000}"/>
    <cellStyle name="Comma 3" xfId="39" xr:uid="{00000000-0005-0000-0000-000020000000}"/>
    <cellStyle name="Comma 3 2" xfId="19" xr:uid="{00000000-0005-0000-0000-000021000000}"/>
    <cellStyle name="Comma 4" xfId="29" xr:uid="{00000000-0005-0000-0000-000022000000}"/>
    <cellStyle name="Comma 5" xfId="40" xr:uid="{00000000-0005-0000-0000-000023000000}"/>
    <cellStyle name="Comma 5 10" xfId="303" xr:uid="{00000000-0005-0000-0000-000024000000}"/>
    <cellStyle name="Comma 5 10 10" xfId="26232" xr:uid="{00000000-0005-0000-0000-000025000000}"/>
    <cellStyle name="Comma 5 10 11" xfId="26023" xr:uid="{00000000-0005-0000-0000-000026000000}"/>
    <cellStyle name="Comma 5 10 11 2" xfId="51576" xr:uid="{00000000-0005-0000-0000-000027000000}"/>
    <cellStyle name="Comma 5 10 2" xfId="618" xr:uid="{00000000-0005-0000-0000-000028000000}"/>
    <cellStyle name="Comma 5 10 2 2" xfId="3104" xr:uid="{00000000-0005-0000-0000-000029000000}"/>
    <cellStyle name="Comma 5 10 2 2 2" xfId="12247" xr:uid="{00000000-0005-0000-0000-00002A000000}"/>
    <cellStyle name="Comma 5 10 2 2 2 2" xfId="22465" xr:uid="{00000000-0005-0000-0000-00002B000000}"/>
    <cellStyle name="Comma 5 10 2 2 2 2 2" xfId="48018" xr:uid="{00000000-0005-0000-0000-00002C000000}"/>
    <cellStyle name="Comma 5 10 2 2 2 3" xfId="37802" xr:uid="{00000000-0005-0000-0000-00002D000000}"/>
    <cellStyle name="Comma 5 10 2 2 3" xfId="8669" xr:uid="{00000000-0005-0000-0000-00002E000000}"/>
    <cellStyle name="Comma 5 10 2 2 3 2" xfId="34226" xr:uid="{00000000-0005-0000-0000-00002F000000}"/>
    <cellStyle name="Comma 5 10 2 2 4" xfId="17458" xr:uid="{00000000-0005-0000-0000-000030000000}"/>
    <cellStyle name="Comma 5 10 2 2 4 2" xfId="43011" xr:uid="{00000000-0005-0000-0000-000031000000}"/>
    <cellStyle name="Comma 5 10 2 2 5" xfId="28948" xr:uid="{00000000-0005-0000-0000-000032000000}"/>
    <cellStyle name="Comma 5 10 2 3" xfId="4433" xr:uid="{00000000-0005-0000-0000-000033000000}"/>
    <cellStyle name="Comma 5 10 2 3 2" xfId="13271" xr:uid="{00000000-0005-0000-0000-000034000000}"/>
    <cellStyle name="Comma 5 10 2 3 2 2" xfId="23522" xr:uid="{00000000-0005-0000-0000-000035000000}"/>
    <cellStyle name="Comma 5 10 2 3 2 2 2" xfId="49075" xr:uid="{00000000-0005-0000-0000-000036000000}"/>
    <cellStyle name="Comma 5 10 2 3 2 3" xfId="38826" xr:uid="{00000000-0005-0000-0000-000037000000}"/>
    <cellStyle name="Comma 5 10 2 3 3" xfId="9692" xr:uid="{00000000-0005-0000-0000-000038000000}"/>
    <cellStyle name="Comma 5 10 2 3 3 2" xfId="35249" xr:uid="{00000000-0005-0000-0000-000039000000}"/>
    <cellStyle name="Comma 5 10 2 3 4" xfId="18515" xr:uid="{00000000-0005-0000-0000-00003A000000}"/>
    <cellStyle name="Comma 5 10 2 3 4 2" xfId="44068" xr:uid="{00000000-0005-0000-0000-00003B000000}"/>
    <cellStyle name="Comma 5 10 2 3 5" xfId="30005" xr:uid="{00000000-0005-0000-0000-00003C000000}"/>
    <cellStyle name="Comma 5 10 2 4" xfId="2213" xr:uid="{00000000-0005-0000-0000-00003D000000}"/>
    <cellStyle name="Comma 5 10 2 4 2" xfId="11578" xr:uid="{00000000-0005-0000-0000-00003E000000}"/>
    <cellStyle name="Comma 5 10 2 4 2 2" xfId="37133" xr:uid="{00000000-0005-0000-0000-00003F000000}"/>
    <cellStyle name="Comma 5 10 2 4 3" xfId="21582" xr:uid="{00000000-0005-0000-0000-000040000000}"/>
    <cellStyle name="Comma 5 10 2 4 3 2" xfId="47135" xr:uid="{00000000-0005-0000-0000-000041000000}"/>
    <cellStyle name="Comma 5 10 2 4 4" xfId="28065" xr:uid="{00000000-0005-0000-0000-000042000000}"/>
    <cellStyle name="Comma 5 10 2 5" xfId="5889" xr:uid="{00000000-0005-0000-0000-000043000000}"/>
    <cellStyle name="Comma 5 10 2 5 2" xfId="14716" xr:uid="{00000000-0005-0000-0000-000044000000}"/>
    <cellStyle name="Comma 5 10 2 5 2 2" xfId="40271" xr:uid="{00000000-0005-0000-0000-000045000000}"/>
    <cellStyle name="Comma 5 10 2 5 3" xfId="24967" xr:uid="{00000000-0005-0000-0000-000046000000}"/>
    <cellStyle name="Comma 5 10 2 5 3 2" xfId="50520" xr:uid="{00000000-0005-0000-0000-000047000000}"/>
    <cellStyle name="Comma 5 10 2 5 4" xfId="31450" xr:uid="{00000000-0005-0000-0000-000048000000}"/>
    <cellStyle name="Comma 5 10 2 6" xfId="7333" xr:uid="{00000000-0005-0000-0000-000049000000}"/>
    <cellStyle name="Comma 5 10 2 6 2" xfId="20064" xr:uid="{00000000-0005-0000-0000-00004A000000}"/>
    <cellStyle name="Comma 5 10 2 6 2 2" xfId="45617" xr:uid="{00000000-0005-0000-0000-00004B000000}"/>
    <cellStyle name="Comma 5 10 2 6 3" xfId="32890" xr:uid="{00000000-0005-0000-0000-00004C000000}"/>
    <cellStyle name="Comma 5 10 2 7" xfId="16575" xr:uid="{00000000-0005-0000-0000-00004D000000}"/>
    <cellStyle name="Comma 5 10 2 7 2" xfId="42128" xr:uid="{00000000-0005-0000-0000-00004E000000}"/>
    <cellStyle name="Comma 5 10 2 8" xfId="26547" xr:uid="{00000000-0005-0000-0000-00004F000000}"/>
    <cellStyle name="Comma 5 10 3" xfId="1075" xr:uid="{00000000-0005-0000-0000-000050000000}"/>
    <cellStyle name="Comma 5 10 3 2" xfId="3504" xr:uid="{00000000-0005-0000-0000-000051000000}"/>
    <cellStyle name="Comma 5 10 3 2 2" xfId="12640" xr:uid="{00000000-0005-0000-0000-000052000000}"/>
    <cellStyle name="Comma 5 10 3 2 2 2" xfId="22859" xr:uid="{00000000-0005-0000-0000-000053000000}"/>
    <cellStyle name="Comma 5 10 3 2 2 2 2" xfId="48412" xr:uid="{00000000-0005-0000-0000-000054000000}"/>
    <cellStyle name="Comma 5 10 3 2 2 3" xfId="38195" xr:uid="{00000000-0005-0000-0000-000055000000}"/>
    <cellStyle name="Comma 5 10 3 2 3" xfId="9062" xr:uid="{00000000-0005-0000-0000-000056000000}"/>
    <cellStyle name="Comma 5 10 3 2 3 2" xfId="34619" xr:uid="{00000000-0005-0000-0000-000057000000}"/>
    <cellStyle name="Comma 5 10 3 2 4" xfId="17852" xr:uid="{00000000-0005-0000-0000-000058000000}"/>
    <cellStyle name="Comma 5 10 3 2 4 2" xfId="43405" xr:uid="{00000000-0005-0000-0000-000059000000}"/>
    <cellStyle name="Comma 5 10 3 2 5" xfId="29342" xr:uid="{00000000-0005-0000-0000-00005A000000}"/>
    <cellStyle name="Comma 5 10 3 3" xfId="4782" xr:uid="{00000000-0005-0000-0000-00005B000000}"/>
    <cellStyle name="Comma 5 10 3 3 2" xfId="13619" xr:uid="{00000000-0005-0000-0000-00005C000000}"/>
    <cellStyle name="Comma 5 10 3 3 2 2" xfId="23870" xr:uid="{00000000-0005-0000-0000-00005D000000}"/>
    <cellStyle name="Comma 5 10 3 3 2 2 2" xfId="49423" xr:uid="{00000000-0005-0000-0000-00005E000000}"/>
    <cellStyle name="Comma 5 10 3 3 2 3" xfId="39174" xr:uid="{00000000-0005-0000-0000-00005F000000}"/>
    <cellStyle name="Comma 5 10 3 3 3" xfId="10040" xr:uid="{00000000-0005-0000-0000-000060000000}"/>
    <cellStyle name="Comma 5 10 3 3 3 2" xfId="35597" xr:uid="{00000000-0005-0000-0000-000061000000}"/>
    <cellStyle name="Comma 5 10 3 3 4" xfId="18863" xr:uid="{00000000-0005-0000-0000-000062000000}"/>
    <cellStyle name="Comma 5 10 3 3 4 2" xfId="44416" xr:uid="{00000000-0005-0000-0000-000063000000}"/>
    <cellStyle name="Comma 5 10 3 3 5" xfId="30353" xr:uid="{00000000-0005-0000-0000-000064000000}"/>
    <cellStyle name="Comma 5 10 3 4" xfId="2581" xr:uid="{00000000-0005-0000-0000-000065000000}"/>
    <cellStyle name="Comma 5 10 3 4 2" xfId="11945" xr:uid="{00000000-0005-0000-0000-000066000000}"/>
    <cellStyle name="Comma 5 10 3 4 2 2" xfId="37500" xr:uid="{00000000-0005-0000-0000-000067000000}"/>
    <cellStyle name="Comma 5 10 3 4 3" xfId="21949" xr:uid="{00000000-0005-0000-0000-000068000000}"/>
    <cellStyle name="Comma 5 10 3 4 3 2" xfId="47502" xr:uid="{00000000-0005-0000-0000-000069000000}"/>
    <cellStyle name="Comma 5 10 3 4 4" xfId="28432" xr:uid="{00000000-0005-0000-0000-00006A000000}"/>
    <cellStyle name="Comma 5 10 3 5" xfId="6237" xr:uid="{00000000-0005-0000-0000-00006B000000}"/>
    <cellStyle name="Comma 5 10 3 5 2" xfId="15064" xr:uid="{00000000-0005-0000-0000-00006C000000}"/>
    <cellStyle name="Comma 5 10 3 5 2 2" xfId="40619" xr:uid="{00000000-0005-0000-0000-00006D000000}"/>
    <cellStyle name="Comma 5 10 3 5 3" xfId="25315" xr:uid="{00000000-0005-0000-0000-00006E000000}"/>
    <cellStyle name="Comma 5 10 3 5 3 2" xfId="50868" xr:uid="{00000000-0005-0000-0000-00006F000000}"/>
    <cellStyle name="Comma 5 10 3 5 4" xfId="31798" xr:uid="{00000000-0005-0000-0000-000070000000}"/>
    <cellStyle name="Comma 5 10 3 6" xfId="7683" xr:uid="{00000000-0005-0000-0000-000071000000}"/>
    <cellStyle name="Comma 5 10 3 6 2" xfId="20458" xr:uid="{00000000-0005-0000-0000-000072000000}"/>
    <cellStyle name="Comma 5 10 3 6 2 2" xfId="46011" xr:uid="{00000000-0005-0000-0000-000073000000}"/>
    <cellStyle name="Comma 5 10 3 6 3" xfId="33240" xr:uid="{00000000-0005-0000-0000-000074000000}"/>
    <cellStyle name="Comma 5 10 3 7" xfId="16942" xr:uid="{00000000-0005-0000-0000-000075000000}"/>
    <cellStyle name="Comma 5 10 3 7 2" xfId="42495" xr:uid="{00000000-0005-0000-0000-000076000000}"/>
    <cellStyle name="Comma 5 10 3 8" xfId="26941" xr:uid="{00000000-0005-0000-0000-000077000000}"/>
    <cellStyle name="Comma 5 10 4" xfId="2789" xr:uid="{00000000-0005-0000-0000-000078000000}"/>
    <cellStyle name="Comma 5 10 4 2" xfId="5167" xr:uid="{00000000-0005-0000-0000-000079000000}"/>
    <cellStyle name="Comma 5 10 4 2 2" xfId="14004" xr:uid="{00000000-0005-0000-0000-00007A000000}"/>
    <cellStyle name="Comma 5 10 4 2 2 2" xfId="24255" xr:uid="{00000000-0005-0000-0000-00007B000000}"/>
    <cellStyle name="Comma 5 10 4 2 2 2 2" xfId="49808" xr:uid="{00000000-0005-0000-0000-00007C000000}"/>
    <cellStyle name="Comma 5 10 4 2 2 3" xfId="39559" xr:uid="{00000000-0005-0000-0000-00007D000000}"/>
    <cellStyle name="Comma 5 10 4 2 3" xfId="10425" xr:uid="{00000000-0005-0000-0000-00007E000000}"/>
    <cellStyle name="Comma 5 10 4 2 3 2" xfId="35982" xr:uid="{00000000-0005-0000-0000-00007F000000}"/>
    <cellStyle name="Comma 5 10 4 2 4" xfId="19248" xr:uid="{00000000-0005-0000-0000-000080000000}"/>
    <cellStyle name="Comma 5 10 4 2 4 2" xfId="44801" xr:uid="{00000000-0005-0000-0000-000081000000}"/>
    <cellStyle name="Comma 5 10 4 2 5" xfId="30738" xr:uid="{00000000-0005-0000-0000-000082000000}"/>
    <cellStyle name="Comma 5 10 4 3" xfId="6622" xr:uid="{00000000-0005-0000-0000-000083000000}"/>
    <cellStyle name="Comma 5 10 4 3 2" xfId="15449" xr:uid="{00000000-0005-0000-0000-000084000000}"/>
    <cellStyle name="Comma 5 10 4 3 2 2" xfId="41004" xr:uid="{00000000-0005-0000-0000-000085000000}"/>
    <cellStyle name="Comma 5 10 4 3 3" xfId="25700" xr:uid="{00000000-0005-0000-0000-000086000000}"/>
    <cellStyle name="Comma 5 10 4 3 3 2" xfId="51253" xr:uid="{00000000-0005-0000-0000-000087000000}"/>
    <cellStyle name="Comma 5 10 4 3 4" xfId="32183" xr:uid="{00000000-0005-0000-0000-000088000000}"/>
    <cellStyle name="Comma 5 10 4 4" xfId="8068" xr:uid="{00000000-0005-0000-0000-000089000000}"/>
    <cellStyle name="Comma 5 10 4 4 2" xfId="22150" xr:uid="{00000000-0005-0000-0000-00008A000000}"/>
    <cellStyle name="Comma 5 10 4 4 2 2" xfId="47703" xr:uid="{00000000-0005-0000-0000-00008B000000}"/>
    <cellStyle name="Comma 5 10 4 4 3" xfId="33625" xr:uid="{00000000-0005-0000-0000-00008C000000}"/>
    <cellStyle name="Comma 5 10 4 5" xfId="17143" xr:uid="{00000000-0005-0000-0000-00008D000000}"/>
    <cellStyle name="Comma 5 10 4 5 2" xfId="42696" xr:uid="{00000000-0005-0000-0000-00008E000000}"/>
    <cellStyle name="Comma 5 10 4 6" xfId="28633" xr:uid="{00000000-0005-0000-0000-00008F000000}"/>
    <cellStyle name="Comma 5 10 5" xfId="4121" xr:uid="{00000000-0005-0000-0000-000090000000}"/>
    <cellStyle name="Comma 5 10 5 2" xfId="12959" xr:uid="{00000000-0005-0000-0000-000091000000}"/>
    <cellStyle name="Comma 5 10 5 2 2" xfId="23210" xr:uid="{00000000-0005-0000-0000-000092000000}"/>
    <cellStyle name="Comma 5 10 5 2 2 2" xfId="48763" xr:uid="{00000000-0005-0000-0000-000093000000}"/>
    <cellStyle name="Comma 5 10 5 2 3" xfId="38514" xr:uid="{00000000-0005-0000-0000-000094000000}"/>
    <cellStyle name="Comma 5 10 5 3" xfId="9380" xr:uid="{00000000-0005-0000-0000-000095000000}"/>
    <cellStyle name="Comma 5 10 5 3 2" xfId="34937" xr:uid="{00000000-0005-0000-0000-000096000000}"/>
    <cellStyle name="Comma 5 10 5 4" xfId="18203" xr:uid="{00000000-0005-0000-0000-000097000000}"/>
    <cellStyle name="Comma 5 10 5 4 2" xfId="43756" xr:uid="{00000000-0005-0000-0000-000098000000}"/>
    <cellStyle name="Comma 5 10 5 5" xfId="29693" xr:uid="{00000000-0005-0000-0000-000099000000}"/>
    <cellStyle name="Comma 5 10 6" xfId="1898" xr:uid="{00000000-0005-0000-0000-00009A000000}"/>
    <cellStyle name="Comma 5 10 6 2" xfId="11263" xr:uid="{00000000-0005-0000-0000-00009B000000}"/>
    <cellStyle name="Comma 5 10 6 2 2" xfId="36818" xr:uid="{00000000-0005-0000-0000-00009C000000}"/>
    <cellStyle name="Comma 5 10 6 3" xfId="21267" xr:uid="{00000000-0005-0000-0000-00009D000000}"/>
    <cellStyle name="Comma 5 10 6 3 2" xfId="46820" xr:uid="{00000000-0005-0000-0000-00009E000000}"/>
    <cellStyle name="Comma 5 10 6 4" xfId="27750" xr:uid="{00000000-0005-0000-0000-00009F000000}"/>
    <cellStyle name="Comma 5 10 7" xfId="5579" xr:uid="{00000000-0005-0000-0000-0000A0000000}"/>
    <cellStyle name="Comma 5 10 7 2" xfId="14406" xr:uid="{00000000-0005-0000-0000-0000A1000000}"/>
    <cellStyle name="Comma 5 10 7 2 2" xfId="39961" xr:uid="{00000000-0005-0000-0000-0000A2000000}"/>
    <cellStyle name="Comma 5 10 7 3" xfId="24657" xr:uid="{00000000-0005-0000-0000-0000A3000000}"/>
    <cellStyle name="Comma 5 10 7 3 2" xfId="50210" xr:uid="{00000000-0005-0000-0000-0000A4000000}"/>
    <cellStyle name="Comma 5 10 7 4" xfId="31140" xr:uid="{00000000-0005-0000-0000-0000A5000000}"/>
    <cellStyle name="Comma 5 10 8" xfId="7023" xr:uid="{00000000-0005-0000-0000-0000A6000000}"/>
    <cellStyle name="Comma 5 10 8 2" xfId="19749" xr:uid="{00000000-0005-0000-0000-0000A7000000}"/>
    <cellStyle name="Comma 5 10 8 2 2" xfId="45302" xr:uid="{00000000-0005-0000-0000-0000A8000000}"/>
    <cellStyle name="Comma 5 10 8 3" xfId="32580" xr:uid="{00000000-0005-0000-0000-0000A9000000}"/>
    <cellStyle name="Comma 5 10 9" xfId="16260" xr:uid="{00000000-0005-0000-0000-0000AA000000}"/>
    <cellStyle name="Comma 5 10 9 2" xfId="41813" xr:uid="{00000000-0005-0000-0000-0000AB000000}"/>
    <cellStyle name="Comma 5 11" xfId="617" xr:uid="{00000000-0005-0000-0000-0000AC000000}"/>
    <cellStyle name="Comma 5 11 2" xfId="3103" xr:uid="{00000000-0005-0000-0000-0000AD000000}"/>
    <cellStyle name="Comma 5 11 2 2" xfId="12246" xr:uid="{00000000-0005-0000-0000-0000AE000000}"/>
    <cellStyle name="Comma 5 11 2 2 2" xfId="22464" xr:uid="{00000000-0005-0000-0000-0000AF000000}"/>
    <cellStyle name="Comma 5 11 2 2 2 2" xfId="48017" xr:uid="{00000000-0005-0000-0000-0000B0000000}"/>
    <cellStyle name="Comma 5 11 2 2 3" xfId="37801" xr:uid="{00000000-0005-0000-0000-0000B1000000}"/>
    <cellStyle name="Comma 5 11 2 3" xfId="8668" xr:uid="{00000000-0005-0000-0000-0000B2000000}"/>
    <cellStyle name="Comma 5 11 2 3 2" xfId="34225" xr:uid="{00000000-0005-0000-0000-0000B3000000}"/>
    <cellStyle name="Comma 5 11 2 4" xfId="17457" xr:uid="{00000000-0005-0000-0000-0000B4000000}"/>
    <cellStyle name="Comma 5 11 2 4 2" xfId="43010" xr:uid="{00000000-0005-0000-0000-0000B5000000}"/>
    <cellStyle name="Comma 5 11 2 5" xfId="28947" xr:uid="{00000000-0005-0000-0000-0000B6000000}"/>
    <cellStyle name="Comma 5 11 3" xfId="4432" xr:uid="{00000000-0005-0000-0000-0000B7000000}"/>
    <cellStyle name="Comma 5 11 3 2" xfId="13270" xr:uid="{00000000-0005-0000-0000-0000B8000000}"/>
    <cellStyle name="Comma 5 11 3 2 2" xfId="23521" xr:uid="{00000000-0005-0000-0000-0000B9000000}"/>
    <cellStyle name="Comma 5 11 3 2 2 2" xfId="49074" xr:uid="{00000000-0005-0000-0000-0000BA000000}"/>
    <cellStyle name="Comma 5 11 3 2 3" xfId="38825" xr:uid="{00000000-0005-0000-0000-0000BB000000}"/>
    <cellStyle name="Comma 5 11 3 3" xfId="9691" xr:uid="{00000000-0005-0000-0000-0000BC000000}"/>
    <cellStyle name="Comma 5 11 3 3 2" xfId="35248" xr:uid="{00000000-0005-0000-0000-0000BD000000}"/>
    <cellStyle name="Comma 5 11 3 4" xfId="18514" xr:uid="{00000000-0005-0000-0000-0000BE000000}"/>
    <cellStyle name="Comma 5 11 3 4 2" xfId="44067" xr:uid="{00000000-0005-0000-0000-0000BF000000}"/>
    <cellStyle name="Comma 5 11 3 5" xfId="30004" xr:uid="{00000000-0005-0000-0000-0000C0000000}"/>
    <cellStyle name="Comma 5 11 4" xfId="2212" xr:uid="{00000000-0005-0000-0000-0000C1000000}"/>
    <cellStyle name="Comma 5 11 4 2" xfId="11577" xr:uid="{00000000-0005-0000-0000-0000C2000000}"/>
    <cellStyle name="Comma 5 11 4 2 2" xfId="37132" xr:uid="{00000000-0005-0000-0000-0000C3000000}"/>
    <cellStyle name="Comma 5 11 4 3" xfId="21581" xr:uid="{00000000-0005-0000-0000-0000C4000000}"/>
    <cellStyle name="Comma 5 11 4 3 2" xfId="47134" xr:uid="{00000000-0005-0000-0000-0000C5000000}"/>
    <cellStyle name="Comma 5 11 4 4" xfId="28064" xr:uid="{00000000-0005-0000-0000-0000C6000000}"/>
    <cellStyle name="Comma 5 11 5" xfId="5888" xr:uid="{00000000-0005-0000-0000-0000C7000000}"/>
    <cellStyle name="Comma 5 11 5 2" xfId="14715" xr:uid="{00000000-0005-0000-0000-0000C8000000}"/>
    <cellStyle name="Comma 5 11 5 2 2" xfId="40270" xr:uid="{00000000-0005-0000-0000-0000C9000000}"/>
    <cellStyle name="Comma 5 11 5 3" xfId="24966" xr:uid="{00000000-0005-0000-0000-0000CA000000}"/>
    <cellStyle name="Comma 5 11 5 3 2" xfId="50519" xr:uid="{00000000-0005-0000-0000-0000CB000000}"/>
    <cellStyle name="Comma 5 11 5 4" xfId="31449" xr:uid="{00000000-0005-0000-0000-0000CC000000}"/>
    <cellStyle name="Comma 5 11 6" xfId="7332" xr:uid="{00000000-0005-0000-0000-0000CD000000}"/>
    <cellStyle name="Comma 5 11 6 2" xfId="20063" xr:uid="{00000000-0005-0000-0000-0000CE000000}"/>
    <cellStyle name="Comma 5 11 6 2 2" xfId="45616" xr:uid="{00000000-0005-0000-0000-0000CF000000}"/>
    <cellStyle name="Comma 5 11 6 3" xfId="32889" xr:uid="{00000000-0005-0000-0000-0000D0000000}"/>
    <cellStyle name="Comma 5 11 7" xfId="16574" xr:uid="{00000000-0005-0000-0000-0000D1000000}"/>
    <cellStyle name="Comma 5 11 7 2" xfId="42127" xr:uid="{00000000-0005-0000-0000-0000D2000000}"/>
    <cellStyle name="Comma 5 11 8" xfId="26546" xr:uid="{00000000-0005-0000-0000-0000D3000000}"/>
    <cellStyle name="Comma 5 12" xfId="1043" xr:uid="{00000000-0005-0000-0000-0000D4000000}"/>
    <cellStyle name="Comma 5 12 2" xfId="3472" xr:uid="{00000000-0005-0000-0000-0000D5000000}"/>
    <cellStyle name="Comma 5 12 2 2" xfId="12608" xr:uid="{00000000-0005-0000-0000-0000D6000000}"/>
    <cellStyle name="Comma 5 12 2 2 2" xfId="22827" xr:uid="{00000000-0005-0000-0000-0000D7000000}"/>
    <cellStyle name="Comma 5 12 2 2 2 2" xfId="48380" xr:uid="{00000000-0005-0000-0000-0000D8000000}"/>
    <cellStyle name="Comma 5 12 2 2 3" xfId="38163" xr:uid="{00000000-0005-0000-0000-0000D9000000}"/>
    <cellStyle name="Comma 5 12 2 3" xfId="9030" xr:uid="{00000000-0005-0000-0000-0000DA000000}"/>
    <cellStyle name="Comma 5 12 2 3 2" xfId="34587" xr:uid="{00000000-0005-0000-0000-0000DB000000}"/>
    <cellStyle name="Comma 5 12 2 4" xfId="17820" xr:uid="{00000000-0005-0000-0000-0000DC000000}"/>
    <cellStyle name="Comma 5 12 2 4 2" xfId="43373" xr:uid="{00000000-0005-0000-0000-0000DD000000}"/>
    <cellStyle name="Comma 5 12 2 5" xfId="29310" xr:uid="{00000000-0005-0000-0000-0000DE000000}"/>
    <cellStyle name="Comma 5 12 3" xfId="4781" xr:uid="{00000000-0005-0000-0000-0000DF000000}"/>
    <cellStyle name="Comma 5 12 3 2" xfId="13618" xr:uid="{00000000-0005-0000-0000-0000E0000000}"/>
    <cellStyle name="Comma 5 12 3 2 2" xfId="23869" xr:uid="{00000000-0005-0000-0000-0000E1000000}"/>
    <cellStyle name="Comma 5 12 3 2 2 2" xfId="49422" xr:uid="{00000000-0005-0000-0000-0000E2000000}"/>
    <cellStyle name="Comma 5 12 3 2 3" xfId="39173" xr:uid="{00000000-0005-0000-0000-0000E3000000}"/>
    <cellStyle name="Comma 5 12 3 3" xfId="10039" xr:uid="{00000000-0005-0000-0000-0000E4000000}"/>
    <cellStyle name="Comma 5 12 3 3 2" xfId="35596" xr:uid="{00000000-0005-0000-0000-0000E5000000}"/>
    <cellStyle name="Comma 5 12 3 4" xfId="18862" xr:uid="{00000000-0005-0000-0000-0000E6000000}"/>
    <cellStyle name="Comma 5 12 3 4 2" xfId="44415" xr:uid="{00000000-0005-0000-0000-0000E7000000}"/>
    <cellStyle name="Comma 5 12 3 5" xfId="30352" xr:uid="{00000000-0005-0000-0000-0000E8000000}"/>
    <cellStyle name="Comma 5 12 4" xfId="1707" xr:uid="{00000000-0005-0000-0000-0000E9000000}"/>
    <cellStyle name="Comma 5 12 4 2" xfId="11084" xr:uid="{00000000-0005-0000-0000-0000EA000000}"/>
    <cellStyle name="Comma 5 12 4 2 2" xfId="36639" xr:uid="{00000000-0005-0000-0000-0000EB000000}"/>
    <cellStyle name="Comma 5 12 4 3" xfId="21088" xr:uid="{00000000-0005-0000-0000-0000EC000000}"/>
    <cellStyle name="Comma 5 12 4 3 2" xfId="46641" xr:uid="{00000000-0005-0000-0000-0000ED000000}"/>
    <cellStyle name="Comma 5 12 4 4" xfId="27571" xr:uid="{00000000-0005-0000-0000-0000EE000000}"/>
    <cellStyle name="Comma 5 12 5" xfId="6236" xr:uid="{00000000-0005-0000-0000-0000EF000000}"/>
    <cellStyle name="Comma 5 12 5 2" xfId="15063" xr:uid="{00000000-0005-0000-0000-0000F0000000}"/>
    <cellStyle name="Comma 5 12 5 2 2" xfId="40618" xr:uid="{00000000-0005-0000-0000-0000F1000000}"/>
    <cellStyle name="Comma 5 12 5 3" xfId="25314" xr:uid="{00000000-0005-0000-0000-0000F2000000}"/>
    <cellStyle name="Comma 5 12 5 3 2" xfId="50867" xr:uid="{00000000-0005-0000-0000-0000F3000000}"/>
    <cellStyle name="Comma 5 12 5 4" xfId="31797" xr:uid="{00000000-0005-0000-0000-0000F4000000}"/>
    <cellStyle name="Comma 5 12 6" xfId="7682" xr:uid="{00000000-0005-0000-0000-0000F5000000}"/>
    <cellStyle name="Comma 5 12 6 2" xfId="20426" xr:uid="{00000000-0005-0000-0000-0000F6000000}"/>
    <cellStyle name="Comma 5 12 6 2 2" xfId="45979" xr:uid="{00000000-0005-0000-0000-0000F7000000}"/>
    <cellStyle name="Comma 5 12 6 3" xfId="33239" xr:uid="{00000000-0005-0000-0000-0000F8000000}"/>
    <cellStyle name="Comma 5 12 7" xfId="16081" xr:uid="{00000000-0005-0000-0000-0000F9000000}"/>
    <cellStyle name="Comma 5 12 7 2" xfId="41634" xr:uid="{00000000-0005-0000-0000-0000FA000000}"/>
    <cellStyle name="Comma 5 12 8" xfId="26909" xr:uid="{00000000-0005-0000-0000-0000FB000000}"/>
    <cellStyle name="Comma 5 13" xfId="2607" xr:uid="{00000000-0005-0000-0000-0000FC000000}"/>
    <cellStyle name="Comma 5 13 2" xfId="5135" xr:uid="{00000000-0005-0000-0000-0000FD000000}"/>
    <cellStyle name="Comma 5 13 2 2" xfId="13972" xr:uid="{00000000-0005-0000-0000-0000FE000000}"/>
    <cellStyle name="Comma 5 13 2 2 2" xfId="24223" xr:uid="{00000000-0005-0000-0000-0000FF000000}"/>
    <cellStyle name="Comma 5 13 2 2 2 2" xfId="49776" xr:uid="{00000000-0005-0000-0000-000000010000}"/>
    <cellStyle name="Comma 5 13 2 2 3" xfId="39527" xr:uid="{00000000-0005-0000-0000-000001010000}"/>
    <cellStyle name="Comma 5 13 2 3" xfId="10393" xr:uid="{00000000-0005-0000-0000-000002010000}"/>
    <cellStyle name="Comma 5 13 2 3 2" xfId="35950" xr:uid="{00000000-0005-0000-0000-000003010000}"/>
    <cellStyle name="Comma 5 13 2 4" xfId="19216" xr:uid="{00000000-0005-0000-0000-000004010000}"/>
    <cellStyle name="Comma 5 13 2 4 2" xfId="44769" xr:uid="{00000000-0005-0000-0000-000005010000}"/>
    <cellStyle name="Comma 5 13 2 5" xfId="30706" xr:uid="{00000000-0005-0000-0000-000006010000}"/>
    <cellStyle name="Comma 5 13 3" xfId="6590" xr:uid="{00000000-0005-0000-0000-000007010000}"/>
    <cellStyle name="Comma 5 13 3 2" xfId="15417" xr:uid="{00000000-0005-0000-0000-000008010000}"/>
    <cellStyle name="Comma 5 13 3 2 2" xfId="40972" xr:uid="{00000000-0005-0000-0000-000009010000}"/>
    <cellStyle name="Comma 5 13 3 3" xfId="25668" xr:uid="{00000000-0005-0000-0000-00000A010000}"/>
    <cellStyle name="Comma 5 13 3 3 2" xfId="51221" xr:uid="{00000000-0005-0000-0000-00000B010000}"/>
    <cellStyle name="Comma 5 13 3 4" xfId="32151" xr:uid="{00000000-0005-0000-0000-00000C010000}"/>
    <cellStyle name="Comma 5 13 4" xfId="8036" xr:uid="{00000000-0005-0000-0000-00000D010000}"/>
    <cellStyle name="Comma 5 13 4 2" xfId="21971" xr:uid="{00000000-0005-0000-0000-00000E010000}"/>
    <cellStyle name="Comma 5 13 4 2 2" xfId="47524" xr:uid="{00000000-0005-0000-0000-00000F010000}"/>
    <cellStyle name="Comma 5 13 4 3" xfId="33593" xr:uid="{00000000-0005-0000-0000-000010010000}"/>
    <cellStyle name="Comma 5 13 5" xfId="16964" xr:uid="{00000000-0005-0000-0000-000011010000}"/>
    <cellStyle name="Comma 5 13 5 2" xfId="42517" xr:uid="{00000000-0005-0000-0000-000012010000}"/>
    <cellStyle name="Comma 5 13 6" xfId="28454" xr:uid="{00000000-0005-0000-0000-000013010000}"/>
    <cellStyle name="Comma 5 14" xfId="4089" xr:uid="{00000000-0005-0000-0000-000014010000}"/>
    <cellStyle name="Comma 5 14 2" xfId="5547" xr:uid="{00000000-0005-0000-0000-000015010000}"/>
    <cellStyle name="Comma 5 14 2 2" xfId="14374" xr:uid="{00000000-0005-0000-0000-000016010000}"/>
    <cellStyle name="Comma 5 14 2 2 2" xfId="39929" xr:uid="{00000000-0005-0000-0000-000017010000}"/>
    <cellStyle name="Comma 5 14 2 3" xfId="24625" xr:uid="{00000000-0005-0000-0000-000018010000}"/>
    <cellStyle name="Comma 5 14 2 3 2" xfId="50178" xr:uid="{00000000-0005-0000-0000-000019010000}"/>
    <cellStyle name="Comma 5 14 2 4" xfId="31108" xr:uid="{00000000-0005-0000-0000-00001A010000}"/>
    <cellStyle name="Comma 5 14 3" xfId="6991" xr:uid="{00000000-0005-0000-0000-00001B010000}"/>
    <cellStyle name="Comma 5 14 3 2" xfId="23178" xr:uid="{00000000-0005-0000-0000-00001C010000}"/>
    <cellStyle name="Comma 5 14 3 2 2" xfId="48731" xr:uid="{00000000-0005-0000-0000-00001D010000}"/>
    <cellStyle name="Comma 5 14 3 3" xfId="32548" xr:uid="{00000000-0005-0000-0000-00001E010000}"/>
    <cellStyle name="Comma 5 14 4" xfId="18171" xr:uid="{00000000-0005-0000-0000-00001F010000}"/>
    <cellStyle name="Comma 5 14 4 2" xfId="43724" xr:uid="{00000000-0005-0000-0000-000020010000}"/>
    <cellStyle name="Comma 5 14 5" xfId="29661" xr:uid="{00000000-0005-0000-0000-000021010000}"/>
    <cellStyle name="Comma 5 15" xfId="1395" xr:uid="{00000000-0005-0000-0000-000022010000}"/>
    <cellStyle name="Comma 5 15 2" xfId="10772" xr:uid="{00000000-0005-0000-0000-000023010000}"/>
    <cellStyle name="Comma 5 15 2 2" xfId="36327" xr:uid="{00000000-0005-0000-0000-000024010000}"/>
    <cellStyle name="Comma 5 15 3" xfId="20776" xr:uid="{00000000-0005-0000-0000-000025010000}"/>
    <cellStyle name="Comma 5 15 3 2" xfId="46329" xr:uid="{00000000-0005-0000-0000-000026010000}"/>
    <cellStyle name="Comma 5 15 4" xfId="27259" xr:uid="{00000000-0005-0000-0000-000027010000}"/>
    <cellStyle name="Comma 5 16" xfId="5507" xr:uid="{00000000-0005-0000-0000-000028010000}"/>
    <cellStyle name="Comma 5 16 2" xfId="14334" xr:uid="{00000000-0005-0000-0000-000029010000}"/>
    <cellStyle name="Comma 5 16 2 2" xfId="39889" xr:uid="{00000000-0005-0000-0000-00002A010000}"/>
    <cellStyle name="Comma 5 16 3" xfId="24585" xr:uid="{00000000-0005-0000-0000-00002B010000}"/>
    <cellStyle name="Comma 5 16 3 2" xfId="50138" xr:uid="{00000000-0005-0000-0000-00002C010000}"/>
    <cellStyle name="Comma 5 16 4" xfId="31068" xr:uid="{00000000-0005-0000-0000-00002D010000}"/>
    <cellStyle name="Comma 5 17" xfId="6946" xr:uid="{00000000-0005-0000-0000-00002E010000}"/>
    <cellStyle name="Comma 5 17 2" xfId="19571" xr:uid="{00000000-0005-0000-0000-00002F010000}"/>
    <cellStyle name="Comma 5 17 2 2" xfId="45124" xr:uid="{00000000-0005-0000-0000-000030010000}"/>
    <cellStyle name="Comma 5 17 3" xfId="32504" xr:uid="{00000000-0005-0000-0000-000031010000}"/>
    <cellStyle name="Comma 5 18" xfId="15769" xr:uid="{00000000-0005-0000-0000-000032010000}"/>
    <cellStyle name="Comma 5 18 2" xfId="41322" xr:uid="{00000000-0005-0000-0000-000033010000}"/>
    <cellStyle name="Comma 5 19" xfId="26054" xr:uid="{00000000-0005-0000-0000-000034010000}"/>
    <cellStyle name="Comma 5 2" xfId="41" xr:uid="{00000000-0005-0000-0000-000035010000}"/>
    <cellStyle name="Comma 5 2 10" xfId="619" xr:uid="{00000000-0005-0000-0000-000036010000}"/>
    <cellStyle name="Comma 5 2 10 2" xfId="3105" xr:uid="{00000000-0005-0000-0000-000037010000}"/>
    <cellStyle name="Comma 5 2 10 2 2" xfId="12248" xr:uid="{00000000-0005-0000-0000-000038010000}"/>
    <cellStyle name="Comma 5 2 10 2 2 2" xfId="22466" xr:uid="{00000000-0005-0000-0000-000039010000}"/>
    <cellStyle name="Comma 5 2 10 2 2 2 2" xfId="48019" xr:uid="{00000000-0005-0000-0000-00003A010000}"/>
    <cellStyle name="Comma 5 2 10 2 2 3" xfId="37803" xr:uid="{00000000-0005-0000-0000-00003B010000}"/>
    <cellStyle name="Comma 5 2 10 2 3" xfId="8670" xr:uid="{00000000-0005-0000-0000-00003C010000}"/>
    <cellStyle name="Comma 5 2 10 2 3 2" xfId="34227" xr:uid="{00000000-0005-0000-0000-00003D010000}"/>
    <cellStyle name="Comma 5 2 10 2 4" xfId="17459" xr:uid="{00000000-0005-0000-0000-00003E010000}"/>
    <cellStyle name="Comma 5 2 10 2 4 2" xfId="43012" xr:uid="{00000000-0005-0000-0000-00003F010000}"/>
    <cellStyle name="Comma 5 2 10 2 5" xfId="28949" xr:uid="{00000000-0005-0000-0000-000040010000}"/>
    <cellStyle name="Comma 5 2 10 3" xfId="4434" xr:uid="{00000000-0005-0000-0000-000041010000}"/>
    <cellStyle name="Comma 5 2 10 3 2" xfId="13272" xr:uid="{00000000-0005-0000-0000-000042010000}"/>
    <cellStyle name="Comma 5 2 10 3 2 2" xfId="23523" xr:uid="{00000000-0005-0000-0000-000043010000}"/>
    <cellStyle name="Comma 5 2 10 3 2 2 2" xfId="49076" xr:uid="{00000000-0005-0000-0000-000044010000}"/>
    <cellStyle name="Comma 5 2 10 3 2 3" xfId="38827" xr:uid="{00000000-0005-0000-0000-000045010000}"/>
    <cellStyle name="Comma 5 2 10 3 3" xfId="9693" xr:uid="{00000000-0005-0000-0000-000046010000}"/>
    <cellStyle name="Comma 5 2 10 3 3 2" xfId="35250" xr:uid="{00000000-0005-0000-0000-000047010000}"/>
    <cellStyle name="Comma 5 2 10 3 4" xfId="18516" xr:uid="{00000000-0005-0000-0000-000048010000}"/>
    <cellStyle name="Comma 5 2 10 3 4 2" xfId="44069" xr:uid="{00000000-0005-0000-0000-000049010000}"/>
    <cellStyle name="Comma 5 2 10 3 5" xfId="30006" xr:uid="{00000000-0005-0000-0000-00004A010000}"/>
    <cellStyle name="Comma 5 2 10 4" xfId="2214" xr:uid="{00000000-0005-0000-0000-00004B010000}"/>
    <cellStyle name="Comma 5 2 10 4 2" xfId="11579" xr:uid="{00000000-0005-0000-0000-00004C010000}"/>
    <cellStyle name="Comma 5 2 10 4 2 2" xfId="37134" xr:uid="{00000000-0005-0000-0000-00004D010000}"/>
    <cellStyle name="Comma 5 2 10 4 3" xfId="21583" xr:uid="{00000000-0005-0000-0000-00004E010000}"/>
    <cellStyle name="Comma 5 2 10 4 3 2" xfId="47136" xr:uid="{00000000-0005-0000-0000-00004F010000}"/>
    <cellStyle name="Comma 5 2 10 4 4" xfId="28066" xr:uid="{00000000-0005-0000-0000-000050010000}"/>
    <cellStyle name="Comma 5 2 10 5" xfId="5890" xr:uid="{00000000-0005-0000-0000-000051010000}"/>
    <cellStyle name="Comma 5 2 10 5 2" xfId="14717" xr:uid="{00000000-0005-0000-0000-000052010000}"/>
    <cellStyle name="Comma 5 2 10 5 2 2" xfId="40272" xr:uid="{00000000-0005-0000-0000-000053010000}"/>
    <cellStyle name="Comma 5 2 10 5 3" xfId="24968" xr:uid="{00000000-0005-0000-0000-000054010000}"/>
    <cellStyle name="Comma 5 2 10 5 3 2" xfId="50521" xr:uid="{00000000-0005-0000-0000-000055010000}"/>
    <cellStyle name="Comma 5 2 10 5 4" xfId="31451" xr:uid="{00000000-0005-0000-0000-000056010000}"/>
    <cellStyle name="Comma 5 2 10 6" xfId="7334" xr:uid="{00000000-0005-0000-0000-000057010000}"/>
    <cellStyle name="Comma 5 2 10 6 2" xfId="20065" xr:uid="{00000000-0005-0000-0000-000058010000}"/>
    <cellStyle name="Comma 5 2 10 6 2 2" xfId="45618" xr:uid="{00000000-0005-0000-0000-000059010000}"/>
    <cellStyle name="Comma 5 2 10 6 3" xfId="32891" xr:uid="{00000000-0005-0000-0000-00005A010000}"/>
    <cellStyle name="Comma 5 2 10 7" xfId="16576" xr:uid="{00000000-0005-0000-0000-00005B010000}"/>
    <cellStyle name="Comma 5 2 10 7 2" xfId="42129" xr:uid="{00000000-0005-0000-0000-00005C010000}"/>
    <cellStyle name="Comma 5 2 10 8" xfId="26548" xr:uid="{00000000-0005-0000-0000-00005D010000}"/>
    <cellStyle name="Comma 5 2 11" xfId="1044" xr:uid="{00000000-0005-0000-0000-00005E010000}"/>
    <cellStyle name="Comma 5 2 11 2" xfId="3473" xr:uid="{00000000-0005-0000-0000-00005F010000}"/>
    <cellStyle name="Comma 5 2 11 2 2" xfId="12609" xr:uid="{00000000-0005-0000-0000-000060010000}"/>
    <cellStyle name="Comma 5 2 11 2 2 2" xfId="22828" xr:uid="{00000000-0005-0000-0000-000061010000}"/>
    <cellStyle name="Comma 5 2 11 2 2 2 2" xfId="48381" xr:uid="{00000000-0005-0000-0000-000062010000}"/>
    <cellStyle name="Comma 5 2 11 2 2 3" xfId="38164" xr:uid="{00000000-0005-0000-0000-000063010000}"/>
    <cellStyle name="Comma 5 2 11 2 3" xfId="9031" xr:uid="{00000000-0005-0000-0000-000064010000}"/>
    <cellStyle name="Comma 5 2 11 2 3 2" xfId="34588" xr:uid="{00000000-0005-0000-0000-000065010000}"/>
    <cellStyle name="Comma 5 2 11 2 4" xfId="17821" xr:uid="{00000000-0005-0000-0000-000066010000}"/>
    <cellStyle name="Comma 5 2 11 2 4 2" xfId="43374" xr:uid="{00000000-0005-0000-0000-000067010000}"/>
    <cellStyle name="Comma 5 2 11 2 5" xfId="29311" xr:uid="{00000000-0005-0000-0000-000068010000}"/>
    <cellStyle name="Comma 5 2 11 3" xfId="4783" xr:uid="{00000000-0005-0000-0000-000069010000}"/>
    <cellStyle name="Comma 5 2 11 3 2" xfId="13620" xr:uid="{00000000-0005-0000-0000-00006A010000}"/>
    <cellStyle name="Comma 5 2 11 3 2 2" xfId="23871" xr:uid="{00000000-0005-0000-0000-00006B010000}"/>
    <cellStyle name="Comma 5 2 11 3 2 2 2" xfId="49424" xr:uid="{00000000-0005-0000-0000-00006C010000}"/>
    <cellStyle name="Comma 5 2 11 3 2 3" xfId="39175" xr:uid="{00000000-0005-0000-0000-00006D010000}"/>
    <cellStyle name="Comma 5 2 11 3 3" xfId="10041" xr:uid="{00000000-0005-0000-0000-00006E010000}"/>
    <cellStyle name="Comma 5 2 11 3 3 2" xfId="35598" xr:uid="{00000000-0005-0000-0000-00006F010000}"/>
    <cellStyle name="Comma 5 2 11 3 4" xfId="18864" xr:uid="{00000000-0005-0000-0000-000070010000}"/>
    <cellStyle name="Comma 5 2 11 3 4 2" xfId="44417" xr:uid="{00000000-0005-0000-0000-000071010000}"/>
    <cellStyle name="Comma 5 2 11 3 5" xfId="30354" xr:uid="{00000000-0005-0000-0000-000072010000}"/>
    <cellStyle name="Comma 5 2 11 4" xfId="1708" xr:uid="{00000000-0005-0000-0000-000073010000}"/>
    <cellStyle name="Comma 5 2 11 4 2" xfId="11085" xr:uid="{00000000-0005-0000-0000-000074010000}"/>
    <cellStyle name="Comma 5 2 11 4 2 2" xfId="36640" xr:uid="{00000000-0005-0000-0000-000075010000}"/>
    <cellStyle name="Comma 5 2 11 4 3" xfId="21089" xr:uid="{00000000-0005-0000-0000-000076010000}"/>
    <cellStyle name="Comma 5 2 11 4 3 2" xfId="46642" xr:uid="{00000000-0005-0000-0000-000077010000}"/>
    <cellStyle name="Comma 5 2 11 4 4" xfId="27572" xr:uid="{00000000-0005-0000-0000-000078010000}"/>
    <cellStyle name="Comma 5 2 11 5" xfId="6238" xr:uid="{00000000-0005-0000-0000-000079010000}"/>
    <cellStyle name="Comma 5 2 11 5 2" xfId="15065" xr:uid="{00000000-0005-0000-0000-00007A010000}"/>
    <cellStyle name="Comma 5 2 11 5 2 2" xfId="40620" xr:uid="{00000000-0005-0000-0000-00007B010000}"/>
    <cellStyle name="Comma 5 2 11 5 3" xfId="25316" xr:uid="{00000000-0005-0000-0000-00007C010000}"/>
    <cellStyle name="Comma 5 2 11 5 3 2" xfId="50869" xr:uid="{00000000-0005-0000-0000-00007D010000}"/>
    <cellStyle name="Comma 5 2 11 5 4" xfId="31799" xr:uid="{00000000-0005-0000-0000-00007E010000}"/>
    <cellStyle name="Comma 5 2 11 6" xfId="7684" xr:uid="{00000000-0005-0000-0000-00007F010000}"/>
    <cellStyle name="Comma 5 2 11 6 2" xfId="20427" xr:uid="{00000000-0005-0000-0000-000080010000}"/>
    <cellStyle name="Comma 5 2 11 6 2 2" xfId="45980" xr:uid="{00000000-0005-0000-0000-000081010000}"/>
    <cellStyle name="Comma 5 2 11 6 3" xfId="33241" xr:uid="{00000000-0005-0000-0000-000082010000}"/>
    <cellStyle name="Comma 5 2 11 7" xfId="16082" xr:uid="{00000000-0005-0000-0000-000083010000}"/>
    <cellStyle name="Comma 5 2 11 7 2" xfId="41635" xr:uid="{00000000-0005-0000-0000-000084010000}"/>
    <cellStyle name="Comma 5 2 11 8" xfId="26910" xr:uid="{00000000-0005-0000-0000-000085010000}"/>
    <cellStyle name="Comma 5 2 12" xfId="2608" xr:uid="{00000000-0005-0000-0000-000086010000}"/>
    <cellStyle name="Comma 5 2 12 2" xfId="5136" xr:uid="{00000000-0005-0000-0000-000087010000}"/>
    <cellStyle name="Comma 5 2 12 2 2" xfId="13973" xr:uid="{00000000-0005-0000-0000-000088010000}"/>
    <cellStyle name="Comma 5 2 12 2 2 2" xfId="24224" xr:uid="{00000000-0005-0000-0000-000089010000}"/>
    <cellStyle name="Comma 5 2 12 2 2 2 2" xfId="49777" xr:uid="{00000000-0005-0000-0000-00008A010000}"/>
    <cellStyle name="Comma 5 2 12 2 2 3" xfId="39528" xr:uid="{00000000-0005-0000-0000-00008B010000}"/>
    <cellStyle name="Comma 5 2 12 2 3" xfId="10394" xr:uid="{00000000-0005-0000-0000-00008C010000}"/>
    <cellStyle name="Comma 5 2 12 2 3 2" xfId="35951" xr:uid="{00000000-0005-0000-0000-00008D010000}"/>
    <cellStyle name="Comma 5 2 12 2 4" xfId="19217" xr:uid="{00000000-0005-0000-0000-00008E010000}"/>
    <cellStyle name="Comma 5 2 12 2 4 2" xfId="44770" xr:uid="{00000000-0005-0000-0000-00008F010000}"/>
    <cellStyle name="Comma 5 2 12 2 5" xfId="30707" xr:uid="{00000000-0005-0000-0000-000090010000}"/>
    <cellStyle name="Comma 5 2 12 3" xfId="6591" xr:uid="{00000000-0005-0000-0000-000091010000}"/>
    <cellStyle name="Comma 5 2 12 3 2" xfId="15418" xr:uid="{00000000-0005-0000-0000-000092010000}"/>
    <cellStyle name="Comma 5 2 12 3 2 2" xfId="40973" xr:uid="{00000000-0005-0000-0000-000093010000}"/>
    <cellStyle name="Comma 5 2 12 3 3" xfId="25669" xr:uid="{00000000-0005-0000-0000-000094010000}"/>
    <cellStyle name="Comma 5 2 12 3 3 2" xfId="51222" xr:uid="{00000000-0005-0000-0000-000095010000}"/>
    <cellStyle name="Comma 5 2 12 3 4" xfId="32152" xr:uid="{00000000-0005-0000-0000-000096010000}"/>
    <cellStyle name="Comma 5 2 12 4" xfId="8037" xr:uid="{00000000-0005-0000-0000-000097010000}"/>
    <cellStyle name="Comma 5 2 12 4 2" xfId="21972" xr:uid="{00000000-0005-0000-0000-000098010000}"/>
    <cellStyle name="Comma 5 2 12 4 2 2" xfId="47525" xr:uid="{00000000-0005-0000-0000-000099010000}"/>
    <cellStyle name="Comma 5 2 12 4 3" xfId="33594" xr:uid="{00000000-0005-0000-0000-00009A010000}"/>
    <cellStyle name="Comma 5 2 12 5" xfId="16965" xr:uid="{00000000-0005-0000-0000-00009B010000}"/>
    <cellStyle name="Comma 5 2 12 5 2" xfId="42518" xr:uid="{00000000-0005-0000-0000-00009C010000}"/>
    <cellStyle name="Comma 5 2 12 6" xfId="28455" xr:uid="{00000000-0005-0000-0000-00009D010000}"/>
    <cellStyle name="Comma 5 2 13" xfId="4090" xr:uid="{00000000-0005-0000-0000-00009E010000}"/>
    <cellStyle name="Comma 5 2 13 2" xfId="5548" xr:uid="{00000000-0005-0000-0000-00009F010000}"/>
    <cellStyle name="Comma 5 2 13 2 2" xfId="14375" xr:uid="{00000000-0005-0000-0000-0000A0010000}"/>
    <cellStyle name="Comma 5 2 13 2 2 2" xfId="39930" xr:uid="{00000000-0005-0000-0000-0000A1010000}"/>
    <cellStyle name="Comma 5 2 13 2 3" xfId="24626" xr:uid="{00000000-0005-0000-0000-0000A2010000}"/>
    <cellStyle name="Comma 5 2 13 2 3 2" xfId="50179" xr:uid="{00000000-0005-0000-0000-0000A3010000}"/>
    <cellStyle name="Comma 5 2 13 2 4" xfId="31109" xr:uid="{00000000-0005-0000-0000-0000A4010000}"/>
    <cellStyle name="Comma 5 2 13 3" xfId="6992" xr:uid="{00000000-0005-0000-0000-0000A5010000}"/>
    <cellStyle name="Comma 5 2 13 3 2" xfId="23179" xr:uid="{00000000-0005-0000-0000-0000A6010000}"/>
    <cellStyle name="Comma 5 2 13 3 2 2" xfId="48732" xr:uid="{00000000-0005-0000-0000-0000A7010000}"/>
    <cellStyle name="Comma 5 2 13 3 3" xfId="32549" xr:uid="{00000000-0005-0000-0000-0000A8010000}"/>
    <cellStyle name="Comma 5 2 13 4" xfId="18172" xr:uid="{00000000-0005-0000-0000-0000A9010000}"/>
    <cellStyle name="Comma 5 2 13 4 2" xfId="43725" xr:uid="{00000000-0005-0000-0000-0000AA010000}"/>
    <cellStyle name="Comma 5 2 13 5" xfId="29662" xr:uid="{00000000-0005-0000-0000-0000AB010000}"/>
    <cellStyle name="Comma 5 2 14" xfId="1396" xr:uid="{00000000-0005-0000-0000-0000AC010000}"/>
    <cellStyle name="Comma 5 2 14 2" xfId="10773" xr:uid="{00000000-0005-0000-0000-0000AD010000}"/>
    <cellStyle name="Comma 5 2 14 2 2" xfId="36328" xr:uid="{00000000-0005-0000-0000-0000AE010000}"/>
    <cellStyle name="Comma 5 2 14 3" xfId="20777" xr:uid="{00000000-0005-0000-0000-0000AF010000}"/>
    <cellStyle name="Comma 5 2 14 3 2" xfId="46330" xr:uid="{00000000-0005-0000-0000-0000B0010000}"/>
    <cellStyle name="Comma 5 2 14 4" xfId="27260" xr:uid="{00000000-0005-0000-0000-0000B1010000}"/>
    <cellStyle name="Comma 5 2 15" xfId="5508" xr:uid="{00000000-0005-0000-0000-0000B2010000}"/>
    <cellStyle name="Comma 5 2 15 2" xfId="14335" xr:uid="{00000000-0005-0000-0000-0000B3010000}"/>
    <cellStyle name="Comma 5 2 15 2 2" xfId="39890" xr:uid="{00000000-0005-0000-0000-0000B4010000}"/>
    <cellStyle name="Comma 5 2 15 3" xfId="24586" xr:uid="{00000000-0005-0000-0000-0000B5010000}"/>
    <cellStyle name="Comma 5 2 15 3 2" xfId="50139" xr:uid="{00000000-0005-0000-0000-0000B6010000}"/>
    <cellStyle name="Comma 5 2 15 4" xfId="31069" xr:uid="{00000000-0005-0000-0000-0000B7010000}"/>
    <cellStyle name="Comma 5 2 16" xfId="6947" xr:uid="{00000000-0005-0000-0000-0000B8010000}"/>
    <cellStyle name="Comma 5 2 16 2" xfId="19572" xr:uid="{00000000-0005-0000-0000-0000B9010000}"/>
    <cellStyle name="Comma 5 2 16 2 2" xfId="45125" xr:uid="{00000000-0005-0000-0000-0000BA010000}"/>
    <cellStyle name="Comma 5 2 16 3" xfId="32505" xr:uid="{00000000-0005-0000-0000-0000BB010000}"/>
    <cellStyle name="Comma 5 2 17" xfId="15770" xr:uid="{00000000-0005-0000-0000-0000BC010000}"/>
    <cellStyle name="Comma 5 2 17 2" xfId="41323" xr:uid="{00000000-0005-0000-0000-0000BD010000}"/>
    <cellStyle name="Comma 5 2 18" xfId="26055" xr:uid="{00000000-0005-0000-0000-0000BE010000}"/>
    <cellStyle name="Comma 5 2 2" xfId="112" xr:uid="{00000000-0005-0000-0000-0000BF010000}"/>
    <cellStyle name="Comma 5 2 2 10" xfId="4102" xr:uid="{00000000-0005-0000-0000-0000C0010000}"/>
    <cellStyle name="Comma 5 2 2 10 2" xfId="5560" xr:uid="{00000000-0005-0000-0000-0000C1010000}"/>
    <cellStyle name="Comma 5 2 2 10 2 2" xfId="14387" xr:uid="{00000000-0005-0000-0000-0000C2010000}"/>
    <cellStyle name="Comma 5 2 2 10 2 2 2" xfId="39942" xr:uid="{00000000-0005-0000-0000-0000C3010000}"/>
    <cellStyle name="Comma 5 2 2 10 2 3" xfId="24638" xr:uid="{00000000-0005-0000-0000-0000C4010000}"/>
    <cellStyle name="Comma 5 2 2 10 2 3 2" xfId="50191" xr:uid="{00000000-0005-0000-0000-0000C5010000}"/>
    <cellStyle name="Comma 5 2 2 10 2 4" xfId="31121" xr:uid="{00000000-0005-0000-0000-0000C6010000}"/>
    <cellStyle name="Comma 5 2 2 10 3" xfId="7004" xr:uid="{00000000-0005-0000-0000-0000C7010000}"/>
    <cellStyle name="Comma 5 2 2 10 3 2" xfId="23191" xr:uid="{00000000-0005-0000-0000-0000C8010000}"/>
    <cellStyle name="Comma 5 2 2 10 3 2 2" xfId="48744" xr:uid="{00000000-0005-0000-0000-0000C9010000}"/>
    <cellStyle name="Comma 5 2 2 10 3 3" xfId="32561" xr:uid="{00000000-0005-0000-0000-0000CA010000}"/>
    <cellStyle name="Comma 5 2 2 10 4" xfId="18184" xr:uid="{00000000-0005-0000-0000-0000CB010000}"/>
    <cellStyle name="Comma 5 2 2 10 4 2" xfId="43737" xr:uid="{00000000-0005-0000-0000-0000CC010000}"/>
    <cellStyle name="Comma 5 2 2 10 5" xfId="29674" xr:uid="{00000000-0005-0000-0000-0000CD010000}"/>
    <cellStyle name="Comma 5 2 2 11" xfId="1421" xr:uid="{00000000-0005-0000-0000-0000CE010000}"/>
    <cellStyle name="Comma 5 2 2 11 2" xfId="10798" xr:uid="{00000000-0005-0000-0000-0000CF010000}"/>
    <cellStyle name="Comma 5 2 2 11 2 2" xfId="36353" xr:uid="{00000000-0005-0000-0000-0000D0010000}"/>
    <cellStyle name="Comma 5 2 2 11 3" xfId="20802" xr:uid="{00000000-0005-0000-0000-0000D1010000}"/>
    <cellStyle name="Comma 5 2 2 11 3 2" xfId="46355" xr:uid="{00000000-0005-0000-0000-0000D2010000}"/>
    <cellStyle name="Comma 5 2 2 11 4" xfId="27285" xr:uid="{00000000-0005-0000-0000-0000D3010000}"/>
    <cellStyle name="Comma 5 2 2 12" xfId="5530" xr:uid="{00000000-0005-0000-0000-0000D4010000}"/>
    <cellStyle name="Comma 5 2 2 12 2" xfId="14357" xr:uid="{00000000-0005-0000-0000-0000D5010000}"/>
    <cellStyle name="Comma 5 2 2 12 2 2" xfId="39912" xr:uid="{00000000-0005-0000-0000-0000D6010000}"/>
    <cellStyle name="Comma 5 2 2 12 3" xfId="24608" xr:uid="{00000000-0005-0000-0000-0000D7010000}"/>
    <cellStyle name="Comma 5 2 2 12 3 2" xfId="50161" xr:uid="{00000000-0005-0000-0000-0000D8010000}"/>
    <cellStyle name="Comma 5 2 2 12 4" xfId="31091" xr:uid="{00000000-0005-0000-0000-0000D9010000}"/>
    <cellStyle name="Comma 5 2 2 13" xfId="6974" xr:uid="{00000000-0005-0000-0000-0000DA010000}"/>
    <cellStyle name="Comma 5 2 2 13 2" xfId="19585" xr:uid="{00000000-0005-0000-0000-0000DB010000}"/>
    <cellStyle name="Comma 5 2 2 13 2 2" xfId="45138" xr:uid="{00000000-0005-0000-0000-0000DC010000}"/>
    <cellStyle name="Comma 5 2 2 13 3" xfId="32531" xr:uid="{00000000-0005-0000-0000-0000DD010000}"/>
    <cellStyle name="Comma 5 2 2 14" xfId="15795" xr:uid="{00000000-0005-0000-0000-0000DE010000}"/>
    <cellStyle name="Comma 5 2 2 14 2" xfId="41348" xr:uid="{00000000-0005-0000-0000-0000DF010000}"/>
    <cellStyle name="Comma 5 2 2 15" xfId="26068" xr:uid="{00000000-0005-0000-0000-0000E0010000}"/>
    <cellStyle name="Comma 5 2 2 2" xfId="156" xr:uid="{00000000-0005-0000-0000-0000E1010000}"/>
    <cellStyle name="Comma 5 2 2 2 10" xfId="5662" xr:uid="{00000000-0005-0000-0000-0000E2010000}"/>
    <cellStyle name="Comma 5 2 2 2 10 2" xfId="14489" xr:uid="{00000000-0005-0000-0000-0000E3010000}"/>
    <cellStyle name="Comma 5 2 2 2 10 2 2" xfId="40044" xr:uid="{00000000-0005-0000-0000-0000E4010000}"/>
    <cellStyle name="Comma 5 2 2 2 10 3" xfId="24740" xr:uid="{00000000-0005-0000-0000-0000E5010000}"/>
    <cellStyle name="Comma 5 2 2 2 10 3 2" xfId="50293" xr:uid="{00000000-0005-0000-0000-0000E6010000}"/>
    <cellStyle name="Comma 5 2 2 2 10 4" xfId="31223" xr:uid="{00000000-0005-0000-0000-0000E7010000}"/>
    <cellStyle name="Comma 5 2 2 2 11" xfId="7106" xr:uid="{00000000-0005-0000-0000-0000E8010000}"/>
    <cellStyle name="Comma 5 2 2 2 11 2" xfId="19615" xr:uid="{00000000-0005-0000-0000-0000E9010000}"/>
    <cellStyle name="Comma 5 2 2 2 11 2 2" xfId="45168" xr:uid="{00000000-0005-0000-0000-0000EA010000}"/>
    <cellStyle name="Comma 5 2 2 2 11 3" xfId="32663" xr:uid="{00000000-0005-0000-0000-0000EB010000}"/>
    <cellStyle name="Comma 5 2 2 2 12" xfId="15852" xr:uid="{00000000-0005-0000-0000-0000EC010000}"/>
    <cellStyle name="Comma 5 2 2 2 12 2" xfId="41405" xr:uid="{00000000-0005-0000-0000-0000ED010000}"/>
    <cellStyle name="Comma 5 2 2 2 13" xfId="26098" xr:uid="{00000000-0005-0000-0000-0000EE010000}"/>
    <cellStyle name="Comma 5 2 2 2 2" xfId="268" xr:uid="{00000000-0005-0000-0000-0000EF010000}"/>
    <cellStyle name="Comma 5 2 2 2 2 10" xfId="16056" xr:uid="{00000000-0005-0000-0000-0000F0010000}"/>
    <cellStyle name="Comma 5 2 2 2 2 10 2" xfId="41609" xr:uid="{00000000-0005-0000-0000-0000F1010000}"/>
    <cellStyle name="Comma 5 2 2 2 2 11" xfId="26202" xr:uid="{00000000-0005-0000-0000-0000F2010000}"/>
    <cellStyle name="Comma 5 2 2 2 2 2" xfId="590" xr:uid="{00000000-0005-0000-0000-0000F3010000}"/>
    <cellStyle name="Comma 5 2 2 2 2 2 2" xfId="3076" xr:uid="{00000000-0005-0000-0000-0000F4010000}"/>
    <cellStyle name="Comma 5 2 2 2 2 2 2 2" xfId="12223" xr:uid="{00000000-0005-0000-0000-0000F5010000}"/>
    <cellStyle name="Comma 5 2 2 2 2 2 2 2 2" xfId="22437" xr:uid="{00000000-0005-0000-0000-0000F6010000}"/>
    <cellStyle name="Comma 5 2 2 2 2 2 2 2 2 2" xfId="47990" xr:uid="{00000000-0005-0000-0000-0000F7010000}"/>
    <cellStyle name="Comma 5 2 2 2 2 2 2 2 3" xfId="37778" xr:uid="{00000000-0005-0000-0000-0000F8010000}"/>
    <cellStyle name="Comma 5 2 2 2 2 2 2 3" xfId="8645" xr:uid="{00000000-0005-0000-0000-0000F9010000}"/>
    <cellStyle name="Comma 5 2 2 2 2 2 2 3 2" xfId="34202" xr:uid="{00000000-0005-0000-0000-0000FA010000}"/>
    <cellStyle name="Comma 5 2 2 2 2 2 2 4" xfId="17430" xr:uid="{00000000-0005-0000-0000-0000FB010000}"/>
    <cellStyle name="Comma 5 2 2 2 2 2 2 4 2" xfId="42983" xr:uid="{00000000-0005-0000-0000-0000FC010000}"/>
    <cellStyle name="Comma 5 2 2 2 2 2 2 5" xfId="28920" xr:uid="{00000000-0005-0000-0000-0000FD010000}"/>
    <cellStyle name="Comma 5 2 2 2 2 2 3" xfId="4437" xr:uid="{00000000-0005-0000-0000-0000FE010000}"/>
    <cellStyle name="Comma 5 2 2 2 2 2 3 2" xfId="13275" xr:uid="{00000000-0005-0000-0000-0000FF010000}"/>
    <cellStyle name="Comma 5 2 2 2 2 2 3 2 2" xfId="23526" xr:uid="{00000000-0005-0000-0000-000000020000}"/>
    <cellStyle name="Comma 5 2 2 2 2 2 3 2 2 2" xfId="49079" xr:uid="{00000000-0005-0000-0000-000001020000}"/>
    <cellStyle name="Comma 5 2 2 2 2 2 3 2 3" xfId="38830" xr:uid="{00000000-0005-0000-0000-000002020000}"/>
    <cellStyle name="Comma 5 2 2 2 2 2 3 3" xfId="9696" xr:uid="{00000000-0005-0000-0000-000003020000}"/>
    <cellStyle name="Comma 5 2 2 2 2 2 3 3 2" xfId="35253" xr:uid="{00000000-0005-0000-0000-000004020000}"/>
    <cellStyle name="Comma 5 2 2 2 2 2 3 4" xfId="18519" xr:uid="{00000000-0005-0000-0000-000005020000}"/>
    <cellStyle name="Comma 5 2 2 2 2 2 3 4 2" xfId="44072" xr:uid="{00000000-0005-0000-0000-000006020000}"/>
    <cellStyle name="Comma 5 2 2 2 2 2 3 5" xfId="30009" xr:uid="{00000000-0005-0000-0000-000007020000}"/>
    <cellStyle name="Comma 5 2 2 2 2 2 4" xfId="2185" xr:uid="{00000000-0005-0000-0000-000008020000}"/>
    <cellStyle name="Comma 5 2 2 2 2 2 4 2" xfId="11550" xr:uid="{00000000-0005-0000-0000-000009020000}"/>
    <cellStyle name="Comma 5 2 2 2 2 2 4 2 2" xfId="37105" xr:uid="{00000000-0005-0000-0000-00000A020000}"/>
    <cellStyle name="Comma 5 2 2 2 2 2 4 3" xfId="21554" xr:uid="{00000000-0005-0000-0000-00000B020000}"/>
    <cellStyle name="Comma 5 2 2 2 2 2 4 3 2" xfId="47107" xr:uid="{00000000-0005-0000-0000-00000C020000}"/>
    <cellStyle name="Comma 5 2 2 2 2 2 4 4" xfId="28037" xr:uid="{00000000-0005-0000-0000-00000D020000}"/>
    <cellStyle name="Comma 5 2 2 2 2 2 5" xfId="5893" xr:uid="{00000000-0005-0000-0000-00000E020000}"/>
    <cellStyle name="Comma 5 2 2 2 2 2 5 2" xfId="14720" xr:uid="{00000000-0005-0000-0000-00000F020000}"/>
    <cellStyle name="Comma 5 2 2 2 2 2 5 2 2" xfId="40275" xr:uid="{00000000-0005-0000-0000-000010020000}"/>
    <cellStyle name="Comma 5 2 2 2 2 2 5 3" xfId="24971" xr:uid="{00000000-0005-0000-0000-000011020000}"/>
    <cellStyle name="Comma 5 2 2 2 2 2 5 3 2" xfId="50524" xr:uid="{00000000-0005-0000-0000-000012020000}"/>
    <cellStyle name="Comma 5 2 2 2 2 2 5 4" xfId="31454" xr:uid="{00000000-0005-0000-0000-000013020000}"/>
    <cellStyle name="Comma 5 2 2 2 2 2 6" xfId="7337" xr:uid="{00000000-0005-0000-0000-000014020000}"/>
    <cellStyle name="Comma 5 2 2 2 2 2 6 2" xfId="20036" xr:uid="{00000000-0005-0000-0000-000015020000}"/>
    <cellStyle name="Comma 5 2 2 2 2 2 6 2 2" xfId="45589" xr:uid="{00000000-0005-0000-0000-000016020000}"/>
    <cellStyle name="Comma 5 2 2 2 2 2 6 3" xfId="32894" xr:uid="{00000000-0005-0000-0000-000017020000}"/>
    <cellStyle name="Comma 5 2 2 2 2 2 7" xfId="16547" xr:uid="{00000000-0005-0000-0000-000018020000}"/>
    <cellStyle name="Comma 5 2 2 2 2 2 7 2" xfId="42100" xr:uid="{00000000-0005-0000-0000-000019020000}"/>
    <cellStyle name="Comma 5 2 2 2 2 2 8" xfId="26519" xr:uid="{00000000-0005-0000-0000-00001A020000}"/>
    <cellStyle name="Comma 5 2 2 2 2 3" xfId="622" xr:uid="{00000000-0005-0000-0000-00001B020000}"/>
    <cellStyle name="Comma 5 2 2 2 2 3 2" xfId="3108" xr:uid="{00000000-0005-0000-0000-00001C020000}"/>
    <cellStyle name="Comma 5 2 2 2 2 3 2 2" xfId="12251" xr:uid="{00000000-0005-0000-0000-00001D020000}"/>
    <cellStyle name="Comma 5 2 2 2 2 3 2 2 2" xfId="22469" xr:uid="{00000000-0005-0000-0000-00001E020000}"/>
    <cellStyle name="Comma 5 2 2 2 2 3 2 2 2 2" xfId="48022" xr:uid="{00000000-0005-0000-0000-00001F020000}"/>
    <cellStyle name="Comma 5 2 2 2 2 3 2 2 3" xfId="37806" xr:uid="{00000000-0005-0000-0000-000020020000}"/>
    <cellStyle name="Comma 5 2 2 2 2 3 2 3" xfId="8673" xr:uid="{00000000-0005-0000-0000-000021020000}"/>
    <cellStyle name="Comma 5 2 2 2 2 3 2 3 2" xfId="34230" xr:uid="{00000000-0005-0000-0000-000022020000}"/>
    <cellStyle name="Comma 5 2 2 2 2 3 2 4" xfId="17462" xr:uid="{00000000-0005-0000-0000-000023020000}"/>
    <cellStyle name="Comma 5 2 2 2 2 3 2 4 2" xfId="43015" xr:uid="{00000000-0005-0000-0000-000024020000}"/>
    <cellStyle name="Comma 5 2 2 2 2 3 2 5" xfId="28952" xr:uid="{00000000-0005-0000-0000-000025020000}"/>
    <cellStyle name="Comma 5 2 2 2 2 3 3" xfId="4786" xr:uid="{00000000-0005-0000-0000-000026020000}"/>
    <cellStyle name="Comma 5 2 2 2 2 3 3 2" xfId="13623" xr:uid="{00000000-0005-0000-0000-000027020000}"/>
    <cellStyle name="Comma 5 2 2 2 2 3 3 2 2" xfId="23874" xr:uid="{00000000-0005-0000-0000-000028020000}"/>
    <cellStyle name="Comma 5 2 2 2 2 3 3 2 2 2" xfId="49427" xr:uid="{00000000-0005-0000-0000-000029020000}"/>
    <cellStyle name="Comma 5 2 2 2 2 3 3 2 3" xfId="39178" xr:uid="{00000000-0005-0000-0000-00002A020000}"/>
    <cellStyle name="Comma 5 2 2 2 2 3 3 3" xfId="10044" xr:uid="{00000000-0005-0000-0000-00002B020000}"/>
    <cellStyle name="Comma 5 2 2 2 2 3 3 3 2" xfId="35601" xr:uid="{00000000-0005-0000-0000-00002C020000}"/>
    <cellStyle name="Comma 5 2 2 2 2 3 3 4" xfId="18867" xr:uid="{00000000-0005-0000-0000-00002D020000}"/>
    <cellStyle name="Comma 5 2 2 2 2 3 3 4 2" xfId="44420" xr:uid="{00000000-0005-0000-0000-00002E020000}"/>
    <cellStyle name="Comma 5 2 2 2 2 3 3 5" xfId="30357" xr:uid="{00000000-0005-0000-0000-00002F020000}"/>
    <cellStyle name="Comma 5 2 2 2 2 3 4" xfId="2217" xr:uid="{00000000-0005-0000-0000-000030020000}"/>
    <cellStyle name="Comma 5 2 2 2 2 3 4 2" xfId="11582" xr:uid="{00000000-0005-0000-0000-000031020000}"/>
    <cellStyle name="Comma 5 2 2 2 2 3 4 2 2" xfId="37137" xr:uid="{00000000-0005-0000-0000-000032020000}"/>
    <cellStyle name="Comma 5 2 2 2 2 3 4 3" xfId="21586" xr:uid="{00000000-0005-0000-0000-000033020000}"/>
    <cellStyle name="Comma 5 2 2 2 2 3 4 3 2" xfId="47139" xr:uid="{00000000-0005-0000-0000-000034020000}"/>
    <cellStyle name="Comma 5 2 2 2 2 3 4 4" xfId="28069" xr:uid="{00000000-0005-0000-0000-000035020000}"/>
    <cellStyle name="Comma 5 2 2 2 2 3 5" xfId="6241" xr:uid="{00000000-0005-0000-0000-000036020000}"/>
    <cellStyle name="Comma 5 2 2 2 2 3 5 2" xfId="15068" xr:uid="{00000000-0005-0000-0000-000037020000}"/>
    <cellStyle name="Comma 5 2 2 2 2 3 5 2 2" xfId="40623" xr:uid="{00000000-0005-0000-0000-000038020000}"/>
    <cellStyle name="Comma 5 2 2 2 2 3 5 3" xfId="25319" xr:uid="{00000000-0005-0000-0000-000039020000}"/>
    <cellStyle name="Comma 5 2 2 2 2 3 5 3 2" xfId="50872" xr:uid="{00000000-0005-0000-0000-00003A020000}"/>
    <cellStyle name="Comma 5 2 2 2 2 3 5 4" xfId="31802" xr:uid="{00000000-0005-0000-0000-00003B020000}"/>
    <cellStyle name="Comma 5 2 2 2 2 3 6" xfId="7687" xr:uid="{00000000-0005-0000-0000-00003C020000}"/>
    <cellStyle name="Comma 5 2 2 2 2 3 6 2" xfId="20068" xr:uid="{00000000-0005-0000-0000-00003D020000}"/>
    <cellStyle name="Comma 5 2 2 2 2 3 6 2 2" xfId="45621" xr:uid="{00000000-0005-0000-0000-00003E020000}"/>
    <cellStyle name="Comma 5 2 2 2 2 3 6 3" xfId="33244" xr:uid="{00000000-0005-0000-0000-00003F020000}"/>
    <cellStyle name="Comma 5 2 2 2 2 3 7" xfId="16579" xr:uid="{00000000-0005-0000-0000-000040020000}"/>
    <cellStyle name="Comma 5 2 2 2 2 3 7 2" xfId="42132" xr:uid="{00000000-0005-0000-0000-000041020000}"/>
    <cellStyle name="Comma 5 2 2 2 2 3 8" xfId="26551" xr:uid="{00000000-0005-0000-0000-000042020000}"/>
    <cellStyle name="Comma 5 2 2 2 2 4" xfId="1362" xr:uid="{00000000-0005-0000-0000-000043020000}"/>
    <cellStyle name="Comma 5 2 2 2 2 4 2" xfId="3791" xr:uid="{00000000-0005-0000-0000-000044020000}"/>
    <cellStyle name="Comma 5 2 2 2 2 4 2 2" xfId="12927" xr:uid="{00000000-0005-0000-0000-000045020000}"/>
    <cellStyle name="Comma 5 2 2 2 2 4 2 2 2" xfId="23146" xr:uid="{00000000-0005-0000-0000-000046020000}"/>
    <cellStyle name="Comma 5 2 2 2 2 4 2 2 2 2" xfId="48699" xr:uid="{00000000-0005-0000-0000-000047020000}"/>
    <cellStyle name="Comma 5 2 2 2 2 4 2 2 3" xfId="38482" xr:uid="{00000000-0005-0000-0000-000048020000}"/>
    <cellStyle name="Comma 5 2 2 2 2 4 2 3" xfId="9348" xr:uid="{00000000-0005-0000-0000-000049020000}"/>
    <cellStyle name="Comma 5 2 2 2 2 4 2 3 2" xfId="34905" xr:uid="{00000000-0005-0000-0000-00004A020000}"/>
    <cellStyle name="Comma 5 2 2 2 2 4 2 4" xfId="18139" xr:uid="{00000000-0005-0000-0000-00004B020000}"/>
    <cellStyle name="Comma 5 2 2 2 2 4 2 4 2" xfId="43692" xr:uid="{00000000-0005-0000-0000-00004C020000}"/>
    <cellStyle name="Comma 5 2 2 2 2 4 2 5" xfId="29629" xr:uid="{00000000-0005-0000-0000-00004D020000}"/>
    <cellStyle name="Comma 5 2 2 2 2 4 3" xfId="5454" xr:uid="{00000000-0005-0000-0000-00004E020000}"/>
    <cellStyle name="Comma 5 2 2 2 2 4 3 2" xfId="14291" xr:uid="{00000000-0005-0000-0000-00004F020000}"/>
    <cellStyle name="Comma 5 2 2 2 2 4 3 2 2" xfId="24542" xr:uid="{00000000-0005-0000-0000-000050020000}"/>
    <cellStyle name="Comma 5 2 2 2 2 4 3 2 2 2" xfId="50095" xr:uid="{00000000-0005-0000-0000-000051020000}"/>
    <cellStyle name="Comma 5 2 2 2 2 4 3 2 3" xfId="39846" xr:uid="{00000000-0005-0000-0000-000052020000}"/>
    <cellStyle name="Comma 5 2 2 2 2 4 3 3" xfId="10712" xr:uid="{00000000-0005-0000-0000-000053020000}"/>
    <cellStyle name="Comma 5 2 2 2 2 4 3 3 2" xfId="36269" xr:uid="{00000000-0005-0000-0000-000054020000}"/>
    <cellStyle name="Comma 5 2 2 2 2 4 3 4" xfId="19535" xr:uid="{00000000-0005-0000-0000-000055020000}"/>
    <cellStyle name="Comma 5 2 2 2 2 4 3 4 2" xfId="45088" xr:uid="{00000000-0005-0000-0000-000056020000}"/>
    <cellStyle name="Comma 5 2 2 2 2 4 3 5" xfId="31025" xr:uid="{00000000-0005-0000-0000-000057020000}"/>
    <cellStyle name="Comma 5 2 2 2 2 4 4" xfId="1865" xr:uid="{00000000-0005-0000-0000-000058020000}"/>
    <cellStyle name="Comma 5 2 2 2 2 4 4 2" xfId="11233" xr:uid="{00000000-0005-0000-0000-000059020000}"/>
    <cellStyle name="Comma 5 2 2 2 2 4 4 2 2" xfId="36788" xr:uid="{00000000-0005-0000-0000-00005A020000}"/>
    <cellStyle name="Comma 5 2 2 2 2 4 4 3" xfId="21237" xr:uid="{00000000-0005-0000-0000-00005B020000}"/>
    <cellStyle name="Comma 5 2 2 2 2 4 4 3 2" xfId="46790" xr:uid="{00000000-0005-0000-0000-00005C020000}"/>
    <cellStyle name="Comma 5 2 2 2 2 4 4 4" xfId="27720" xr:uid="{00000000-0005-0000-0000-00005D020000}"/>
    <cellStyle name="Comma 5 2 2 2 2 4 5" xfId="6909" xr:uid="{00000000-0005-0000-0000-00005E020000}"/>
    <cellStyle name="Comma 5 2 2 2 2 4 5 2" xfId="15736" xr:uid="{00000000-0005-0000-0000-00005F020000}"/>
    <cellStyle name="Comma 5 2 2 2 2 4 5 2 2" xfId="41291" xr:uid="{00000000-0005-0000-0000-000060020000}"/>
    <cellStyle name="Comma 5 2 2 2 2 4 5 3" xfId="25987" xr:uid="{00000000-0005-0000-0000-000061020000}"/>
    <cellStyle name="Comma 5 2 2 2 2 4 5 3 2" xfId="51540" xr:uid="{00000000-0005-0000-0000-000062020000}"/>
    <cellStyle name="Comma 5 2 2 2 2 4 5 4" xfId="32470" xr:uid="{00000000-0005-0000-0000-000063020000}"/>
    <cellStyle name="Comma 5 2 2 2 2 4 6" xfId="8355" xr:uid="{00000000-0005-0000-0000-000064020000}"/>
    <cellStyle name="Comma 5 2 2 2 2 4 6 2" xfId="20745" xr:uid="{00000000-0005-0000-0000-000065020000}"/>
    <cellStyle name="Comma 5 2 2 2 2 4 6 2 2" xfId="46298" xr:uid="{00000000-0005-0000-0000-000066020000}"/>
    <cellStyle name="Comma 5 2 2 2 2 4 6 3" xfId="33912" xr:uid="{00000000-0005-0000-0000-000067020000}"/>
    <cellStyle name="Comma 5 2 2 2 2 4 7" xfId="16230" xr:uid="{00000000-0005-0000-0000-000068020000}"/>
    <cellStyle name="Comma 5 2 2 2 2 4 7 2" xfId="41783" xr:uid="{00000000-0005-0000-0000-000069020000}"/>
    <cellStyle name="Comma 5 2 2 2 2 4 8" xfId="27228" xr:uid="{00000000-0005-0000-0000-00006A020000}"/>
    <cellStyle name="Comma 5 2 2 2 2 5" xfId="2759" xr:uid="{00000000-0005-0000-0000-00006B020000}"/>
    <cellStyle name="Comma 5 2 2 2 2 5 2" xfId="12076" xr:uid="{00000000-0005-0000-0000-00006C020000}"/>
    <cellStyle name="Comma 5 2 2 2 2 5 2 2" xfId="22120" xr:uid="{00000000-0005-0000-0000-00006D020000}"/>
    <cellStyle name="Comma 5 2 2 2 2 5 2 2 2" xfId="47673" xr:uid="{00000000-0005-0000-0000-00006E020000}"/>
    <cellStyle name="Comma 5 2 2 2 2 5 2 3" xfId="37631" xr:uid="{00000000-0005-0000-0000-00006F020000}"/>
    <cellStyle name="Comma 5 2 2 2 2 5 3" xfId="8410" xr:uid="{00000000-0005-0000-0000-000070020000}"/>
    <cellStyle name="Comma 5 2 2 2 2 5 3 2" xfId="33967" xr:uid="{00000000-0005-0000-0000-000071020000}"/>
    <cellStyle name="Comma 5 2 2 2 2 5 4" xfId="17113" xr:uid="{00000000-0005-0000-0000-000072020000}"/>
    <cellStyle name="Comma 5 2 2 2 2 5 4 2" xfId="42666" xr:uid="{00000000-0005-0000-0000-000073020000}"/>
    <cellStyle name="Comma 5 2 2 2 2 5 5" xfId="28603" xr:uid="{00000000-0005-0000-0000-000074020000}"/>
    <cellStyle name="Comma 5 2 2 2 2 6" xfId="4410" xr:uid="{00000000-0005-0000-0000-000075020000}"/>
    <cellStyle name="Comma 5 2 2 2 2 6 2" xfId="13248" xr:uid="{00000000-0005-0000-0000-000076020000}"/>
    <cellStyle name="Comma 5 2 2 2 2 6 2 2" xfId="23499" xr:uid="{00000000-0005-0000-0000-000077020000}"/>
    <cellStyle name="Comma 5 2 2 2 2 6 2 2 2" xfId="49052" xr:uid="{00000000-0005-0000-0000-000078020000}"/>
    <cellStyle name="Comma 5 2 2 2 2 6 2 3" xfId="38803" xr:uid="{00000000-0005-0000-0000-000079020000}"/>
    <cellStyle name="Comma 5 2 2 2 2 6 3" xfId="9669" xr:uid="{00000000-0005-0000-0000-00007A020000}"/>
    <cellStyle name="Comma 5 2 2 2 2 6 3 2" xfId="35226" xr:uid="{00000000-0005-0000-0000-00007B020000}"/>
    <cellStyle name="Comma 5 2 2 2 2 6 4" xfId="18492" xr:uid="{00000000-0005-0000-0000-00007C020000}"/>
    <cellStyle name="Comma 5 2 2 2 2 6 4 2" xfId="44045" xr:uid="{00000000-0005-0000-0000-00007D020000}"/>
    <cellStyle name="Comma 5 2 2 2 2 6 5" xfId="29982" xr:uid="{00000000-0005-0000-0000-00007E020000}"/>
    <cellStyle name="Comma 5 2 2 2 2 7" xfId="1682" xr:uid="{00000000-0005-0000-0000-00007F020000}"/>
    <cellStyle name="Comma 5 2 2 2 2 7 2" xfId="11059" xr:uid="{00000000-0005-0000-0000-000080020000}"/>
    <cellStyle name="Comma 5 2 2 2 2 7 2 2" xfId="36614" xr:uid="{00000000-0005-0000-0000-000081020000}"/>
    <cellStyle name="Comma 5 2 2 2 2 7 3" xfId="21063" xr:uid="{00000000-0005-0000-0000-000082020000}"/>
    <cellStyle name="Comma 5 2 2 2 2 7 3 2" xfId="46616" xr:uid="{00000000-0005-0000-0000-000083020000}"/>
    <cellStyle name="Comma 5 2 2 2 2 7 4" xfId="27546" xr:uid="{00000000-0005-0000-0000-000084020000}"/>
    <cellStyle name="Comma 5 2 2 2 2 8" xfId="5866" xr:uid="{00000000-0005-0000-0000-000085020000}"/>
    <cellStyle name="Comma 5 2 2 2 2 8 2" xfId="14693" xr:uid="{00000000-0005-0000-0000-000086020000}"/>
    <cellStyle name="Comma 5 2 2 2 2 8 2 2" xfId="40248" xr:uid="{00000000-0005-0000-0000-000087020000}"/>
    <cellStyle name="Comma 5 2 2 2 2 8 3" xfId="24944" xr:uid="{00000000-0005-0000-0000-000088020000}"/>
    <cellStyle name="Comma 5 2 2 2 2 8 3 2" xfId="50497" xr:uid="{00000000-0005-0000-0000-000089020000}"/>
    <cellStyle name="Comma 5 2 2 2 2 8 4" xfId="31427" xr:uid="{00000000-0005-0000-0000-00008A020000}"/>
    <cellStyle name="Comma 5 2 2 2 2 9" xfId="7310" xr:uid="{00000000-0005-0000-0000-00008B020000}"/>
    <cellStyle name="Comma 5 2 2 2 2 9 2" xfId="19719" xr:uid="{00000000-0005-0000-0000-00008C020000}"/>
    <cellStyle name="Comma 5 2 2 2 2 9 2 2" xfId="45272" xr:uid="{00000000-0005-0000-0000-00008D020000}"/>
    <cellStyle name="Comma 5 2 2 2 2 9 3" xfId="32867" xr:uid="{00000000-0005-0000-0000-00008E020000}"/>
    <cellStyle name="Comma 5 2 2 2 3" xfId="486" xr:uid="{00000000-0005-0000-0000-00008F020000}"/>
    <cellStyle name="Comma 5 2 2 2 3 10" xfId="26415" xr:uid="{00000000-0005-0000-0000-000090020000}"/>
    <cellStyle name="Comma 5 2 2 2 3 2" xfId="623" xr:uid="{00000000-0005-0000-0000-000091020000}"/>
    <cellStyle name="Comma 5 2 2 2 3 2 2" xfId="3109" xr:uid="{00000000-0005-0000-0000-000092020000}"/>
    <cellStyle name="Comma 5 2 2 2 3 2 2 2" xfId="12252" xr:uid="{00000000-0005-0000-0000-000093020000}"/>
    <cellStyle name="Comma 5 2 2 2 3 2 2 2 2" xfId="22470" xr:uid="{00000000-0005-0000-0000-000094020000}"/>
    <cellStyle name="Comma 5 2 2 2 3 2 2 2 2 2" xfId="48023" xr:uid="{00000000-0005-0000-0000-000095020000}"/>
    <cellStyle name="Comma 5 2 2 2 3 2 2 2 3" xfId="37807" xr:uid="{00000000-0005-0000-0000-000096020000}"/>
    <cellStyle name="Comma 5 2 2 2 3 2 2 3" xfId="8674" xr:uid="{00000000-0005-0000-0000-000097020000}"/>
    <cellStyle name="Comma 5 2 2 2 3 2 2 3 2" xfId="34231" xr:uid="{00000000-0005-0000-0000-000098020000}"/>
    <cellStyle name="Comma 5 2 2 2 3 2 2 4" xfId="17463" xr:uid="{00000000-0005-0000-0000-000099020000}"/>
    <cellStyle name="Comma 5 2 2 2 3 2 2 4 2" xfId="43016" xr:uid="{00000000-0005-0000-0000-00009A020000}"/>
    <cellStyle name="Comma 5 2 2 2 3 2 2 5" xfId="28953" xr:uid="{00000000-0005-0000-0000-00009B020000}"/>
    <cellStyle name="Comma 5 2 2 2 3 2 3" xfId="4438" xr:uid="{00000000-0005-0000-0000-00009C020000}"/>
    <cellStyle name="Comma 5 2 2 2 3 2 3 2" xfId="13276" xr:uid="{00000000-0005-0000-0000-00009D020000}"/>
    <cellStyle name="Comma 5 2 2 2 3 2 3 2 2" xfId="23527" xr:uid="{00000000-0005-0000-0000-00009E020000}"/>
    <cellStyle name="Comma 5 2 2 2 3 2 3 2 2 2" xfId="49080" xr:uid="{00000000-0005-0000-0000-00009F020000}"/>
    <cellStyle name="Comma 5 2 2 2 3 2 3 2 3" xfId="38831" xr:uid="{00000000-0005-0000-0000-0000A0020000}"/>
    <cellStyle name="Comma 5 2 2 2 3 2 3 3" xfId="9697" xr:uid="{00000000-0005-0000-0000-0000A1020000}"/>
    <cellStyle name="Comma 5 2 2 2 3 2 3 3 2" xfId="35254" xr:uid="{00000000-0005-0000-0000-0000A2020000}"/>
    <cellStyle name="Comma 5 2 2 2 3 2 3 4" xfId="18520" xr:uid="{00000000-0005-0000-0000-0000A3020000}"/>
    <cellStyle name="Comma 5 2 2 2 3 2 3 4 2" xfId="44073" xr:uid="{00000000-0005-0000-0000-0000A4020000}"/>
    <cellStyle name="Comma 5 2 2 2 3 2 3 5" xfId="30010" xr:uid="{00000000-0005-0000-0000-0000A5020000}"/>
    <cellStyle name="Comma 5 2 2 2 3 2 4" xfId="2218" xr:uid="{00000000-0005-0000-0000-0000A6020000}"/>
    <cellStyle name="Comma 5 2 2 2 3 2 4 2" xfId="11583" xr:uid="{00000000-0005-0000-0000-0000A7020000}"/>
    <cellStyle name="Comma 5 2 2 2 3 2 4 2 2" xfId="37138" xr:uid="{00000000-0005-0000-0000-0000A8020000}"/>
    <cellStyle name="Comma 5 2 2 2 3 2 4 3" xfId="21587" xr:uid="{00000000-0005-0000-0000-0000A9020000}"/>
    <cellStyle name="Comma 5 2 2 2 3 2 4 3 2" xfId="47140" xr:uid="{00000000-0005-0000-0000-0000AA020000}"/>
    <cellStyle name="Comma 5 2 2 2 3 2 4 4" xfId="28070" xr:uid="{00000000-0005-0000-0000-0000AB020000}"/>
    <cellStyle name="Comma 5 2 2 2 3 2 5" xfId="5894" xr:uid="{00000000-0005-0000-0000-0000AC020000}"/>
    <cellStyle name="Comma 5 2 2 2 3 2 5 2" xfId="14721" xr:uid="{00000000-0005-0000-0000-0000AD020000}"/>
    <cellStyle name="Comma 5 2 2 2 3 2 5 2 2" xfId="40276" xr:uid="{00000000-0005-0000-0000-0000AE020000}"/>
    <cellStyle name="Comma 5 2 2 2 3 2 5 3" xfId="24972" xr:uid="{00000000-0005-0000-0000-0000AF020000}"/>
    <cellStyle name="Comma 5 2 2 2 3 2 5 3 2" xfId="50525" xr:uid="{00000000-0005-0000-0000-0000B0020000}"/>
    <cellStyle name="Comma 5 2 2 2 3 2 5 4" xfId="31455" xr:uid="{00000000-0005-0000-0000-0000B1020000}"/>
    <cellStyle name="Comma 5 2 2 2 3 2 6" xfId="7338" xr:uid="{00000000-0005-0000-0000-0000B2020000}"/>
    <cellStyle name="Comma 5 2 2 2 3 2 6 2" xfId="20069" xr:uid="{00000000-0005-0000-0000-0000B3020000}"/>
    <cellStyle name="Comma 5 2 2 2 3 2 6 2 2" xfId="45622" xr:uid="{00000000-0005-0000-0000-0000B4020000}"/>
    <cellStyle name="Comma 5 2 2 2 3 2 6 3" xfId="32895" xr:uid="{00000000-0005-0000-0000-0000B5020000}"/>
    <cellStyle name="Comma 5 2 2 2 3 2 7" xfId="16580" xr:uid="{00000000-0005-0000-0000-0000B6020000}"/>
    <cellStyle name="Comma 5 2 2 2 3 2 7 2" xfId="42133" xr:uid="{00000000-0005-0000-0000-0000B7020000}"/>
    <cellStyle name="Comma 5 2 2 2 3 2 8" xfId="26552" xr:uid="{00000000-0005-0000-0000-0000B8020000}"/>
    <cellStyle name="Comma 5 2 2 2 3 3" xfId="1258" xr:uid="{00000000-0005-0000-0000-0000B9020000}"/>
    <cellStyle name="Comma 5 2 2 2 3 3 2" xfId="3687" xr:uid="{00000000-0005-0000-0000-0000BA020000}"/>
    <cellStyle name="Comma 5 2 2 2 3 3 2 2" xfId="12823" xr:uid="{00000000-0005-0000-0000-0000BB020000}"/>
    <cellStyle name="Comma 5 2 2 2 3 3 2 2 2" xfId="23042" xr:uid="{00000000-0005-0000-0000-0000BC020000}"/>
    <cellStyle name="Comma 5 2 2 2 3 3 2 2 2 2" xfId="48595" xr:uid="{00000000-0005-0000-0000-0000BD020000}"/>
    <cellStyle name="Comma 5 2 2 2 3 3 2 2 3" xfId="38378" xr:uid="{00000000-0005-0000-0000-0000BE020000}"/>
    <cellStyle name="Comma 5 2 2 2 3 3 2 3" xfId="9244" xr:uid="{00000000-0005-0000-0000-0000BF020000}"/>
    <cellStyle name="Comma 5 2 2 2 3 3 2 3 2" xfId="34801" xr:uid="{00000000-0005-0000-0000-0000C0020000}"/>
    <cellStyle name="Comma 5 2 2 2 3 3 2 4" xfId="18035" xr:uid="{00000000-0005-0000-0000-0000C1020000}"/>
    <cellStyle name="Comma 5 2 2 2 3 3 2 4 2" xfId="43588" xr:uid="{00000000-0005-0000-0000-0000C2020000}"/>
    <cellStyle name="Comma 5 2 2 2 3 3 2 5" xfId="29525" xr:uid="{00000000-0005-0000-0000-0000C3020000}"/>
    <cellStyle name="Comma 5 2 2 2 3 3 3" xfId="4787" xr:uid="{00000000-0005-0000-0000-0000C4020000}"/>
    <cellStyle name="Comma 5 2 2 2 3 3 3 2" xfId="13624" xr:uid="{00000000-0005-0000-0000-0000C5020000}"/>
    <cellStyle name="Comma 5 2 2 2 3 3 3 2 2" xfId="23875" xr:uid="{00000000-0005-0000-0000-0000C6020000}"/>
    <cellStyle name="Comma 5 2 2 2 3 3 3 2 2 2" xfId="49428" xr:uid="{00000000-0005-0000-0000-0000C7020000}"/>
    <cellStyle name="Comma 5 2 2 2 3 3 3 2 3" xfId="39179" xr:uid="{00000000-0005-0000-0000-0000C8020000}"/>
    <cellStyle name="Comma 5 2 2 2 3 3 3 3" xfId="10045" xr:uid="{00000000-0005-0000-0000-0000C9020000}"/>
    <cellStyle name="Comma 5 2 2 2 3 3 3 3 2" xfId="35602" xr:uid="{00000000-0005-0000-0000-0000CA020000}"/>
    <cellStyle name="Comma 5 2 2 2 3 3 3 4" xfId="18868" xr:uid="{00000000-0005-0000-0000-0000CB020000}"/>
    <cellStyle name="Comma 5 2 2 2 3 3 3 4 2" xfId="44421" xr:uid="{00000000-0005-0000-0000-0000CC020000}"/>
    <cellStyle name="Comma 5 2 2 2 3 3 3 5" xfId="30358" xr:uid="{00000000-0005-0000-0000-0000CD020000}"/>
    <cellStyle name="Comma 5 2 2 2 3 3 4" xfId="2081" xr:uid="{00000000-0005-0000-0000-0000CE020000}"/>
    <cellStyle name="Comma 5 2 2 2 3 3 4 2" xfId="11446" xr:uid="{00000000-0005-0000-0000-0000CF020000}"/>
    <cellStyle name="Comma 5 2 2 2 3 3 4 2 2" xfId="37001" xr:uid="{00000000-0005-0000-0000-0000D0020000}"/>
    <cellStyle name="Comma 5 2 2 2 3 3 4 3" xfId="21450" xr:uid="{00000000-0005-0000-0000-0000D1020000}"/>
    <cellStyle name="Comma 5 2 2 2 3 3 4 3 2" xfId="47003" xr:uid="{00000000-0005-0000-0000-0000D2020000}"/>
    <cellStyle name="Comma 5 2 2 2 3 3 4 4" xfId="27933" xr:uid="{00000000-0005-0000-0000-0000D3020000}"/>
    <cellStyle name="Comma 5 2 2 2 3 3 5" xfId="6242" xr:uid="{00000000-0005-0000-0000-0000D4020000}"/>
    <cellStyle name="Comma 5 2 2 2 3 3 5 2" xfId="15069" xr:uid="{00000000-0005-0000-0000-0000D5020000}"/>
    <cellStyle name="Comma 5 2 2 2 3 3 5 2 2" xfId="40624" xr:uid="{00000000-0005-0000-0000-0000D6020000}"/>
    <cellStyle name="Comma 5 2 2 2 3 3 5 3" xfId="25320" xr:uid="{00000000-0005-0000-0000-0000D7020000}"/>
    <cellStyle name="Comma 5 2 2 2 3 3 5 3 2" xfId="50873" xr:uid="{00000000-0005-0000-0000-0000D8020000}"/>
    <cellStyle name="Comma 5 2 2 2 3 3 5 4" xfId="31803" xr:uid="{00000000-0005-0000-0000-0000D9020000}"/>
    <cellStyle name="Comma 5 2 2 2 3 3 6" xfId="7688" xr:uid="{00000000-0005-0000-0000-0000DA020000}"/>
    <cellStyle name="Comma 5 2 2 2 3 3 6 2" xfId="20641" xr:uid="{00000000-0005-0000-0000-0000DB020000}"/>
    <cellStyle name="Comma 5 2 2 2 3 3 6 2 2" xfId="46194" xr:uid="{00000000-0005-0000-0000-0000DC020000}"/>
    <cellStyle name="Comma 5 2 2 2 3 3 6 3" xfId="33245" xr:uid="{00000000-0005-0000-0000-0000DD020000}"/>
    <cellStyle name="Comma 5 2 2 2 3 3 7" xfId="16443" xr:uid="{00000000-0005-0000-0000-0000DE020000}"/>
    <cellStyle name="Comma 5 2 2 2 3 3 7 2" xfId="41996" xr:uid="{00000000-0005-0000-0000-0000DF020000}"/>
    <cellStyle name="Comma 5 2 2 2 3 3 8" xfId="27124" xr:uid="{00000000-0005-0000-0000-0000E0020000}"/>
    <cellStyle name="Comma 5 2 2 2 3 4" xfId="2972" xr:uid="{00000000-0005-0000-0000-0000E1020000}"/>
    <cellStyle name="Comma 5 2 2 2 3 4 2" xfId="5350" xr:uid="{00000000-0005-0000-0000-0000E2020000}"/>
    <cellStyle name="Comma 5 2 2 2 3 4 2 2" xfId="14187" xr:uid="{00000000-0005-0000-0000-0000E3020000}"/>
    <cellStyle name="Comma 5 2 2 2 3 4 2 2 2" xfId="24438" xr:uid="{00000000-0005-0000-0000-0000E4020000}"/>
    <cellStyle name="Comma 5 2 2 2 3 4 2 2 2 2" xfId="49991" xr:uid="{00000000-0005-0000-0000-0000E5020000}"/>
    <cellStyle name="Comma 5 2 2 2 3 4 2 2 3" xfId="39742" xr:uid="{00000000-0005-0000-0000-0000E6020000}"/>
    <cellStyle name="Comma 5 2 2 2 3 4 2 3" xfId="10608" xr:uid="{00000000-0005-0000-0000-0000E7020000}"/>
    <cellStyle name="Comma 5 2 2 2 3 4 2 3 2" xfId="36165" xr:uid="{00000000-0005-0000-0000-0000E8020000}"/>
    <cellStyle name="Comma 5 2 2 2 3 4 2 4" xfId="19431" xr:uid="{00000000-0005-0000-0000-0000E9020000}"/>
    <cellStyle name="Comma 5 2 2 2 3 4 2 4 2" xfId="44984" xr:uid="{00000000-0005-0000-0000-0000EA020000}"/>
    <cellStyle name="Comma 5 2 2 2 3 4 2 5" xfId="30921" xr:uid="{00000000-0005-0000-0000-0000EB020000}"/>
    <cellStyle name="Comma 5 2 2 2 3 4 3" xfId="6805" xr:uid="{00000000-0005-0000-0000-0000EC020000}"/>
    <cellStyle name="Comma 5 2 2 2 3 4 3 2" xfId="15632" xr:uid="{00000000-0005-0000-0000-0000ED020000}"/>
    <cellStyle name="Comma 5 2 2 2 3 4 3 2 2" xfId="41187" xr:uid="{00000000-0005-0000-0000-0000EE020000}"/>
    <cellStyle name="Comma 5 2 2 2 3 4 3 3" xfId="25883" xr:uid="{00000000-0005-0000-0000-0000EF020000}"/>
    <cellStyle name="Comma 5 2 2 2 3 4 3 3 2" xfId="51436" xr:uid="{00000000-0005-0000-0000-0000F0020000}"/>
    <cellStyle name="Comma 5 2 2 2 3 4 3 4" xfId="32366" xr:uid="{00000000-0005-0000-0000-0000F1020000}"/>
    <cellStyle name="Comma 5 2 2 2 3 4 4" xfId="8251" xr:uid="{00000000-0005-0000-0000-0000F2020000}"/>
    <cellStyle name="Comma 5 2 2 2 3 4 4 2" xfId="22333" xr:uid="{00000000-0005-0000-0000-0000F3020000}"/>
    <cellStyle name="Comma 5 2 2 2 3 4 4 2 2" xfId="47886" xr:uid="{00000000-0005-0000-0000-0000F4020000}"/>
    <cellStyle name="Comma 5 2 2 2 3 4 4 3" xfId="33808" xr:uid="{00000000-0005-0000-0000-0000F5020000}"/>
    <cellStyle name="Comma 5 2 2 2 3 4 5" xfId="17326" xr:uid="{00000000-0005-0000-0000-0000F6020000}"/>
    <cellStyle name="Comma 5 2 2 2 3 4 5 2" xfId="42879" xr:uid="{00000000-0005-0000-0000-0000F7020000}"/>
    <cellStyle name="Comma 5 2 2 2 3 4 6" xfId="28816" xr:uid="{00000000-0005-0000-0000-0000F8020000}"/>
    <cellStyle name="Comma 5 2 2 2 3 5" xfId="4306" xr:uid="{00000000-0005-0000-0000-0000F9020000}"/>
    <cellStyle name="Comma 5 2 2 2 3 5 2" xfId="13144" xr:uid="{00000000-0005-0000-0000-0000FA020000}"/>
    <cellStyle name="Comma 5 2 2 2 3 5 2 2" xfId="23395" xr:uid="{00000000-0005-0000-0000-0000FB020000}"/>
    <cellStyle name="Comma 5 2 2 2 3 5 2 2 2" xfId="48948" xr:uid="{00000000-0005-0000-0000-0000FC020000}"/>
    <cellStyle name="Comma 5 2 2 2 3 5 2 3" xfId="38699" xr:uid="{00000000-0005-0000-0000-0000FD020000}"/>
    <cellStyle name="Comma 5 2 2 2 3 5 3" xfId="9565" xr:uid="{00000000-0005-0000-0000-0000FE020000}"/>
    <cellStyle name="Comma 5 2 2 2 3 5 3 2" xfId="35122" xr:uid="{00000000-0005-0000-0000-0000FF020000}"/>
    <cellStyle name="Comma 5 2 2 2 3 5 4" xfId="18388" xr:uid="{00000000-0005-0000-0000-000000030000}"/>
    <cellStyle name="Comma 5 2 2 2 3 5 4 2" xfId="43941" xr:uid="{00000000-0005-0000-0000-000001030000}"/>
    <cellStyle name="Comma 5 2 2 2 3 5 5" xfId="29878" xr:uid="{00000000-0005-0000-0000-000002030000}"/>
    <cellStyle name="Comma 5 2 2 2 3 6" xfId="1578" xr:uid="{00000000-0005-0000-0000-000003030000}"/>
    <cellStyle name="Comma 5 2 2 2 3 6 2" xfId="10955" xr:uid="{00000000-0005-0000-0000-000004030000}"/>
    <cellStyle name="Comma 5 2 2 2 3 6 2 2" xfId="36510" xr:uid="{00000000-0005-0000-0000-000005030000}"/>
    <cellStyle name="Comma 5 2 2 2 3 6 3" xfId="20959" xr:uid="{00000000-0005-0000-0000-000006030000}"/>
    <cellStyle name="Comma 5 2 2 2 3 6 3 2" xfId="46512" xr:uid="{00000000-0005-0000-0000-000007030000}"/>
    <cellStyle name="Comma 5 2 2 2 3 6 4" xfId="27442" xr:uid="{00000000-0005-0000-0000-000008030000}"/>
    <cellStyle name="Comma 5 2 2 2 3 7" xfId="5762" xr:uid="{00000000-0005-0000-0000-000009030000}"/>
    <cellStyle name="Comma 5 2 2 2 3 7 2" xfId="14589" xr:uid="{00000000-0005-0000-0000-00000A030000}"/>
    <cellStyle name="Comma 5 2 2 2 3 7 2 2" xfId="40144" xr:uid="{00000000-0005-0000-0000-00000B030000}"/>
    <cellStyle name="Comma 5 2 2 2 3 7 3" xfId="24840" xr:uid="{00000000-0005-0000-0000-00000C030000}"/>
    <cellStyle name="Comma 5 2 2 2 3 7 3 2" xfId="50393" xr:uid="{00000000-0005-0000-0000-00000D030000}"/>
    <cellStyle name="Comma 5 2 2 2 3 7 4" xfId="31323" xr:uid="{00000000-0005-0000-0000-00000E030000}"/>
    <cellStyle name="Comma 5 2 2 2 3 8" xfId="7206" xr:uid="{00000000-0005-0000-0000-00000F030000}"/>
    <cellStyle name="Comma 5 2 2 2 3 8 2" xfId="19932" xr:uid="{00000000-0005-0000-0000-000010030000}"/>
    <cellStyle name="Comma 5 2 2 2 3 8 2 2" xfId="45485" xr:uid="{00000000-0005-0000-0000-000011030000}"/>
    <cellStyle name="Comma 5 2 2 2 3 8 3" xfId="32763" xr:uid="{00000000-0005-0000-0000-000012030000}"/>
    <cellStyle name="Comma 5 2 2 2 3 9" xfId="15952" xr:uid="{00000000-0005-0000-0000-000013030000}"/>
    <cellStyle name="Comma 5 2 2 2 3 9 2" xfId="41505" xr:uid="{00000000-0005-0000-0000-000014030000}"/>
    <cellStyle name="Comma 5 2 2 2 4" xfId="386" xr:uid="{00000000-0005-0000-0000-000015030000}"/>
    <cellStyle name="Comma 5 2 2 2 4 2" xfId="2872" xr:uid="{00000000-0005-0000-0000-000016030000}"/>
    <cellStyle name="Comma 5 2 2 2 4 2 2" xfId="12160" xr:uid="{00000000-0005-0000-0000-000017030000}"/>
    <cellStyle name="Comma 5 2 2 2 4 2 2 2" xfId="22233" xr:uid="{00000000-0005-0000-0000-000018030000}"/>
    <cellStyle name="Comma 5 2 2 2 4 2 2 2 2" xfId="47786" xr:uid="{00000000-0005-0000-0000-000019030000}"/>
    <cellStyle name="Comma 5 2 2 2 4 2 2 3" xfId="37715" xr:uid="{00000000-0005-0000-0000-00001A030000}"/>
    <cellStyle name="Comma 5 2 2 2 4 2 3" xfId="8407" xr:uid="{00000000-0005-0000-0000-00001B030000}"/>
    <cellStyle name="Comma 5 2 2 2 4 2 3 2" xfId="33964" xr:uid="{00000000-0005-0000-0000-00001C030000}"/>
    <cellStyle name="Comma 5 2 2 2 4 2 4" xfId="17226" xr:uid="{00000000-0005-0000-0000-00001D030000}"/>
    <cellStyle name="Comma 5 2 2 2 4 2 4 2" xfId="42779" xr:uid="{00000000-0005-0000-0000-00001E030000}"/>
    <cellStyle name="Comma 5 2 2 2 4 2 5" xfId="28716" xr:uid="{00000000-0005-0000-0000-00001F030000}"/>
    <cellStyle name="Comma 5 2 2 2 4 3" xfId="4436" xr:uid="{00000000-0005-0000-0000-000020030000}"/>
    <cellStyle name="Comma 5 2 2 2 4 3 2" xfId="13274" xr:uid="{00000000-0005-0000-0000-000021030000}"/>
    <cellStyle name="Comma 5 2 2 2 4 3 2 2" xfId="23525" xr:uid="{00000000-0005-0000-0000-000022030000}"/>
    <cellStyle name="Comma 5 2 2 2 4 3 2 2 2" xfId="49078" xr:uid="{00000000-0005-0000-0000-000023030000}"/>
    <cellStyle name="Comma 5 2 2 2 4 3 2 3" xfId="38829" xr:uid="{00000000-0005-0000-0000-000024030000}"/>
    <cellStyle name="Comma 5 2 2 2 4 3 3" xfId="9695" xr:uid="{00000000-0005-0000-0000-000025030000}"/>
    <cellStyle name="Comma 5 2 2 2 4 3 3 2" xfId="35252" xr:uid="{00000000-0005-0000-0000-000026030000}"/>
    <cellStyle name="Comma 5 2 2 2 4 3 4" xfId="18518" xr:uid="{00000000-0005-0000-0000-000027030000}"/>
    <cellStyle name="Comma 5 2 2 2 4 3 4 2" xfId="44071" xr:uid="{00000000-0005-0000-0000-000028030000}"/>
    <cellStyle name="Comma 5 2 2 2 4 3 5" xfId="30008" xr:uid="{00000000-0005-0000-0000-000029030000}"/>
    <cellStyle name="Comma 5 2 2 2 4 4" xfId="1981" xr:uid="{00000000-0005-0000-0000-00002A030000}"/>
    <cellStyle name="Comma 5 2 2 2 4 4 2" xfId="11346" xr:uid="{00000000-0005-0000-0000-00002B030000}"/>
    <cellStyle name="Comma 5 2 2 2 4 4 2 2" xfId="36901" xr:uid="{00000000-0005-0000-0000-00002C030000}"/>
    <cellStyle name="Comma 5 2 2 2 4 4 3" xfId="21350" xr:uid="{00000000-0005-0000-0000-00002D030000}"/>
    <cellStyle name="Comma 5 2 2 2 4 4 3 2" xfId="46903" xr:uid="{00000000-0005-0000-0000-00002E030000}"/>
    <cellStyle name="Comma 5 2 2 2 4 4 4" xfId="27833" xr:uid="{00000000-0005-0000-0000-00002F030000}"/>
    <cellStyle name="Comma 5 2 2 2 4 5" xfId="5892" xr:uid="{00000000-0005-0000-0000-000030030000}"/>
    <cellStyle name="Comma 5 2 2 2 4 5 2" xfId="14719" xr:uid="{00000000-0005-0000-0000-000031030000}"/>
    <cellStyle name="Comma 5 2 2 2 4 5 2 2" xfId="40274" xr:uid="{00000000-0005-0000-0000-000032030000}"/>
    <cellStyle name="Comma 5 2 2 2 4 5 3" xfId="24970" xr:uid="{00000000-0005-0000-0000-000033030000}"/>
    <cellStyle name="Comma 5 2 2 2 4 5 3 2" xfId="50523" xr:uid="{00000000-0005-0000-0000-000034030000}"/>
    <cellStyle name="Comma 5 2 2 2 4 5 4" xfId="31453" xr:uid="{00000000-0005-0000-0000-000035030000}"/>
    <cellStyle name="Comma 5 2 2 2 4 6" xfId="7336" xr:uid="{00000000-0005-0000-0000-000036030000}"/>
    <cellStyle name="Comma 5 2 2 2 4 6 2" xfId="19832" xr:uid="{00000000-0005-0000-0000-000037030000}"/>
    <cellStyle name="Comma 5 2 2 2 4 6 2 2" xfId="45385" xr:uid="{00000000-0005-0000-0000-000038030000}"/>
    <cellStyle name="Comma 5 2 2 2 4 6 3" xfId="32893" xr:uid="{00000000-0005-0000-0000-000039030000}"/>
    <cellStyle name="Comma 5 2 2 2 4 7" xfId="16343" xr:uid="{00000000-0005-0000-0000-00003A030000}"/>
    <cellStyle name="Comma 5 2 2 2 4 7 2" xfId="41896" xr:uid="{00000000-0005-0000-0000-00003B030000}"/>
    <cellStyle name="Comma 5 2 2 2 4 8" xfId="26315" xr:uid="{00000000-0005-0000-0000-00003C030000}"/>
    <cellStyle name="Comma 5 2 2 2 5" xfId="621" xr:uid="{00000000-0005-0000-0000-00003D030000}"/>
    <cellStyle name="Comma 5 2 2 2 5 2" xfId="3107" xr:uid="{00000000-0005-0000-0000-00003E030000}"/>
    <cellStyle name="Comma 5 2 2 2 5 2 2" xfId="12250" xr:uid="{00000000-0005-0000-0000-00003F030000}"/>
    <cellStyle name="Comma 5 2 2 2 5 2 2 2" xfId="22468" xr:uid="{00000000-0005-0000-0000-000040030000}"/>
    <cellStyle name="Comma 5 2 2 2 5 2 2 2 2" xfId="48021" xr:uid="{00000000-0005-0000-0000-000041030000}"/>
    <cellStyle name="Comma 5 2 2 2 5 2 2 3" xfId="37805" xr:uid="{00000000-0005-0000-0000-000042030000}"/>
    <cellStyle name="Comma 5 2 2 2 5 2 3" xfId="8672" xr:uid="{00000000-0005-0000-0000-000043030000}"/>
    <cellStyle name="Comma 5 2 2 2 5 2 3 2" xfId="34229" xr:uid="{00000000-0005-0000-0000-000044030000}"/>
    <cellStyle name="Comma 5 2 2 2 5 2 4" xfId="17461" xr:uid="{00000000-0005-0000-0000-000045030000}"/>
    <cellStyle name="Comma 5 2 2 2 5 2 4 2" xfId="43014" xr:uid="{00000000-0005-0000-0000-000046030000}"/>
    <cellStyle name="Comma 5 2 2 2 5 2 5" xfId="28951" xr:uid="{00000000-0005-0000-0000-000047030000}"/>
    <cellStyle name="Comma 5 2 2 2 5 3" xfId="4785" xr:uid="{00000000-0005-0000-0000-000048030000}"/>
    <cellStyle name="Comma 5 2 2 2 5 3 2" xfId="13622" xr:uid="{00000000-0005-0000-0000-000049030000}"/>
    <cellStyle name="Comma 5 2 2 2 5 3 2 2" xfId="23873" xr:uid="{00000000-0005-0000-0000-00004A030000}"/>
    <cellStyle name="Comma 5 2 2 2 5 3 2 2 2" xfId="49426" xr:uid="{00000000-0005-0000-0000-00004B030000}"/>
    <cellStyle name="Comma 5 2 2 2 5 3 2 3" xfId="39177" xr:uid="{00000000-0005-0000-0000-00004C030000}"/>
    <cellStyle name="Comma 5 2 2 2 5 3 3" xfId="10043" xr:uid="{00000000-0005-0000-0000-00004D030000}"/>
    <cellStyle name="Comma 5 2 2 2 5 3 3 2" xfId="35600" xr:uid="{00000000-0005-0000-0000-00004E030000}"/>
    <cellStyle name="Comma 5 2 2 2 5 3 4" xfId="18866" xr:uid="{00000000-0005-0000-0000-00004F030000}"/>
    <cellStyle name="Comma 5 2 2 2 5 3 4 2" xfId="44419" xr:uid="{00000000-0005-0000-0000-000050030000}"/>
    <cellStyle name="Comma 5 2 2 2 5 3 5" xfId="30356" xr:uid="{00000000-0005-0000-0000-000051030000}"/>
    <cellStyle name="Comma 5 2 2 2 5 4" xfId="2216" xr:uid="{00000000-0005-0000-0000-000052030000}"/>
    <cellStyle name="Comma 5 2 2 2 5 4 2" xfId="11581" xr:uid="{00000000-0005-0000-0000-000053030000}"/>
    <cellStyle name="Comma 5 2 2 2 5 4 2 2" xfId="37136" xr:uid="{00000000-0005-0000-0000-000054030000}"/>
    <cellStyle name="Comma 5 2 2 2 5 4 3" xfId="21585" xr:uid="{00000000-0005-0000-0000-000055030000}"/>
    <cellStyle name="Comma 5 2 2 2 5 4 3 2" xfId="47138" xr:uid="{00000000-0005-0000-0000-000056030000}"/>
    <cellStyle name="Comma 5 2 2 2 5 4 4" xfId="28068" xr:uid="{00000000-0005-0000-0000-000057030000}"/>
    <cellStyle name="Comma 5 2 2 2 5 5" xfId="6240" xr:uid="{00000000-0005-0000-0000-000058030000}"/>
    <cellStyle name="Comma 5 2 2 2 5 5 2" xfId="15067" xr:uid="{00000000-0005-0000-0000-000059030000}"/>
    <cellStyle name="Comma 5 2 2 2 5 5 2 2" xfId="40622" xr:uid="{00000000-0005-0000-0000-00005A030000}"/>
    <cellStyle name="Comma 5 2 2 2 5 5 3" xfId="25318" xr:uid="{00000000-0005-0000-0000-00005B030000}"/>
    <cellStyle name="Comma 5 2 2 2 5 5 3 2" xfId="50871" xr:uid="{00000000-0005-0000-0000-00005C030000}"/>
    <cellStyle name="Comma 5 2 2 2 5 5 4" xfId="31801" xr:uid="{00000000-0005-0000-0000-00005D030000}"/>
    <cellStyle name="Comma 5 2 2 2 5 6" xfId="7686" xr:uid="{00000000-0005-0000-0000-00005E030000}"/>
    <cellStyle name="Comma 5 2 2 2 5 6 2" xfId="20067" xr:uid="{00000000-0005-0000-0000-00005F030000}"/>
    <cellStyle name="Comma 5 2 2 2 5 6 2 2" xfId="45620" xr:uid="{00000000-0005-0000-0000-000060030000}"/>
    <cellStyle name="Comma 5 2 2 2 5 6 3" xfId="33243" xr:uid="{00000000-0005-0000-0000-000061030000}"/>
    <cellStyle name="Comma 5 2 2 2 5 7" xfId="16578" xr:uid="{00000000-0005-0000-0000-000062030000}"/>
    <cellStyle name="Comma 5 2 2 2 5 7 2" xfId="42131" xr:uid="{00000000-0005-0000-0000-000063030000}"/>
    <cellStyle name="Comma 5 2 2 2 5 8" xfId="26550" xr:uid="{00000000-0005-0000-0000-000064030000}"/>
    <cellStyle name="Comma 5 2 2 2 6" xfId="1158" xr:uid="{00000000-0005-0000-0000-000065030000}"/>
    <cellStyle name="Comma 5 2 2 2 6 2" xfId="3587" xr:uid="{00000000-0005-0000-0000-000066030000}"/>
    <cellStyle name="Comma 5 2 2 2 6 2 2" xfId="12723" xr:uid="{00000000-0005-0000-0000-000067030000}"/>
    <cellStyle name="Comma 5 2 2 2 6 2 2 2" xfId="22942" xr:uid="{00000000-0005-0000-0000-000068030000}"/>
    <cellStyle name="Comma 5 2 2 2 6 2 2 2 2" xfId="48495" xr:uid="{00000000-0005-0000-0000-000069030000}"/>
    <cellStyle name="Comma 5 2 2 2 6 2 2 3" xfId="38278" xr:uid="{00000000-0005-0000-0000-00006A030000}"/>
    <cellStyle name="Comma 5 2 2 2 6 2 3" xfId="9144" xr:uid="{00000000-0005-0000-0000-00006B030000}"/>
    <cellStyle name="Comma 5 2 2 2 6 2 3 2" xfId="34701" xr:uid="{00000000-0005-0000-0000-00006C030000}"/>
    <cellStyle name="Comma 5 2 2 2 6 2 4" xfId="17935" xr:uid="{00000000-0005-0000-0000-00006D030000}"/>
    <cellStyle name="Comma 5 2 2 2 6 2 4 2" xfId="43488" xr:uid="{00000000-0005-0000-0000-00006E030000}"/>
    <cellStyle name="Comma 5 2 2 2 6 2 5" xfId="29425" xr:uid="{00000000-0005-0000-0000-00006F030000}"/>
    <cellStyle name="Comma 5 2 2 2 6 3" xfId="5250" xr:uid="{00000000-0005-0000-0000-000070030000}"/>
    <cellStyle name="Comma 5 2 2 2 6 3 2" xfId="14087" xr:uid="{00000000-0005-0000-0000-000071030000}"/>
    <cellStyle name="Comma 5 2 2 2 6 3 2 2" xfId="24338" xr:uid="{00000000-0005-0000-0000-000072030000}"/>
    <cellStyle name="Comma 5 2 2 2 6 3 2 2 2" xfId="49891" xr:uid="{00000000-0005-0000-0000-000073030000}"/>
    <cellStyle name="Comma 5 2 2 2 6 3 2 3" xfId="39642" xr:uid="{00000000-0005-0000-0000-000074030000}"/>
    <cellStyle name="Comma 5 2 2 2 6 3 3" xfId="10508" xr:uid="{00000000-0005-0000-0000-000075030000}"/>
    <cellStyle name="Comma 5 2 2 2 6 3 3 2" xfId="36065" xr:uid="{00000000-0005-0000-0000-000076030000}"/>
    <cellStyle name="Comma 5 2 2 2 6 3 4" xfId="19331" xr:uid="{00000000-0005-0000-0000-000077030000}"/>
    <cellStyle name="Comma 5 2 2 2 6 3 4 2" xfId="44884" xr:uid="{00000000-0005-0000-0000-000078030000}"/>
    <cellStyle name="Comma 5 2 2 2 6 3 5" xfId="30821" xr:uid="{00000000-0005-0000-0000-000079030000}"/>
    <cellStyle name="Comma 5 2 2 2 6 4" xfId="1758" xr:uid="{00000000-0005-0000-0000-00007A030000}"/>
    <cellStyle name="Comma 5 2 2 2 6 4 2" xfId="11129" xr:uid="{00000000-0005-0000-0000-00007B030000}"/>
    <cellStyle name="Comma 5 2 2 2 6 4 2 2" xfId="36684" xr:uid="{00000000-0005-0000-0000-00007C030000}"/>
    <cellStyle name="Comma 5 2 2 2 6 4 3" xfId="21133" xr:uid="{00000000-0005-0000-0000-00007D030000}"/>
    <cellStyle name="Comma 5 2 2 2 6 4 3 2" xfId="46686" xr:uid="{00000000-0005-0000-0000-00007E030000}"/>
    <cellStyle name="Comma 5 2 2 2 6 4 4" xfId="27616" xr:uid="{00000000-0005-0000-0000-00007F030000}"/>
    <cellStyle name="Comma 5 2 2 2 6 5" xfId="6705" xr:uid="{00000000-0005-0000-0000-000080030000}"/>
    <cellStyle name="Comma 5 2 2 2 6 5 2" xfId="15532" xr:uid="{00000000-0005-0000-0000-000081030000}"/>
    <cellStyle name="Comma 5 2 2 2 6 5 2 2" xfId="41087" xr:uid="{00000000-0005-0000-0000-000082030000}"/>
    <cellStyle name="Comma 5 2 2 2 6 5 3" xfId="25783" xr:uid="{00000000-0005-0000-0000-000083030000}"/>
    <cellStyle name="Comma 5 2 2 2 6 5 3 2" xfId="51336" xr:uid="{00000000-0005-0000-0000-000084030000}"/>
    <cellStyle name="Comma 5 2 2 2 6 5 4" xfId="32266" xr:uid="{00000000-0005-0000-0000-000085030000}"/>
    <cellStyle name="Comma 5 2 2 2 6 6" xfId="8151" xr:uid="{00000000-0005-0000-0000-000086030000}"/>
    <cellStyle name="Comma 5 2 2 2 6 6 2" xfId="20541" xr:uid="{00000000-0005-0000-0000-000087030000}"/>
    <cellStyle name="Comma 5 2 2 2 6 6 2 2" xfId="46094" xr:uid="{00000000-0005-0000-0000-000088030000}"/>
    <cellStyle name="Comma 5 2 2 2 6 6 3" xfId="33708" xr:uid="{00000000-0005-0000-0000-000089030000}"/>
    <cellStyle name="Comma 5 2 2 2 6 7" xfId="16126" xr:uid="{00000000-0005-0000-0000-00008A030000}"/>
    <cellStyle name="Comma 5 2 2 2 6 7 2" xfId="41679" xr:uid="{00000000-0005-0000-0000-00008B030000}"/>
    <cellStyle name="Comma 5 2 2 2 6 8" xfId="27024" xr:uid="{00000000-0005-0000-0000-00008C030000}"/>
    <cellStyle name="Comma 5 2 2 2 7" xfId="2655" xr:uid="{00000000-0005-0000-0000-00008D030000}"/>
    <cellStyle name="Comma 5 2 2 2 7 2" xfId="11975" xr:uid="{00000000-0005-0000-0000-00008E030000}"/>
    <cellStyle name="Comma 5 2 2 2 7 2 2" xfId="22016" xr:uid="{00000000-0005-0000-0000-00008F030000}"/>
    <cellStyle name="Comma 5 2 2 2 7 2 2 2" xfId="47569" xr:uid="{00000000-0005-0000-0000-000090030000}"/>
    <cellStyle name="Comma 5 2 2 2 7 2 3" xfId="37530" xr:uid="{00000000-0005-0000-0000-000091030000}"/>
    <cellStyle name="Comma 5 2 2 2 7 3" xfId="8499" xr:uid="{00000000-0005-0000-0000-000092030000}"/>
    <cellStyle name="Comma 5 2 2 2 7 3 2" xfId="34056" xr:uid="{00000000-0005-0000-0000-000093030000}"/>
    <cellStyle name="Comma 5 2 2 2 7 4" xfId="17009" xr:uid="{00000000-0005-0000-0000-000094030000}"/>
    <cellStyle name="Comma 5 2 2 2 7 4 2" xfId="42562" xr:uid="{00000000-0005-0000-0000-000095030000}"/>
    <cellStyle name="Comma 5 2 2 2 7 5" xfId="28499" xr:uid="{00000000-0005-0000-0000-000096030000}"/>
    <cellStyle name="Comma 5 2 2 2 8" xfId="4206" xr:uid="{00000000-0005-0000-0000-000097030000}"/>
    <cellStyle name="Comma 5 2 2 2 8 2" xfId="13044" xr:uid="{00000000-0005-0000-0000-000098030000}"/>
    <cellStyle name="Comma 5 2 2 2 8 2 2" xfId="23295" xr:uid="{00000000-0005-0000-0000-000099030000}"/>
    <cellStyle name="Comma 5 2 2 2 8 2 2 2" xfId="48848" xr:uid="{00000000-0005-0000-0000-00009A030000}"/>
    <cellStyle name="Comma 5 2 2 2 8 2 3" xfId="38599" xr:uid="{00000000-0005-0000-0000-00009B030000}"/>
    <cellStyle name="Comma 5 2 2 2 8 3" xfId="9465" xr:uid="{00000000-0005-0000-0000-00009C030000}"/>
    <cellStyle name="Comma 5 2 2 2 8 3 2" xfId="35022" xr:uid="{00000000-0005-0000-0000-00009D030000}"/>
    <cellStyle name="Comma 5 2 2 2 8 4" xfId="18288" xr:uid="{00000000-0005-0000-0000-00009E030000}"/>
    <cellStyle name="Comma 5 2 2 2 8 4 2" xfId="43841" xr:uid="{00000000-0005-0000-0000-00009F030000}"/>
    <cellStyle name="Comma 5 2 2 2 8 5" xfId="29778" xr:uid="{00000000-0005-0000-0000-0000A0030000}"/>
    <cellStyle name="Comma 5 2 2 2 9" xfId="1478" xr:uid="{00000000-0005-0000-0000-0000A1030000}"/>
    <cellStyle name="Comma 5 2 2 2 9 2" xfId="10855" xr:uid="{00000000-0005-0000-0000-0000A2030000}"/>
    <cellStyle name="Comma 5 2 2 2 9 2 2" xfId="36410" xr:uid="{00000000-0005-0000-0000-0000A3030000}"/>
    <cellStyle name="Comma 5 2 2 2 9 3" xfId="20859" xr:uid="{00000000-0005-0000-0000-0000A4030000}"/>
    <cellStyle name="Comma 5 2 2 2 9 3 2" xfId="46412" xr:uid="{00000000-0005-0000-0000-0000A5030000}"/>
    <cellStyle name="Comma 5 2 2 2 9 4" xfId="27342" xr:uid="{00000000-0005-0000-0000-0000A6030000}"/>
    <cellStyle name="Comma 5 2 2 3" xfId="203" xr:uid="{00000000-0005-0000-0000-0000A7030000}"/>
    <cellStyle name="Comma 5 2 2 3 10" xfId="7149" xr:uid="{00000000-0005-0000-0000-0000A8030000}"/>
    <cellStyle name="Comma 5 2 2 3 10 2" xfId="19658" xr:uid="{00000000-0005-0000-0000-0000A9030000}"/>
    <cellStyle name="Comma 5 2 2 3 10 2 2" xfId="45211" xr:uid="{00000000-0005-0000-0000-0000AA030000}"/>
    <cellStyle name="Comma 5 2 2 3 10 3" xfId="32706" xr:uid="{00000000-0005-0000-0000-0000AB030000}"/>
    <cellStyle name="Comma 5 2 2 3 11" xfId="15895" xr:uid="{00000000-0005-0000-0000-0000AC030000}"/>
    <cellStyle name="Comma 5 2 2 3 11 2" xfId="41448" xr:uid="{00000000-0005-0000-0000-0000AD030000}"/>
    <cellStyle name="Comma 5 2 2 3 12" xfId="26141" xr:uid="{00000000-0005-0000-0000-0000AE030000}"/>
    <cellStyle name="Comma 5 2 2 3 2" xfId="529" xr:uid="{00000000-0005-0000-0000-0000AF030000}"/>
    <cellStyle name="Comma 5 2 2 3 2 10" xfId="26458" xr:uid="{00000000-0005-0000-0000-0000B0030000}"/>
    <cellStyle name="Comma 5 2 2 3 2 2" xfId="625" xr:uid="{00000000-0005-0000-0000-0000B1030000}"/>
    <cellStyle name="Comma 5 2 2 3 2 2 2" xfId="3111" xr:uid="{00000000-0005-0000-0000-0000B2030000}"/>
    <cellStyle name="Comma 5 2 2 3 2 2 2 2" xfId="12254" xr:uid="{00000000-0005-0000-0000-0000B3030000}"/>
    <cellStyle name="Comma 5 2 2 3 2 2 2 2 2" xfId="22472" xr:uid="{00000000-0005-0000-0000-0000B4030000}"/>
    <cellStyle name="Comma 5 2 2 3 2 2 2 2 2 2" xfId="48025" xr:uid="{00000000-0005-0000-0000-0000B5030000}"/>
    <cellStyle name="Comma 5 2 2 3 2 2 2 2 3" xfId="37809" xr:uid="{00000000-0005-0000-0000-0000B6030000}"/>
    <cellStyle name="Comma 5 2 2 3 2 2 2 3" xfId="8676" xr:uid="{00000000-0005-0000-0000-0000B7030000}"/>
    <cellStyle name="Comma 5 2 2 3 2 2 2 3 2" xfId="34233" xr:uid="{00000000-0005-0000-0000-0000B8030000}"/>
    <cellStyle name="Comma 5 2 2 3 2 2 2 4" xfId="17465" xr:uid="{00000000-0005-0000-0000-0000B9030000}"/>
    <cellStyle name="Comma 5 2 2 3 2 2 2 4 2" xfId="43018" xr:uid="{00000000-0005-0000-0000-0000BA030000}"/>
    <cellStyle name="Comma 5 2 2 3 2 2 2 5" xfId="28955" xr:uid="{00000000-0005-0000-0000-0000BB030000}"/>
    <cellStyle name="Comma 5 2 2 3 2 2 3" xfId="4440" xr:uid="{00000000-0005-0000-0000-0000BC030000}"/>
    <cellStyle name="Comma 5 2 2 3 2 2 3 2" xfId="13278" xr:uid="{00000000-0005-0000-0000-0000BD030000}"/>
    <cellStyle name="Comma 5 2 2 3 2 2 3 2 2" xfId="23529" xr:uid="{00000000-0005-0000-0000-0000BE030000}"/>
    <cellStyle name="Comma 5 2 2 3 2 2 3 2 2 2" xfId="49082" xr:uid="{00000000-0005-0000-0000-0000BF030000}"/>
    <cellStyle name="Comma 5 2 2 3 2 2 3 2 3" xfId="38833" xr:uid="{00000000-0005-0000-0000-0000C0030000}"/>
    <cellStyle name="Comma 5 2 2 3 2 2 3 3" xfId="9699" xr:uid="{00000000-0005-0000-0000-0000C1030000}"/>
    <cellStyle name="Comma 5 2 2 3 2 2 3 3 2" xfId="35256" xr:uid="{00000000-0005-0000-0000-0000C2030000}"/>
    <cellStyle name="Comma 5 2 2 3 2 2 3 4" xfId="18522" xr:uid="{00000000-0005-0000-0000-0000C3030000}"/>
    <cellStyle name="Comma 5 2 2 3 2 2 3 4 2" xfId="44075" xr:uid="{00000000-0005-0000-0000-0000C4030000}"/>
    <cellStyle name="Comma 5 2 2 3 2 2 3 5" xfId="30012" xr:uid="{00000000-0005-0000-0000-0000C5030000}"/>
    <cellStyle name="Comma 5 2 2 3 2 2 4" xfId="2220" xr:uid="{00000000-0005-0000-0000-0000C6030000}"/>
    <cellStyle name="Comma 5 2 2 3 2 2 4 2" xfId="11585" xr:uid="{00000000-0005-0000-0000-0000C7030000}"/>
    <cellStyle name="Comma 5 2 2 3 2 2 4 2 2" xfId="37140" xr:uid="{00000000-0005-0000-0000-0000C8030000}"/>
    <cellStyle name="Comma 5 2 2 3 2 2 4 3" xfId="21589" xr:uid="{00000000-0005-0000-0000-0000C9030000}"/>
    <cellStyle name="Comma 5 2 2 3 2 2 4 3 2" xfId="47142" xr:uid="{00000000-0005-0000-0000-0000CA030000}"/>
    <cellStyle name="Comma 5 2 2 3 2 2 4 4" xfId="28072" xr:uid="{00000000-0005-0000-0000-0000CB030000}"/>
    <cellStyle name="Comma 5 2 2 3 2 2 5" xfId="5896" xr:uid="{00000000-0005-0000-0000-0000CC030000}"/>
    <cellStyle name="Comma 5 2 2 3 2 2 5 2" xfId="14723" xr:uid="{00000000-0005-0000-0000-0000CD030000}"/>
    <cellStyle name="Comma 5 2 2 3 2 2 5 2 2" xfId="40278" xr:uid="{00000000-0005-0000-0000-0000CE030000}"/>
    <cellStyle name="Comma 5 2 2 3 2 2 5 3" xfId="24974" xr:uid="{00000000-0005-0000-0000-0000CF030000}"/>
    <cellStyle name="Comma 5 2 2 3 2 2 5 3 2" xfId="50527" xr:uid="{00000000-0005-0000-0000-0000D0030000}"/>
    <cellStyle name="Comma 5 2 2 3 2 2 5 4" xfId="31457" xr:uid="{00000000-0005-0000-0000-0000D1030000}"/>
    <cellStyle name="Comma 5 2 2 3 2 2 6" xfId="7340" xr:uid="{00000000-0005-0000-0000-0000D2030000}"/>
    <cellStyle name="Comma 5 2 2 3 2 2 6 2" xfId="20071" xr:uid="{00000000-0005-0000-0000-0000D3030000}"/>
    <cellStyle name="Comma 5 2 2 3 2 2 6 2 2" xfId="45624" xr:uid="{00000000-0005-0000-0000-0000D4030000}"/>
    <cellStyle name="Comma 5 2 2 3 2 2 6 3" xfId="32897" xr:uid="{00000000-0005-0000-0000-0000D5030000}"/>
    <cellStyle name="Comma 5 2 2 3 2 2 7" xfId="16582" xr:uid="{00000000-0005-0000-0000-0000D6030000}"/>
    <cellStyle name="Comma 5 2 2 3 2 2 7 2" xfId="42135" xr:uid="{00000000-0005-0000-0000-0000D7030000}"/>
    <cellStyle name="Comma 5 2 2 3 2 2 8" xfId="26554" xr:uid="{00000000-0005-0000-0000-0000D8030000}"/>
    <cellStyle name="Comma 5 2 2 3 2 3" xfId="1301" xr:uid="{00000000-0005-0000-0000-0000D9030000}"/>
    <cellStyle name="Comma 5 2 2 3 2 3 2" xfId="3730" xr:uid="{00000000-0005-0000-0000-0000DA030000}"/>
    <cellStyle name="Comma 5 2 2 3 2 3 2 2" xfId="12866" xr:uid="{00000000-0005-0000-0000-0000DB030000}"/>
    <cellStyle name="Comma 5 2 2 3 2 3 2 2 2" xfId="23085" xr:uid="{00000000-0005-0000-0000-0000DC030000}"/>
    <cellStyle name="Comma 5 2 2 3 2 3 2 2 2 2" xfId="48638" xr:uid="{00000000-0005-0000-0000-0000DD030000}"/>
    <cellStyle name="Comma 5 2 2 3 2 3 2 2 3" xfId="38421" xr:uid="{00000000-0005-0000-0000-0000DE030000}"/>
    <cellStyle name="Comma 5 2 2 3 2 3 2 3" xfId="9287" xr:uid="{00000000-0005-0000-0000-0000DF030000}"/>
    <cellStyle name="Comma 5 2 2 3 2 3 2 3 2" xfId="34844" xr:uid="{00000000-0005-0000-0000-0000E0030000}"/>
    <cellStyle name="Comma 5 2 2 3 2 3 2 4" xfId="18078" xr:uid="{00000000-0005-0000-0000-0000E1030000}"/>
    <cellStyle name="Comma 5 2 2 3 2 3 2 4 2" xfId="43631" xr:uid="{00000000-0005-0000-0000-0000E2030000}"/>
    <cellStyle name="Comma 5 2 2 3 2 3 2 5" xfId="29568" xr:uid="{00000000-0005-0000-0000-0000E3030000}"/>
    <cellStyle name="Comma 5 2 2 3 2 3 3" xfId="4789" xr:uid="{00000000-0005-0000-0000-0000E4030000}"/>
    <cellStyle name="Comma 5 2 2 3 2 3 3 2" xfId="13626" xr:uid="{00000000-0005-0000-0000-0000E5030000}"/>
    <cellStyle name="Comma 5 2 2 3 2 3 3 2 2" xfId="23877" xr:uid="{00000000-0005-0000-0000-0000E6030000}"/>
    <cellStyle name="Comma 5 2 2 3 2 3 3 2 2 2" xfId="49430" xr:uid="{00000000-0005-0000-0000-0000E7030000}"/>
    <cellStyle name="Comma 5 2 2 3 2 3 3 2 3" xfId="39181" xr:uid="{00000000-0005-0000-0000-0000E8030000}"/>
    <cellStyle name="Comma 5 2 2 3 2 3 3 3" xfId="10047" xr:uid="{00000000-0005-0000-0000-0000E9030000}"/>
    <cellStyle name="Comma 5 2 2 3 2 3 3 3 2" xfId="35604" xr:uid="{00000000-0005-0000-0000-0000EA030000}"/>
    <cellStyle name="Comma 5 2 2 3 2 3 3 4" xfId="18870" xr:uid="{00000000-0005-0000-0000-0000EB030000}"/>
    <cellStyle name="Comma 5 2 2 3 2 3 3 4 2" xfId="44423" xr:uid="{00000000-0005-0000-0000-0000EC030000}"/>
    <cellStyle name="Comma 5 2 2 3 2 3 3 5" xfId="30360" xr:uid="{00000000-0005-0000-0000-0000ED030000}"/>
    <cellStyle name="Comma 5 2 2 3 2 3 4" xfId="2124" xr:uid="{00000000-0005-0000-0000-0000EE030000}"/>
    <cellStyle name="Comma 5 2 2 3 2 3 4 2" xfId="11489" xr:uid="{00000000-0005-0000-0000-0000EF030000}"/>
    <cellStyle name="Comma 5 2 2 3 2 3 4 2 2" xfId="37044" xr:uid="{00000000-0005-0000-0000-0000F0030000}"/>
    <cellStyle name="Comma 5 2 2 3 2 3 4 3" xfId="21493" xr:uid="{00000000-0005-0000-0000-0000F1030000}"/>
    <cellStyle name="Comma 5 2 2 3 2 3 4 3 2" xfId="47046" xr:uid="{00000000-0005-0000-0000-0000F2030000}"/>
    <cellStyle name="Comma 5 2 2 3 2 3 4 4" xfId="27976" xr:uid="{00000000-0005-0000-0000-0000F3030000}"/>
    <cellStyle name="Comma 5 2 2 3 2 3 5" xfId="6244" xr:uid="{00000000-0005-0000-0000-0000F4030000}"/>
    <cellStyle name="Comma 5 2 2 3 2 3 5 2" xfId="15071" xr:uid="{00000000-0005-0000-0000-0000F5030000}"/>
    <cellStyle name="Comma 5 2 2 3 2 3 5 2 2" xfId="40626" xr:uid="{00000000-0005-0000-0000-0000F6030000}"/>
    <cellStyle name="Comma 5 2 2 3 2 3 5 3" xfId="25322" xr:uid="{00000000-0005-0000-0000-0000F7030000}"/>
    <cellStyle name="Comma 5 2 2 3 2 3 5 3 2" xfId="50875" xr:uid="{00000000-0005-0000-0000-0000F8030000}"/>
    <cellStyle name="Comma 5 2 2 3 2 3 5 4" xfId="31805" xr:uid="{00000000-0005-0000-0000-0000F9030000}"/>
    <cellStyle name="Comma 5 2 2 3 2 3 6" xfId="7690" xr:uid="{00000000-0005-0000-0000-0000FA030000}"/>
    <cellStyle name="Comma 5 2 2 3 2 3 6 2" xfId="20684" xr:uid="{00000000-0005-0000-0000-0000FB030000}"/>
    <cellStyle name="Comma 5 2 2 3 2 3 6 2 2" xfId="46237" xr:uid="{00000000-0005-0000-0000-0000FC030000}"/>
    <cellStyle name="Comma 5 2 2 3 2 3 6 3" xfId="33247" xr:uid="{00000000-0005-0000-0000-0000FD030000}"/>
    <cellStyle name="Comma 5 2 2 3 2 3 7" xfId="16486" xr:uid="{00000000-0005-0000-0000-0000FE030000}"/>
    <cellStyle name="Comma 5 2 2 3 2 3 7 2" xfId="42039" xr:uid="{00000000-0005-0000-0000-0000FF030000}"/>
    <cellStyle name="Comma 5 2 2 3 2 3 8" xfId="27167" xr:uid="{00000000-0005-0000-0000-000000040000}"/>
    <cellStyle name="Comma 5 2 2 3 2 4" xfId="3015" xr:uid="{00000000-0005-0000-0000-000001040000}"/>
    <cellStyle name="Comma 5 2 2 3 2 4 2" xfId="5393" xr:uid="{00000000-0005-0000-0000-000002040000}"/>
    <cellStyle name="Comma 5 2 2 3 2 4 2 2" xfId="14230" xr:uid="{00000000-0005-0000-0000-000003040000}"/>
    <cellStyle name="Comma 5 2 2 3 2 4 2 2 2" xfId="24481" xr:uid="{00000000-0005-0000-0000-000004040000}"/>
    <cellStyle name="Comma 5 2 2 3 2 4 2 2 2 2" xfId="50034" xr:uid="{00000000-0005-0000-0000-000005040000}"/>
    <cellStyle name="Comma 5 2 2 3 2 4 2 2 3" xfId="39785" xr:uid="{00000000-0005-0000-0000-000006040000}"/>
    <cellStyle name="Comma 5 2 2 3 2 4 2 3" xfId="10651" xr:uid="{00000000-0005-0000-0000-000007040000}"/>
    <cellStyle name="Comma 5 2 2 3 2 4 2 3 2" xfId="36208" xr:uid="{00000000-0005-0000-0000-000008040000}"/>
    <cellStyle name="Comma 5 2 2 3 2 4 2 4" xfId="19474" xr:uid="{00000000-0005-0000-0000-000009040000}"/>
    <cellStyle name="Comma 5 2 2 3 2 4 2 4 2" xfId="45027" xr:uid="{00000000-0005-0000-0000-00000A040000}"/>
    <cellStyle name="Comma 5 2 2 3 2 4 2 5" xfId="30964" xr:uid="{00000000-0005-0000-0000-00000B040000}"/>
    <cellStyle name="Comma 5 2 2 3 2 4 3" xfId="6848" xr:uid="{00000000-0005-0000-0000-00000C040000}"/>
    <cellStyle name="Comma 5 2 2 3 2 4 3 2" xfId="15675" xr:uid="{00000000-0005-0000-0000-00000D040000}"/>
    <cellStyle name="Comma 5 2 2 3 2 4 3 2 2" xfId="41230" xr:uid="{00000000-0005-0000-0000-00000E040000}"/>
    <cellStyle name="Comma 5 2 2 3 2 4 3 3" xfId="25926" xr:uid="{00000000-0005-0000-0000-00000F040000}"/>
    <cellStyle name="Comma 5 2 2 3 2 4 3 3 2" xfId="51479" xr:uid="{00000000-0005-0000-0000-000010040000}"/>
    <cellStyle name="Comma 5 2 2 3 2 4 3 4" xfId="32409" xr:uid="{00000000-0005-0000-0000-000011040000}"/>
    <cellStyle name="Comma 5 2 2 3 2 4 4" xfId="8294" xr:uid="{00000000-0005-0000-0000-000012040000}"/>
    <cellStyle name="Comma 5 2 2 3 2 4 4 2" xfId="22376" xr:uid="{00000000-0005-0000-0000-000013040000}"/>
    <cellStyle name="Comma 5 2 2 3 2 4 4 2 2" xfId="47929" xr:uid="{00000000-0005-0000-0000-000014040000}"/>
    <cellStyle name="Comma 5 2 2 3 2 4 4 3" xfId="33851" xr:uid="{00000000-0005-0000-0000-000015040000}"/>
    <cellStyle name="Comma 5 2 2 3 2 4 5" xfId="17369" xr:uid="{00000000-0005-0000-0000-000016040000}"/>
    <cellStyle name="Comma 5 2 2 3 2 4 5 2" xfId="42922" xr:uid="{00000000-0005-0000-0000-000017040000}"/>
    <cellStyle name="Comma 5 2 2 3 2 4 6" xfId="28859" xr:uid="{00000000-0005-0000-0000-000018040000}"/>
    <cellStyle name="Comma 5 2 2 3 2 5" xfId="4349" xr:uid="{00000000-0005-0000-0000-000019040000}"/>
    <cellStyle name="Comma 5 2 2 3 2 5 2" xfId="13187" xr:uid="{00000000-0005-0000-0000-00001A040000}"/>
    <cellStyle name="Comma 5 2 2 3 2 5 2 2" xfId="23438" xr:uid="{00000000-0005-0000-0000-00001B040000}"/>
    <cellStyle name="Comma 5 2 2 3 2 5 2 2 2" xfId="48991" xr:uid="{00000000-0005-0000-0000-00001C040000}"/>
    <cellStyle name="Comma 5 2 2 3 2 5 2 3" xfId="38742" xr:uid="{00000000-0005-0000-0000-00001D040000}"/>
    <cellStyle name="Comma 5 2 2 3 2 5 3" xfId="9608" xr:uid="{00000000-0005-0000-0000-00001E040000}"/>
    <cellStyle name="Comma 5 2 2 3 2 5 3 2" xfId="35165" xr:uid="{00000000-0005-0000-0000-00001F040000}"/>
    <cellStyle name="Comma 5 2 2 3 2 5 4" xfId="18431" xr:uid="{00000000-0005-0000-0000-000020040000}"/>
    <cellStyle name="Comma 5 2 2 3 2 5 4 2" xfId="43984" xr:uid="{00000000-0005-0000-0000-000021040000}"/>
    <cellStyle name="Comma 5 2 2 3 2 5 5" xfId="29921" xr:uid="{00000000-0005-0000-0000-000022040000}"/>
    <cellStyle name="Comma 5 2 2 3 2 6" xfId="1621" xr:uid="{00000000-0005-0000-0000-000023040000}"/>
    <cellStyle name="Comma 5 2 2 3 2 6 2" xfId="10998" xr:uid="{00000000-0005-0000-0000-000024040000}"/>
    <cellStyle name="Comma 5 2 2 3 2 6 2 2" xfId="36553" xr:uid="{00000000-0005-0000-0000-000025040000}"/>
    <cellStyle name="Comma 5 2 2 3 2 6 3" xfId="21002" xr:uid="{00000000-0005-0000-0000-000026040000}"/>
    <cellStyle name="Comma 5 2 2 3 2 6 3 2" xfId="46555" xr:uid="{00000000-0005-0000-0000-000027040000}"/>
    <cellStyle name="Comma 5 2 2 3 2 6 4" xfId="27485" xr:uid="{00000000-0005-0000-0000-000028040000}"/>
    <cellStyle name="Comma 5 2 2 3 2 7" xfId="5805" xr:uid="{00000000-0005-0000-0000-000029040000}"/>
    <cellStyle name="Comma 5 2 2 3 2 7 2" xfId="14632" xr:uid="{00000000-0005-0000-0000-00002A040000}"/>
    <cellStyle name="Comma 5 2 2 3 2 7 2 2" xfId="40187" xr:uid="{00000000-0005-0000-0000-00002B040000}"/>
    <cellStyle name="Comma 5 2 2 3 2 7 3" xfId="24883" xr:uid="{00000000-0005-0000-0000-00002C040000}"/>
    <cellStyle name="Comma 5 2 2 3 2 7 3 2" xfId="50436" xr:uid="{00000000-0005-0000-0000-00002D040000}"/>
    <cellStyle name="Comma 5 2 2 3 2 7 4" xfId="31366" xr:uid="{00000000-0005-0000-0000-00002E040000}"/>
    <cellStyle name="Comma 5 2 2 3 2 8" xfId="7249" xr:uid="{00000000-0005-0000-0000-00002F040000}"/>
    <cellStyle name="Comma 5 2 2 3 2 8 2" xfId="19975" xr:uid="{00000000-0005-0000-0000-000030040000}"/>
    <cellStyle name="Comma 5 2 2 3 2 8 2 2" xfId="45528" xr:uid="{00000000-0005-0000-0000-000031040000}"/>
    <cellStyle name="Comma 5 2 2 3 2 8 3" xfId="32806" xr:uid="{00000000-0005-0000-0000-000032040000}"/>
    <cellStyle name="Comma 5 2 2 3 2 9" xfId="15995" xr:uid="{00000000-0005-0000-0000-000033040000}"/>
    <cellStyle name="Comma 5 2 2 3 2 9 2" xfId="41548" xr:uid="{00000000-0005-0000-0000-000034040000}"/>
    <cellStyle name="Comma 5 2 2 3 3" xfId="429" xr:uid="{00000000-0005-0000-0000-000035040000}"/>
    <cellStyle name="Comma 5 2 2 3 3 2" xfId="2915" xr:uid="{00000000-0005-0000-0000-000036040000}"/>
    <cellStyle name="Comma 5 2 2 3 3 2 2" xfId="12203" xr:uid="{00000000-0005-0000-0000-000037040000}"/>
    <cellStyle name="Comma 5 2 2 3 3 2 2 2" xfId="22276" xr:uid="{00000000-0005-0000-0000-000038040000}"/>
    <cellStyle name="Comma 5 2 2 3 3 2 2 2 2" xfId="47829" xr:uid="{00000000-0005-0000-0000-000039040000}"/>
    <cellStyle name="Comma 5 2 2 3 3 2 2 3" xfId="37758" xr:uid="{00000000-0005-0000-0000-00003A040000}"/>
    <cellStyle name="Comma 5 2 2 3 3 2 3" xfId="8386" xr:uid="{00000000-0005-0000-0000-00003B040000}"/>
    <cellStyle name="Comma 5 2 2 3 3 2 3 2" xfId="33943" xr:uid="{00000000-0005-0000-0000-00003C040000}"/>
    <cellStyle name="Comma 5 2 2 3 3 2 4" xfId="17269" xr:uid="{00000000-0005-0000-0000-00003D040000}"/>
    <cellStyle name="Comma 5 2 2 3 3 2 4 2" xfId="42822" xr:uid="{00000000-0005-0000-0000-00003E040000}"/>
    <cellStyle name="Comma 5 2 2 3 3 2 5" xfId="28759" xr:uid="{00000000-0005-0000-0000-00003F040000}"/>
    <cellStyle name="Comma 5 2 2 3 3 3" xfId="4439" xr:uid="{00000000-0005-0000-0000-000040040000}"/>
    <cellStyle name="Comma 5 2 2 3 3 3 2" xfId="13277" xr:uid="{00000000-0005-0000-0000-000041040000}"/>
    <cellStyle name="Comma 5 2 2 3 3 3 2 2" xfId="23528" xr:uid="{00000000-0005-0000-0000-000042040000}"/>
    <cellStyle name="Comma 5 2 2 3 3 3 2 2 2" xfId="49081" xr:uid="{00000000-0005-0000-0000-000043040000}"/>
    <cellStyle name="Comma 5 2 2 3 3 3 2 3" xfId="38832" xr:uid="{00000000-0005-0000-0000-000044040000}"/>
    <cellStyle name="Comma 5 2 2 3 3 3 3" xfId="9698" xr:uid="{00000000-0005-0000-0000-000045040000}"/>
    <cellStyle name="Comma 5 2 2 3 3 3 3 2" xfId="35255" xr:uid="{00000000-0005-0000-0000-000046040000}"/>
    <cellStyle name="Comma 5 2 2 3 3 3 4" xfId="18521" xr:uid="{00000000-0005-0000-0000-000047040000}"/>
    <cellStyle name="Comma 5 2 2 3 3 3 4 2" xfId="44074" xr:uid="{00000000-0005-0000-0000-000048040000}"/>
    <cellStyle name="Comma 5 2 2 3 3 3 5" xfId="30011" xr:uid="{00000000-0005-0000-0000-000049040000}"/>
    <cellStyle name="Comma 5 2 2 3 3 4" xfId="2024" xr:uid="{00000000-0005-0000-0000-00004A040000}"/>
    <cellStyle name="Comma 5 2 2 3 3 4 2" xfId="11389" xr:uid="{00000000-0005-0000-0000-00004B040000}"/>
    <cellStyle name="Comma 5 2 2 3 3 4 2 2" xfId="36944" xr:uid="{00000000-0005-0000-0000-00004C040000}"/>
    <cellStyle name="Comma 5 2 2 3 3 4 3" xfId="21393" xr:uid="{00000000-0005-0000-0000-00004D040000}"/>
    <cellStyle name="Comma 5 2 2 3 3 4 3 2" xfId="46946" xr:uid="{00000000-0005-0000-0000-00004E040000}"/>
    <cellStyle name="Comma 5 2 2 3 3 4 4" xfId="27876" xr:uid="{00000000-0005-0000-0000-00004F040000}"/>
    <cellStyle name="Comma 5 2 2 3 3 5" xfId="5895" xr:uid="{00000000-0005-0000-0000-000050040000}"/>
    <cellStyle name="Comma 5 2 2 3 3 5 2" xfId="14722" xr:uid="{00000000-0005-0000-0000-000051040000}"/>
    <cellStyle name="Comma 5 2 2 3 3 5 2 2" xfId="40277" xr:uid="{00000000-0005-0000-0000-000052040000}"/>
    <cellStyle name="Comma 5 2 2 3 3 5 3" xfId="24973" xr:uid="{00000000-0005-0000-0000-000053040000}"/>
    <cellStyle name="Comma 5 2 2 3 3 5 3 2" xfId="50526" xr:uid="{00000000-0005-0000-0000-000054040000}"/>
    <cellStyle name="Comma 5 2 2 3 3 5 4" xfId="31456" xr:uid="{00000000-0005-0000-0000-000055040000}"/>
    <cellStyle name="Comma 5 2 2 3 3 6" xfId="7339" xr:uid="{00000000-0005-0000-0000-000056040000}"/>
    <cellStyle name="Comma 5 2 2 3 3 6 2" xfId="19875" xr:uid="{00000000-0005-0000-0000-000057040000}"/>
    <cellStyle name="Comma 5 2 2 3 3 6 2 2" xfId="45428" xr:uid="{00000000-0005-0000-0000-000058040000}"/>
    <cellStyle name="Comma 5 2 2 3 3 6 3" xfId="32896" xr:uid="{00000000-0005-0000-0000-000059040000}"/>
    <cellStyle name="Comma 5 2 2 3 3 7" xfId="16386" xr:uid="{00000000-0005-0000-0000-00005A040000}"/>
    <cellStyle name="Comma 5 2 2 3 3 7 2" xfId="41939" xr:uid="{00000000-0005-0000-0000-00005B040000}"/>
    <cellStyle name="Comma 5 2 2 3 3 8" xfId="26358" xr:uid="{00000000-0005-0000-0000-00005C040000}"/>
    <cellStyle name="Comma 5 2 2 3 4" xfId="624" xr:uid="{00000000-0005-0000-0000-00005D040000}"/>
    <cellStyle name="Comma 5 2 2 3 4 2" xfId="3110" xr:uid="{00000000-0005-0000-0000-00005E040000}"/>
    <cellStyle name="Comma 5 2 2 3 4 2 2" xfId="12253" xr:uid="{00000000-0005-0000-0000-00005F040000}"/>
    <cellStyle name="Comma 5 2 2 3 4 2 2 2" xfId="22471" xr:uid="{00000000-0005-0000-0000-000060040000}"/>
    <cellStyle name="Comma 5 2 2 3 4 2 2 2 2" xfId="48024" xr:uid="{00000000-0005-0000-0000-000061040000}"/>
    <cellStyle name="Comma 5 2 2 3 4 2 2 3" xfId="37808" xr:uid="{00000000-0005-0000-0000-000062040000}"/>
    <cellStyle name="Comma 5 2 2 3 4 2 3" xfId="8675" xr:uid="{00000000-0005-0000-0000-000063040000}"/>
    <cellStyle name="Comma 5 2 2 3 4 2 3 2" xfId="34232" xr:uid="{00000000-0005-0000-0000-000064040000}"/>
    <cellStyle name="Comma 5 2 2 3 4 2 4" xfId="17464" xr:uid="{00000000-0005-0000-0000-000065040000}"/>
    <cellStyle name="Comma 5 2 2 3 4 2 4 2" xfId="43017" xr:uid="{00000000-0005-0000-0000-000066040000}"/>
    <cellStyle name="Comma 5 2 2 3 4 2 5" xfId="28954" xr:uid="{00000000-0005-0000-0000-000067040000}"/>
    <cellStyle name="Comma 5 2 2 3 4 3" xfId="4788" xr:uid="{00000000-0005-0000-0000-000068040000}"/>
    <cellStyle name="Comma 5 2 2 3 4 3 2" xfId="13625" xr:uid="{00000000-0005-0000-0000-000069040000}"/>
    <cellStyle name="Comma 5 2 2 3 4 3 2 2" xfId="23876" xr:uid="{00000000-0005-0000-0000-00006A040000}"/>
    <cellStyle name="Comma 5 2 2 3 4 3 2 2 2" xfId="49429" xr:uid="{00000000-0005-0000-0000-00006B040000}"/>
    <cellStyle name="Comma 5 2 2 3 4 3 2 3" xfId="39180" xr:uid="{00000000-0005-0000-0000-00006C040000}"/>
    <cellStyle name="Comma 5 2 2 3 4 3 3" xfId="10046" xr:uid="{00000000-0005-0000-0000-00006D040000}"/>
    <cellStyle name="Comma 5 2 2 3 4 3 3 2" xfId="35603" xr:uid="{00000000-0005-0000-0000-00006E040000}"/>
    <cellStyle name="Comma 5 2 2 3 4 3 4" xfId="18869" xr:uid="{00000000-0005-0000-0000-00006F040000}"/>
    <cellStyle name="Comma 5 2 2 3 4 3 4 2" xfId="44422" xr:uid="{00000000-0005-0000-0000-000070040000}"/>
    <cellStyle name="Comma 5 2 2 3 4 3 5" xfId="30359" xr:uid="{00000000-0005-0000-0000-000071040000}"/>
    <cellStyle name="Comma 5 2 2 3 4 4" xfId="2219" xr:uid="{00000000-0005-0000-0000-000072040000}"/>
    <cellStyle name="Comma 5 2 2 3 4 4 2" xfId="11584" xr:uid="{00000000-0005-0000-0000-000073040000}"/>
    <cellStyle name="Comma 5 2 2 3 4 4 2 2" xfId="37139" xr:uid="{00000000-0005-0000-0000-000074040000}"/>
    <cellStyle name="Comma 5 2 2 3 4 4 3" xfId="21588" xr:uid="{00000000-0005-0000-0000-000075040000}"/>
    <cellStyle name="Comma 5 2 2 3 4 4 3 2" xfId="47141" xr:uid="{00000000-0005-0000-0000-000076040000}"/>
    <cellStyle name="Comma 5 2 2 3 4 4 4" xfId="28071" xr:uid="{00000000-0005-0000-0000-000077040000}"/>
    <cellStyle name="Comma 5 2 2 3 4 5" xfId="6243" xr:uid="{00000000-0005-0000-0000-000078040000}"/>
    <cellStyle name="Comma 5 2 2 3 4 5 2" xfId="15070" xr:uid="{00000000-0005-0000-0000-000079040000}"/>
    <cellStyle name="Comma 5 2 2 3 4 5 2 2" xfId="40625" xr:uid="{00000000-0005-0000-0000-00007A040000}"/>
    <cellStyle name="Comma 5 2 2 3 4 5 3" xfId="25321" xr:uid="{00000000-0005-0000-0000-00007B040000}"/>
    <cellStyle name="Comma 5 2 2 3 4 5 3 2" xfId="50874" xr:uid="{00000000-0005-0000-0000-00007C040000}"/>
    <cellStyle name="Comma 5 2 2 3 4 5 4" xfId="31804" xr:uid="{00000000-0005-0000-0000-00007D040000}"/>
    <cellStyle name="Comma 5 2 2 3 4 6" xfId="7689" xr:uid="{00000000-0005-0000-0000-00007E040000}"/>
    <cellStyle name="Comma 5 2 2 3 4 6 2" xfId="20070" xr:uid="{00000000-0005-0000-0000-00007F040000}"/>
    <cellStyle name="Comma 5 2 2 3 4 6 2 2" xfId="45623" xr:uid="{00000000-0005-0000-0000-000080040000}"/>
    <cellStyle name="Comma 5 2 2 3 4 6 3" xfId="33246" xr:uid="{00000000-0005-0000-0000-000081040000}"/>
    <cellStyle name="Comma 5 2 2 3 4 7" xfId="16581" xr:uid="{00000000-0005-0000-0000-000082040000}"/>
    <cellStyle name="Comma 5 2 2 3 4 7 2" xfId="42134" xr:uid="{00000000-0005-0000-0000-000083040000}"/>
    <cellStyle name="Comma 5 2 2 3 4 8" xfId="26553" xr:uid="{00000000-0005-0000-0000-000084040000}"/>
    <cellStyle name="Comma 5 2 2 3 5" xfId="1201" xr:uid="{00000000-0005-0000-0000-000085040000}"/>
    <cellStyle name="Comma 5 2 2 3 5 2" xfId="3630" xr:uid="{00000000-0005-0000-0000-000086040000}"/>
    <cellStyle name="Comma 5 2 2 3 5 2 2" xfId="12766" xr:uid="{00000000-0005-0000-0000-000087040000}"/>
    <cellStyle name="Comma 5 2 2 3 5 2 2 2" xfId="22985" xr:uid="{00000000-0005-0000-0000-000088040000}"/>
    <cellStyle name="Comma 5 2 2 3 5 2 2 2 2" xfId="48538" xr:uid="{00000000-0005-0000-0000-000089040000}"/>
    <cellStyle name="Comma 5 2 2 3 5 2 2 3" xfId="38321" xr:uid="{00000000-0005-0000-0000-00008A040000}"/>
    <cellStyle name="Comma 5 2 2 3 5 2 3" xfId="9187" xr:uid="{00000000-0005-0000-0000-00008B040000}"/>
    <cellStyle name="Comma 5 2 2 3 5 2 3 2" xfId="34744" xr:uid="{00000000-0005-0000-0000-00008C040000}"/>
    <cellStyle name="Comma 5 2 2 3 5 2 4" xfId="17978" xr:uid="{00000000-0005-0000-0000-00008D040000}"/>
    <cellStyle name="Comma 5 2 2 3 5 2 4 2" xfId="43531" xr:uid="{00000000-0005-0000-0000-00008E040000}"/>
    <cellStyle name="Comma 5 2 2 3 5 2 5" xfId="29468" xr:uid="{00000000-0005-0000-0000-00008F040000}"/>
    <cellStyle name="Comma 5 2 2 3 5 3" xfId="5293" xr:uid="{00000000-0005-0000-0000-000090040000}"/>
    <cellStyle name="Comma 5 2 2 3 5 3 2" xfId="14130" xr:uid="{00000000-0005-0000-0000-000091040000}"/>
    <cellStyle name="Comma 5 2 2 3 5 3 2 2" xfId="24381" xr:uid="{00000000-0005-0000-0000-000092040000}"/>
    <cellStyle name="Comma 5 2 2 3 5 3 2 2 2" xfId="49934" xr:uid="{00000000-0005-0000-0000-000093040000}"/>
    <cellStyle name="Comma 5 2 2 3 5 3 2 3" xfId="39685" xr:uid="{00000000-0005-0000-0000-000094040000}"/>
    <cellStyle name="Comma 5 2 2 3 5 3 3" xfId="10551" xr:uid="{00000000-0005-0000-0000-000095040000}"/>
    <cellStyle name="Comma 5 2 2 3 5 3 3 2" xfId="36108" xr:uid="{00000000-0005-0000-0000-000096040000}"/>
    <cellStyle name="Comma 5 2 2 3 5 3 4" xfId="19374" xr:uid="{00000000-0005-0000-0000-000097040000}"/>
    <cellStyle name="Comma 5 2 2 3 5 3 4 2" xfId="44927" xr:uid="{00000000-0005-0000-0000-000098040000}"/>
    <cellStyle name="Comma 5 2 2 3 5 3 5" xfId="30864" xr:uid="{00000000-0005-0000-0000-000099040000}"/>
    <cellStyle name="Comma 5 2 2 3 5 4" xfId="1804" xr:uid="{00000000-0005-0000-0000-00009A040000}"/>
    <cellStyle name="Comma 5 2 2 3 5 4 2" xfId="11172" xr:uid="{00000000-0005-0000-0000-00009B040000}"/>
    <cellStyle name="Comma 5 2 2 3 5 4 2 2" xfId="36727" xr:uid="{00000000-0005-0000-0000-00009C040000}"/>
    <cellStyle name="Comma 5 2 2 3 5 4 3" xfId="21176" xr:uid="{00000000-0005-0000-0000-00009D040000}"/>
    <cellStyle name="Comma 5 2 2 3 5 4 3 2" xfId="46729" xr:uid="{00000000-0005-0000-0000-00009E040000}"/>
    <cellStyle name="Comma 5 2 2 3 5 4 4" xfId="27659" xr:uid="{00000000-0005-0000-0000-00009F040000}"/>
    <cellStyle name="Comma 5 2 2 3 5 5" xfId="6748" xr:uid="{00000000-0005-0000-0000-0000A0040000}"/>
    <cellStyle name="Comma 5 2 2 3 5 5 2" xfId="15575" xr:uid="{00000000-0005-0000-0000-0000A1040000}"/>
    <cellStyle name="Comma 5 2 2 3 5 5 2 2" xfId="41130" xr:uid="{00000000-0005-0000-0000-0000A2040000}"/>
    <cellStyle name="Comma 5 2 2 3 5 5 3" xfId="25826" xr:uid="{00000000-0005-0000-0000-0000A3040000}"/>
    <cellStyle name="Comma 5 2 2 3 5 5 3 2" xfId="51379" xr:uid="{00000000-0005-0000-0000-0000A4040000}"/>
    <cellStyle name="Comma 5 2 2 3 5 5 4" xfId="32309" xr:uid="{00000000-0005-0000-0000-0000A5040000}"/>
    <cellStyle name="Comma 5 2 2 3 5 6" xfId="8194" xr:uid="{00000000-0005-0000-0000-0000A6040000}"/>
    <cellStyle name="Comma 5 2 2 3 5 6 2" xfId="20584" xr:uid="{00000000-0005-0000-0000-0000A7040000}"/>
    <cellStyle name="Comma 5 2 2 3 5 6 2 2" xfId="46137" xr:uid="{00000000-0005-0000-0000-0000A8040000}"/>
    <cellStyle name="Comma 5 2 2 3 5 6 3" xfId="33751" xr:uid="{00000000-0005-0000-0000-0000A9040000}"/>
    <cellStyle name="Comma 5 2 2 3 5 7" xfId="16169" xr:uid="{00000000-0005-0000-0000-0000AA040000}"/>
    <cellStyle name="Comma 5 2 2 3 5 7 2" xfId="41722" xr:uid="{00000000-0005-0000-0000-0000AB040000}"/>
    <cellStyle name="Comma 5 2 2 3 5 8" xfId="27067" xr:uid="{00000000-0005-0000-0000-0000AC040000}"/>
    <cellStyle name="Comma 5 2 2 3 6" xfId="2698" xr:uid="{00000000-0005-0000-0000-0000AD040000}"/>
    <cellStyle name="Comma 5 2 2 3 6 2" xfId="12015" xr:uid="{00000000-0005-0000-0000-0000AE040000}"/>
    <cellStyle name="Comma 5 2 2 3 6 2 2" xfId="22059" xr:uid="{00000000-0005-0000-0000-0000AF040000}"/>
    <cellStyle name="Comma 5 2 2 3 6 2 2 2" xfId="47612" xr:uid="{00000000-0005-0000-0000-0000B0040000}"/>
    <cellStyle name="Comma 5 2 2 3 6 2 3" xfId="37570" xr:uid="{00000000-0005-0000-0000-0000B1040000}"/>
    <cellStyle name="Comma 5 2 2 3 6 3" xfId="8554" xr:uid="{00000000-0005-0000-0000-0000B2040000}"/>
    <cellStyle name="Comma 5 2 2 3 6 3 2" xfId="34111" xr:uid="{00000000-0005-0000-0000-0000B3040000}"/>
    <cellStyle name="Comma 5 2 2 3 6 4" xfId="17052" xr:uid="{00000000-0005-0000-0000-0000B4040000}"/>
    <cellStyle name="Comma 5 2 2 3 6 4 2" xfId="42605" xr:uid="{00000000-0005-0000-0000-0000B5040000}"/>
    <cellStyle name="Comma 5 2 2 3 6 5" xfId="28542" xr:uid="{00000000-0005-0000-0000-0000B6040000}"/>
    <cellStyle name="Comma 5 2 2 3 7" xfId="4249" xr:uid="{00000000-0005-0000-0000-0000B7040000}"/>
    <cellStyle name="Comma 5 2 2 3 7 2" xfId="13087" xr:uid="{00000000-0005-0000-0000-0000B8040000}"/>
    <cellStyle name="Comma 5 2 2 3 7 2 2" xfId="23338" xr:uid="{00000000-0005-0000-0000-0000B9040000}"/>
    <cellStyle name="Comma 5 2 2 3 7 2 2 2" xfId="48891" xr:uid="{00000000-0005-0000-0000-0000BA040000}"/>
    <cellStyle name="Comma 5 2 2 3 7 2 3" xfId="38642" xr:uid="{00000000-0005-0000-0000-0000BB040000}"/>
    <cellStyle name="Comma 5 2 2 3 7 3" xfId="9508" xr:uid="{00000000-0005-0000-0000-0000BC040000}"/>
    <cellStyle name="Comma 5 2 2 3 7 3 2" xfId="35065" xr:uid="{00000000-0005-0000-0000-0000BD040000}"/>
    <cellStyle name="Comma 5 2 2 3 7 4" xfId="18331" xr:uid="{00000000-0005-0000-0000-0000BE040000}"/>
    <cellStyle name="Comma 5 2 2 3 7 4 2" xfId="43884" xr:uid="{00000000-0005-0000-0000-0000BF040000}"/>
    <cellStyle name="Comma 5 2 2 3 7 5" xfId="29821" xr:uid="{00000000-0005-0000-0000-0000C0040000}"/>
    <cellStyle name="Comma 5 2 2 3 8" xfId="1521" xr:uid="{00000000-0005-0000-0000-0000C1040000}"/>
    <cellStyle name="Comma 5 2 2 3 8 2" xfId="10898" xr:uid="{00000000-0005-0000-0000-0000C2040000}"/>
    <cellStyle name="Comma 5 2 2 3 8 2 2" xfId="36453" xr:uid="{00000000-0005-0000-0000-0000C3040000}"/>
    <cellStyle name="Comma 5 2 2 3 8 3" xfId="20902" xr:uid="{00000000-0005-0000-0000-0000C4040000}"/>
    <cellStyle name="Comma 5 2 2 3 8 3 2" xfId="46455" xr:uid="{00000000-0005-0000-0000-0000C5040000}"/>
    <cellStyle name="Comma 5 2 2 3 8 4" xfId="27385" xr:uid="{00000000-0005-0000-0000-0000C6040000}"/>
    <cellStyle name="Comma 5 2 2 3 9" xfId="5705" xr:uid="{00000000-0005-0000-0000-0000C7040000}"/>
    <cellStyle name="Comma 5 2 2 3 9 2" xfId="14532" xr:uid="{00000000-0005-0000-0000-0000C8040000}"/>
    <cellStyle name="Comma 5 2 2 3 9 2 2" xfId="40087" xr:uid="{00000000-0005-0000-0000-0000C9040000}"/>
    <cellStyle name="Comma 5 2 2 3 9 3" xfId="24783" xr:uid="{00000000-0005-0000-0000-0000CA040000}"/>
    <cellStyle name="Comma 5 2 2 3 9 3 2" xfId="50336" xr:uid="{00000000-0005-0000-0000-0000CB040000}"/>
    <cellStyle name="Comma 5 2 2 3 9 4" xfId="31266" xr:uid="{00000000-0005-0000-0000-0000CC040000}"/>
    <cellStyle name="Comma 5 2 2 4" xfId="238" xr:uid="{00000000-0005-0000-0000-0000CD040000}"/>
    <cellStyle name="Comma 5 2 2 4 10" xfId="7076" xr:uid="{00000000-0005-0000-0000-0000CE040000}"/>
    <cellStyle name="Comma 5 2 2 4 10 2" xfId="19690" xr:uid="{00000000-0005-0000-0000-0000CF040000}"/>
    <cellStyle name="Comma 5 2 2 4 10 2 2" xfId="45243" xr:uid="{00000000-0005-0000-0000-0000D0040000}"/>
    <cellStyle name="Comma 5 2 2 4 10 3" xfId="32633" xr:uid="{00000000-0005-0000-0000-0000D1040000}"/>
    <cellStyle name="Comma 5 2 2 4 11" xfId="15822" xr:uid="{00000000-0005-0000-0000-0000D2040000}"/>
    <cellStyle name="Comma 5 2 2 4 11 2" xfId="41375" xr:uid="{00000000-0005-0000-0000-0000D3040000}"/>
    <cellStyle name="Comma 5 2 2 4 12" xfId="26173" xr:uid="{00000000-0005-0000-0000-0000D4040000}"/>
    <cellStyle name="Comma 5 2 2 4 2" xfId="561" xr:uid="{00000000-0005-0000-0000-0000D5040000}"/>
    <cellStyle name="Comma 5 2 2 4 2 10" xfId="26490" xr:uid="{00000000-0005-0000-0000-0000D6040000}"/>
    <cellStyle name="Comma 5 2 2 4 2 2" xfId="627" xr:uid="{00000000-0005-0000-0000-0000D7040000}"/>
    <cellStyle name="Comma 5 2 2 4 2 2 2" xfId="3113" xr:uid="{00000000-0005-0000-0000-0000D8040000}"/>
    <cellStyle name="Comma 5 2 2 4 2 2 2 2" xfId="12256" xr:uid="{00000000-0005-0000-0000-0000D9040000}"/>
    <cellStyle name="Comma 5 2 2 4 2 2 2 2 2" xfId="22474" xr:uid="{00000000-0005-0000-0000-0000DA040000}"/>
    <cellStyle name="Comma 5 2 2 4 2 2 2 2 2 2" xfId="48027" xr:uid="{00000000-0005-0000-0000-0000DB040000}"/>
    <cellStyle name="Comma 5 2 2 4 2 2 2 2 3" xfId="37811" xr:uid="{00000000-0005-0000-0000-0000DC040000}"/>
    <cellStyle name="Comma 5 2 2 4 2 2 2 3" xfId="8678" xr:uid="{00000000-0005-0000-0000-0000DD040000}"/>
    <cellStyle name="Comma 5 2 2 4 2 2 2 3 2" xfId="34235" xr:uid="{00000000-0005-0000-0000-0000DE040000}"/>
    <cellStyle name="Comma 5 2 2 4 2 2 2 4" xfId="17467" xr:uid="{00000000-0005-0000-0000-0000DF040000}"/>
    <cellStyle name="Comma 5 2 2 4 2 2 2 4 2" xfId="43020" xr:uid="{00000000-0005-0000-0000-0000E0040000}"/>
    <cellStyle name="Comma 5 2 2 4 2 2 2 5" xfId="28957" xr:uid="{00000000-0005-0000-0000-0000E1040000}"/>
    <cellStyle name="Comma 5 2 2 4 2 2 3" xfId="4442" xr:uid="{00000000-0005-0000-0000-0000E2040000}"/>
    <cellStyle name="Comma 5 2 2 4 2 2 3 2" xfId="13280" xr:uid="{00000000-0005-0000-0000-0000E3040000}"/>
    <cellStyle name="Comma 5 2 2 4 2 2 3 2 2" xfId="23531" xr:uid="{00000000-0005-0000-0000-0000E4040000}"/>
    <cellStyle name="Comma 5 2 2 4 2 2 3 2 2 2" xfId="49084" xr:uid="{00000000-0005-0000-0000-0000E5040000}"/>
    <cellStyle name="Comma 5 2 2 4 2 2 3 2 3" xfId="38835" xr:uid="{00000000-0005-0000-0000-0000E6040000}"/>
    <cellStyle name="Comma 5 2 2 4 2 2 3 3" xfId="9701" xr:uid="{00000000-0005-0000-0000-0000E7040000}"/>
    <cellStyle name="Comma 5 2 2 4 2 2 3 3 2" xfId="35258" xr:uid="{00000000-0005-0000-0000-0000E8040000}"/>
    <cellStyle name="Comma 5 2 2 4 2 2 3 4" xfId="18524" xr:uid="{00000000-0005-0000-0000-0000E9040000}"/>
    <cellStyle name="Comma 5 2 2 4 2 2 3 4 2" xfId="44077" xr:uid="{00000000-0005-0000-0000-0000EA040000}"/>
    <cellStyle name="Comma 5 2 2 4 2 2 3 5" xfId="30014" xr:uid="{00000000-0005-0000-0000-0000EB040000}"/>
    <cellStyle name="Comma 5 2 2 4 2 2 4" xfId="2222" xr:uid="{00000000-0005-0000-0000-0000EC040000}"/>
    <cellStyle name="Comma 5 2 2 4 2 2 4 2" xfId="11587" xr:uid="{00000000-0005-0000-0000-0000ED040000}"/>
    <cellStyle name="Comma 5 2 2 4 2 2 4 2 2" xfId="37142" xr:uid="{00000000-0005-0000-0000-0000EE040000}"/>
    <cellStyle name="Comma 5 2 2 4 2 2 4 3" xfId="21591" xr:uid="{00000000-0005-0000-0000-0000EF040000}"/>
    <cellStyle name="Comma 5 2 2 4 2 2 4 3 2" xfId="47144" xr:uid="{00000000-0005-0000-0000-0000F0040000}"/>
    <cellStyle name="Comma 5 2 2 4 2 2 4 4" xfId="28074" xr:uid="{00000000-0005-0000-0000-0000F1040000}"/>
    <cellStyle name="Comma 5 2 2 4 2 2 5" xfId="5898" xr:uid="{00000000-0005-0000-0000-0000F2040000}"/>
    <cellStyle name="Comma 5 2 2 4 2 2 5 2" xfId="14725" xr:uid="{00000000-0005-0000-0000-0000F3040000}"/>
    <cellStyle name="Comma 5 2 2 4 2 2 5 2 2" xfId="40280" xr:uid="{00000000-0005-0000-0000-0000F4040000}"/>
    <cellStyle name="Comma 5 2 2 4 2 2 5 3" xfId="24976" xr:uid="{00000000-0005-0000-0000-0000F5040000}"/>
    <cellStyle name="Comma 5 2 2 4 2 2 5 3 2" xfId="50529" xr:uid="{00000000-0005-0000-0000-0000F6040000}"/>
    <cellStyle name="Comma 5 2 2 4 2 2 5 4" xfId="31459" xr:uid="{00000000-0005-0000-0000-0000F7040000}"/>
    <cellStyle name="Comma 5 2 2 4 2 2 6" xfId="7342" xr:uid="{00000000-0005-0000-0000-0000F8040000}"/>
    <cellStyle name="Comma 5 2 2 4 2 2 6 2" xfId="20073" xr:uid="{00000000-0005-0000-0000-0000F9040000}"/>
    <cellStyle name="Comma 5 2 2 4 2 2 6 2 2" xfId="45626" xr:uid="{00000000-0005-0000-0000-0000FA040000}"/>
    <cellStyle name="Comma 5 2 2 4 2 2 6 3" xfId="32899" xr:uid="{00000000-0005-0000-0000-0000FB040000}"/>
    <cellStyle name="Comma 5 2 2 4 2 2 7" xfId="16584" xr:uid="{00000000-0005-0000-0000-0000FC040000}"/>
    <cellStyle name="Comma 5 2 2 4 2 2 7 2" xfId="42137" xr:uid="{00000000-0005-0000-0000-0000FD040000}"/>
    <cellStyle name="Comma 5 2 2 4 2 2 8" xfId="26556" xr:uid="{00000000-0005-0000-0000-0000FE040000}"/>
    <cellStyle name="Comma 5 2 2 4 2 3" xfId="1333" xr:uid="{00000000-0005-0000-0000-0000FF040000}"/>
    <cellStyle name="Comma 5 2 2 4 2 3 2" xfId="3762" xr:uid="{00000000-0005-0000-0000-000000050000}"/>
    <cellStyle name="Comma 5 2 2 4 2 3 2 2" xfId="12898" xr:uid="{00000000-0005-0000-0000-000001050000}"/>
    <cellStyle name="Comma 5 2 2 4 2 3 2 2 2" xfId="23117" xr:uid="{00000000-0005-0000-0000-000002050000}"/>
    <cellStyle name="Comma 5 2 2 4 2 3 2 2 2 2" xfId="48670" xr:uid="{00000000-0005-0000-0000-000003050000}"/>
    <cellStyle name="Comma 5 2 2 4 2 3 2 2 3" xfId="38453" xr:uid="{00000000-0005-0000-0000-000004050000}"/>
    <cellStyle name="Comma 5 2 2 4 2 3 2 3" xfId="9319" xr:uid="{00000000-0005-0000-0000-000005050000}"/>
    <cellStyle name="Comma 5 2 2 4 2 3 2 3 2" xfId="34876" xr:uid="{00000000-0005-0000-0000-000006050000}"/>
    <cellStyle name="Comma 5 2 2 4 2 3 2 4" xfId="18110" xr:uid="{00000000-0005-0000-0000-000007050000}"/>
    <cellStyle name="Comma 5 2 2 4 2 3 2 4 2" xfId="43663" xr:uid="{00000000-0005-0000-0000-000008050000}"/>
    <cellStyle name="Comma 5 2 2 4 2 3 2 5" xfId="29600" xr:uid="{00000000-0005-0000-0000-000009050000}"/>
    <cellStyle name="Comma 5 2 2 4 2 3 3" xfId="4791" xr:uid="{00000000-0005-0000-0000-00000A050000}"/>
    <cellStyle name="Comma 5 2 2 4 2 3 3 2" xfId="13628" xr:uid="{00000000-0005-0000-0000-00000B050000}"/>
    <cellStyle name="Comma 5 2 2 4 2 3 3 2 2" xfId="23879" xr:uid="{00000000-0005-0000-0000-00000C050000}"/>
    <cellStyle name="Comma 5 2 2 4 2 3 3 2 2 2" xfId="49432" xr:uid="{00000000-0005-0000-0000-00000D050000}"/>
    <cellStyle name="Comma 5 2 2 4 2 3 3 2 3" xfId="39183" xr:uid="{00000000-0005-0000-0000-00000E050000}"/>
    <cellStyle name="Comma 5 2 2 4 2 3 3 3" xfId="10049" xr:uid="{00000000-0005-0000-0000-00000F050000}"/>
    <cellStyle name="Comma 5 2 2 4 2 3 3 3 2" xfId="35606" xr:uid="{00000000-0005-0000-0000-000010050000}"/>
    <cellStyle name="Comma 5 2 2 4 2 3 3 4" xfId="18872" xr:uid="{00000000-0005-0000-0000-000011050000}"/>
    <cellStyle name="Comma 5 2 2 4 2 3 3 4 2" xfId="44425" xr:uid="{00000000-0005-0000-0000-000012050000}"/>
    <cellStyle name="Comma 5 2 2 4 2 3 3 5" xfId="30362" xr:uid="{00000000-0005-0000-0000-000013050000}"/>
    <cellStyle name="Comma 5 2 2 4 2 3 4" xfId="2156" xr:uid="{00000000-0005-0000-0000-000014050000}"/>
    <cellStyle name="Comma 5 2 2 4 2 3 4 2" xfId="11521" xr:uid="{00000000-0005-0000-0000-000015050000}"/>
    <cellStyle name="Comma 5 2 2 4 2 3 4 2 2" xfId="37076" xr:uid="{00000000-0005-0000-0000-000016050000}"/>
    <cellStyle name="Comma 5 2 2 4 2 3 4 3" xfId="21525" xr:uid="{00000000-0005-0000-0000-000017050000}"/>
    <cellStyle name="Comma 5 2 2 4 2 3 4 3 2" xfId="47078" xr:uid="{00000000-0005-0000-0000-000018050000}"/>
    <cellStyle name="Comma 5 2 2 4 2 3 4 4" xfId="28008" xr:uid="{00000000-0005-0000-0000-000019050000}"/>
    <cellStyle name="Comma 5 2 2 4 2 3 5" xfId="6246" xr:uid="{00000000-0005-0000-0000-00001A050000}"/>
    <cellStyle name="Comma 5 2 2 4 2 3 5 2" xfId="15073" xr:uid="{00000000-0005-0000-0000-00001B050000}"/>
    <cellStyle name="Comma 5 2 2 4 2 3 5 2 2" xfId="40628" xr:uid="{00000000-0005-0000-0000-00001C050000}"/>
    <cellStyle name="Comma 5 2 2 4 2 3 5 3" xfId="25324" xr:uid="{00000000-0005-0000-0000-00001D050000}"/>
    <cellStyle name="Comma 5 2 2 4 2 3 5 3 2" xfId="50877" xr:uid="{00000000-0005-0000-0000-00001E050000}"/>
    <cellStyle name="Comma 5 2 2 4 2 3 5 4" xfId="31807" xr:uid="{00000000-0005-0000-0000-00001F050000}"/>
    <cellStyle name="Comma 5 2 2 4 2 3 6" xfId="7692" xr:uid="{00000000-0005-0000-0000-000020050000}"/>
    <cellStyle name="Comma 5 2 2 4 2 3 6 2" xfId="20716" xr:uid="{00000000-0005-0000-0000-000021050000}"/>
    <cellStyle name="Comma 5 2 2 4 2 3 6 2 2" xfId="46269" xr:uid="{00000000-0005-0000-0000-000022050000}"/>
    <cellStyle name="Comma 5 2 2 4 2 3 6 3" xfId="33249" xr:uid="{00000000-0005-0000-0000-000023050000}"/>
    <cellStyle name="Comma 5 2 2 4 2 3 7" xfId="16518" xr:uid="{00000000-0005-0000-0000-000024050000}"/>
    <cellStyle name="Comma 5 2 2 4 2 3 7 2" xfId="42071" xr:uid="{00000000-0005-0000-0000-000025050000}"/>
    <cellStyle name="Comma 5 2 2 4 2 3 8" xfId="27199" xr:uid="{00000000-0005-0000-0000-000026050000}"/>
    <cellStyle name="Comma 5 2 2 4 2 4" xfId="3047" xr:uid="{00000000-0005-0000-0000-000027050000}"/>
    <cellStyle name="Comma 5 2 2 4 2 4 2" xfId="5425" xr:uid="{00000000-0005-0000-0000-000028050000}"/>
    <cellStyle name="Comma 5 2 2 4 2 4 2 2" xfId="14262" xr:uid="{00000000-0005-0000-0000-000029050000}"/>
    <cellStyle name="Comma 5 2 2 4 2 4 2 2 2" xfId="24513" xr:uid="{00000000-0005-0000-0000-00002A050000}"/>
    <cellStyle name="Comma 5 2 2 4 2 4 2 2 2 2" xfId="50066" xr:uid="{00000000-0005-0000-0000-00002B050000}"/>
    <cellStyle name="Comma 5 2 2 4 2 4 2 2 3" xfId="39817" xr:uid="{00000000-0005-0000-0000-00002C050000}"/>
    <cellStyle name="Comma 5 2 2 4 2 4 2 3" xfId="10683" xr:uid="{00000000-0005-0000-0000-00002D050000}"/>
    <cellStyle name="Comma 5 2 2 4 2 4 2 3 2" xfId="36240" xr:uid="{00000000-0005-0000-0000-00002E050000}"/>
    <cellStyle name="Comma 5 2 2 4 2 4 2 4" xfId="19506" xr:uid="{00000000-0005-0000-0000-00002F050000}"/>
    <cellStyle name="Comma 5 2 2 4 2 4 2 4 2" xfId="45059" xr:uid="{00000000-0005-0000-0000-000030050000}"/>
    <cellStyle name="Comma 5 2 2 4 2 4 2 5" xfId="30996" xr:uid="{00000000-0005-0000-0000-000031050000}"/>
    <cellStyle name="Comma 5 2 2 4 2 4 3" xfId="6880" xr:uid="{00000000-0005-0000-0000-000032050000}"/>
    <cellStyle name="Comma 5 2 2 4 2 4 3 2" xfId="15707" xr:uid="{00000000-0005-0000-0000-000033050000}"/>
    <cellStyle name="Comma 5 2 2 4 2 4 3 2 2" xfId="41262" xr:uid="{00000000-0005-0000-0000-000034050000}"/>
    <cellStyle name="Comma 5 2 2 4 2 4 3 3" xfId="25958" xr:uid="{00000000-0005-0000-0000-000035050000}"/>
    <cellStyle name="Comma 5 2 2 4 2 4 3 3 2" xfId="51511" xr:uid="{00000000-0005-0000-0000-000036050000}"/>
    <cellStyle name="Comma 5 2 2 4 2 4 3 4" xfId="32441" xr:uid="{00000000-0005-0000-0000-000037050000}"/>
    <cellStyle name="Comma 5 2 2 4 2 4 4" xfId="8326" xr:uid="{00000000-0005-0000-0000-000038050000}"/>
    <cellStyle name="Comma 5 2 2 4 2 4 4 2" xfId="22408" xr:uid="{00000000-0005-0000-0000-000039050000}"/>
    <cellStyle name="Comma 5 2 2 4 2 4 4 2 2" xfId="47961" xr:uid="{00000000-0005-0000-0000-00003A050000}"/>
    <cellStyle name="Comma 5 2 2 4 2 4 4 3" xfId="33883" xr:uid="{00000000-0005-0000-0000-00003B050000}"/>
    <cellStyle name="Comma 5 2 2 4 2 4 5" xfId="17401" xr:uid="{00000000-0005-0000-0000-00003C050000}"/>
    <cellStyle name="Comma 5 2 2 4 2 4 5 2" xfId="42954" xr:uid="{00000000-0005-0000-0000-00003D050000}"/>
    <cellStyle name="Comma 5 2 2 4 2 4 6" xfId="28891" xr:uid="{00000000-0005-0000-0000-00003E050000}"/>
    <cellStyle name="Comma 5 2 2 4 2 5" xfId="4381" xr:uid="{00000000-0005-0000-0000-00003F050000}"/>
    <cellStyle name="Comma 5 2 2 4 2 5 2" xfId="13219" xr:uid="{00000000-0005-0000-0000-000040050000}"/>
    <cellStyle name="Comma 5 2 2 4 2 5 2 2" xfId="23470" xr:uid="{00000000-0005-0000-0000-000041050000}"/>
    <cellStyle name="Comma 5 2 2 4 2 5 2 2 2" xfId="49023" xr:uid="{00000000-0005-0000-0000-000042050000}"/>
    <cellStyle name="Comma 5 2 2 4 2 5 2 3" xfId="38774" xr:uid="{00000000-0005-0000-0000-000043050000}"/>
    <cellStyle name="Comma 5 2 2 4 2 5 3" xfId="9640" xr:uid="{00000000-0005-0000-0000-000044050000}"/>
    <cellStyle name="Comma 5 2 2 4 2 5 3 2" xfId="35197" xr:uid="{00000000-0005-0000-0000-000045050000}"/>
    <cellStyle name="Comma 5 2 2 4 2 5 4" xfId="18463" xr:uid="{00000000-0005-0000-0000-000046050000}"/>
    <cellStyle name="Comma 5 2 2 4 2 5 4 2" xfId="44016" xr:uid="{00000000-0005-0000-0000-000047050000}"/>
    <cellStyle name="Comma 5 2 2 4 2 5 5" xfId="29953" xr:uid="{00000000-0005-0000-0000-000048050000}"/>
    <cellStyle name="Comma 5 2 2 4 2 6" xfId="1653" xr:uid="{00000000-0005-0000-0000-000049050000}"/>
    <cellStyle name="Comma 5 2 2 4 2 6 2" xfId="11030" xr:uid="{00000000-0005-0000-0000-00004A050000}"/>
    <cellStyle name="Comma 5 2 2 4 2 6 2 2" xfId="36585" xr:uid="{00000000-0005-0000-0000-00004B050000}"/>
    <cellStyle name="Comma 5 2 2 4 2 6 3" xfId="21034" xr:uid="{00000000-0005-0000-0000-00004C050000}"/>
    <cellStyle name="Comma 5 2 2 4 2 6 3 2" xfId="46587" xr:uid="{00000000-0005-0000-0000-00004D050000}"/>
    <cellStyle name="Comma 5 2 2 4 2 6 4" xfId="27517" xr:uid="{00000000-0005-0000-0000-00004E050000}"/>
    <cellStyle name="Comma 5 2 2 4 2 7" xfId="5837" xr:uid="{00000000-0005-0000-0000-00004F050000}"/>
    <cellStyle name="Comma 5 2 2 4 2 7 2" xfId="14664" xr:uid="{00000000-0005-0000-0000-000050050000}"/>
    <cellStyle name="Comma 5 2 2 4 2 7 2 2" xfId="40219" xr:uid="{00000000-0005-0000-0000-000051050000}"/>
    <cellStyle name="Comma 5 2 2 4 2 7 3" xfId="24915" xr:uid="{00000000-0005-0000-0000-000052050000}"/>
    <cellStyle name="Comma 5 2 2 4 2 7 3 2" xfId="50468" xr:uid="{00000000-0005-0000-0000-000053050000}"/>
    <cellStyle name="Comma 5 2 2 4 2 7 4" xfId="31398" xr:uid="{00000000-0005-0000-0000-000054050000}"/>
    <cellStyle name="Comma 5 2 2 4 2 8" xfId="7281" xr:uid="{00000000-0005-0000-0000-000055050000}"/>
    <cellStyle name="Comma 5 2 2 4 2 8 2" xfId="20007" xr:uid="{00000000-0005-0000-0000-000056050000}"/>
    <cellStyle name="Comma 5 2 2 4 2 8 2 2" xfId="45560" xr:uid="{00000000-0005-0000-0000-000057050000}"/>
    <cellStyle name="Comma 5 2 2 4 2 8 3" xfId="32838" xr:uid="{00000000-0005-0000-0000-000058050000}"/>
    <cellStyle name="Comma 5 2 2 4 2 9" xfId="16027" xr:uid="{00000000-0005-0000-0000-000059050000}"/>
    <cellStyle name="Comma 5 2 2 4 2 9 2" xfId="41580" xr:uid="{00000000-0005-0000-0000-00005A050000}"/>
    <cellStyle name="Comma 5 2 2 4 3" xfId="356" xr:uid="{00000000-0005-0000-0000-00005B050000}"/>
    <cellStyle name="Comma 5 2 2 4 3 2" xfId="2842" xr:uid="{00000000-0005-0000-0000-00005C050000}"/>
    <cellStyle name="Comma 5 2 2 4 3 2 2" xfId="12130" xr:uid="{00000000-0005-0000-0000-00005D050000}"/>
    <cellStyle name="Comma 5 2 2 4 3 2 2 2" xfId="22203" xr:uid="{00000000-0005-0000-0000-00005E050000}"/>
    <cellStyle name="Comma 5 2 2 4 3 2 2 2 2" xfId="47756" xr:uid="{00000000-0005-0000-0000-00005F050000}"/>
    <cellStyle name="Comma 5 2 2 4 3 2 2 3" xfId="37685" xr:uid="{00000000-0005-0000-0000-000060050000}"/>
    <cellStyle name="Comma 5 2 2 4 3 2 3" xfId="8440" xr:uid="{00000000-0005-0000-0000-000061050000}"/>
    <cellStyle name="Comma 5 2 2 4 3 2 3 2" xfId="33997" xr:uid="{00000000-0005-0000-0000-000062050000}"/>
    <cellStyle name="Comma 5 2 2 4 3 2 4" xfId="17196" xr:uid="{00000000-0005-0000-0000-000063050000}"/>
    <cellStyle name="Comma 5 2 2 4 3 2 4 2" xfId="42749" xr:uid="{00000000-0005-0000-0000-000064050000}"/>
    <cellStyle name="Comma 5 2 2 4 3 2 5" xfId="28686" xr:uid="{00000000-0005-0000-0000-000065050000}"/>
    <cellStyle name="Comma 5 2 2 4 3 3" xfId="4441" xr:uid="{00000000-0005-0000-0000-000066050000}"/>
    <cellStyle name="Comma 5 2 2 4 3 3 2" xfId="13279" xr:uid="{00000000-0005-0000-0000-000067050000}"/>
    <cellStyle name="Comma 5 2 2 4 3 3 2 2" xfId="23530" xr:uid="{00000000-0005-0000-0000-000068050000}"/>
    <cellStyle name="Comma 5 2 2 4 3 3 2 2 2" xfId="49083" xr:uid="{00000000-0005-0000-0000-000069050000}"/>
    <cellStyle name="Comma 5 2 2 4 3 3 2 3" xfId="38834" xr:uid="{00000000-0005-0000-0000-00006A050000}"/>
    <cellStyle name="Comma 5 2 2 4 3 3 3" xfId="9700" xr:uid="{00000000-0005-0000-0000-00006B050000}"/>
    <cellStyle name="Comma 5 2 2 4 3 3 3 2" xfId="35257" xr:uid="{00000000-0005-0000-0000-00006C050000}"/>
    <cellStyle name="Comma 5 2 2 4 3 3 4" xfId="18523" xr:uid="{00000000-0005-0000-0000-00006D050000}"/>
    <cellStyle name="Comma 5 2 2 4 3 3 4 2" xfId="44076" xr:uid="{00000000-0005-0000-0000-00006E050000}"/>
    <cellStyle name="Comma 5 2 2 4 3 3 5" xfId="30013" xr:uid="{00000000-0005-0000-0000-00006F050000}"/>
    <cellStyle name="Comma 5 2 2 4 3 4" xfId="1951" xr:uid="{00000000-0005-0000-0000-000070050000}"/>
    <cellStyle name="Comma 5 2 2 4 3 4 2" xfId="11316" xr:uid="{00000000-0005-0000-0000-000071050000}"/>
    <cellStyle name="Comma 5 2 2 4 3 4 2 2" xfId="36871" xr:uid="{00000000-0005-0000-0000-000072050000}"/>
    <cellStyle name="Comma 5 2 2 4 3 4 3" xfId="21320" xr:uid="{00000000-0005-0000-0000-000073050000}"/>
    <cellStyle name="Comma 5 2 2 4 3 4 3 2" xfId="46873" xr:uid="{00000000-0005-0000-0000-000074050000}"/>
    <cellStyle name="Comma 5 2 2 4 3 4 4" xfId="27803" xr:uid="{00000000-0005-0000-0000-000075050000}"/>
    <cellStyle name="Comma 5 2 2 4 3 5" xfId="5897" xr:uid="{00000000-0005-0000-0000-000076050000}"/>
    <cellStyle name="Comma 5 2 2 4 3 5 2" xfId="14724" xr:uid="{00000000-0005-0000-0000-000077050000}"/>
    <cellStyle name="Comma 5 2 2 4 3 5 2 2" xfId="40279" xr:uid="{00000000-0005-0000-0000-000078050000}"/>
    <cellStyle name="Comma 5 2 2 4 3 5 3" xfId="24975" xr:uid="{00000000-0005-0000-0000-000079050000}"/>
    <cellStyle name="Comma 5 2 2 4 3 5 3 2" xfId="50528" xr:uid="{00000000-0005-0000-0000-00007A050000}"/>
    <cellStyle name="Comma 5 2 2 4 3 5 4" xfId="31458" xr:uid="{00000000-0005-0000-0000-00007B050000}"/>
    <cellStyle name="Comma 5 2 2 4 3 6" xfId="7341" xr:uid="{00000000-0005-0000-0000-00007C050000}"/>
    <cellStyle name="Comma 5 2 2 4 3 6 2" xfId="19802" xr:uid="{00000000-0005-0000-0000-00007D050000}"/>
    <cellStyle name="Comma 5 2 2 4 3 6 2 2" xfId="45355" xr:uid="{00000000-0005-0000-0000-00007E050000}"/>
    <cellStyle name="Comma 5 2 2 4 3 6 3" xfId="32898" xr:uid="{00000000-0005-0000-0000-00007F050000}"/>
    <cellStyle name="Comma 5 2 2 4 3 7" xfId="16313" xr:uid="{00000000-0005-0000-0000-000080050000}"/>
    <cellStyle name="Comma 5 2 2 4 3 7 2" xfId="41866" xr:uid="{00000000-0005-0000-0000-000081050000}"/>
    <cellStyle name="Comma 5 2 2 4 3 8" xfId="26285" xr:uid="{00000000-0005-0000-0000-000082050000}"/>
    <cellStyle name="Comma 5 2 2 4 4" xfId="626" xr:uid="{00000000-0005-0000-0000-000083050000}"/>
    <cellStyle name="Comma 5 2 2 4 4 2" xfId="3112" xr:uid="{00000000-0005-0000-0000-000084050000}"/>
    <cellStyle name="Comma 5 2 2 4 4 2 2" xfId="12255" xr:uid="{00000000-0005-0000-0000-000085050000}"/>
    <cellStyle name="Comma 5 2 2 4 4 2 2 2" xfId="22473" xr:uid="{00000000-0005-0000-0000-000086050000}"/>
    <cellStyle name="Comma 5 2 2 4 4 2 2 2 2" xfId="48026" xr:uid="{00000000-0005-0000-0000-000087050000}"/>
    <cellStyle name="Comma 5 2 2 4 4 2 2 3" xfId="37810" xr:uid="{00000000-0005-0000-0000-000088050000}"/>
    <cellStyle name="Comma 5 2 2 4 4 2 3" xfId="8677" xr:uid="{00000000-0005-0000-0000-000089050000}"/>
    <cellStyle name="Comma 5 2 2 4 4 2 3 2" xfId="34234" xr:uid="{00000000-0005-0000-0000-00008A050000}"/>
    <cellStyle name="Comma 5 2 2 4 4 2 4" xfId="17466" xr:uid="{00000000-0005-0000-0000-00008B050000}"/>
    <cellStyle name="Comma 5 2 2 4 4 2 4 2" xfId="43019" xr:uid="{00000000-0005-0000-0000-00008C050000}"/>
    <cellStyle name="Comma 5 2 2 4 4 2 5" xfId="28956" xr:uid="{00000000-0005-0000-0000-00008D050000}"/>
    <cellStyle name="Comma 5 2 2 4 4 3" xfId="4790" xr:uid="{00000000-0005-0000-0000-00008E050000}"/>
    <cellStyle name="Comma 5 2 2 4 4 3 2" xfId="13627" xr:uid="{00000000-0005-0000-0000-00008F050000}"/>
    <cellStyle name="Comma 5 2 2 4 4 3 2 2" xfId="23878" xr:uid="{00000000-0005-0000-0000-000090050000}"/>
    <cellStyle name="Comma 5 2 2 4 4 3 2 2 2" xfId="49431" xr:uid="{00000000-0005-0000-0000-000091050000}"/>
    <cellStyle name="Comma 5 2 2 4 4 3 2 3" xfId="39182" xr:uid="{00000000-0005-0000-0000-000092050000}"/>
    <cellStyle name="Comma 5 2 2 4 4 3 3" xfId="10048" xr:uid="{00000000-0005-0000-0000-000093050000}"/>
    <cellStyle name="Comma 5 2 2 4 4 3 3 2" xfId="35605" xr:uid="{00000000-0005-0000-0000-000094050000}"/>
    <cellStyle name="Comma 5 2 2 4 4 3 4" xfId="18871" xr:uid="{00000000-0005-0000-0000-000095050000}"/>
    <cellStyle name="Comma 5 2 2 4 4 3 4 2" xfId="44424" xr:uid="{00000000-0005-0000-0000-000096050000}"/>
    <cellStyle name="Comma 5 2 2 4 4 3 5" xfId="30361" xr:uid="{00000000-0005-0000-0000-000097050000}"/>
    <cellStyle name="Comma 5 2 2 4 4 4" xfId="2221" xr:uid="{00000000-0005-0000-0000-000098050000}"/>
    <cellStyle name="Comma 5 2 2 4 4 4 2" xfId="11586" xr:uid="{00000000-0005-0000-0000-000099050000}"/>
    <cellStyle name="Comma 5 2 2 4 4 4 2 2" xfId="37141" xr:uid="{00000000-0005-0000-0000-00009A050000}"/>
    <cellStyle name="Comma 5 2 2 4 4 4 3" xfId="21590" xr:uid="{00000000-0005-0000-0000-00009B050000}"/>
    <cellStyle name="Comma 5 2 2 4 4 4 3 2" xfId="47143" xr:uid="{00000000-0005-0000-0000-00009C050000}"/>
    <cellStyle name="Comma 5 2 2 4 4 4 4" xfId="28073" xr:uid="{00000000-0005-0000-0000-00009D050000}"/>
    <cellStyle name="Comma 5 2 2 4 4 5" xfId="6245" xr:uid="{00000000-0005-0000-0000-00009E050000}"/>
    <cellStyle name="Comma 5 2 2 4 4 5 2" xfId="15072" xr:uid="{00000000-0005-0000-0000-00009F050000}"/>
    <cellStyle name="Comma 5 2 2 4 4 5 2 2" xfId="40627" xr:uid="{00000000-0005-0000-0000-0000A0050000}"/>
    <cellStyle name="Comma 5 2 2 4 4 5 3" xfId="25323" xr:uid="{00000000-0005-0000-0000-0000A1050000}"/>
    <cellStyle name="Comma 5 2 2 4 4 5 3 2" xfId="50876" xr:uid="{00000000-0005-0000-0000-0000A2050000}"/>
    <cellStyle name="Comma 5 2 2 4 4 5 4" xfId="31806" xr:uid="{00000000-0005-0000-0000-0000A3050000}"/>
    <cellStyle name="Comma 5 2 2 4 4 6" xfId="7691" xr:uid="{00000000-0005-0000-0000-0000A4050000}"/>
    <cellStyle name="Comma 5 2 2 4 4 6 2" xfId="20072" xr:uid="{00000000-0005-0000-0000-0000A5050000}"/>
    <cellStyle name="Comma 5 2 2 4 4 6 2 2" xfId="45625" xr:uid="{00000000-0005-0000-0000-0000A6050000}"/>
    <cellStyle name="Comma 5 2 2 4 4 6 3" xfId="33248" xr:uid="{00000000-0005-0000-0000-0000A7050000}"/>
    <cellStyle name="Comma 5 2 2 4 4 7" xfId="16583" xr:uid="{00000000-0005-0000-0000-0000A8050000}"/>
    <cellStyle name="Comma 5 2 2 4 4 7 2" xfId="42136" xr:uid="{00000000-0005-0000-0000-0000A9050000}"/>
    <cellStyle name="Comma 5 2 2 4 4 8" xfId="26555" xr:uid="{00000000-0005-0000-0000-0000AA050000}"/>
    <cellStyle name="Comma 5 2 2 4 5" xfId="1128" xr:uid="{00000000-0005-0000-0000-0000AB050000}"/>
    <cellStyle name="Comma 5 2 2 4 5 2" xfId="3557" xr:uid="{00000000-0005-0000-0000-0000AC050000}"/>
    <cellStyle name="Comma 5 2 2 4 5 2 2" xfId="12693" xr:uid="{00000000-0005-0000-0000-0000AD050000}"/>
    <cellStyle name="Comma 5 2 2 4 5 2 2 2" xfId="22912" xr:uid="{00000000-0005-0000-0000-0000AE050000}"/>
    <cellStyle name="Comma 5 2 2 4 5 2 2 2 2" xfId="48465" xr:uid="{00000000-0005-0000-0000-0000AF050000}"/>
    <cellStyle name="Comma 5 2 2 4 5 2 2 3" xfId="38248" xr:uid="{00000000-0005-0000-0000-0000B0050000}"/>
    <cellStyle name="Comma 5 2 2 4 5 2 3" xfId="9114" xr:uid="{00000000-0005-0000-0000-0000B1050000}"/>
    <cellStyle name="Comma 5 2 2 4 5 2 3 2" xfId="34671" xr:uid="{00000000-0005-0000-0000-0000B2050000}"/>
    <cellStyle name="Comma 5 2 2 4 5 2 4" xfId="17905" xr:uid="{00000000-0005-0000-0000-0000B3050000}"/>
    <cellStyle name="Comma 5 2 2 4 5 2 4 2" xfId="43458" xr:uid="{00000000-0005-0000-0000-0000B4050000}"/>
    <cellStyle name="Comma 5 2 2 4 5 2 5" xfId="29395" xr:uid="{00000000-0005-0000-0000-0000B5050000}"/>
    <cellStyle name="Comma 5 2 2 4 5 3" xfId="5220" xr:uid="{00000000-0005-0000-0000-0000B6050000}"/>
    <cellStyle name="Comma 5 2 2 4 5 3 2" xfId="14057" xr:uid="{00000000-0005-0000-0000-0000B7050000}"/>
    <cellStyle name="Comma 5 2 2 4 5 3 2 2" xfId="24308" xr:uid="{00000000-0005-0000-0000-0000B8050000}"/>
    <cellStyle name="Comma 5 2 2 4 5 3 2 2 2" xfId="49861" xr:uid="{00000000-0005-0000-0000-0000B9050000}"/>
    <cellStyle name="Comma 5 2 2 4 5 3 2 3" xfId="39612" xr:uid="{00000000-0005-0000-0000-0000BA050000}"/>
    <cellStyle name="Comma 5 2 2 4 5 3 3" xfId="10478" xr:uid="{00000000-0005-0000-0000-0000BB050000}"/>
    <cellStyle name="Comma 5 2 2 4 5 3 3 2" xfId="36035" xr:uid="{00000000-0005-0000-0000-0000BC050000}"/>
    <cellStyle name="Comma 5 2 2 4 5 3 4" xfId="19301" xr:uid="{00000000-0005-0000-0000-0000BD050000}"/>
    <cellStyle name="Comma 5 2 2 4 5 3 4 2" xfId="44854" xr:uid="{00000000-0005-0000-0000-0000BE050000}"/>
    <cellStyle name="Comma 5 2 2 4 5 3 5" xfId="30791" xr:uid="{00000000-0005-0000-0000-0000BF050000}"/>
    <cellStyle name="Comma 5 2 2 4 5 4" xfId="1836" xr:uid="{00000000-0005-0000-0000-0000C0050000}"/>
    <cellStyle name="Comma 5 2 2 4 5 4 2" xfId="11204" xr:uid="{00000000-0005-0000-0000-0000C1050000}"/>
    <cellStyle name="Comma 5 2 2 4 5 4 2 2" xfId="36759" xr:uid="{00000000-0005-0000-0000-0000C2050000}"/>
    <cellStyle name="Comma 5 2 2 4 5 4 3" xfId="21208" xr:uid="{00000000-0005-0000-0000-0000C3050000}"/>
    <cellStyle name="Comma 5 2 2 4 5 4 3 2" xfId="46761" xr:uid="{00000000-0005-0000-0000-0000C4050000}"/>
    <cellStyle name="Comma 5 2 2 4 5 4 4" xfId="27691" xr:uid="{00000000-0005-0000-0000-0000C5050000}"/>
    <cellStyle name="Comma 5 2 2 4 5 5" xfId="6675" xr:uid="{00000000-0005-0000-0000-0000C6050000}"/>
    <cellStyle name="Comma 5 2 2 4 5 5 2" xfId="15502" xr:uid="{00000000-0005-0000-0000-0000C7050000}"/>
    <cellStyle name="Comma 5 2 2 4 5 5 2 2" xfId="41057" xr:uid="{00000000-0005-0000-0000-0000C8050000}"/>
    <cellStyle name="Comma 5 2 2 4 5 5 3" xfId="25753" xr:uid="{00000000-0005-0000-0000-0000C9050000}"/>
    <cellStyle name="Comma 5 2 2 4 5 5 3 2" xfId="51306" xr:uid="{00000000-0005-0000-0000-0000CA050000}"/>
    <cellStyle name="Comma 5 2 2 4 5 5 4" xfId="32236" xr:uid="{00000000-0005-0000-0000-0000CB050000}"/>
    <cellStyle name="Comma 5 2 2 4 5 6" xfId="8121" xr:uid="{00000000-0005-0000-0000-0000CC050000}"/>
    <cellStyle name="Comma 5 2 2 4 5 6 2" xfId="20511" xr:uid="{00000000-0005-0000-0000-0000CD050000}"/>
    <cellStyle name="Comma 5 2 2 4 5 6 2 2" xfId="46064" xr:uid="{00000000-0005-0000-0000-0000CE050000}"/>
    <cellStyle name="Comma 5 2 2 4 5 6 3" xfId="33678" xr:uid="{00000000-0005-0000-0000-0000CF050000}"/>
    <cellStyle name="Comma 5 2 2 4 5 7" xfId="16201" xr:uid="{00000000-0005-0000-0000-0000D0050000}"/>
    <cellStyle name="Comma 5 2 2 4 5 7 2" xfId="41754" xr:uid="{00000000-0005-0000-0000-0000D1050000}"/>
    <cellStyle name="Comma 5 2 2 4 5 8" xfId="26994" xr:uid="{00000000-0005-0000-0000-0000D2050000}"/>
    <cellStyle name="Comma 5 2 2 4 6" xfId="2730" xr:uid="{00000000-0005-0000-0000-0000D3050000}"/>
    <cellStyle name="Comma 5 2 2 4 6 2" xfId="12047" xr:uid="{00000000-0005-0000-0000-0000D4050000}"/>
    <cellStyle name="Comma 5 2 2 4 6 2 2" xfId="22091" xr:uid="{00000000-0005-0000-0000-0000D5050000}"/>
    <cellStyle name="Comma 5 2 2 4 6 2 2 2" xfId="47644" xr:uid="{00000000-0005-0000-0000-0000D6050000}"/>
    <cellStyle name="Comma 5 2 2 4 6 2 3" xfId="37602" xr:uid="{00000000-0005-0000-0000-0000D7050000}"/>
    <cellStyle name="Comma 5 2 2 4 6 3" xfId="8547" xr:uid="{00000000-0005-0000-0000-0000D8050000}"/>
    <cellStyle name="Comma 5 2 2 4 6 3 2" xfId="34104" xr:uid="{00000000-0005-0000-0000-0000D9050000}"/>
    <cellStyle name="Comma 5 2 2 4 6 4" xfId="17084" xr:uid="{00000000-0005-0000-0000-0000DA050000}"/>
    <cellStyle name="Comma 5 2 2 4 6 4 2" xfId="42637" xr:uid="{00000000-0005-0000-0000-0000DB050000}"/>
    <cellStyle name="Comma 5 2 2 4 6 5" xfId="28574" xr:uid="{00000000-0005-0000-0000-0000DC050000}"/>
    <cellStyle name="Comma 5 2 2 4 7" xfId="4176" xr:uid="{00000000-0005-0000-0000-0000DD050000}"/>
    <cellStyle name="Comma 5 2 2 4 7 2" xfId="13014" xr:uid="{00000000-0005-0000-0000-0000DE050000}"/>
    <cellStyle name="Comma 5 2 2 4 7 2 2" xfId="23265" xr:uid="{00000000-0005-0000-0000-0000DF050000}"/>
    <cellStyle name="Comma 5 2 2 4 7 2 2 2" xfId="48818" xr:uid="{00000000-0005-0000-0000-0000E0050000}"/>
    <cellStyle name="Comma 5 2 2 4 7 2 3" xfId="38569" xr:uid="{00000000-0005-0000-0000-0000E1050000}"/>
    <cellStyle name="Comma 5 2 2 4 7 3" xfId="9435" xr:uid="{00000000-0005-0000-0000-0000E2050000}"/>
    <cellStyle name="Comma 5 2 2 4 7 3 2" xfId="34992" xr:uid="{00000000-0005-0000-0000-0000E3050000}"/>
    <cellStyle name="Comma 5 2 2 4 7 4" xfId="18258" xr:uid="{00000000-0005-0000-0000-0000E4050000}"/>
    <cellStyle name="Comma 5 2 2 4 7 4 2" xfId="43811" xr:uid="{00000000-0005-0000-0000-0000E5050000}"/>
    <cellStyle name="Comma 5 2 2 4 7 5" xfId="29748" xr:uid="{00000000-0005-0000-0000-0000E6050000}"/>
    <cellStyle name="Comma 5 2 2 4 8" xfId="1448" xr:uid="{00000000-0005-0000-0000-0000E7050000}"/>
    <cellStyle name="Comma 5 2 2 4 8 2" xfId="10825" xr:uid="{00000000-0005-0000-0000-0000E8050000}"/>
    <cellStyle name="Comma 5 2 2 4 8 2 2" xfId="36380" xr:uid="{00000000-0005-0000-0000-0000E9050000}"/>
    <cellStyle name="Comma 5 2 2 4 8 3" xfId="20829" xr:uid="{00000000-0005-0000-0000-0000EA050000}"/>
    <cellStyle name="Comma 5 2 2 4 8 3 2" xfId="46382" xr:uid="{00000000-0005-0000-0000-0000EB050000}"/>
    <cellStyle name="Comma 5 2 2 4 8 4" xfId="27312" xr:uid="{00000000-0005-0000-0000-0000EC050000}"/>
    <cellStyle name="Comma 5 2 2 4 9" xfId="5632" xr:uid="{00000000-0005-0000-0000-0000ED050000}"/>
    <cellStyle name="Comma 5 2 2 4 9 2" xfId="14459" xr:uid="{00000000-0005-0000-0000-0000EE050000}"/>
    <cellStyle name="Comma 5 2 2 4 9 2 2" xfId="40014" xr:uid="{00000000-0005-0000-0000-0000EF050000}"/>
    <cellStyle name="Comma 5 2 2 4 9 3" xfId="24710" xr:uid="{00000000-0005-0000-0000-0000F0050000}"/>
    <cellStyle name="Comma 5 2 2 4 9 3 2" xfId="50263" xr:uid="{00000000-0005-0000-0000-0000F1050000}"/>
    <cellStyle name="Comma 5 2 2 4 9 4" xfId="31193" xr:uid="{00000000-0005-0000-0000-0000F2050000}"/>
    <cellStyle name="Comma 5 2 2 5" xfId="456" xr:uid="{00000000-0005-0000-0000-0000F3050000}"/>
    <cellStyle name="Comma 5 2 2 5 10" xfId="26385" xr:uid="{00000000-0005-0000-0000-0000F4050000}"/>
    <cellStyle name="Comma 5 2 2 5 2" xfId="628" xr:uid="{00000000-0005-0000-0000-0000F5050000}"/>
    <cellStyle name="Comma 5 2 2 5 2 2" xfId="3114" xr:uid="{00000000-0005-0000-0000-0000F6050000}"/>
    <cellStyle name="Comma 5 2 2 5 2 2 2" xfId="12257" xr:uid="{00000000-0005-0000-0000-0000F7050000}"/>
    <cellStyle name="Comma 5 2 2 5 2 2 2 2" xfId="22475" xr:uid="{00000000-0005-0000-0000-0000F8050000}"/>
    <cellStyle name="Comma 5 2 2 5 2 2 2 2 2" xfId="48028" xr:uid="{00000000-0005-0000-0000-0000F9050000}"/>
    <cellStyle name="Comma 5 2 2 5 2 2 2 3" xfId="37812" xr:uid="{00000000-0005-0000-0000-0000FA050000}"/>
    <cellStyle name="Comma 5 2 2 5 2 2 3" xfId="8679" xr:uid="{00000000-0005-0000-0000-0000FB050000}"/>
    <cellStyle name="Comma 5 2 2 5 2 2 3 2" xfId="34236" xr:uid="{00000000-0005-0000-0000-0000FC050000}"/>
    <cellStyle name="Comma 5 2 2 5 2 2 4" xfId="17468" xr:uid="{00000000-0005-0000-0000-0000FD050000}"/>
    <cellStyle name="Comma 5 2 2 5 2 2 4 2" xfId="43021" xr:uid="{00000000-0005-0000-0000-0000FE050000}"/>
    <cellStyle name="Comma 5 2 2 5 2 2 5" xfId="28958" xr:uid="{00000000-0005-0000-0000-0000FF050000}"/>
    <cellStyle name="Comma 5 2 2 5 2 3" xfId="4443" xr:uid="{00000000-0005-0000-0000-000000060000}"/>
    <cellStyle name="Comma 5 2 2 5 2 3 2" xfId="13281" xr:uid="{00000000-0005-0000-0000-000001060000}"/>
    <cellStyle name="Comma 5 2 2 5 2 3 2 2" xfId="23532" xr:uid="{00000000-0005-0000-0000-000002060000}"/>
    <cellStyle name="Comma 5 2 2 5 2 3 2 2 2" xfId="49085" xr:uid="{00000000-0005-0000-0000-000003060000}"/>
    <cellStyle name="Comma 5 2 2 5 2 3 2 3" xfId="38836" xr:uid="{00000000-0005-0000-0000-000004060000}"/>
    <cellStyle name="Comma 5 2 2 5 2 3 3" xfId="9702" xr:uid="{00000000-0005-0000-0000-000005060000}"/>
    <cellStyle name="Comma 5 2 2 5 2 3 3 2" xfId="35259" xr:uid="{00000000-0005-0000-0000-000006060000}"/>
    <cellStyle name="Comma 5 2 2 5 2 3 4" xfId="18525" xr:uid="{00000000-0005-0000-0000-000007060000}"/>
    <cellStyle name="Comma 5 2 2 5 2 3 4 2" xfId="44078" xr:uid="{00000000-0005-0000-0000-000008060000}"/>
    <cellStyle name="Comma 5 2 2 5 2 3 5" xfId="30015" xr:uid="{00000000-0005-0000-0000-000009060000}"/>
    <cellStyle name="Comma 5 2 2 5 2 4" xfId="2223" xr:uid="{00000000-0005-0000-0000-00000A060000}"/>
    <cellStyle name="Comma 5 2 2 5 2 4 2" xfId="11588" xr:uid="{00000000-0005-0000-0000-00000B060000}"/>
    <cellStyle name="Comma 5 2 2 5 2 4 2 2" xfId="37143" xr:uid="{00000000-0005-0000-0000-00000C060000}"/>
    <cellStyle name="Comma 5 2 2 5 2 4 3" xfId="21592" xr:uid="{00000000-0005-0000-0000-00000D060000}"/>
    <cellStyle name="Comma 5 2 2 5 2 4 3 2" xfId="47145" xr:uid="{00000000-0005-0000-0000-00000E060000}"/>
    <cellStyle name="Comma 5 2 2 5 2 4 4" xfId="28075" xr:uid="{00000000-0005-0000-0000-00000F060000}"/>
    <cellStyle name="Comma 5 2 2 5 2 5" xfId="5899" xr:uid="{00000000-0005-0000-0000-000010060000}"/>
    <cellStyle name="Comma 5 2 2 5 2 5 2" xfId="14726" xr:uid="{00000000-0005-0000-0000-000011060000}"/>
    <cellStyle name="Comma 5 2 2 5 2 5 2 2" xfId="40281" xr:uid="{00000000-0005-0000-0000-000012060000}"/>
    <cellStyle name="Comma 5 2 2 5 2 5 3" xfId="24977" xr:uid="{00000000-0005-0000-0000-000013060000}"/>
    <cellStyle name="Comma 5 2 2 5 2 5 3 2" xfId="50530" xr:uid="{00000000-0005-0000-0000-000014060000}"/>
    <cellStyle name="Comma 5 2 2 5 2 5 4" xfId="31460" xr:uid="{00000000-0005-0000-0000-000015060000}"/>
    <cellStyle name="Comma 5 2 2 5 2 6" xfId="7343" xr:uid="{00000000-0005-0000-0000-000016060000}"/>
    <cellStyle name="Comma 5 2 2 5 2 6 2" xfId="20074" xr:uid="{00000000-0005-0000-0000-000017060000}"/>
    <cellStyle name="Comma 5 2 2 5 2 6 2 2" xfId="45627" xr:uid="{00000000-0005-0000-0000-000018060000}"/>
    <cellStyle name="Comma 5 2 2 5 2 6 3" xfId="32900" xr:uid="{00000000-0005-0000-0000-000019060000}"/>
    <cellStyle name="Comma 5 2 2 5 2 7" xfId="16585" xr:uid="{00000000-0005-0000-0000-00001A060000}"/>
    <cellStyle name="Comma 5 2 2 5 2 7 2" xfId="42138" xr:uid="{00000000-0005-0000-0000-00001B060000}"/>
    <cellStyle name="Comma 5 2 2 5 2 8" xfId="26557" xr:uid="{00000000-0005-0000-0000-00001C060000}"/>
    <cellStyle name="Comma 5 2 2 5 3" xfId="1228" xr:uid="{00000000-0005-0000-0000-00001D060000}"/>
    <cellStyle name="Comma 5 2 2 5 3 2" xfId="3657" xr:uid="{00000000-0005-0000-0000-00001E060000}"/>
    <cellStyle name="Comma 5 2 2 5 3 2 2" xfId="12793" xr:uid="{00000000-0005-0000-0000-00001F060000}"/>
    <cellStyle name="Comma 5 2 2 5 3 2 2 2" xfId="23012" xr:uid="{00000000-0005-0000-0000-000020060000}"/>
    <cellStyle name="Comma 5 2 2 5 3 2 2 2 2" xfId="48565" xr:uid="{00000000-0005-0000-0000-000021060000}"/>
    <cellStyle name="Comma 5 2 2 5 3 2 2 3" xfId="38348" xr:uid="{00000000-0005-0000-0000-000022060000}"/>
    <cellStyle name="Comma 5 2 2 5 3 2 3" xfId="9214" xr:uid="{00000000-0005-0000-0000-000023060000}"/>
    <cellStyle name="Comma 5 2 2 5 3 2 3 2" xfId="34771" xr:uid="{00000000-0005-0000-0000-000024060000}"/>
    <cellStyle name="Comma 5 2 2 5 3 2 4" xfId="18005" xr:uid="{00000000-0005-0000-0000-000025060000}"/>
    <cellStyle name="Comma 5 2 2 5 3 2 4 2" xfId="43558" xr:uid="{00000000-0005-0000-0000-000026060000}"/>
    <cellStyle name="Comma 5 2 2 5 3 2 5" xfId="29495" xr:uid="{00000000-0005-0000-0000-000027060000}"/>
    <cellStyle name="Comma 5 2 2 5 3 3" xfId="4792" xr:uid="{00000000-0005-0000-0000-000028060000}"/>
    <cellStyle name="Comma 5 2 2 5 3 3 2" xfId="13629" xr:uid="{00000000-0005-0000-0000-000029060000}"/>
    <cellStyle name="Comma 5 2 2 5 3 3 2 2" xfId="23880" xr:uid="{00000000-0005-0000-0000-00002A060000}"/>
    <cellStyle name="Comma 5 2 2 5 3 3 2 2 2" xfId="49433" xr:uid="{00000000-0005-0000-0000-00002B060000}"/>
    <cellStyle name="Comma 5 2 2 5 3 3 2 3" xfId="39184" xr:uid="{00000000-0005-0000-0000-00002C060000}"/>
    <cellStyle name="Comma 5 2 2 5 3 3 3" xfId="10050" xr:uid="{00000000-0005-0000-0000-00002D060000}"/>
    <cellStyle name="Comma 5 2 2 5 3 3 3 2" xfId="35607" xr:uid="{00000000-0005-0000-0000-00002E060000}"/>
    <cellStyle name="Comma 5 2 2 5 3 3 4" xfId="18873" xr:uid="{00000000-0005-0000-0000-00002F060000}"/>
    <cellStyle name="Comma 5 2 2 5 3 3 4 2" xfId="44426" xr:uid="{00000000-0005-0000-0000-000030060000}"/>
    <cellStyle name="Comma 5 2 2 5 3 3 5" xfId="30363" xr:uid="{00000000-0005-0000-0000-000031060000}"/>
    <cellStyle name="Comma 5 2 2 5 3 4" xfId="2051" xr:uid="{00000000-0005-0000-0000-000032060000}"/>
    <cellStyle name="Comma 5 2 2 5 3 4 2" xfId="11416" xr:uid="{00000000-0005-0000-0000-000033060000}"/>
    <cellStyle name="Comma 5 2 2 5 3 4 2 2" xfId="36971" xr:uid="{00000000-0005-0000-0000-000034060000}"/>
    <cellStyle name="Comma 5 2 2 5 3 4 3" xfId="21420" xr:uid="{00000000-0005-0000-0000-000035060000}"/>
    <cellStyle name="Comma 5 2 2 5 3 4 3 2" xfId="46973" xr:uid="{00000000-0005-0000-0000-000036060000}"/>
    <cellStyle name="Comma 5 2 2 5 3 4 4" xfId="27903" xr:uid="{00000000-0005-0000-0000-000037060000}"/>
    <cellStyle name="Comma 5 2 2 5 3 5" xfId="6247" xr:uid="{00000000-0005-0000-0000-000038060000}"/>
    <cellStyle name="Comma 5 2 2 5 3 5 2" xfId="15074" xr:uid="{00000000-0005-0000-0000-000039060000}"/>
    <cellStyle name="Comma 5 2 2 5 3 5 2 2" xfId="40629" xr:uid="{00000000-0005-0000-0000-00003A060000}"/>
    <cellStyle name="Comma 5 2 2 5 3 5 3" xfId="25325" xr:uid="{00000000-0005-0000-0000-00003B060000}"/>
    <cellStyle name="Comma 5 2 2 5 3 5 3 2" xfId="50878" xr:uid="{00000000-0005-0000-0000-00003C060000}"/>
    <cellStyle name="Comma 5 2 2 5 3 5 4" xfId="31808" xr:uid="{00000000-0005-0000-0000-00003D060000}"/>
    <cellStyle name="Comma 5 2 2 5 3 6" xfId="7693" xr:uid="{00000000-0005-0000-0000-00003E060000}"/>
    <cellStyle name="Comma 5 2 2 5 3 6 2" xfId="20611" xr:uid="{00000000-0005-0000-0000-00003F060000}"/>
    <cellStyle name="Comma 5 2 2 5 3 6 2 2" xfId="46164" xr:uid="{00000000-0005-0000-0000-000040060000}"/>
    <cellStyle name="Comma 5 2 2 5 3 6 3" xfId="33250" xr:uid="{00000000-0005-0000-0000-000041060000}"/>
    <cellStyle name="Comma 5 2 2 5 3 7" xfId="16413" xr:uid="{00000000-0005-0000-0000-000042060000}"/>
    <cellStyle name="Comma 5 2 2 5 3 7 2" xfId="41966" xr:uid="{00000000-0005-0000-0000-000043060000}"/>
    <cellStyle name="Comma 5 2 2 5 3 8" xfId="27094" xr:uid="{00000000-0005-0000-0000-000044060000}"/>
    <cellStyle name="Comma 5 2 2 5 4" xfId="2942" xr:uid="{00000000-0005-0000-0000-000045060000}"/>
    <cellStyle name="Comma 5 2 2 5 4 2" xfId="5320" xr:uid="{00000000-0005-0000-0000-000046060000}"/>
    <cellStyle name="Comma 5 2 2 5 4 2 2" xfId="14157" xr:uid="{00000000-0005-0000-0000-000047060000}"/>
    <cellStyle name="Comma 5 2 2 5 4 2 2 2" xfId="24408" xr:uid="{00000000-0005-0000-0000-000048060000}"/>
    <cellStyle name="Comma 5 2 2 5 4 2 2 2 2" xfId="49961" xr:uid="{00000000-0005-0000-0000-000049060000}"/>
    <cellStyle name="Comma 5 2 2 5 4 2 2 3" xfId="39712" xr:uid="{00000000-0005-0000-0000-00004A060000}"/>
    <cellStyle name="Comma 5 2 2 5 4 2 3" xfId="10578" xr:uid="{00000000-0005-0000-0000-00004B060000}"/>
    <cellStyle name="Comma 5 2 2 5 4 2 3 2" xfId="36135" xr:uid="{00000000-0005-0000-0000-00004C060000}"/>
    <cellStyle name="Comma 5 2 2 5 4 2 4" xfId="19401" xr:uid="{00000000-0005-0000-0000-00004D060000}"/>
    <cellStyle name="Comma 5 2 2 5 4 2 4 2" xfId="44954" xr:uid="{00000000-0005-0000-0000-00004E060000}"/>
    <cellStyle name="Comma 5 2 2 5 4 2 5" xfId="30891" xr:uid="{00000000-0005-0000-0000-00004F060000}"/>
    <cellStyle name="Comma 5 2 2 5 4 3" xfId="6775" xr:uid="{00000000-0005-0000-0000-000050060000}"/>
    <cellStyle name="Comma 5 2 2 5 4 3 2" xfId="15602" xr:uid="{00000000-0005-0000-0000-000051060000}"/>
    <cellStyle name="Comma 5 2 2 5 4 3 2 2" xfId="41157" xr:uid="{00000000-0005-0000-0000-000052060000}"/>
    <cellStyle name="Comma 5 2 2 5 4 3 3" xfId="25853" xr:uid="{00000000-0005-0000-0000-000053060000}"/>
    <cellStyle name="Comma 5 2 2 5 4 3 3 2" xfId="51406" xr:uid="{00000000-0005-0000-0000-000054060000}"/>
    <cellStyle name="Comma 5 2 2 5 4 3 4" xfId="32336" xr:uid="{00000000-0005-0000-0000-000055060000}"/>
    <cellStyle name="Comma 5 2 2 5 4 4" xfId="8221" xr:uid="{00000000-0005-0000-0000-000056060000}"/>
    <cellStyle name="Comma 5 2 2 5 4 4 2" xfId="22303" xr:uid="{00000000-0005-0000-0000-000057060000}"/>
    <cellStyle name="Comma 5 2 2 5 4 4 2 2" xfId="47856" xr:uid="{00000000-0005-0000-0000-000058060000}"/>
    <cellStyle name="Comma 5 2 2 5 4 4 3" xfId="33778" xr:uid="{00000000-0005-0000-0000-000059060000}"/>
    <cellStyle name="Comma 5 2 2 5 4 5" xfId="17296" xr:uid="{00000000-0005-0000-0000-00005A060000}"/>
    <cellStyle name="Comma 5 2 2 5 4 5 2" xfId="42849" xr:uid="{00000000-0005-0000-0000-00005B060000}"/>
    <cellStyle name="Comma 5 2 2 5 4 6" xfId="28786" xr:uid="{00000000-0005-0000-0000-00005C060000}"/>
    <cellStyle name="Comma 5 2 2 5 5" xfId="4276" xr:uid="{00000000-0005-0000-0000-00005D060000}"/>
    <cellStyle name="Comma 5 2 2 5 5 2" xfId="13114" xr:uid="{00000000-0005-0000-0000-00005E060000}"/>
    <cellStyle name="Comma 5 2 2 5 5 2 2" xfId="23365" xr:uid="{00000000-0005-0000-0000-00005F060000}"/>
    <cellStyle name="Comma 5 2 2 5 5 2 2 2" xfId="48918" xr:uid="{00000000-0005-0000-0000-000060060000}"/>
    <cellStyle name="Comma 5 2 2 5 5 2 3" xfId="38669" xr:uid="{00000000-0005-0000-0000-000061060000}"/>
    <cellStyle name="Comma 5 2 2 5 5 3" xfId="9535" xr:uid="{00000000-0005-0000-0000-000062060000}"/>
    <cellStyle name="Comma 5 2 2 5 5 3 2" xfId="35092" xr:uid="{00000000-0005-0000-0000-000063060000}"/>
    <cellStyle name="Comma 5 2 2 5 5 4" xfId="18358" xr:uid="{00000000-0005-0000-0000-000064060000}"/>
    <cellStyle name="Comma 5 2 2 5 5 4 2" xfId="43911" xr:uid="{00000000-0005-0000-0000-000065060000}"/>
    <cellStyle name="Comma 5 2 2 5 5 5" xfId="29848" xr:uid="{00000000-0005-0000-0000-000066060000}"/>
    <cellStyle name="Comma 5 2 2 5 6" xfId="1548" xr:uid="{00000000-0005-0000-0000-000067060000}"/>
    <cellStyle name="Comma 5 2 2 5 6 2" xfId="10925" xr:uid="{00000000-0005-0000-0000-000068060000}"/>
    <cellStyle name="Comma 5 2 2 5 6 2 2" xfId="36480" xr:uid="{00000000-0005-0000-0000-000069060000}"/>
    <cellStyle name="Comma 5 2 2 5 6 3" xfId="20929" xr:uid="{00000000-0005-0000-0000-00006A060000}"/>
    <cellStyle name="Comma 5 2 2 5 6 3 2" xfId="46482" xr:uid="{00000000-0005-0000-0000-00006B060000}"/>
    <cellStyle name="Comma 5 2 2 5 6 4" xfId="27412" xr:uid="{00000000-0005-0000-0000-00006C060000}"/>
    <cellStyle name="Comma 5 2 2 5 7" xfId="5732" xr:uid="{00000000-0005-0000-0000-00006D060000}"/>
    <cellStyle name="Comma 5 2 2 5 7 2" xfId="14559" xr:uid="{00000000-0005-0000-0000-00006E060000}"/>
    <cellStyle name="Comma 5 2 2 5 7 2 2" xfId="40114" xr:uid="{00000000-0005-0000-0000-00006F060000}"/>
    <cellStyle name="Comma 5 2 2 5 7 3" xfId="24810" xr:uid="{00000000-0005-0000-0000-000070060000}"/>
    <cellStyle name="Comma 5 2 2 5 7 3 2" xfId="50363" xr:uid="{00000000-0005-0000-0000-000071060000}"/>
    <cellStyle name="Comma 5 2 2 5 7 4" xfId="31293" xr:uid="{00000000-0005-0000-0000-000072060000}"/>
    <cellStyle name="Comma 5 2 2 5 8" xfId="7176" xr:uid="{00000000-0005-0000-0000-000073060000}"/>
    <cellStyle name="Comma 5 2 2 5 8 2" xfId="19902" xr:uid="{00000000-0005-0000-0000-000074060000}"/>
    <cellStyle name="Comma 5 2 2 5 8 2 2" xfId="45455" xr:uid="{00000000-0005-0000-0000-000075060000}"/>
    <cellStyle name="Comma 5 2 2 5 8 3" xfId="32733" xr:uid="{00000000-0005-0000-0000-000076060000}"/>
    <cellStyle name="Comma 5 2 2 5 9" xfId="15922" xr:uid="{00000000-0005-0000-0000-000077060000}"/>
    <cellStyle name="Comma 5 2 2 5 9 2" xfId="41475" xr:uid="{00000000-0005-0000-0000-000078060000}"/>
    <cellStyle name="Comma 5 2 2 6" xfId="329" xr:uid="{00000000-0005-0000-0000-000079060000}"/>
    <cellStyle name="Comma 5 2 2 6 10" xfId="26258" xr:uid="{00000000-0005-0000-0000-00007A060000}"/>
    <cellStyle name="Comma 5 2 2 6 2" xfId="629" xr:uid="{00000000-0005-0000-0000-00007B060000}"/>
    <cellStyle name="Comma 5 2 2 6 2 2" xfId="3115" xr:uid="{00000000-0005-0000-0000-00007C060000}"/>
    <cellStyle name="Comma 5 2 2 6 2 2 2" xfId="12258" xr:uid="{00000000-0005-0000-0000-00007D060000}"/>
    <cellStyle name="Comma 5 2 2 6 2 2 2 2" xfId="22476" xr:uid="{00000000-0005-0000-0000-00007E060000}"/>
    <cellStyle name="Comma 5 2 2 6 2 2 2 2 2" xfId="48029" xr:uid="{00000000-0005-0000-0000-00007F060000}"/>
    <cellStyle name="Comma 5 2 2 6 2 2 2 3" xfId="37813" xr:uid="{00000000-0005-0000-0000-000080060000}"/>
    <cellStyle name="Comma 5 2 2 6 2 2 3" xfId="8680" xr:uid="{00000000-0005-0000-0000-000081060000}"/>
    <cellStyle name="Comma 5 2 2 6 2 2 3 2" xfId="34237" xr:uid="{00000000-0005-0000-0000-000082060000}"/>
    <cellStyle name="Comma 5 2 2 6 2 2 4" xfId="17469" xr:uid="{00000000-0005-0000-0000-000083060000}"/>
    <cellStyle name="Comma 5 2 2 6 2 2 4 2" xfId="43022" xr:uid="{00000000-0005-0000-0000-000084060000}"/>
    <cellStyle name="Comma 5 2 2 6 2 2 5" xfId="28959" xr:uid="{00000000-0005-0000-0000-000085060000}"/>
    <cellStyle name="Comma 5 2 2 6 2 3" xfId="4444" xr:uid="{00000000-0005-0000-0000-000086060000}"/>
    <cellStyle name="Comma 5 2 2 6 2 3 2" xfId="13282" xr:uid="{00000000-0005-0000-0000-000087060000}"/>
    <cellStyle name="Comma 5 2 2 6 2 3 2 2" xfId="23533" xr:uid="{00000000-0005-0000-0000-000088060000}"/>
    <cellStyle name="Comma 5 2 2 6 2 3 2 2 2" xfId="49086" xr:uid="{00000000-0005-0000-0000-000089060000}"/>
    <cellStyle name="Comma 5 2 2 6 2 3 2 3" xfId="38837" xr:uid="{00000000-0005-0000-0000-00008A060000}"/>
    <cellStyle name="Comma 5 2 2 6 2 3 3" xfId="9703" xr:uid="{00000000-0005-0000-0000-00008B060000}"/>
    <cellStyle name="Comma 5 2 2 6 2 3 3 2" xfId="35260" xr:uid="{00000000-0005-0000-0000-00008C060000}"/>
    <cellStyle name="Comma 5 2 2 6 2 3 4" xfId="18526" xr:uid="{00000000-0005-0000-0000-00008D060000}"/>
    <cellStyle name="Comma 5 2 2 6 2 3 4 2" xfId="44079" xr:uid="{00000000-0005-0000-0000-00008E060000}"/>
    <cellStyle name="Comma 5 2 2 6 2 3 5" xfId="30016" xr:uid="{00000000-0005-0000-0000-00008F060000}"/>
    <cellStyle name="Comma 5 2 2 6 2 4" xfId="2224" xr:uid="{00000000-0005-0000-0000-000090060000}"/>
    <cellStyle name="Comma 5 2 2 6 2 4 2" xfId="11589" xr:uid="{00000000-0005-0000-0000-000091060000}"/>
    <cellStyle name="Comma 5 2 2 6 2 4 2 2" xfId="37144" xr:uid="{00000000-0005-0000-0000-000092060000}"/>
    <cellStyle name="Comma 5 2 2 6 2 4 3" xfId="21593" xr:uid="{00000000-0005-0000-0000-000093060000}"/>
    <cellStyle name="Comma 5 2 2 6 2 4 3 2" xfId="47146" xr:uid="{00000000-0005-0000-0000-000094060000}"/>
    <cellStyle name="Comma 5 2 2 6 2 4 4" xfId="28076" xr:uid="{00000000-0005-0000-0000-000095060000}"/>
    <cellStyle name="Comma 5 2 2 6 2 5" xfId="5900" xr:uid="{00000000-0005-0000-0000-000096060000}"/>
    <cellStyle name="Comma 5 2 2 6 2 5 2" xfId="14727" xr:uid="{00000000-0005-0000-0000-000097060000}"/>
    <cellStyle name="Comma 5 2 2 6 2 5 2 2" xfId="40282" xr:uid="{00000000-0005-0000-0000-000098060000}"/>
    <cellStyle name="Comma 5 2 2 6 2 5 3" xfId="24978" xr:uid="{00000000-0005-0000-0000-000099060000}"/>
    <cellStyle name="Comma 5 2 2 6 2 5 3 2" xfId="50531" xr:uid="{00000000-0005-0000-0000-00009A060000}"/>
    <cellStyle name="Comma 5 2 2 6 2 5 4" xfId="31461" xr:uid="{00000000-0005-0000-0000-00009B060000}"/>
    <cellStyle name="Comma 5 2 2 6 2 6" xfId="7344" xr:uid="{00000000-0005-0000-0000-00009C060000}"/>
    <cellStyle name="Comma 5 2 2 6 2 6 2" xfId="20075" xr:uid="{00000000-0005-0000-0000-00009D060000}"/>
    <cellStyle name="Comma 5 2 2 6 2 6 2 2" xfId="45628" xr:uid="{00000000-0005-0000-0000-00009E060000}"/>
    <cellStyle name="Comma 5 2 2 6 2 6 3" xfId="32901" xr:uid="{00000000-0005-0000-0000-00009F060000}"/>
    <cellStyle name="Comma 5 2 2 6 2 7" xfId="16586" xr:uid="{00000000-0005-0000-0000-0000A0060000}"/>
    <cellStyle name="Comma 5 2 2 6 2 7 2" xfId="42139" xr:uid="{00000000-0005-0000-0000-0000A1060000}"/>
    <cellStyle name="Comma 5 2 2 6 2 8" xfId="26558" xr:uid="{00000000-0005-0000-0000-0000A2060000}"/>
    <cellStyle name="Comma 5 2 2 6 3" xfId="1101" xr:uid="{00000000-0005-0000-0000-0000A3060000}"/>
    <cellStyle name="Comma 5 2 2 6 3 2" xfId="3530" xr:uid="{00000000-0005-0000-0000-0000A4060000}"/>
    <cellStyle name="Comma 5 2 2 6 3 2 2" xfId="12666" xr:uid="{00000000-0005-0000-0000-0000A5060000}"/>
    <cellStyle name="Comma 5 2 2 6 3 2 2 2" xfId="22885" xr:uid="{00000000-0005-0000-0000-0000A6060000}"/>
    <cellStyle name="Comma 5 2 2 6 3 2 2 2 2" xfId="48438" xr:uid="{00000000-0005-0000-0000-0000A7060000}"/>
    <cellStyle name="Comma 5 2 2 6 3 2 2 3" xfId="38221" xr:uid="{00000000-0005-0000-0000-0000A8060000}"/>
    <cellStyle name="Comma 5 2 2 6 3 2 3" xfId="9087" xr:uid="{00000000-0005-0000-0000-0000A9060000}"/>
    <cellStyle name="Comma 5 2 2 6 3 2 3 2" xfId="34644" xr:uid="{00000000-0005-0000-0000-0000AA060000}"/>
    <cellStyle name="Comma 5 2 2 6 3 2 4" xfId="17878" xr:uid="{00000000-0005-0000-0000-0000AB060000}"/>
    <cellStyle name="Comma 5 2 2 6 3 2 4 2" xfId="43431" xr:uid="{00000000-0005-0000-0000-0000AC060000}"/>
    <cellStyle name="Comma 5 2 2 6 3 2 5" xfId="29368" xr:uid="{00000000-0005-0000-0000-0000AD060000}"/>
    <cellStyle name="Comma 5 2 2 6 3 3" xfId="4793" xr:uid="{00000000-0005-0000-0000-0000AE060000}"/>
    <cellStyle name="Comma 5 2 2 6 3 3 2" xfId="13630" xr:uid="{00000000-0005-0000-0000-0000AF060000}"/>
    <cellStyle name="Comma 5 2 2 6 3 3 2 2" xfId="23881" xr:uid="{00000000-0005-0000-0000-0000B0060000}"/>
    <cellStyle name="Comma 5 2 2 6 3 3 2 2 2" xfId="49434" xr:uid="{00000000-0005-0000-0000-0000B1060000}"/>
    <cellStyle name="Comma 5 2 2 6 3 3 2 3" xfId="39185" xr:uid="{00000000-0005-0000-0000-0000B2060000}"/>
    <cellStyle name="Comma 5 2 2 6 3 3 3" xfId="10051" xr:uid="{00000000-0005-0000-0000-0000B3060000}"/>
    <cellStyle name="Comma 5 2 2 6 3 3 3 2" xfId="35608" xr:uid="{00000000-0005-0000-0000-0000B4060000}"/>
    <cellStyle name="Comma 5 2 2 6 3 3 4" xfId="18874" xr:uid="{00000000-0005-0000-0000-0000B5060000}"/>
    <cellStyle name="Comma 5 2 2 6 3 3 4 2" xfId="44427" xr:uid="{00000000-0005-0000-0000-0000B6060000}"/>
    <cellStyle name="Comma 5 2 2 6 3 3 5" xfId="30364" xr:uid="{00000000-0005-0000-0000-0000B7060000}"/>
    <cellStyle name="Comma 5 2 2 6 3 4" xfId="2572" xr:uid="{00000000-0005-0000-0000-0000B8060000}"/>
    <cellStyle name="Comma 5 2 2 6 3 4 2" xfId="11936" xr:uid="{00000000-0005-0000-0000-0000B9060000}"/>
    <cellStyle name="Comma 5 2 2 6 3 4 2 2" xfId="37491" xr:uid="{00000000-0005-0000-0000-0000BA060000}"/>
    <cellStyle name="Comma 5 2 2 6 3 4 3" xfId="21940" xr:uid="{00000000-0005-0000-0000-0000BB060000}"/>
    <cellStyle name="Comma 5 2 2 6 3 4 3 2" xfId="47493" xr:uid="{00000000-0005-0000-0000-0000BC060000}"/>
    <cellStyle name="Comma 5 2 2 6 3 4 4" xfId="28423" xr:uid="{00000000-0005-0000-0000-0000BD060000}"/>
    <cellStyle name="Comma 5 2 2 6 3 5" xfId="6248" xr:uid="{00000000-0005-0000-0000-0000BE060000}"/>
    <cellStyle name="Comma 5 2 2 6 3 5 2" xfId="15075" xr:uid="{00000000-0005-0000-0000-0000BF060000}"/>
    <cellStyle name="Comma 5 2 2 6 3 5 2 2" xfId="40630" xr:uid="{00000000-0005-0000-0000-0000C0060000}"/>
    <cellStyle name="Comma 5 2 2 6 3 5 3" xfId="25326" xr:uid="{00000000-0005-0000-0000-0000C1060000}"/>
    <cellStyle name="Comma 5 2 2 6 3 5 3 2" xfId="50879" xr:uid="{00000000-0005-0000-0000-0000C2060000}"/>
    <cellStyle name="Comma 5 2 2 6 3 5 4" xfId="31809" xr:uid="{00000000-0005-0000-0000-0000C3060000}"/>
    <cellStyle name="Comma 5 2 2 6 3 6" xfId="7694" xr:uid="{00000000-0005-0000-0000-0000C4060000}"/>
    <cellStyle name="Comma 5 2 2 6 3 6 2" xfId="20484" xr:uid="{00000000-0005-0000-0000-0000C5060000}"/>
    <cellStyle name="Comma 5 2 2 6 3 6 2 2" xfId="46037" xr:uid="{00000000-0005-0000-0000-0000C6060000}"/>
    <cellStyle name="Comma 5 2 2 6 3 6 3" xfId="33251" xr:uid="{00000000-0005-0000-0000-0000C7060000}"/>
    <cellStyle name="Comma 5 2 2 6 3 7" xfId="16933" xr:uid="{00000000-0005-0000-0000-0000C8060000}"/>
    <cellStyle name="Comma 5 2 2 6 3 7 2" xfId="42486" xr:uid="{00000000-0005-0000-0000-0000C9060000}"/>
    <cellStyle name="Comma 5 2 2 6 3 8" xfId="26967" xr:uid="{00000000-0005-0000-0000-0000CA060000}"/>
    <cellStyle name="Comma 5 2 2 6 4" xfId="2815" xr:uid="{00000000-0005-0000-0000-0000CB060000}"/>
    <cellStyle name="Comma 5 2 2 6 4 2" xfId="5193" xr:uid="{00000000-0005-0000-0000-0000CC060000}"/>
    <cellStyle name="Comma 5 2 2 6 4 2 2" xfId="14030" xr:uid="{00000000-0005-0000-0000-0000CD060000}"/>
    <cellStyle name="Comma 5 2 2 6 4 2 2 2" xfId="24281" xr:uid="{00000000-0005-0000-0000-0000CE060000}"/>
    <cellStyle name="Comma 5 2 2 6 4 2 2 2 2" xfId="49834" xr:uid="{00000000-0005-0000-0000-0000CF060000}"/>
    <cellStyle name="Comma 5 2 2 6 4 2 2 3" xfId="39585" xr:uid="{00000000-0005-0000-0000-0000D0060000}"/>
    <cellStyle name="Comma 5 2 2 6 4 2 3" xfId="10451" xr:uid="{00000000-0005-0000-0000-0000D1060000}"/>
    <cellStyle name="Comma 5 2 2 6 4 2 3 2" xfId="36008" xr:uid="{00000000-0005-0000-0000-0000D2060000}"/>
    <cellStyle name="Comma 5 2 2 6 4 2 4" xfId="19274" xr:uid="{00000000-0005-0000-0000-0000D3060000}"/>
    <cellStyle name="Comma 5 2 2 6 4 2 4 2" xfId="44827" xr:uid="{00000000-0005-0000-0000-0000D4060000}"/>
    <cellStyle name="Comma 5 2 2 6 4 2 5" xfId="30764" xr:uid="{00000000-0005-0000-0000-0000D5060000}"/>
    <cellStyle name="Comma 5 2 2 6 4 3" xfId="6648" xr:uid="{00000000-0005-0000-0000-0000D6060000}"/>
    <cellStyle name="Comma 5 2 2 6 4 3 2" xfId="15475" xr:uid="{00000000-0005-0000-0000-0000D7060000}"/>
    <cellStyle name="Comma 5 2 2 6 4 3 2 2" xfId="41030" xr:uid="{00000000-0005-0000-0000-0000D8060000}"/>
    <cellStyle name="Comma 5 2 2 6 4 3 3" xfId="25726" xr:uid="{00000000-0005-0000-0000-0000D9060000}"/>
    <cellStyle name="Comma 5 2 2 6 4 3 3 2" xfId="51279" xr:uid="{00000000-0005-0000-0000-0000DA060000}"/>
    <cellStyle name="Comma 5 2 2 6 4 3 4" xfId="32209" xr:uid="{00000000-0005-0000-0000-0000DB060000}"/>
    <cellStyle name="Comma 5 2 2 6 4 4" xfId="8094" xr:uid="{00000000-0005-0000-0000-0000DC060000}"/>
    <cellStyle name="Comma 5 2 2 6 4 4 2" xfId="22176" xr:uid="{00000000-0005-0000-0000-0000DD060000}"/>
    <cellStyle name="Comma 5 2 2 6 4 4 2 2" xfId="47729" xr:uid="{00000000-0005-0000-0000-0000DE060000}"/>
    <cellStyle name="Comma 5 2 2 6 4 4 3" xfId="33651" xr:uid="{00000000-0005-0000-0000-0000DF060000}"/>
    <cellStyle name="Comma 5 2 2 6 4 5" xfId="17169" xr:uid="{00000000-0005-0000-0000-0000E0060000}"/>
    <cellStyle name="Comma 5 2 2 6 4 5 2" xfId="42722" xr:uid="{00000000-0005-0000-0000-0000E1060000}"/>
    <cellStyle name="Comma 5 2 2 6 4 6" xfId="28659" xr:uid="{00000000-0005-0000-0000-0000E2060000}"/>
    <cellStyle name="Comma 5 2 2 6 5" xfId="4147" xr:uid="{00000000-0005-0000-0000-0000E3060000}"/>
    <cellStyle name="Comma 5 2 2 6 5 2" xfId="12985" xr:uid="{00000000-0005-0000-0000-0000E4060000}"/>
    <cellStyle name="Comma 5 2 2 6 5 2 2" xfId="23236" xr:uid="{00000000-0005-0000-0000-0000E5060000}"/>
    <cellStyle name="Comma 5 2 2 6 5 2 2 2" xfId="48789" xr:uid="{00000000-0005-0000-0000-0000E6060000}"/>
    <cellStyle name="Comma 5 2 2 6 5 2 3" xfId="38540" xr:uid="{00000000-0005-0000-0000-0000E7060000}"/>
    <cellStyle name="Comma 5 2 2 6 5 3" xfId="9406" xr:uid="{00000000-0005-0000-0000-0000E8060000}"/>
    <cellStyle name="Comma 5 2 2 6 5 3 2" xfId="34963" xr:uid="{00000000-0005-0000-0000-0000E9060000}"/>
    <cellStyle name="Comma 5 2 2 6 5 4" xfId="18229" xr:uid="{00000000-0005-0000-0000-0000EA060000}"/>
    <cellStyle name="Comma 5 2 2 6 5 4 2" xfId="43782" xr:uid="{00000000-0005-0000-0000-0000EB060000}"/>
    <cellStyle name="Comma 5 2 2 6 5 5" xfId="29719" xr:uid="{00000000-0005-0000-0000-0000EC060000}"/>
    <cellStyle name="Comma 5 2 2 6 6" xfId="1924" xr:uid="{00000000-0005-0000-0000-0000ED060000}"/>
    <cellStyle name="Comma 5 2 2 6 6 2" xfId="11289" xr:uid="{00000000-0005-0000-0000-0000EE060000}"/>
    <cellStyle name="Comma 5 2 2 6 6 2 2" xfId="36844" xr:uid="{00000000-0005-0000-0000-0000EF060000}"/>
    <cellStyle name="Comma 5 2 2 6 6 3" xfId="21293" xr:uid="{00000000-0005-0000-0000-0000F0060000}"/>
    <cellStyle name="Comma 5 2 2 6 6 3 2" xfId="46846" xr:uid="{00000000-0005-0000-0000-0000F1060000}"/>
    <cellStyle name="Comma 5 2 2 6 6 4" xfId="27776" xr:uid="{00000000-0005-0000-0000-0000F2060000}"/>
    <cellStyle name="Comma 5 2 2 6 7" xfId="5605" xr:uid="{00000000-0005-0000-0000-0000F3060000}"/>
    <cellStyle name="Comma 5 2 2 6 7 2" xfId="14432" xr:uid="{00000000-0005-0000-0000-0000F4060000}"/>
    <cellStyle name="Comma 5 2 2 6 7 2 2" xfId="39987" xr:uid="{00000000-0005-0000-0000-0000F5060000}"/>
    <cellStyle name="Comma 5 2 2 6 7 3" xfId="24683" xr:uid="{00000000-0005-0000-0000-0000F6060000}"/>
    <cellStyle name="Comma 5 2 2 6 7 3 2" xfId="50236" xr:uid="{00000000-0005-0000-0000-0000F7060000}"/>
    <cellStyle name="Comma 5 2 2 6 7 4" xfId="31166" xr:uid="{00000000-0005-0000-0000-0000F8060000}"/>
    <cellStyle name="Comma 5 2 2 6 8" xfId="7049" xr:uid="{00000000-0005-0000-0000-0000F9060000}"/>
    <cellStyle name="Comma 5 2 2 6 8 2" xfId="19775" xr:uid="{00000000-0005-0000-0000-0000FA060000}"/>
    <cellStyle name="Comma 5 2 2 6 8 2 2" xfId="45328" xr:uid="{00000000-0005-0000-0000-0000FB060000}"/>
    <cellStyle name="Comma 5 2 2 6 8 3" xfId="32606" xr:uid="{00000000-0005-0000-0000-0000FC060000}"/>
    <cellStyle name="Comma 5 2 2 6 9" xfId="16286" xr:uid="{00000000-0005-0000-0000-0000FD060000}"/>
    <cellStyle name="Comma 5 2 2 6 9 2" xfId="41839" xr:uid="{00000000-0005-0000-0000-0000FE060000}"/>
    <cellStyle name="Comma 5 2 2 7" xfId="620" xr:uid="{00000000-0005-0000-0000-0000FF060000}"/>
    <cellStyle name="Comma 5 2 2 7 2" xfId="3106" xr:uid="{00000000-0005-0000-0000-000000070000}"/>
    <cellStyle name="Comma 5 2 2 7 2 2" xfId="12249" xr:uid="{00000000-0005-0000-0000-000001070000}"/>
    <cellStyle name="Comma 5 2 2 7 2 2 2" xfId="22467" xr:uid="{00000000-0005-0000-0000-000002070000}"/>
    <cellStyle name="Comma 5 2 2 7 2 2 2 2" xfId="48020" xr:uid="{00000000-0005-0000-0000-000003070000}"/>
    <cellStyle name="Comma 5 2 2 7 2 2 3" xfId="37804" xr:uid="{00000000-0005-0000-0000-000004070000}"/>
    <cellStyle name="Comma 5 2 2 7 2 3" xfId="8671" xr:uid="{00000000-0005-0000-0000-000005070000}"/>
    <cellStyle name="Comma 5 2 2 7 2 3 2" xfId="34228" xr:uid="{00000000-0005-0000-0000-000006070000}"/>
    <cellStyle name="Comma 5 2 2 7 2 4" xfId="17460" xr:uid="{00000000-0005-0000-0000-000007070000}"/>
    <cellStyle name="Comma 5 2 2 7 2 4 2" xfId="43013" xr:uid="{00000000-0005-0000-0000-000008070000}"/>
    <cellStyle name="Comma 5 2 2 7 2 5" xfId="28950" xr:uid="{00000000-0005-0000-0000-000009070000}"/>
    <cellStyle name="Comma 5 2 2 7 3" xfId="4435" xr:uid="{00000000-0005-0000-0000-00000A070000}"/>
    <cellStyle name="Comma 5 2 2 7 3 2" xfId="13273" xr:uid="{00000000-0005-0000-0000-00000B070000}"/>
    <cellStyle name="Comma 5 2 2 7 3 2 2" xfId="23524" xr:uid="{00000000-0005-0000-0000-00000C070000}"/>
    <cellStyle name="Comma 5 2 2 7 3 2 2 2" xfId="49077" xr:uid="{00000000-0005-0000-0000-00000D070000}"/>
    <cellStyle name="Comma 5 2 2 7 3 2 3" xfId="38828" xr:uid="{00000000-0005-0000-0000-00000E070000}"/>
    <cellStyle name="Comma 5 2 2 7 3 3" xfId="9694" xr:uid="{00000000-0005-0000-0000-00000F070000}"/>
    <cellStyle name="Comma 5 2 2 7 3 3 2" xfId="35251" xr:uid="{00000000-0005-0000-0000-000010070000}"/>
    <cellStyle name="Comma 5 2 2 7 3 4" xfId="18517" xr:uid="{00000000-0005-0000-0000-000011070000}"/>
    <cellStyle name="Comma 5 2 2 7 3 4 2" xfId="44070" xr:uid="{00000000-0005-0000-0000-000012070000}"/>
    <cellStyle name="Comma 5 2 2 7 3 5" xfId="30007" xr:uid="{00000000-0005-0000-0000-000013070000}"/>
    <cellStyle name="Comma 5 2 2 7 4" xfId="2215" xr:uid="{00000000-0005-0000-0000-000014070000}"/>
    <cellStyle name="Comma 5 2 2 7 4 2" xfId="11580" xr:uid="{00000000-0005-0000-0000-000015070000}"/>
    <cellStyle name="Comma 5 2 2 7 4 2 2" xfId="37135" xr:uid="{00000000-0005-0000-0000-000016070000}"/>
    <cellStyle name="Comma 5 2 2 7 4 3" xfId="21584" xr:uid="{00000000-0005-0000-0000-000017070000}"/>
    <cellStyle name="Comma 5 2 2 7 4 3 2" xfId="47137" xr:uid="{00000000-0005-0000-0000-000018070000}"/>
    <cellStyle name="Comma 5 2 2 7 4 4" xfId="28067" xr:uid="{00000000-0005-0000-0000-000019070000}"/>
    <cellStyle name="Comma 5 2 2 7 5" xfId="5891" xr:uid="{00000000-0005-0000-0000-00001A070000}"/>
    <cellStyle name="Comma 5 2 2 7 5 2" xfId="14718" xr:uid="{00000000-0005-0000-0000-00001B070000}"/>
    <cellStyle name="Comma 5 2 2 7 5 2 2" xfId="40273" xr:uid="{00000000-0005-0000-0000-00001C070000}"/>
    <cellStyle name="Comma 5 2 2 7 5 3" xfId="24969" xr:uid="{00000000-0005-0000-0000-00001D070000}"/>
    <cellStyle name="Comma 5 2 2 7 5 3 2" xfId="50522" xr:uid="{00000000-0005-0000-0000-00001E070000}"/>
    <cellStyle name="Comma 5 2 2 7 5 4" xfId="31452" xr:uid="{00000000-0005-0000-0000-00001F070000}"/>
    <cellStyle name="Comma 5 2 2 7 6" xfId="7335" xr:uid="{00000000-0005-0000-0000-000020070000}"/>
    <cellStyle name="Comma 5 2 2 7 6 2" xfId="20066" xr:uid="{00000000-0005-0000-0000-000021070000}"/>
    <cellStyle name="Comma 5 2 2 7 6 2 2" xfId="45619" xr:uid="{00000000-0005-0000-0000-000022070000}"/>
    <cellStyle name="Comma 5 2 2 7 6 3" xfId="32892" xr:uid="{00000000-0005-0000-0000-000023070000}"/>
    <cellStyle name="Comma 5 2 2 7 7" xfId="16577" xr:uid="{00000000-0005-0000-0000-000024070000}"/>
    <cellStyle name="Comma 5 2 2 7 7 2" xfId="42130" xr:uid="{00000000-0005-0000-0000-000025070000}"/>
    <cellStyle name="Comma 5 2 2 7 8" xfId="26549" xr:uid="{00000000-0005-0000-0000-000026070000}"/>
    <cellStyle name="Comma 5 2 2 8" xfId="1056" xr:uid="{00000000-0005-0000-0000-000027070000}"/>
    <cellStyle name="Comma 5 2 2 8 2" xfId="3485" xr:uid="{00000000-0005-0000-0000-000028070000}"/>
    <cellStyle name="Comma 5 2 2 8 2 2" xfId="12621" xr:uid="{00000000-0005-0000-0000-000029070000}"/>
    <cellStyle name="Comma 5 2 2 8 2 2 2" xfId="22840" xr:uid="{00000000-0005-0000-0000-00002A070000}"/>
    <cellStyle name="Comma 5 2 2 8 2 2 2 2" xfId="48393" xr:uid="{00000000-0005-0000-0000-00002B070000}"/>
    <cellStyle name="Comma 5 2 2 8 2 2 3" xfId="38176" xr:uid="{00000000-0005-0000-0000-00002C070000}"/>
    <cellStyle name="Comma 5 2 2 8 2 3" xfId="9043" xr:uid="{00000000-0005-0000-0000-00002D070000}"/>
    <cellStyle name="Comma 5 2 2 8 2 3 2" xfId="34600" xr:uid="{00000000-0005-0000-0000-00002E070000}"/>
    <cellStyle name="Comma 5 2 2 8 2 4" xfId="17833" xr:uid="{00000000-0005-0000-0000-00002F070000}"/>
    <cellStyle name="Comma 5 2 2 8 2 4 2" xfId="43386" xr:uid="{00000000-0005-0000-0000-000030070000}"/>
    <cellStyle name="Comma 5 2 2 8 2 5" xfId="29323" xr:uid="{00000000-0005-0000-0000-000031070000}"/>
    <cellStyle name="Comma 5 2 2 8 3" xfId="4784" xr:uid="{00000000-0005-0000-0000-000032070000}"/>
    <cellStyle name="Comma 5 2 2 8 3 2" xfId="13621" xr:uid="{00000000-0005-0000-0000-000033070000}"/>
    <cellStyle name="Comma 5 2 2 8 3 2 2" xfId="23872" xr:uid="{00000000-0005-0000-0000-000034070000}"/>
    <cellStyle name="Comma 5 2 2 8 3 2 2 2" xfId="49425" xr:uid="{00000000-0005-0000-0000-000035070000}"/>
    <cellStyle name="Comma 5 2 2 8 3 2 3" xfId="39176" xr:uid="{00000000-0005-0000-0000-000036070000}"/>
    <cellStyle name="Comma 5 2 2 8 3 3" xfId="10042" xr:uid="{00000000-0005-0000-0000-000037070000}"/>
    <cellStyle name="Comma 5 2 2 8 3 3 2" xfId="35599" xr:uid="{00000000-0005-0000-0000-000038070000}"/>
    <cellStyle name="Comma 5 2 2 8 3 4" xfId="18865" xr:uid="{00000000-0005-0000-0000-000039070000}"/>
    <cellStyle name="Comma 5 2 2 8 3 4 2" xfId="44418" xr:uid="{00000000-0005-0000-0000-00003A070000}"/>
    <cellStyle name="Comma 5 2 2 8 3 5" xfId="30355" xr:uid="{00000000-0005-0000-0000-00003B070000}"/>
    <cellStyle name="Comma 5 2 2 8 4" xfId="1724" xr:uid="{00000000-0005-0000-0000-00003C070000}"/>
    <cellStyle name="Comma 5 2 2 8 4 2" xfId="11098" xr:uid="{00000000-0005-0000-0000-00003D070000}"/>
    <cellStyle name="Comma 5 2 2 8 4 2 2" xfId="36653" xr:uid="{00000000-0005-0000-0000-00003E070000}"/>
    <cellStyle name="Comma 5 2 2 8 4 3" xfId="21102" xr:uid="{00000000-0005-0000-0000-00003F070000}"/>
    <cellStyle name="Comma 5 2 2 8 4 3 2" xfId="46655" xr:uid="{00000000-0005-0000-0000-000040070000}"/>
    <cellStyle name="Comma 5 2 2 8 4 4" xfId="27585" xr:uid="{00000000-0005-0000-0000-000041070000}"/>
    <cellStyle name="Comma 5 2 2 8 5" xfId="6239" xr:uid="{00000000-0005-0000-0000-000042070000}"/>
    <cellStyle name="Comma 5 2 2 8 5 2" xfId="15066" xr:uid="{00000000-0005-0000-0000-000043070000}"/>
    <cellStyle name="Comma 5 2 2 8 5 2 2" xfId="40621" xr:uid="{00000000-0005-0000-0000-000044070000}"/>
    <cellStyle name="Comma 5 2 2 8 5 3" xfId="25317" xr:uid="{00000000-0005-0000-0000-000045070000}"/>
    <cellStyle name="Comma 5 2 2 8 5 3 2" xfId="50870" xr:uid="{00000000-0005-0000-0000-000046070000}"/>
    <cellStyle name="Comma 5 2 2 8 5 4" xfId="31800" xr:uid="{00000000-0005-0000-0000-000047070000}"/>
    <cellStyle name="Comma 5 2 2 8 6" xfId="7685" xr:uid="{00000000-0005-0000-0000-000048070000}"/>
    <cellStyle name="Comma 5 2 2 8 6 2" xfId="20439" xr:uid="{00000000-0005-0000-0000-000049070000}"/>
    <cellStyle name="Comma 5 2 2 8 6 2 2" xfId="45992" xr:uid="{00000000-0005-0000-0000-00004A070000}"/>
    <cellStyle name="Comma 5 2 2 8 6 3" xfId="33242" xr:uid="{00000000-0005-0000-0000-00004B070000}"/>
    <cellStyle name="Comma 5 2 2 8 7" xfId="16095" xr:uid="{00000000-0005-0000-0000-00004C070000}"/>
    <cellStyle name="Comma 5 2 2 8 7 2" xfId="41648" xr:uid="{00000000-0005-0000-0000-00004D070000}"/>
    <cellStyle name="Comma 5 2 2 8 8" xfId="26922" xr:uid="{00000000-0005-0000-0000-00004E070000}"/>
    <cellStyle name="Comma 5 2 2 9" xfId="2622" xr:uid="{00000000-0005-0000-0000-00004F070000}"/>
    <cellStyle name="Comma 5 2 2 9 2" xfId="5148" xr:uid="{00000000-0005-0000-0000-000050070000}"/>
    <cellStyle name="Comma 5 2 2 9 2 2" xfId="13985" xr:uid="{00000000-0005-0000-0000-000051070000}"/>
    <cellStyle name="Comma 5 2 2 9 2 2 2" xfId="24236" xr:uid="{00000000-0005-0000-0000-000052070000}"/>
    <cellStyle name="Comma 5 2 2 9 2 2 2 2" xfId="49789" xr:uid="{00000000-0005-0000-0000-000053070000}"/>
    <cellStyle name="Comma 5 2 2 9 2 2 3" xfId="39540" xr:uid="{00000000-0005-0000-0000-000054070000}"/>
    <cellStyle name="Comma 5 2 2 9 2 3" xfId="10406" xr:uid="{00000000-0005-0000-0000-000055070000}"/>
    <cellStyle name="Comma 5 2 2 9 2 3 2" xfId="35963" xr:uid="{00000000-0005-0000-0000-000056070000}"/>
    <cellStyle name="Comma 5 2 2 9 2 4" xfId="19229" xr:uid="{00000000-0005-0000-0000-000057070000}"/>
    <cellStyle name="Comma 5 2 2 9 2 4 2" xfId="44782" xr:uid="{00000000-0005-0000-0000-000058070000}"/>
    <cellStyle name="Comma 5 2 2 9 2 5" xfId="30719" xr:uid="{00000000-0005-0000-0000-000059070000}"/>
    <cellStyle name="Comma 5 2 2 9 3" xfId="6603" xr:uid="{00000000-0005-0000-0000-00005A070000}"/>
    <cellStyle name="Comma 5 2 2 9 3 2" xfId="15430" xr:uid="{00000000-0005-0000-0000-00005B070000}"/>
    <cellStyle name="Comma 5 2 2 9 3 2 2" xfId="40985" xr:uid="{00000000-0005-0000-0000-00005C070000}"/>
    <cellStyle name="Comma 5 2 2 9 3 3" xfId="25681" xr:uid="{00000000-0005-0000-0000-00005D070000}"/>
    <cellStyle name="Comma 5 2 2 9 3 3 2" xfId="51234" xr:uid="{00000000-0005-0000-0000-00005E070000}"/>
    <cellStyle name="Comma 5 2 2 9 3 4" xfId="32164" xr:uid="{00000000-0005-0000-0000-00005F070000}"/>
    <cellStyle name="Comma 5 2 2 9 4" xfId="8049" xr:uid="{00000000-0005-0000-0000-000060070000}"/>
    <cellStyle name="Comma 5 2 2 9 4 2" xfId="21985" xr:uid="{00000000-0005-0000-0000-000061070000}"/>
    <cellStyle name="Comma 5 2 2 9 4 2 2" xfId="47538" xr:uid="{00000000-0005-0000-0000-000062070000}"/>
    <cellStyle name="Comma 5 2 2 9 4 3" xfId="33606" xr:uid="{00000000-0005-0000-0000-000063070000}"/>
    <cellStyle name="Comma 5 2 2 9 5" xfId="16978" xr:uid="{00000000-0005-0000-0000-000064070000}"/>
    <cellStyle name="Comma 5 2 2 9 5 2" xfId="42531" xr:uid="{00000000-0005-0000-0000-000065070000}"/>
    <cellStyle name="Comma 5 2 2 9 6" xfId="28468" xr:uid="{00000000-0005-0000-0000-000066070000}"/>
    <cellStyle name="Comma 5 2 3" xfId="124" xr:uid="{00000000-0005-0000-0000-000067070000}"/>
    <cellStyle name="Comma 5 2 3 10" xfId="4110" xr:uid="{00000000-0005-0000-0000-000068070000}"/>
    <cellStyle name="Comma 5 2 3 10 2" xfId="5568" xr:uid="{00000000-0005-0000-0000-000069070000}"/>
    <cellStyle name="Comma 5 2 3 10 2 2" xfId="14395" xr:uid="{00000000-0005-0000-0000-00006A070000}"/>
    <cellStyle name="Comma 5 2 3 10 2 2 2" xfId="39950" xr:uid="{00000000-0005-0000-0000-00006B070000}"/>
    <cellStyle name="Comma 5 2 3 10 2 3" xfId="24646" xr:uid="{00000000-0005-0000-0000-00006C070000}"/>
    <cellStyle name="Comma 5 2 3 10 2 3 2" xfId="50199" xr:uid="{00000000-0005-0000-0000-00006D070000}"/>
    <cellStyle name="Comma 5 2 3 10 2 4" xfId="31129" xr:uid="{00000000-0005-0000-0000-00006E070000}"/>
    <cellStyle name="Comma 5 2 3 10 3" xfId="7012" xr:uid="{00000000-0005-0000-0000-00006F070000}"/>
    <cellStyle name="Comma 5 2 3 10 3 2" xfId="23199" xr:uid="{00000000-0005-0000-0000-000070070000}"/>
    <cellStyle name="Comma 5 2 3 10 3 2 2" xfId="48752" xr:uid="{00000000-0005-0000-0000-000071070000}"/>
    <cellStyle name="Comma 5 2 3 10 3 3" xfId="32569" xr:uid="{00000000-0005-0000-0000-000072070000}"/>
    <cellStyle name="Comma 5 2 3 10 4" xfId="18192" xr:uid="{00000000-0005-0000-0000-000073070000}"/>
    <cellStyle name="Comma 5 2 3 10 4 2" xfId="43745" xr:uid="{00000000-0005-0000-0000-000074070000}"/>
    <cellStyle name="Comma 5 2 3 10 5" xfId="29682" xr:uid="{00000000-0005-0000-0000-000075070000}"/>
    <cellStyle name="Comma 5 2 3 11" xfId="1429" xr:uid="{00000000-0005-0000-0000-000076070000}"/>
    <cellStyle name="Comma 5 2 3 11 2" xfId="10806" xr:uid="{00000000-0005-0000-0000-000077070000}"/>
    <cellStyle name="Comma 5 2 3 11 2 2" xfId="36361" xr:uid="{00000000-0005-0000-0000-000078070000}"/>
    <cellStyle name="Comma 5 2 3 11 3" xfId="20810" xr:uid="{00000000-0005-0000-0000-000079070000}"/>
    <cellStyle name="Comma 5 2 3 11 3 2" xfId="46363" xr:uid="{00000000-0005-0000-0000-00007A070000}"/>
    <cellStyle name="Comma 5 2 3 11 4" xfId="27293" xr:uid="{00000000-0005-0000-0000-00007B070000}"/>
    <cellStyle name="Comma 5 2 3 12" xfId="5538" xr:uid="{00000000-0005-0000-0000-00007C070000}"/>
    <cellStyle name="Comma 5 2 3 12 2" xfId="14365" xr:uid="{00000000-0005-0000-0000-00007D070000}"/>
    <cellStyle name="Comma 5 2 3 12 2 2" xfId="39920" xr:uid="{00000000-0005-0000-0000-00007E070000}"/>
    <cellStyle name="Comma 5 2 3 12 3" xfId="24616" xr:uid="{00000000-0005-0000-0000-00007F070000}"/>
    <cellStyle name="Comma 5 2 3 12 3 2" xfId="50169" xr:uid="{00000000-0005-0000-0000-000080070000}"/>
    <cellStyle name="Comma 5 2 3 12 4" xfId="31099" xr:uid="{00000000-0005-0000-0000-000081070000}"/>
    <cellStyle name="Comma 5 2 3 13" xfId="6982" xr:uid="{00000000-0005-0000-0000-000082070000}"/>
    <cellStyle name="Comma 5 2 3 13 2" xfId="19591" xr:uid="{00000000-0005-0000-0000-000083070000}"/>
    <cellStyle name="Comma 5 2 3 13 2 2" xfId="45144" xr:uid="{00000000-0005-0000-0000-000084070000}"/>
    <cellStyle name="Comma 5 2 3 13 3" xfId="32539" xr:uid="{00000000-0005-0000-0000-000085070000}"/>
    <cellStyle name="Comma 5 2 3 14" xfId="15803" xr:uid="{00000000-0005-0000-0000-000086070000}"/>
    <cellStyle name="Comma 5 2 3 14 2" xfId="41356" xr:uid="{00000000-0005-0000-0000-000087070000}"/>
    <cellStyle name="Comma 5 2 3 15" xfId="26074" xr:uid="{00000000-0005-0000-0000-000088070000}"/>
    <cellStyle name="Comma 5 2 3 2" xfId="164" xr:uid="{00000000-0005-0000-0000-000089070000}"/>
    <cellStyle name="Comma 5 2 3 2 10" xfId="5670" xr:uid="{00000000-0005-0000-0000-00008A070000}"/>
    <cellStyle name="Comma 5 2 3 2 10 2" xfId="14497" xr:uid="{00000000-0005-0000-0000-00008B070000}"/>
    <cellStyle name="Comma 5 2 3 2 10 2 2" xfId="40052" xr:uid="{00000000-0005-0000-0000-00008C070000}"/>
    <cellStyle name="Comma 5 2 3 2 10 3" xfId="24748" xr:uid="{00000000-0005-0000-0000-00008D070000}"/>
    <cellStyle name="Comma 5 2 3 2 10 3 2" xfId="50301" xr:uid="{00000000-0005-0000-0000-00008E070000}"/>
    <cellStyle name="Comma 5 2 3 2 10 4" xfId="31231" xr:uid="{00000000-0005-0000-0000-00008F070000}"/>
    <cellStyle name="Comma 5 2 3 2 11" xfId="7114" xr:uid="{00000000-0005-0000-0000-000090070000}"/>
    <cellStyle name="Comma 5 2 3 2 11 2" xfId="19623" xr:uid="{00000000-0005-0000-0000-000091070000}"/>
    <cellStyle name="Comma 5 2 3 2 11 2 2" xfId="45176" xr:uid="{00000000-0005-0000-0000-000092070000}"/>
    <cellStyle name="Comma 5 2 3 2 11 3" xfId="32671" xr:uid="{00000000-0005-0000-0000-000093070000}"/>
    <cellStyle name="Comma 5 2 3 2 12" xfId="15860" xr:uid="{00000000-0005-0000-0000-000094070000}"/>
    <cellStyle name="Comma 5 2 3 2 12 2" xfId="41413" xr:uid="{00000000-0005-0000-0000-000095070000}"/>
    <cellStyle name="Comma 5 2 3 2 13" xfId="26106" xr:uid="{00000000-0005-0000-0000-000096070000}"/>
    <cellStyle name="Comma 5 2 3 2 2" xfId="276" xr:uid="{00000000-0005-0000-0000-000097070000}"/>
    <cellStyle name="Comma 5 2 3 2 2 10" xfId="16064" xr:uid="{00000000-0005-0000-0000-000098070000}"/>
    <cellStyle name="Comma 5 2 3 2 2 10 2" xfId="41617" xr:uid="{00000000-0005-0000-0000-000099070000}"/>
    <cellStyle name="Comma 5 2 3 2 2 11" xfId="26210" xr:uid="{00000000-0005-0000-0000-00009A070000}"/>
    <cellStyle name="Comma 5 2 3 2 2 2" xfId="598" xr:uid="{00000000-0005-0000-0000-00009B070000}"/>
    <cellStyle name="Comma 5 2 3 2 2 2 2" xfId="3084" xr:uid="{00000000-0005-0000-0000-00009C070000}"/>
    <cellStyle name="Comma 5 2 3 2 2 2 2 2" xfId="12227" xr:uid="{00000000-0005-0000-0000-00009D070000}"/>
    <cellStyle name="Comma 5 2 3 2 2 2 2 2 2" xfId="22445" xr:uid="{00000000-0005-0000-0000-00009E070000}"/>
    <cellStyle name="Comma 5 2 3 2 2 2 2 2 2 2" xfId="47998" xr:uid="{00000000-0005-0000-0000-00009F070000}"/>
    <cellStyle name="Comma 5 2 3 2 2 2 2 2 3" xfId="37782" xr:uid="{00000000-0005-0000-0000-0000A0070000}"/>
    <cellStyle name="Comma 5 2 3 2 2 2 2 3" xfId="8649" xr:uid="{00000000-0005-0000-0000-0000A1070000}"/>
    <cellStyle name="Comma 5 2 3 2 2 2 2 3 2" xfId="34206" xr:uid="{00000000-0005-0000-0000-0000A2070000}"/>
    <cellStyle name="Comma 5 2 3 2 2 2 2 4" xfId="17438" xr:uid="{00000000-0005-0000-0000-0000A3070000}"/>
    <cellStyle name="Comma 5 2 3 2 2 2 2 4 2" xfId="42991" xr:uid="{00000000-0005-0000-0000-0000A4070000}"/>
    <cellStyle name="Comma 5 2 3 2 2 2 2 5" xfId="28928" xr:uid="{00000000-0005-0000-0000-0000A5070000}"/>
    <cellStyle name="Comma 5 2 3 2 2 2 3" xfId="4447" xr:uid="{00000000-0005-0000-0000-0000A6070000}"/>
    <cellStyle name="Comma 5 2 3 2 2 2 3 2" xfId="13285" xr:uid="{00000000-0005-0000-0000-0000A7070000}"/>
    <cellStyle name="Comma 5 2 3 2 2 2 3 2 2" xfId="23536" xr:uid="{00000000-0005-0000-0000-0000A8070000}"/>
    <cellStyle name="Comma 5 2 3 2 2 2 3 2 2 2" xfId="49089" xr:uid="{00000000-0005-0000-0000-0000A9070000}"/>
    <cellStyle name="Comma 5 2 3 2 2 2 3 2 3" xfId="38840" xr:uid="{00000000-0005-0000-0000-0000AA070000}"/>
    <cellStyle name="Comma 5 2 3 2 2 2 3 3" xfId="9706" xr:uid="{00000000-0005-0000-0000-0000AB070000}"/>
    <cellStyle name="Comma 5 2 3 2 2 2 3 3 2" xfId="35263" xr:uid="{00000000-0005-0000-0000-0000AC070000}"/>
    <cellStyle name="Comma 5 2 3 2 2 2 3 4" xfId="18529" xr:uid="{00000000-0005-0000-0000-0000AD070000}"/>
    <cellStyle name="Comma 5 2 3 2 2 2 3 4 2" xfId="44082" xr:uid="{00000000-0005-0000-0000-0000AE070000}"/>
    <cellStyle name="Comma 5 2 3 2 2 2 3 5" xfId="30019" xr:uid="{00000000-0005-0000-0000-0000AF070000}"/>
    <cellStyle name="Comma 5 2 3 2 2 2 4" xfId="2193" xr:uid="{00000000-0005-0000-0000-0000B0070000}"/>
    <cellStyle name="Comma 5 2 3 2 2 2 4 2" xfId="11558" xr:uid="{00000000-0005-0000-0000-0000B1070000}"/>
    <cellStyle name="Comma 5 2 3 2 2 2 4 2 2" xfId="37113" xr:uid="{00000000-0005-0000-0000-0000B2070000}"/>
    <cellStyle name="Comma 5 2 3 2 2 2 4 3" xfId="21562" xr:uid="{00000000-0005-0000-0000-0000B3070000}"/>
    <cellStyle name="Comma 5 2 3 2 2 2 4 3 2" xfId="47115" xr:uid="{00000000-0005-0000-0000-0000B4070000}"/>
    <cellStyle name="Comma 5 2 3 2 2 2 4 4" xfId="28045" xr:uid="{00000000-0005-0000-0000-0000B5070000}"/>
    <cellStyle name="Comma 5 2 3 2 2 2 5" xfId="5903" xr:uid="{00000000-0005-0000-0000-0000B6070000}"/>
    <cellStyle name="Comma 5 2 3 2 2 2 5 2" xfId="14730" xr:uid="{00000000-0005-0000-0000-0000B7070000}"/>
    <cellStyle name="Comma 5 2 3 2 2 2 5 2 2" xfId="40285" xr:uid="{00000000-0005-0000-0000-0000B8070000}"/>
    <cellStyle name="Comma 5 2 3 2 2 2 5 3" xfId="24981" xr:uid="{00000000-0005-0000-0000-0000B9070000}"/>
    <cellStyle name="Comma 5 2 3 2 2 2 5 3 2" xfId="50534" xr:uid="{00000000-0005-0000-0000-0000BA070000}"/>
    <cellStyle name="Comma 5 2 3 2 2 2 5 4" xfId="31464" xr:uid="{00000000-0005-0000-0000-0000BB070000}"/>
    <cellStyle name="Comma 5 2 3 2 2 2 6" xfId="7347" xr:uid="{00000000-0005-0000-0000-0000BC070000}"/>
    <cellStyle name="Comma 5 2 3 2 2 2 6 2" xfId="20044" xr:uid="{00000000-0005-0000-0000-0000BD070000}"/>
    <cellStyle name="Comma 5 2 3 2 2 2 6 2 2" xfId="45597" xr:uid="{00000000-0005-0000-0000-0000BE070000}"/>
    <cellStyle name="Comma 5 2 3 2 2 2 6 3" xfId="32904" xr:uid="{00000000-0005-0000-0000-0000BF070000}"/>
    <cellStyle name="Comma 5 2 3 2 2 2 7" xfId="16555" xr:uid="{00000000-0005-0000-0000-0000C0070000}"/>
    <cellStyle name="Comma 5 2 3 2 2 2 7 2" xfId="42108" xr:uid="{00000000-0005-0000-0000-0000C1070000}"/>
    <cellStyle name="Comma 5 2 3 2 2 2 8" xfId="26527" xr:uid="{00000000-0005-0000-0000-0000C2070000}"/>
    <cellStyle name="Comma 5 2 3 2 2 3" xfId="632" xr:uid="{00000000-0005-0000-0000-0000C3070000}"/>
    <cellStyle name="Comma 5 2 3 2 2 3 2" xfId="3118" xr:uid="{00000000-0005-0000-0000-0000C4070000}"/>
    <cellStyle name="Comma 5 2 3 2 2 3 2 2" xfId="12261" xr:uid="{00000000-0005-0000-0000-0000C5070000}"/>
    <cellStyle name="Comma 5 2 3 2 2 3 2 2 2" xfId="22479" xr:uid="{00000000-0005-0000-0000-0000C6070000}"/>
    <cellStyle name="Comma 5 2 3 2 2 3 2 2 2 2" xfId="48032" xr:uid="{00000000-0005-0000-0000-0000C7070000}"/>
    <cellStyle name="Comma 5 2 3 2 2 3 2 2 3" xfId="37816" xr:uid="{00000000-0005-0000-0000-0000C8070000}"/>
    <cellStyle name="Comma 5 2 3 2 2 3 2 3" xfId="8683" xr:uid="{00000000-0005-0000-0000-0000C9070000}"/>
    <cellStyle name="Comma 5 2 3 2 2 3 2 3 2" xfId="34240" xr:uid="{00000000-0005-0000-0000-0000CA070000}"/>
    <cellStyle name="Comma 5 2 3 2 2 3 2 4" xfId="17472" xr:uid="{00000000-0005-0000-0000-0000CB070000}"/>
    <cellStyle name="Comma 5 2 3 2 2 3 2 4 2" xfId="43025" xr:uid="{00000000-0005-0000-0000-0000CC070000}"/>
    <cellStyle name="Comma 5 2 3 2 2 3 2 5" xfId="28962" xr:uid="{00000000-0005-0000-0000-0000CD070000}"/>
    <cellStyle name="Comma 5 2 3 2 2 3 3" xfId="4796" xr:uid="{00000000-0005-0000-0000-0000CE070000}"/>
    <cellStyle name="Comma 5 2 3 2 2 3 3 2" xfId="13633" xr:uid="{00000000-0005-0000-0000-0000CF070000}"/>
    <cellStyle name="Comma 5 2 3 2 2 3 3 2 2" xfId="23884" xr:uid="{00000000-0005-0000-0000-0000D0070000}"/>
    <cellStyle name="Comma 5 2 3 2 2 3 3 2 2 2" xfId="49437" xr:uid="{00000000-0005-0000-0000-0000D1070000}"/>
    <cellStyle name="Comma 5 2 3 2 2 3 3 2 3" xfId="39188" xr:uid="{00000000-0005-0000-0000-0000D2070000}"/>
    <cellStyle name="Comma 5 2 3 2 2 3 3 3" xfId="10054" xr:uid="{00000000-0005-0000-0000-0000D3070000}"/>
    <cellStyle name="Comma 5 2 3 2 2 3 3 3 2" xfId="35611" xr:uid="{00000000-0005-0000-0000-0000D4070000}"/>
    <cellStyle name="Comma 5 2 3 2 2 3 3 4" xfId="18877" xr:uid="{00000000-0005-0000-0000-0000D5070000}"/>
    <cellStyle name="Comma 5 2 3 2 2 3 3 4 2" xfId="44430" xr:uid="{00000000-0005-0000-0000-0000D6070000}"/>
    <cellStyle name="Comma 5 2 3 2 2 3 3 5" xfId="30367" xr:uid="{00000000-0005-0000-0000-0000D7070000}"/>
    <cellStyle name="Comma 5 2 3 2 2 3 4" xfId="2227" xr:uid="{00000000-0005-0000-0000-0000D8070000}"/>
    <cellStyle name="Comma 5 2 3 2 2 3 4 2" xfId="11592" xr:uid="{00000000-0005-0000-0000-0000D9070000}"/>
    <cellStyle name="Comma 5 2 3 2 2 3 4 2 2" xfId="37147" xr:uid="{00000000-0005-0000-0000-0000DA070000}"/>
    <cellStyle name="Comma 5 2 3 2 2 3 4 3" xfId="21596" xr:uid="{00000000-0005-0000-0000-0000DB070000}"/>
    <cellStyle name="Comma 5 2 3 2 2 3 4 3 2" xfId="47149" xr:uid="{00000000-0005-0000-0000-0000DC070000}"/>
    <cellStyle name="Comma 5 2 3 2 2 3 4 4" xfId="28079" xr:uid="{00000000-0005-0000-0000-0000DD070000}"/>
    <cellStyle name="Comma 5 2 3 2 2 3 5" xfId="6251" xr:uid="{00000000-0005-0000-0000-0000DE070000}"/>
    <cellStyle name="Comma 5 2 3 2 2 3 5 2" xfId="15078" xr:uid="{00000000-0005-0000-0000-0000DF070000}"/>
    <cellStyle name="Comma 5 2 3 2 2 3 5 2 2" xfId="40633" xr:uid="{00000000-0005-0000-0000-0000E0070000}"/>
    <cellStyle name="Comma 5 2 3 2 2 3 5 3" xfId="25329" xr:uid="{00000000-0005-0000-0000-0000E1070000}"/>
    <cellStyle name="Comma 5 2 3 2 2 3 5 3 2" xfId="50882" xr:uid="{00000000-0005-0000-0000-0000E2070000}"/>
    <cellStyle name="Comma 5 2 3 2 2 3 5 4" xfId="31812" xr:uid="{00000000-0005-0000-0000-0000E3070000}"/>
    <cellStyle name="Comma 5 2 3 2 2 3 6" xfId="7697" xr:uid="{00000000-0005-0000-0000-0000E4070000}"/>
    <cellStyle name="Comma 5 2 3 2 2 3 6 2" xfId="20078" xr:uid="{00000000-0005-0000-0000-0000E5070000}"/>
    <cellStyle name="Comma 5 2 3 2 2 3 6 2 2" xfId="45631" xr:uid="{00000000-0005-0000-0000-0000E6070000}"/>
    <cellStyle name="Comma 5 2 3 2 2 3 6 3" xfId="33254" xr:uid="{00000000-0005-0000-0000-0000E7070000}"/>
    <cellStyle name="Comma 5 2 3 2 2 3 7" xfId="16589" xr:uid="{00000000-0005-0000-0000-0000E8070000}"/>
    <cellStyle name="Comma 5 2 3 2 2 3 7 2" xfId="42142" xr:uid="{00000000-0005-0000-0000-0000E9070000}"/>
    <cellStyle name="Comma 5 2 3 2 2 3 8" xfId="26561" xr:uid="{00000000-0005-0000-0000-0000EA070000}"/>
    <cellStyle name="Comma 5 2 3 2 2 4" xfId="1370" xr:uid="{00000000-0005-0000-0000-0000EB070000}"/>
    <cellStyle name="Comma 5 2 3 2 2 4 2" xfId="3799" xr:uid="{00000000-0005-0000-0000-0000EC070000}"/>
    <cellStyle name="Comma 5 2 3 2 2 4 2 2" xfId="12935" xr:uid="{00000000-0005-0000-0000-0000ED070000}"/>
    <cellStyle name="Comma 5 2 3 2 2 4 2 2 2" xfId="23154" xr:uid="{00000000-0005-0000-0000-0000EE070000}"/>
    <cellStyle name="Comma 5 2 3 2 2 4 2 2 2 2" xfId="48707" xr:uid="{00000000-0005-0000-0000-0000EF070000}"/>
    <cellStyle name="Comma 5 2 3 2 2 4 2 2 3" xfId="38490" xr:uid="{00000000-0005-0000-0000-0000F0070000}"/>
    <cellStyle name="Comma 5 2 3 2 2 4 2 3" xfId="9356" xr:uid="{00000000-0005-0000-0000-0000F1070000}"/>
    <cellStyle name="Comma 5 2 3 2 2 4 2 3 2" xfId="34913" xr:uid="{00000000-0005-0000-0000-0000F2070000}"/>
    <cellStyle name="Comma 5 2 3 2 2 4 2 4" xfId="18147" xr:uid="{00000000-0005-0000-0000-0000F3070000}"/>
    <cellStyle name="Comma 5 2 3 2 2 4 2 4 2" xfId="43700" xr:uid="{00000000-0005-0000-0000-0000F4070000}"/>
    <cellStyle name="Comma 5 2 3 2 2 4 2 5" xfId="29637" xr:uid="{00000000-0005-0000-0000-0000F5070000}"/>
    <cellStyle name="Comma 5 2 3 2 2 4 3" xfId="5462" xr:uid="{00000000-0005-0000-0000-0000F6070000}"/>
    <cellStyle name="Comma 5 2 3 2 2 4 3 2" xfId="14299" xr:uid="{00000000-0005-0000-0000-0000F7070000}"/>
    <cellStyle name="Comma 5 2 3 2 2 4 3 2 2" xfId="24550" xr:uid="{00000000-0005-0000-0000-0000F8070000}"/>
    <cellStyle name="Comma 5 2 3 2 2 4 3 2 2 2" xfId="50103" xr:uid="{00000000-0005-0000-0000-0000F9070000}"/>
    <cellStyle name="Comma 5 2 3 2 2 4 3 2 3" xfId="39854" xr:uid="{00000000-0005-0000-0000-0000FA070000}"/>
    <cellStyle name="Comma 5 2 3 2 2 4 3 3" xfId="10720" xr:uid="{00000000-0005-0000-0000-0000FB070000}"/>
    <cellStyle name="Comma 5 2 3 2 2 4 3 3 2" xfId="36277" xr:uid="{00000000-0005-0000-0000-0000FC070000}"/>
    <cellStyle name="Comma 5 2 3 2 2 4 3 4" xfId="19543" xr:uid="{00000000-0005-0000-0000-0000FD070000}"/>
    <cellStyle name="Comma 5 2 3 2 2 4 3 4 2" xfId="45096" xr:uid="{00000000-0005-0000-0000-0000FE070000}"/>
    <cellStyle name="Comma 5 2 3 2 2 4 3 5" xfId="31033" xr:uid="{00000000-0005-0000-0000-0000FF070000}"/>
    <cellStyle name="Comma 5 2 3 2 2 4 4" xfId="1873" xr:uid="{00000000-0005-0000-0000-000000080000}"/>
    <cellStyle name="Comma 5 2 3 2 2 4 4 2" xfId="11241" xr:uid="{00000000-0005-0000-0000-000001080000}"/>
    <cellStyle name="Comma 5 2 3 2 2 4 4 2 2" xfId="36796" xr:uid="{00000000-0005-0000-0000-000002080000}"/>
    <cellStyle name="Comma 5 2 3 2 2 4 4 3" xfId="21245" xr:uid="{00000000-0005-0000-0000-000003080000}"/>
    <cellStyle name="Comma 5 2 3 2 2 4 4 3 2" xfId="46798" xr:uid="{00000000-0005-0000-0000-000004080000}"/>
    <cellStyle name="Comma 5 2 3 2 2 4 4 4" xfId="27728" xr:uid="{00000000-0005-0000-0000-000005080000}"/>
    <cellStyle name="Comma 5 2 3 2 2 4 5" xfId="6917" xr:uid="{00000000-0005-0000-0000-000006080000}"/>
    <cellStyle name="Comma 5 2 3 2 2 4 5 2" xfId="15744" xr:uid="{00000000-0005-0000-0000-000007080000}"/>
    <cellStyle name="Comma 5 2 3 2 2 4 5 2 2" xfId="41299" xr:uid="{00000000-0005-0000-0000-000008080000}"/>
    <cellStyle name="Comma 5 2 3 2 2 4 5 3" xfId="25995" xr:uid="{00000000-0005-0000-0000-000009080000}"/>
    <cellStyle name="Comma 5 2 3 2 2 4 5 3 2" xfId="51548" xr:uid="{00000000-0005-0000-0000-00000A080000}"/>
    <cellStyle name="Comma 5 2 3 2 2 4 5 4" xfId="32478" xr:uid="{00000000-0005-0000-0000-00000B080000}"/>
    <cellStyle name="Comma 5 2 3 2 2 4 6" xfId="8363" xr:uid="{00000000-0005-0000-0000-00000C080000}"/>
    <cellStyle name="Comma 5 2 3 2 2 4 6 2" xfId="20753" xr:uid="{00000000-0005-0000-0000-00000D080000}"/>
    <cellStyle name="Comma 5 2 3 2 2 4 6 2 2" xfId="46306" xr:uid="{00000000-0005-0000-0000-00000E080000}"/>
    <cellStyle name="Comma 5 2 3 2 2 4 6 3" xfId="33920" xr:uid="{00000000-0005-0000-0000-00000F080000}"/>
    <cellStyle name="Comma 5 2 3 2 2 4 7" xfId="16238" xr:uid="{00000000-0005-0000-0000-000010080000}"/>
    <cellStyle name="Comma 5 2 3 2 2 4 7 2" xfId="41791" xr:uid="{00000000-0005-0000-0000-000011080000}"/>
    <cellStyle name="Comma 5 2 3 2 2 4 8" xfId="27236" xr:uid="{00000000-0005-0000-0000-000012080000}"/>
    <cellStyle name="Comma 5 2 3 2 2 5" xfId="2767" xr:uid="{00000000-0005-0000-0000-000013080000}"/>
    <cellStyle name="Comma 5 2 3 2 2 5 2" xfId="12084" xr:uid="{00000000-0005-0000-0000-000014080000}"/>
    <cellStyle name="Comma 5 2 3 2 2 5 2 2" xfId="22128" xr:uid="{00000000-0005-0000-0000-000015080000}"/>
    <cellStyle name="Comma 5 2 3 2 2 5 2 2 2" xfId="47681" xr:uid="{00000000-0005-0000-0000-000016080000}"/>
    <cellStyle name="Comma 5 2 3 2 2 5 2 3" xfId="37639" xr:uid="{00000000-0005-0000-0000-000017080000}"/>
    <cellStyle name="Comma 5 2 3 2 2 5 3" xfId="8629" xr:uid="{00000000-0005-0000-0000-000018080000}"/>
    <cellStyle name="Comma 5 2 3 2 2 5 3 2" xfId="34186" xr:uid="{00000000-0005-0000-0000-000019080000}"/>
    <cellStyle name="Comma 5 2 3 2 2 5 4" xfId="17121" xr:uid="{00000000-0005-0000-0000-00001A080000}"/>
    <cellStyle name="Comma 5 2 3 2 2 5 4 2" xfId="42674" xr:uid="{00000000-0005-0000-0000-00001B080000}"/>
    <cellStyle name="Comma 5 2 3 2 2 5 5" xfId="28611" xr:uid="{00000000-0005-0000-0000-00001C080000}"/>
    <cellStyle name="Comma 5 2 3 2 2 6" xfId="4418" xr:uid="{00000000-0005-0000-0000-00001D080000}"/>
    <cellStyle name="Comma 5 2 3 2 2 6 2" xfId="13256" xr:uid="{00000000-0005-0000-0000-00001E080000}"/>
    <cellStyle name="Comma 5 2 3 2 2 6 2 2" xfId="23507" xr:uid="{00000000-0005-0000-0000-00001F080000}"/>
    <cellStyle name="Comma 5 2 3 2 2 6 2 2 2" xfId="49060" xr:uid="{00000000-0005-0000-0000-000020080000}"/>
    <cellStyle name="Comma 5 2 3 2 2 6 2 3" xfId="38811" xr:uid="{00000000-0005-0000-0000-000021080000}"/>
    <cellStyle name="Comma 5 2 3 2 2 6 3" xfId="9677" xr:uid="{00000000-0005-0000-0000-000022080000}"/>
    <cellStyle name="Comma 5 2 3 2 2 6 3 2" xfId="35234" xr:uid="{00000000-0005-0000-0000-000023080000}"/>
    <cellStyle name="Comma 5 2 3 2 2 6 4" xfId="18500" xr:uid="{00000000-0005-0000-0000-000024080000}"/>
    <cellStyle name="Comma 5 2 3 2 2 6 4 2" xfId="44053" xr:uid="{00000000-0005-0000-0000-000025080000}"/>
    <cellStyle name="Comma 5 2 3 2 2 6 5" xfId="29990" xr:uid="{00000000-0005-0000-0000-000026080000}"/>
    <cellStyle name="Comma 5 2 3 2 2 7" xfId="1690" xr:uid="{00000000-0005-0000-0000-000027080000}"/>
    <cellStyle name="Comma 5 2 3 2 2 7 2" xfId="11067" xr:uid="{00000000-0005-0000-0000-000028080000}"/>
    <cellStyle name="Comma 5 2 3 2 2 7 2 2" xfId="36622" xr:uid="{00000000-0005-0000-0000-000029080000}"/>
    <cellStyle name="Comma 5 2 3 2 2 7 3" xfId="21071" xr:uid="{00000000-0005-0000-0000-00002A080000}"/>
    <cellStyle name="Comma 5 2 3 2 2 7 3 2" xfId="46624" xr:uid="{00000000-0005-0000-0000-00002B080000}"/>
    <cellStyle name="Comma 5 2 3 2 2 7 4" xfId="27554" xr:uid="{00000000-0005-0000-0000-00002C080000}"/>
    <cellStyle name="Comma 5 2 3 2 2 8" xfId="5874" xr:uid="{00000000-0005-0000-0000-00002D080000}"/>
    <cellStyle name="Comma 5 2 3 2 2 8 2" xfId="14701" xr:uid="{00000000-0005-0000-0000-00002E080000}"/>
    <cellStyle name="Comma 5 2 3 2 2 8 2 2" xfId="40256" xr:uid="{00000000-0005-0000-0000-00002F080000}"/>
    <cellStyle name="Comma 5 2 3 2 2 8 3" xfId="24952" xr:uid="{00000000-0005-0000-0000-000030080000}"/>
    <cellStyle name="Comma 5 2 3 2 2 8 3 2" xfId="50505" xr:uid="{00000000-0005-0000-0000-000031080000}"/>
    <cellStyle name="Comma 5 2 3 2 2 8 4" xfId="31435" xr:uid="{00000000-0005-0000-0000-000032080000}"/>
    <cellStyle name="Comma 5 2 3 2 2 9" xfId="7318" xr:uid="{00000000-0005-0000-0000-000033080000}"/>
    <cellStyle name="Comma 5 2 3 2 2 9 2" xfId="19727" xr:uid="{00000000-0005-0000-0000-000034080000}"/>
    <cellStyle name="Comma 5 2 3 2 2 9 2 2" xfId="45280" xr:uid="{00000000-0005-0000-0000-000035080000}"/>
    <cellStyle name="Comma 5 2 3 2 2 9 3" xfId="32875" xr:uid="{00000000-0005-0000-0000-000036080000}"/>
    <cellStyle name="Comma 5 2 3 2 3" xfId="494" xr:uid="{00000000-0005-0000-0000-000037080000}"/>
    <cellStyle name="Comma 5 2 3 2 3 10" xfId="26423" xr:uid="{00000000-0005-0000-0000-000038080000}"/>
    <cellStyle name="Comma 5 2 3 2 3 2" xfId="633" xr:uid="{00000000-0005-0000-0000-000039080000}"/>
    <cellStyle name="Comma 5 2 3 2 3 2 2" xfId="3119" xr:uid="{00000000-0005-0000-0000-00003A080000}"/>
    <cellStyle name="Comma 5 2 3 2 3 2 2 2" xfId="12262" xr:uid="{00000000-0005-0000-0000-00003B080000}"/>
    <cellStyle name="Comma 5 2 3 2 3 2 2 2 2" xfId="22480" xr:uid="{00000000-0005-0000-0000-00003C080000}"/>
    <cellStyle name="Comma 5 2 3 2 3 2 2 2 2 2" xfId="48033" xr:uid="{00000000-0005-0000-0000-00003D080000}"/>
    <cellStyle name="Comma 5 2 3 2 3 2 2 2 3" xfId="37817" xr:uid="{00000000-0005-0000-0000-00003E080000}"/>
    <cellStyle name="Comma 5 2 3 2 3 2 2 3" xfId="8684" xr:uid="{00000000-0005-0000-0000-00003F080000}"/>
    <cellStyle name="Comma 5 2 3 2 3 2 2 3 2" xfId="34241" xr:uid="{00000000-0005-0000-0000-000040080000}"/>
    <cellStyle name="Comma 5 2 3 2 3 2 2 4" xfId="17473" xr:uid="{00000000-0005-0000-0000-000041080000}"/>
    <cellStyle name="Comma 5 2 3 2 3 2 2 4 2" xfId="43026" xr:uid="{00000000-0005-0000-0000-000042080000}"/>
    <cellStyle name="Comma 5 2 3 2 3 2 2 5" xfId="28963" xr:uid="{00000000-0005-0000-0000-000043080000}"/>
    <cellStyle name="Comma 5 2 3 2 3 2 3" xfId="4448" xr:uid="{00000000-0005-0000-0000-000044080000}"/>
    <cellStyle name="Comma 5 2 3 2 3 2 3 2" xfId="13286" xr:uid="{00000000-0005-0000-0000-000045080000}"/>
    <cellStyle name="Comma 5 2 3 2 3 2 3 2 2" xfId="23537" xr:uid="{00000000-0005-0000-0000-000046080000}"/>
    <cellStyle name="Comma 5 2 3 2 3 2 3 2 2 2" xfId="49090" xr:uid="{00000000-0005-0000-0000-000047080000}"/>
    <cellStyle name="Comma 5 2 3 2 3 2 3 2 3" xfId="38841" xr:uid="{00000000-0005-0000-0000-000048080000}"/>
    <cellStyle name="Comma 5 2 3 2 3 2 3 3" xfId="9707" xr:uid="{00000000-0005-0000-0000-000049080000}"/>
    <cellStyle name="Comma 5 2 3 2 3 2 3 3 2" xfId="35264" xr:uid="{00000000-0005-0000-0000-00004A080000}"/>
    <cellStyle name="Comma 5 2 3 2 3 2 3 4" xfId="18530" xr:uid="{00000000-0005-0000-0000-00004B080000}"/>
    <cellStyle name="Comma 5 2 3 2 3 2 3 4 2" xfId="44083" xr:uid="{00000000-0005-0000-0000-00004C080000}"/>
    <cellStyle name="Comma 5 2 3 2 3 2 3 5" xfId="30020" xr:uid="{00000000-0005-0000-0000-00004D080000}"/>
    <cellStyle name="Comma 5 2 3 2 3 2 4" xfId="2228" xr:uid="{00000000-0005-0000-0000-00004E080000}"/>
    <cellStyle name="Comma 5 2 3 2 3 2 4 2" xfId="11593" xr:uid="{00000000-0005-0000-0000-00004F080000}"/>
    <cellStyle name="Comma 5 2 3 2 3 2 4 2 2" xfId="37148" xr:uid="{00000000-0005-0000-0000-000050080000}"/>
    <cellStyle name="Comma 5 2 3 2 3 2 4 3" xfId="21597" xr:uid="{00000000-0005-0000-0000-000051080000}"/>
    <cellStyle name="Comma 5 2 3 2 3 2 4 3 2" xfId="47150" xr:uid="{00000000-0005-0000-0000-000052080000}"/>
    <cellStyle name="Comma 5 2 3 2 3 2 4 4" xfId="28080" xr:uid="{00000000-0005-0000-0000-000053080000}"/>
    <cellStyle name="Comma 5 2 3 2 3 2 5" xfId="5904" xr:uid="{00000000-0005-0000-0000-000054080000}"/>
    <cellStyle name="Comma 5 2 3 2 3 2 5 2" xfId="14731" xr:uid="{00000000-0005-0000-0000-000055080000}"/>
    <cellStyle name="Comma 5 2 3 2 3 2 5 2 2" xfId="40286" xr:uid="{00000000-0005-0000-0000-000056080000}"/>
    <cellStyle name="Comma 5 2 3 2 3 2 5 3" xfId="24982" xr:uid="{00000000-0005-0000-0000-000057080000}"/>
    <cellStyle name="Comma 5 2 3 2 3 2 5 3 2" xfId="50535" xr:uid="{00000000-0005-0000-0000-000058080000}"/>
    <cellStyle name="Comma 5 2 3 2 3 2 5 4" xfId="31465" xr:uid="{00000000-0005-0000-0000-000059080000}"/>
    <cellStyle name="Comma 5 2 3 2 3 2 6" xfId="7348" xr:uid="{00000000-0005-0000-0000-00005A080000}"/>
    <cellStyle name="Comma 5 2 3 2 3 2 6 2" xfId="20079" xr:uid="{00000000-0005-0000-0000-00005B080000}"/>
    <cellStyle name="Comma 5 2 3 2 3 2 6 2 2" xfId="45632" xr:uid="{00000000-0005-0000-0000-00005C080000}"/>
    <cellStyle name="Comma 5 2 3 2 3 2 6 3" xfId="32905" xr:uid="{00000000-0005-0000-0000-00005D080000}"/>
    <cellStyle name="Comma 5 2 3 2 3 2 7" xfId="16590" xr:uid="{00000000-0005-0000-0000-00005E080000}"/>
    <cellStyle name="Comma 5 2 3 2 3 2 7 2" xfId="42143" xr:uid="{00000000-0005-0000-0000-00005F080000}"/>
    <cellStyle name="Comma 5 2 3 2 3 2 8" xfId="26562" xr:uid="{00000000-0005-0000-0000-000060080000}"/>
    <cellStyle name="Comma 5 2 3 2 3 3" xfId="1266" xr:uid="{00000000-0005-0000-0000-000061080000}"/>
    <cellStyle name="Comma 5 2 3 2 3 3 2" xfId="3695" xr:uid="{00000000-0005-0000-0000-000062080000}"/>
    <cellStyle name="Comma 5 2 3 2 3 3 2 2" xfId="12831" xr:uid="{00000000-0005-0000-0000-000063080000}"/>
    <cellStyle name="Comma 5 2 3 2 3 3 2 2 2" xfId="23050" xr:uid="{00000000-0005-0000-0000-000064080000}"/>
    <cellStyle name="Comma 5 2 3 2 3 3 2 2 2 2" xfId="48603" xr:uid="{00000000-0005-0000-0000-000065080000}"/>
    <cellStyle name="Comma 5 2 3 2 3 3 2 2 3" xfId="38386" xr:uid="{00000000-0005-0000-0000-000066080000}"/>
    <cellStyle name="Comma 5 2 3 2 3 3 2 3" xfId="9252" xr:uid="{00000000-0005-0000-0000-000067080000}"/>
    <cellStyle name="Comma 5 2 3 2 3 3 2 3 2" xfId="34809" xr:uid="{00000000-0005-0000-0000-000068080000}"/>
    <cellStyle name="Comma 5 2 3 2 3 3 2 4" xfId="18043" xr:uid="{00000000-0005-0000-0000-000069080000}"/>
    <cellStyle name="Comma 5 2 3 2 3 3 2 4 2" xfId="43596" xr:uid="{00000000-0005-0000-0000-00006A080000}"/>
    <cellStyle name="Comma 5 2 3 2 3 3 2 5" xfId="29533" xr:uid="{00000000-0005-0000-0000-00006B080000}"/>
    <cellStyle name="Comma 5 2 3 2 3 3 3" xfId="4797" xr:uid="{00000000-0005-0000-0000-00006C080000}"/>
    <cellStyle name="Comma 5 2 3 2 3 3 3 2" xfId="13634" xr:uid="{00000000-0005-0000-0000-00006D080000}"/>
    <cellStyle name="Comma 5 2 3 2 3 3 3 2 2" xfId="23885" xr:uid="{00000000-0005-0000-0000-00006E080000}"/>
    <cellStyle name="Comma 5 2 3 2 3 3 3 2 2 2" xfId="49438" xr:uid="{00000000-0005-0000-0000-00006F080000}"/>
    <cellStyle name="Comma 5 2 3 2 3 3 3 2 3" xfId="39189" xr:uid="{00000000-0005-0000-0000-000070080000}"/>
    <cellStyle name="Comma 5 2 3 2 3 3 3 3" xfId="10055" xr:uid="{00000000-0005-0000-0000-000071080000}"/>
    <cellStyle name="Comma 5 2 3 2 3 3 3 3 2" xfId="35612" xr:uid="{00000000-0005-0000-0000-000072080000}"/>
    <cellStyle name="Comma 5 2 3 2 3 3 3 4" xfId="18878" xr:uid="{00000000-0005-0000-0000-000073080000}"/>
    <cellStyle name="Comma 5 2 3 2 3 3 3 4 2" xfId="44431" xr:uid="{00000000-0005-0000-0000-000074080000}"/>
    <cellStyle name="Comma 5 2 3 2 3 3 3 5" xfId="30368" xr:uid="{00000000-0005-0000-0000-000075080000}"/>
    <cellStyle name="Comma 5 2 3 2 3 3 4" xfId="2089" xr:uid="{00000000-0005-0000-0000-000076080000}"/>
    <cellStyle name="Comma 5 2 3 2 3 3 4 2" xfId="11454" xr:uid="{00000000-0005-0000-0000-000077080000}"/>
    <cellStyle name="Comma 5 2 3 2 3 3 4 2 2" xfId="37009" xr:uid="{00000000-0005-0000-0000-000078080000}"/>
    <cellStyle name="Comma 5 2 3 2 3 3 4 3" xfId="21458" xr:uid="{00000000-0005-0000-0000-000079080000}"/>
    <cellStyle name="Comma 5 2 3 2 3 3 4 3 2" xfId="47011" xr:uid="{00000000-0005-0000-0000-00007A080000}"/>
    <cellStyle name="Comma 5 2 3 2 3 3 4 4" xfId="27941" xr:uid="{00000000-0005-0000-0000-00007B080000}"/>
    <cellStyle name="Comma 5 2 3 2 3 3 5" xfId="6252" xr:uid="{00000000-0005-0000-0000-00007C080000}"/>
    <cellStyle name="Comma 5 2 3 2 3 3 5 2" xfId="15079" xr:uid="{00000000-0005-0000-0000-00007D080000}"/>
    <cellStyle name="Comma 5 2 3 2 3 3 5 2 2" xfId="40634" xr:uid="{00000000-0005-0000-0000-00007E080000}"/>
    <cellStyle name="Comma 5 2 3 2 3 3 5 3" xfId="25330" xr:uid="{00000000-0005-0000-0000-00007F080000}"/>
    <cellStyle name="Comma 5 2 3 2 3 3 5 3 2" xfId="50883" xr:uid="{00000000-0005-0000-0000-000080080000}"/>
    <cellStyle name="Comma 5 2 3 2 3 3 5 4" xfId="31813" xr:uid="{00000000-0005-0000-0000-000081080000}"/>
    <cellStyle name="Comma 5 2 3 2 3 3 6" xfId="7698" xr:uid="{00000000-0005-0000-0000-000082080000}"/>
    <cellStyle name="Comma 5 2 3 2 3 3 6 2" xfId="20649" xr:uid="{00000000-0005-0000-0000-000083080000}"/>
    <cellStyle name="Comma 5 2 3 2 3 3 6 2 2" xfId="46202" xr:uid="{00000000-0005-0000-0000-000084080000}"/>
    <cellStyle name="Comma 5 2 3 2 3 3 6 3" xfId="33255" xr:uid="{00000000-0005-0000-0000-000085080000}"/>
    <cellStyle name="Comma 5 2 3 2 3 3 7" xfId="16451" xr:uid="{00000000-0005-0000-0000-000086080000}"/>
    <cellStyle name="Comma 5 2 3 2 3 3 7 2" xfId="42004" xr:uid="{00000000-0005-0000-0000-000087080000}"/>
    <cellStyle name="Comma 5 2 3 2 3 3 8" xfId="27132" xr:uid="{00000000-0005-0000-0000-000088080000}"/>
    <cellStyle name="Comma 5 2 3 2 3 4" xfId="2980" xr:uid="{00000000-0005-0000-0000-000089080000}"/>
    <cellStyle name="Comma 5 2 3 2 3 4 2" xfId="5358" xr:uid="{00000000-0005-0000-0000-00008A080000}"/>
    <cellStyle name="Comma 5 2 3 2 3 4 2 2" xfId="14195" xr:uid="{00000000-0005-0000-0000-00008B080000}"/>
    <cellStyle name="Comma 5 2 3 2 3 4 2 2 2" xfId="24446" xr:uid="{00000000-0005-0000-0000-00008C080000}"/>
    <cellStyle name="Comma 5 2 3 2 3 4 2 2 2 2" xfId="49999" xr:uid="{00000000-0005-0000-0000-00008D080000}"/>
    <cellStyle name="Comma 5 2 3 2 3 4 2 2 3" xfId="39750" xr:uid="{00000000-0005-0000-0000-00008E080000}"/>
    <cellStyle name="Comma 5 2 3 2 3 4 2 3" xfId="10616" xr:uid="{00000000-0005-0000-0000-00008F080000}"/>
    <cellStyle name="Comma 5 2 3 2 3 4 2 3 2" xfId="36173" xr:uid="{00000000-0005-0000-0000-000090080000}"/>
    <cellStyle name="Comma 5 2 3 2 3 4 2 4" xfId="19439" xr:uid="{00000000-0005-0000-0000-000091080000}"/>
    <cellStyle name="Comma 5 2 3 2 3 4 2 4 2" xfId="44992" xr:uid="{00000000-0005-0000-0000-000092080000}"/>
    <cellStyle name="Comma 5 2 3 2 3 4 2 5" xfId="30929" xr:uid="{00000000-0005-0000-0000-000093080000}"/>
    <cellStyle name="Comma 5 2 3 2 3 4 3" xfId="6813" xr:uid="{00000000-0005-0000-0000-000094080000}"/>
    <cellStyle name="Comma 5 2 3 2 3 4 3 2" xfId="15640" xr:uid="{00000000-0005-0000-0000-000095080000}"/>
    <cellStyle name="Comma 5 2 3 2 3 4 3 2 2" xfId="41195" xr:uid="{00000000-0005-0000-0000-000096080000}"/>
    <cellStyle name="Comma 5 2 3 2 3 4 3 3" xfId="25891" xr:uid="{00000000-0005-0000-0000-000097080000}"/>
    <cellStyle name="Comma 5 2 3 2 3 4 3 3 2" xfId="51444" xr:uid="{00000000-0005-0000-0000-000098080000}"/>
    <cellStyle name="Comma 5 2 3 2 3 4 3 4" xfId="32374" xr:uid="{00000000-0005-0000-0000-000099080000}"/>
    <cellStyle name="Comma 5 2 3 2 3 4 4" xfId="8259" xr:uid="{00000000-0005-0000-0000-00009A080000}"/>
    <cellStyle name="Comma 5 2 3 2 3 4 4 2" xfId="22341" xr:uid="{00000000-0005-0000-0000-00009B080000}"/>
    <cellStyle name="Comma 5 2 3 2 3 4 4 2 2" xfId="47894" xr:uid="{00000000-0005-0000-0000-00009C080000}"/>
    <cellStyle name="Comma 5 2 3 2 3 4 4 3" xfId="33816" xr:uid="{00000000-0005-0000-0000-00009D080000}"/>
    <cellStyle name="Comma 5 2 3 2 3 4 5" xfId="17334" xr:uid="{00000000-0005-0000-0000-00009E080000}"/>
    <cellStyle name="Comma 5 2 3 2 3 4 5 2" xfId="42887" xr:uid="{00000000-0005-0000-0000-00009F080000}"/>
    <cellStyle name="Comma 5 2 3 2 3 4 6" xfId="28824" xr:uid="{00000000-0005-0000-0000-0000A0080000}"/>
    <cellStyle name="Comma 5 2 3 2 3 5" xfId="4314" xr:uid="{00000000-0005-0000-0000-0000A1080000}"/>
    <cellStyle name="Comma 5 2 3 2 3 5 2" xfId="13152" xr:uid="{00000000-0005-0000-0000-0000A2080000}"/>
    <cellStyle name="Comma 5 2 3 2 3 5 2 2" xfId="23403" xr:uid="{00000000-0005-0000-0000-0000A3080000}"/>
    <cellStyle name="Comma 5 2 3 2 3 5 2 2 2" xfId="48956" xr:uid="{00000000-0005-0000-0000-0000A4080000}"/>
    <cellStyle name="Comma 5 2 3 2 3 5 2 3" xfId="38707" xr:uid="{00000000-0005-0000-0000-0000A5080000}"/>
    <cellStyle name="Comma 5 2 3 2 3 5 3" xfId="9573" xr:uid="{00000000-0005-0000-0000-0000A6080000}"/>
    <cellStyle name="Comma 5 2 3 2 3 5 3 2" xfId="35130" xr:uid="{00000000-0005-0000-0000-0000A7080000}"/>
    <cellStyle name="Comma 5 2 3 2 3 5 4" xfId="18396" xr:uid="{00000000-0005-0000-0000-0000A8080000}"/>
    <cellStyle name="Comma 5 2 3 2 3 5 4 2" xfId="43949" xr:uid="{00000000-0005-0000-0000-0000A9080000}"/>
    <cellStyle name="Comma 5 2 3 2 3 5 5" xfId="29886" xr:uid="{00000000-0005-0000-0000-0000AA080000}"/>
    <cellStyle name="Comma 5 2 3 2 3 6" xfId="1586" xr:uid="{00000000-0005-0000-0000-0000AB080000}"/>
    <cellStyle name="Comma 5 2 3 2 3 6 2" xfId="10963" xr:uid="{00000000-0005-0000-0000-0000AC080000}"/>
    <cellStyle name="Comma 5 2 3 2 3 6 2 2" xfId="36518" xr:uid="{00000000-0005-0000-0000-0000AD080000}"/>
    <cellStyle name="Comma 5 2 3 2 3 6 3" xfId="20967" xr:uid="{00000000-0005-0000-0000-0000AE080000}"/>
    <cellStyle name="Comma 5 2 3 2 3 6 3 2" xfId="46520" xr:uid="{00000000-0005-0000-0000-0000AF080000}"/>
    <cellStyle name="Comma 5 2 3 2 3 6 4" xfId="27450" xr:uid="{00000000-0005-0000-0000-0000B0080000}"/>
    <cellStyle name="Comma 5 2 3 2 3 7" xfId="5770" xr:uid="{00000000-0005-0000-0000-0000B1080000}"/>
    <cellStyle name="Comma 5 2 3 2 3 7 2" xfId="14597" xr:uid="{00000000-0005-0000-0000-0000B2080000}"/>
    <cellStyle name="Comma 5 2 3 2 3 7 2 2" xfId="40152" xr:uid="{00000000-0005-0000-0000-0000B3080000}"/>
    <cellStyle name="Comma 5 2 3 2 3 7 3" xfId="24848" xr:uid="{00000000-0005-0000-0000-0000B4080000}"/>
    <cellStyle name="Comma 5 2 3 2 3 7 3 2" xfId="50401" xr:uid="{00000000-0005-0000-0000-0000B5080000}"/>
    <cellStyle name="Comma 5 2 3 2 3 7 4" xfId="31331" xr:uid="{00000000-0005-0000-0000-0000B6080000}"/>
    <cellStyle name="Comma 5 2 3 2 3 8" xfId="7214" xr:uid="{00000000-0005-0000-0000-0000B7080000}"/>
    <cellStyle name="Comma 5 2 3 2 3 8 2" xfId="19940" xr:uid="{00000000-0005-0000-0000-0000B8080000}"/>
    <cellStyle name="Comma 5 2 3 2 3 8 2 2" xfId="45493" xr:uid="{00000000-0005-0000-0000-0000B9080000}"/>
    <cellStyle name="Comma 5 2 3 2 3 8 3" xfId="32771" xr:uid="{00000000-0005-0000-0000-0000BA080000}"/>
    <cellStyle name="Comma 5 2 3 2 3 9" xfId="15960" xr:uid="{00000000-0005-0000-0000-0000BB080000}"/>
    <cellStyle name="Comma 5 2 3 2 3 9 2" xfId="41513" xr:uid="{00000000-0005-0000-0000-0000BC080000}"/>
    <cellStyle name="Comma 5 2 3 2 4" xfId="394" xr:uid="{00000000-0005-0000-0000-0000BD080000}"/>
    <cellStyle name="Comma 5 2 3 2 4 2" xfId="2880" xr:uid="{00000000-0005-0000-0000-0000BE080000}"/>
    <cellStyle name="Comma 5 2 3 2 4 2 2" xfId="12168" xr:uid="{00000000-0005-0000-0000-0000BF080000}"/>
    <cellStyle name="Comma 5 2 3 2 4 2 2 2" xfId="22241" xr:uid="{00000000-0005-0000-0000-0000C0080000}"/>
    <cellStyle name="Comma 5 2 3 2 4 2 2 2 2" xfId="47794" xr:uid="{00000000-0005-0000-0000-0000C1080000}"/>
    <cellStyle name="Comma 5 2 3 2 4 2 2 3" xfId="37723" xr:uid="{00000000-0005-0000-0000-0000C2080000}"/>
    <cellStyle name="Comma 5 2 3 2 4 2 3" xfId="8636" xr:uid="{00000000-0005-0000-0000-0000C3080000}"/>
    <cellStyle name="Comma 5 2 3 2 4 2 3 2" xfId="34193" xr:uid="{00000000-0005-0000-0000-0000C4080000}"/>
    <cellStyle name="Comma 5 2 3 2 4 2 4" xfId="17234" xr:uid="{00000000-0005-0000-0000-0000C5080000}"/>
    <cellStyle name="Comma 5 2 3 2 4 2 4 2" xfId="42787" xr:uid="{00000000-0005-0000-0000-0000C6080000}"/>
    <cellStyle name="Comma 5 2 3 2 4 2 5" xfId="28724" xr:uid="{00000000-0005-0000-0000-0000C7080000}"/>
    <cellStyle name="Comma 5 2 3 2 4 3" xfId="4446" xr:uid="{00000000-0005-0000-0000-0000C8080000}"/>
    <cellStyle name="Comma 5 2 3 2 4 3 2" xfId="13284" xr:uid="{00000000-0005-0000-0000-0000C9080000}"/>
    <cellStyle name="Comma 5 2 3 2 4 3 2 2" xfId="23535" xr:uid="{00000000-0005-0000-0000-0000CA080000}"/>
    <cellStyle name="Comma 5 2 3 2 4 3 2 2 2" xfId="49088" xr:uid="{00000000-0005-0000-0000-0000CB080000}"/>
    <cellStyle name="Comma 5 2 3 2 4 3 2 3" xfId="38839" xr:uid="{00000000-0005-0000-0000-0000CC080000}"/>
    <cellStyle name="Comma 5 2 3 2 4 3 3" xfId="9705" xr:uid="{00000000-0005-0000-0000-0000CD080000}"/>
    <cellStyle name="Comma 5 2 3 2 4 3 3 2" xfId="35262" xr:uid="{00000000-0005-0000-0000-0000CE080000}"/>
    <cellStyle name="Comma 5 2 3 2 4 3 4" xfId="18528" xr:uid="{00000000-0005-0000-0000-0000CF080000}"/>
    <cellStyle name="Comma 5 2 3 2 4 3 4 2" xfId="44081" xr:uid="{00000000-0005-0000-0000-0000D0080000}"/>
    <cellStyle name="Comma 5 2 3 2 4 3 5" xfId="30018" xr:uid="{00000000-0005-0000-0000-0000D1080000}"/>
    <cellStyle name="Comma 5 2 3 2 4 4" xfId="1989" xr:uid="{00000000-0005-0000-0000-0000D2080000}"/>
    <cellStyle name="Comma 5 2 3 2 4 4 2" xfId="11354" xr:uid="{00000000-0005-0000-0000-0000D3080000}"/>
    <cellStyle name="Comma 5 2 3 2 4 4 2 2" xfId="36909" xr:uid="{00000000-0005-0000-0000-0000D4080000}"/>
    <cellStyle name="Comma 5 2 3 2 4 4 3" xfId="21358" xr:uid="{00000000-0005-0000-0000-0000D5080000}"/>
    <cellStyle name="Comma 5 2 3 2 4 4 3 2" xfId="46911" xr:uid="{00000000-0005-0000-0000-0000D6080000}"/>
    <cellStyle name="Comma 5 2 3 2 4 4 4" xfId="27841" xr:uid="{00000000-0005-0000-0000-0000D7080000}"/>
    <cellStyle name="Comma 5 2 3 2 4 5" xfId="5902" xr:uid="{00000000-0005-0000-0000-0000D8080000}"/>
    <cellStyle name="Comma 5 2 3 2 4 5 2" xfId="14729" xr:uid="{00000000-0005-0000-0000-0000D9080000}"/>
    <cellStyle name="Comma 5 2 3 2 4 5 2 2" xfId="40284" xr:uid="{00000000-0005-0000-0000-0000DA080000}"/>
    <cellStyle name="Comma 5 2 3 2 4 5 3" xfId="24980" xr:uid="{00000000-0005-0000-0000-0000DB080000}"/>
    <cellStyle name="Comma 5 2 3 2 4 5 3 2" xfId="50533" xr:uid="{00000000-0005-0000-0000-0000DC080000}"/>
    <cellStyle name="Comma 5 2 3 2 4 5 4" xfId="31463" xr:uid="{00000000-0005-0000-0000-0000DD080000}"/>
    <cellStyle name="Comma 5 2 3 2 4 6" xfId="7346" xr:uid="{00000000-0005-0000-0000-0000DE080000}"/>
    <cellStyle name="Comma 5 2 3 2 4 6 2" xfId="19840" xr:uid="{00000000-0005-0000-0000-0000DF080000}"/>
    <cellStyle name="Comma 5 2 3 2 4 6 2 2" xfId="45393" xr:uid="{00000000-0005-0000-0000-0000E0080000}"/>
    <cellStyle name="Comma 5 2 3 2 4 6 3" xfId="32903" xr:uid="{00000000-0005-0000-0000-0000E1080000}"/>
    <cellStyle name="Comma 5 2 3 2 4 7" xfId="16351" xr:uid="{00000000-0005-0000-0000-0000E2080000}"/>
    <cellStyle name="Comma 5 2 3 2 4 7 2" xfId="41904" xr:uid="{00000000-0005-0000-0000-0000E3080000}"/>
    <cellStyle name="Comma 5 2 3 2 4 8" xfId="26323" xr:uid="{00000000-0005-0000-0000-0000E4080000}"/>
    <cellStyle name="Comma 5 2 3 2 5" xfId="631" xr:uid="{00000000-0005-0000-0000-0000E5080000}"/>
    <cellStyle name="Comma 5 2 3 2 5 2" xfId="3117" xr:uid="{00000000-0005-0000-0000-0000E6080000}"/>
    <cellStyle name="Comma 5 2 3 2 5 2 2" xfId="12260" xr:uid="{00000000-0005-0000-0000-0000E7080000}"/>
    <cellStyle name="Comma 5 2 3 2 5 2 2 2" xfId="22478" xr:uid="{00000000-0005-0000-0000-0000E8080000}"/>
    <cellStyle name="Comma 5 2 3 2 5 2 2 2 2" xfId="48031" xr:uid="{00000000-0005-0000-0000-0000E9080000}"/>
    <cellStyle name="Comma 5 2 3 2 5 2 2 3" xfId="37815" xr:uid="{00000000-0005-0000-0000-0000EA080000}"/>
    <cellStyle name="Comma 5 2 3 2 5 2 3" xfId="8682" xr:uid="{00000000-0005-0000-0000-0000EB080000}"/>
    <cellStyle name="Comma 5 2 3 2 5 2 3 2" xfId="34239" xr:uid="{00000000-0005-0000-0000-0000EC080000}"/>
    <cellStyle name="Comma 5 2 3 2 5 2 4" xfId="17471" xr:uid="{00000000-0005-0000-0000-0000ED080000}"/>
    <cellStyle name="Comma 5 2 3 2 5 2 4 2" xfId="43024" xr:uid="{00000000-0005-0000-0000-0000EE080000}"/>
    <cellStyle name="Comma 5 2 3 2 5 2 5" xfId="28961" xr:uid="{00000000-0005-0000-0000-0000EF080000}"/>
    <cellStyle name="Comma 5 2 3 2 5 3" xfId="4795" xr:uid="{00000000-0005-0000-0000-0000F0080000}"/>
    <cellStyle name="Comma 5 2 3 2 5 3 2" xfId="13632" xr:uid="{00000000-0005-0000-0000-0000F1080000}"/>
    <cellStyle name="Comma 5 2 3 2 5 3 2 2" xfId="23883" xr:uid="{00000000-0005-0000-0000-0000F2080000}"/>
    <cellStyle name="Comma 5 2 3 2 5 3 2 2 2" xfId="49436" xr:uid="{00000000-0005-0000-0000-0000F3080000}"/>
    <cellStyle name="Comma 5 2 3 2 5 3 2 3" xfId="39187" xr:uid="{00000000-0005-0000-0000-0000F4080000}"/>
    <cellStyle name="Comma 5 2 3 2 5 3 3" xfId="10053" xr:uid="{00000000-0005-0000-0000-0000F5080000}"/>
    <cellStyle name="Comma 5 2 3 2 5 3 3 2" xfId="35610" xr:uid="{00000000-0005-0000-0000-0000F6080000}"/>
    <cellStyle name="Comma 5 2 3 2 5 3 4" xfId="18876" xr:uid="{00000000-0005-0000-0000-0000F7080000}"/>
    <cellStyle name="Comma 5 2 3 2 5 3 4 2" xfId="44429" xr:uid="{00000000-0005-0000-0000-0000F8080000}"/>
    <cellStyle name="Comma 5 2 3 2 5 3 5" xfId="30366" xr:uid="{00000000-0005-0000-0000-0000F9080000}"/>
    <cellStyle name="Comma 5 2 3 2 5 4" xfId="2226" xr:uid="{00000000-0005-0000-0000-0000FA080000}"/>
    <cellStyle name="Comma 5 2 3 2 5 4 2" xfId="11591" xr:uid="{00000000-0005-0000-0000-0000FB080000}"/>
    <cellStyle name="Comma 5 2 3 2 5 4 2 2" xfId="37146" xr:uid="{00000000-0005-0000-0000-0000FC080000}"/>
    <cellStyle name="Comma 5 2 3 2 5 4 3" xfId="21595" xr:uid="{00000000-0005-0000-0000-0000FD080000}"/>
    <cellStyle name="Comma 5 2 3 2 5 4 3 2" xfId="47148" xr:uid="{00000000-0005-0000-0000-0000FE080000}"/>
    <cellStyle name="Comma 5 2 3 2 5 4 4" xfId="28078" xr:uid="{00000000-0005-0000-0000-0000FF080000}"/>
    <cellStyle name="Comma 5 2 3 2 5 5" xfId="6250" xr:uid="{00000000-0005-0000-0000-000000090000}"/>
    <cellStyle name="Comma 5 2 3 2 5 5 2" xfId="15077" xr:uid="{00000000-0005-0000-0000-000001090000}"/>
    <cellStyle name="Comma 5 2 3 2 5 5 2 2" xfId="40632" xr:uid="{00000000-0005-0000-0000-000002090000}"/>
    <cellStyle name="Comma 5 2 3 2 5 5 3" xfId="25328" xr:uid="{00000000-0005-0000-0000-000003090000}"/>
    <cellStyle name="Comma 5 2 3 2 5 5 3 2" xfId="50881" xr:uid="{00000000-0005-0000-0000-000004090000}"/>
    <cellStyle name="Comma 5 2 3 2 5 5 4" xfId="31811" xr:uid="{00000000-0005-0000-0000-000005090000}"/>
    <cellStyle name="Comma 5 2 3 2 5 6" xfId="7696" xr:uid="{00000000-0005-0000-0000-000006090000}"/>
    <cellStyle name="Comma 5 2 3 2 5 6 2" xfId="20077" xr:uid="{00000000-0005-0000-0000-000007090000}"/>
    <cellStyle name="Comma 5 2 3 2 5 6 2 2" xfId="45630" xr:uid="{00000000-0005-0000-0000-000008090000}"/>
    <cellStyle name="Comma 5 2 3 2 5 6 3" xfId="33253" xr:uid="{00000000-0005-0000-0000-000009090000}"/>
    <cellStyle name="Comma 5 2 3 2 5 7" xfId="16588" xr:uid="{00000000-0005-0000-0000-00000A090000}"/>
    <cellStyle name="Comma 5 2 3 2 5 7 2" xfId="42141" xr:uid="{00000000-0005-0000-0000-00000B090000}"/>
    <cellStyle name="Comma 5 2 3 2 5 8" xfId="26560" xr:uid="{00000000-0005-0000-0000-00000C090000}"/>
    <cellStyle name="Comma 5 2 3 2 6" xfId="1166" xr:uid="{00000000-0005-0000-0000-00000D090000}"/>
    <cellStyle name="Comma 5 2 3 2 6 2" xfId="3595" xr:uid="{00000000-0005-0000-0000-00000E090000}"/>
    <cellStyle name="Comma 5 2 3 2 6 2 2" xfId="12731" xr:uid="{00000000-0005-0000-0000-00000F090000}"/>
    <cellStyle name="Comma 5 2 3 2 6 2 2 2" xfId="22950" xr:uid="{00000000-0005-0000-0000-000010090000}"/>
    <cellStyle name="Comma 5 2 3 2 6 2 2 2 2" xfId="48503" xr:uid="{00000000-0005-0000-0000-000011090000}"/>
    <cellStyle name="Comma 5 2 3 2 6 2 2 3" xfId="38286" xr:uid="{00000000-0005-0000-0000-000012090000}"/>
    <cellStyle name="Comma 5 2 3 2 6 2 3" xfId="9152" xr:uid="{00000000-0005-0000-0000-000013090000}"/>
    <cellStyle name="Comma 5 2 3 2 6 2 3 2" xfId="34709" xr:uid="{00000000-0005-0000-0000-000014090000}"/>
    <cellStyle name="Comma 5 2 3 2 6 2 4" xfId="17943" xr:uid="{00000000-0005-0000-0000-000015090000}"/>
    <cellStyle name="Comma 5 2 3 2 6 2 4 2" xfId="43496" xr:uid="{00000000-0005-0000-0000-000016090000}"/>
    <cellStyle name="Comma 5 2 3 2 6 2 5" xfId="29433" xr:uid="{00000000-0005-0000-0000-000017090000}"/>
    <cellStyle name="Comma 5 2 3 2 6 3" xfId="5258" xr:uid="{00000000-0005-0000-0000-000018090000}"/>
    <cellStyle name="Comma 5 2 3 2 6 3 2" xfId="14095" xr:uid="{00000000-0005-0000-0000-000019090000}"/>
    <cellStyle name="Comma 5 2 3 2 6 3 2 2" xfId="24346" xr:uid="{00000000-0005-0000-0000-00001A090000}"/>
    <cellStyle name="Comma 5 2 3 2 6 3 2 2 2" xfId="49899" xr:uid="{00000000-0005-0000-0000-00001B090000}"/>
    <cellStyle name="Comma 5 2 3 2 6 3 2 3" xfId="39650" xr:uid="{00000000-0005-0000-0000-00001C090000}"/>
    <cellStyle name="Comma 5 2 3 2 6 3 3" xfId="10516" xr:uid="{00000000-0005-0000-0000-00001D090000}"/>
    <cellStyle name="Comma 5 2 3 2 6 3 3 2" xfId="36073" xr:uid="{00000000-0005-0000-0000-00001E090000}"/>
    <cellStyle name="Comma 5 2 3 2 6 3 4" xfId="19339" xr:uid="{00000000-0005-0000-0000-00001F090000}"/>
    <cellStyle name="Comma 5 2 3 2 6 3 4 2" xfId="44892" xr:uid="{00000000-0005-0000-0000-000020090000}"/>
    <cellStyle name="Comma 5 2 3 2 6 3 5" xfId="30829" xr:uid="{00000000-0005-0000-0000-000021090000}"/>
    <cellStyle name="Comma 5 2 3 2 6 4" xfId="1766" xr:uid="{00000000-0005-0000-0000-000022090000}"/>
    <cellStyle name="Comma 5 2 3 2 6 4 2" xfId="11137" xr:uid="{00000000-0005-0000-0000-000023090000}"/>
    <cellStyle name="Comma 5 2 3 2 6 4 2 2" xfId="36692" xr:uid="{00000000-0005-0000-0000-000024090000}"/>
    <cellStyle name="Comma 5 2 3 2 6 4 3" xfId="21141" xr:uid="{00000000-0005-0000-0000-000025090000}"/>
    <cellStyle name="Comma 5 2 3 2 6 4 3 2" xfId="46694" xr:uid="{00000000-0005-0000-0000-000026090000}"/>
    <cellStyle name="Comma 5 2 3 2 6 4 4" xfId="27624" xr:uid="{00000000-0005-0000-0000-000027090000}"/>
    <cellStyle name="Comma 5 2 3 2 6 5" xfId="6713" xr:uid="{00000000-0005-0000-0000-000028090000}"/>
    <cellStyle name="Comma 5 2 3 2 6 5 2" xfId="15540" xr:uid="{00000000-0005-0000-0000-000029090000}"/>
    <cellStyle name="Comma 5 2 3 2 6 5 2 2" xfId="41095" xr:uid="{00000000-0005-0000-0000-00002A090000}"/>
    <cellStyle name="Comma 5 2 3 2 6 5 3" xfId="25791" xr:uid="{00000000-0005-0000-0000-00002B090000}"/>
    <cellStyle name="Comma 5 2 3 2 6 5 3 2" xfId="51344" xr:uid="{00000000-0005-0000-0000-00002C090000}"/>
    <cellStyle name="Comma 5 2 3 2 6 5 4" xfId="32274" xr:uid="{00000000-0005-0000-0000-00002D090000}"/>
    <cellStyle name="Comma 5 2 3 2 6 6" xfId="8159" xr:uid="{00000000-0005-0000-0000-00002E090000}"/>
    <cellStyle name="Comma 5 2 3 2 6 6 2" xfId="20549" xr:uid="{00000000-0005-0000-0000-00002F090000}"/>
    <cellStyle name="Comma 5 2 3 2 6 6 2 2" xfId="46102" xr:uid="{00000000-0005-0000-0000-000030090000}"/>
    <cellStyle name="Comma 5 2 3 2 6 6 3" xfId="33716" xr:uid="{00000000-0005-0000-0000-000031090000}"/>
    <cellStyle name="Comma 5 2 3 2 6 7" xfId="16134" xr:uid="{00000000-0005-0000-0000-000032090000}"/>
    <cellStyle name="Comma 5 2 3 2 6 7 2" xfId="41687" xr:uid="{00000000-0005-0000-0000-000033090000}"/>
    <cellStyle name="Comma 5 2 3 2 6 8" xfId="27032" xr:uid="{00000000-0005-0000-0000-000034090000}"/>
    <cellStyle name="Comma 5 2 3 2 7" xfId="2663" xr:uid="{00000000-0005-0000-0000-000035090000}"/>
    <cellStyle name="Comma 5 2 3 2 7 2" xfId="11980" xr:uid="{00000000-0005-0000-0000-000036090000}"/>
    <cellStyle name="Comma 5 2 3 2 7 2 2" xfId="22024" xr:uid="{00000000-0005-0000-0000-000037090000}"/>
    <cellStyle name="Comma 5 2 3 2 7 2 2 2" xfId="47577" xr:uid="{00000000-0005-0000-0000-000038090000}"/>
    <cellStyle name="Comma 5 2 3 2 7 2 3" xfId="37535" xr:uid="{00000000-0005-0000-0000-000039090000}"/>
    <cellStyle name="Comma 5 2 3 2 7 3" xfId="8603" xr:uid="{00000000-0005-0000-0000-00003A090000}"/>
    <cellStyle name="Comma 5 2 3 2 7 3 2" xfId="34160" xr:uid="{00000000-0005-0000-0000-00003B090000}"/>
    <cellStyle name="Comma 5 2 3 2 7 4" xfId="17017" xr:uid="{00000000-0005-0000-0000-00003C090000}"/>
    <cellStyle name="Comma 5 2 3 2 7 4 2" xfId="42570" xr:uid="{00000000-0005-0000-0000-00003D090000}"/>
    <cellStyle name="Comma 5 2 3 2 7 5" xfId="28507" xr:uid="{00000000-0005-0000-0000-00003E090000}"/>
    <cellStyle name="Comma 5 2 3 2 8" xfId="4214" xr:uid="{00000000-0005-0000-0000-00003F090000}"/>
    <cellStyle name="Comma 5 2 3 2 8 2" xfId="13052" xr:uid="{00000000-0005-0000-0000-000040090000}"/>
    <cellStyle name="Comma 5 2 3 2 8 2 2" xfId="23303" xr:uid="{00000000-0005-0000-0000-000041090000}"/>
    <cellStyle name="Comma 5 2 3 2 8 2 2 2" xfId="48856" xr:uid="{00000000-0005-0000-0000-000042090000}"/>
    <cellStyle name="Comma 5 2 3 2 8 2 3" xfId="38607" xr:uid="{00000000-0005-0000-0000-000043090000}"/>
    <cellStyle name="Comma 5 2 3 2 8 3" xfId="9473" xr:uid="{00000000-0005-0000-0000-000044090000}"/>
    <cellStyle name="Comma 5 2 3 2 8 3 2" xfId="35030" xr:uid="{00000000-0005-0000-0000-000045090000}"/>
    <cellStyle name="Comma 5 2 3 2 8 4" xfId="18296" xr:uid="{00000000-0005-0000-0000-000046090000}"/>
    <cellStyle name="Comma 5 2 3 2 8 4 2" xfId="43849" xr:uid="{00000000-0005-0000-0000-000047090000}"/>
    <cellStyle name="Comma 5 2 3 2 8 5" xfId="29786" xr:uid="{00000000-0005-0000-0000-000048090000}"/>
    <cellStyle name="Comma 5 2 3 2 9" xfId="1486" xr:uid="{00000000-0005-0000-0000-000049090000}"/>
    <cellStyle name="Comma 5 2 3 2 9 2" xfId="10863" xr:uid="{00000000-0005-0000-0000-00004A090000}"/>
    <cellStyle name="Comma 5 2 3 2 9 2 2" xfId="36418" xr:uid="{00000000-0005-0000-0000-00004B090000}"/>
    <cellStyle name="Comma 5 2 3 2 9 3" xfId="20867" xr:uid="{00000000-0005-0000-0000-00004C090000}"/>
    <cellStyle name="Comma 5 2 3 2 9 3 2" xfId="46420" xr:uid="{00000000-0005-0000-0000-00004D090000}"/>
    <cellStyle name="Comma 5 2 3 2 9 4" xfId="27350" xr:uid="{00000000-0005-0000-0000-00004E090000}"/>
    <cellStyle name="Comma 5 2 3 3" xfId="211" xr:uid="{00000000-0005-0000-0000-00004F090000}"/>
    <cellStyle name="Comma 5 2 3 3 10" xfId="7157" xr:uid="{00000000-0005-0000-0000-000050090000}"/>
    <cellStyle name="Comma 5 2 3 3 10 2" xfId="19666" xr:uid="{00000000-0005-0000-0000-000051090000}"/>
    <cellStyle name="Comma 5 2 3 3 10 2 2" xfId="45219" xr:uid="{00000000-0005-0000-0000-000052090000}"/>
    <cellStyle name="Comma 5 2 3 3 10 3" xfId="32714" xr:uid="{00000000-0005-0000-0000-000053090000}"/>
    <cellStyle name="Comma 5 2 3 3 11" xfId="15903" xr:uid="{00000000-0005-0000-0000-000054090000}"/>
    <cellStyle name="Comma 5 2 3 3 11 2" xfId="41456" xr:uid="{00000000-0005-0000-0000-000055090000}"/>
    <cellStyle name="Comma 5 2 3 3 12" xfId="26149" xr:uid="{00000000-0005-0000-0000-000056090000}"/>
    <cellStyle name="Comma 5 2 3 3 2" xfId="537" xr:uid="{00000000-0005-0000-0000-000057090000}"/>
    <cellStyle name="Comma 5 2 3 3 2 10" xfId="26466" xr:uid="{00000000-0005-0000-0000-000058090000}"/>
    <cellStyle name="Comma 5 2 3 3 2 2" xfId="635" xr:uid="{00000000-0005-0000-0000-000059090000}"/>
    <cellStyle name="Comma 5 2 3 3 2 2 2" xfId="3121" xr:uid="{00000000-0005-0000-0000-00005A090000}"/>
    <cellStyle name="Comma 5 2 3 3 2 2 2 2" xfId="12264" xr:uid="{00000000-0005-0000-0000-00005B090000}"/>
    <cellStyle name="Comma 5 2 3 3 2 2 2 2 2" xfId="22482" xr:uid="{00000000-0005-0000-0000-00005C090000}"/>
    <cellStyle name="Comma 5 2 3 3 2 2 2 2 2 2" xfId="48035" xr:uid="{00000000-0005-0000-0000-00005D090000}"/>
    <cellStyle name="Comma 5 2 3 3 2 2 2 2 3" xfId="37819" xr:uid="{00000000-0005-0000-0000-00005E090000}"/>
    <cellStyle name="Comma 5 2 3 3 2 2 2 3" xfId="8686" xr:uid="{00000000-0005-0000-0000-00005F090000}"/>
    <cellStyle name="Comma 5 2 3 3 2 2 2 3 2" xfId="34243" xr:uid="{00000000-0005-0000-0000-000060090000}"/>
    <cellStyle name="Comma 5 2 3 3 2 2 2 4" xfId="17475" xr:uid="{00000000-0005-0000-0000-000061090000}"/>
    <cellStyle name="Comma 5 2 3 3 2 2 2 4 2" xfId="43028" xr:uid="{00000000-0005-0000-0000-000062090000}"/>
    <cellStyle name="Comma 5 2 3 3 2 2 2 5" xfId="28965" xr:uid="{00000000-0005-0000-0000-000063090000}"/>
    <cellStyle name="Comma 5 2 3 3 2 2 3" xfId="4450" xr:uid="{00000000-0005-0000-0000-000064090000}"/>
    <cellStyle name="Comma 5 2 3 3 2 2 3 2" xfId="13288" xr:uid="{00000000-0005-0000-0000-000065090000}"/>
    <cellStyle name="Comma 5 2 3 3 2 2 3 2 2" xfId="23539" xr:uid="{00000000-0005-0000-0000-000066090000}"/>
    <cellStyle name="Comma 5 2 3 3 2 2 3 2 2 2" xfId="49092" xr:uid="{00000000-0005-0000-0000-000067090000}"/>
    <cellStyle name="Comma 5 2 3 3 2 2 3 2 3" xfId="38843" xr:uid="{00000000-0005-0000-0000-000068090000}"/>
    <cellStyle name="Comma 5 2 3 3 2 2 3 3" xfId="9709" xr:uid="{00000000-0005-0000-0000-000069090000}"/>
    <cellStyle name="Comma 5 2 3 3 2 2 3 3 2" xfId="35266" xr:uid="{00000000-0005-0000-0000-00006A090000}"/>
    <cellStyle name="Comma 5 2 3 3 2 2 3 4" xfId="18532" xr:uid="{00000000-0005-0000-0000-00006B090000}"/>
    <cellStyle name="Comma 5 2 3 3 2 2 3 4 2" xfId="44085" xr:uid="{00000000-0005-0000-0000-00006C090000}"/>
    <cellStyle name="Comma 5 2 3 3 2 2 3 5" xfId="30022" xr:uid="{00000000-0005-0000-0000-00006D090000}"/>
    <cellStyle name="Comma 5 2 3 3 2 2 4" xfId="2230" xr:uid="{00000000-0005-0000-0000-00006E090000}"/>
    <cellStyle name="Comma 5 2 3 3 2 2 4 2" xfId="11595" xr:uid="{00000000-0005-0000-0000-00006F090000}"/>
    <cellStyle name="Comma 5 2 3 3 2 2 4 2 2" xfId="37150" xr:uid="{00000000-0005-0000-0000-000070090000}"/>
    <cellStyle name="Comma 5 2 3 3 2 2 4 3" xfId="21599" xr:uid="{00000000-0005-0000-0000-000071090000}"/>
    <cellStyle name="Comma 5 2 3 3 2 2 4 3 2" xfId="47152" xr:uid="{00000000-0005-0000-0000-000072090000}"/>
    <cellStyle name="Comma 5 2 3 3 2 2 4 4" xfId="28082" xr:uid="{00000000-0005-0000-0000-000073090000}"/>
    <cellStyle name="Comma 5 2 3 3 2 2 5" xfId="5906" xr:uid="{00000000-0005-0000-0000-000074090000}"/>
    <cellStyle name="Comma 5 2 3 3 2 2 5 2" xfId="14733" xr:uid="{00000000-0005-0000-0000-000075090000}"/>
    <cellStyle name="Comma 5 2 3 3 2 2 5 2 2" xfId="40288" xr:uid="{00000000-0005-0000-0000-000076090000}"/>
    <cellStyle name="Comma 5 2 3 3 2 2 5 3" xfId="24984" xr:uid="{00000000-0005-0000-0000-000077090000}"/>
    <cellStyle name="Comma 5 2 3 3 2 2 5 3 2" xfId="50537" xr:uid="{00000000-0005-0000-0000-000078090000}"/>
    <cellStyle name="Comma 5 2 3 3 2 2 5 4" xfId="31467" xr:uid="{00000000-0005-0000-0000-000079090000}"/>
    <cellStyle name="Comma 5 2 3 3 2 2 6" xfId="7350" xr:uid="{00000000-0005-0000-0000-00007A090000}"/>
    <cellStyle name="Comma 5 2 3 3 2 2 6 2" xfId="20081" xr:uid="{00000000-0005-0000-0000-00007B090000}"/>
    <cellStyle name="Comma 5 2 3 3 2 2 6 2 2" xfId="45634" xr:uid="{00000000-0005-0000-0000-00007C090000}"/>
    <cellStyle name="Comma 5 2 3 3 2 2 6 3" xfId="32907" xr:uid="{00000000-0005-0000-0000-00007D090000}"/>
    <cellStyle name="Comma 5 2 3 3 2 2 7" xfId="16592" xr:uid="{00000000-0005-0000-0000-00007E090000}"/>
    <cellStyle name="Comma 5 2 3 3 2 2 7 2" xfId="42145" xr:uid="{00000000-0005-0000-0000-00007F090000}"/>
    <cellStyle name="Comma 5 2 3 3 2 2 8" xfId="26564" xr:uid="{00000000-0005-0000-0000-000080090000}"/>
    <cellStyle name="Comma 5 2 3 3 2 3" xfId="1309" xr:uid="{00000000-0005-0000-0000-000081090000}"/>
    <cellStyle name="Comma 5 2 3 3 2 3 2" xfId="3738" xr:uid="{00000000-0005-0000-0000-000082090000}"/>
    <cellStyle name="Comma 5 2 3 3 2 3 2 2" xfId="12874" xr:uid="{00000000-0005-0000-0000-000083090000}"/>
    <cellStyle name="Comma 5 2 3 3 2 3 2 2 2" xfId="23093" xr:uid="{00000000-0005-0000-0000-000084090000}"/>
    <cellStyle name="Comma 5 2 3 3 2 3 2 2 2 2" xfId="48646" xr:uid="{00000000-0005-0000-0000-000085090000}"/>
    <cellStyle name="Comma 5 2 3 3 2 3 2 2 3" xfId="38429" xr:uid="{00000000-0005-0000-0000-000086090000}"/>
    <cellStyle name="Comma 5 2 3 3 2 3 2 3" xfId="9295" xr:uid="{00000000-0005-0000-0000-000087090000}"/>
    <cellStyle name="Comma 5 2 3 3 2 3 2 3 2" xfId="34852" xr:uid="{00000000-0005-0000-0000-000088090000}"/>
    <cellStyle name="Comma 5 2 3 3 2 3 2 4" xfId="18086" xr:uid="{00000000-0005-0000-0000-000089090000}"/>
    <cellStyle name="Comma 5 2 3 3 2 3 2 4 2" xfId="43639" xr:uid="{00000000-0005-0000-0000-00008A090000}"/>
    <cellStyle name="Comma 5 2 3 3 2 3 2 5" xfId="29576" xr:uid="{00000000-0005-0000-0000-00008B090000}"/>
    <cellStyle name="Comma 5 2 3 3 2 3 3" xfId="4799" xr:uid="{00000000-0005-0000-0000-00008C090000}"/>
    <cellStyle name="Comma 5 2 3 3 2 3 3 2" xfId="13636" xr:uid="{00000000-0005-0000-0000-00008D090000}"/>
    <cellStyle name="Comma 5 2 3 3 2 3 3 2 2" xfId="23887" xr:uid="{00000000-0005-0000-0000-00008E090000}"/>
    <cellStyle name="Comma 5 2 3 3 2 3 3 2 2 2" xfId="49440" xr:uid="{00000000-0005-0000-0000-00008F090000}"/>
    <cellStyle name="Comma 5 2 3 3 2 3 3 2 3" xfId="39191" xr:uid="{00000000-0005-0000-0000-000090090000}"/>
    <cellStyle name="Comma 5 2 3 3 2 3 3 3" xfId="10057" xr:uid="{00000000-0005-0000-0000-000091090000}"/>
    <cellStyle name="Comma 5 2 3 3 2 3 3 3 2" xfId="35614" xr:uid="{00000000-0005-0000-0000-000092090000}"/>
    <cellStyle name="Comma 5 2 3 3 2 3 3 4" xfId="18880" xr:uid="{00000000-0005-0000-0000-000093090000}"/>
    <cellStyle name="Comma 5 2 3 3 2 3 3 4 2" xfId="44433" xr:uid="{00000000-0005-0000-0000-000094090000}"/>
    <cellStyle name="Comma 5 2 3 3 2 3 3 5" xfId="30370" xr:uid="{00000000-0005-0000-0000-000095090000}"/>
    <cellStyle name="Comma 5 2 3 3 2 3 4" xfId="2132" xr:uid="{00000000-0005-0000-0000-000096090000}"/>
    <cellStyle name="Comma 5 2 3 3 2 3 4 2" xfId="11497" xr:uid="{00000000-0005-0000-0000-000097090000}"/>
    <cellStyle name="Comma 5 2 3 3 2 3 4 2 2" xfId="37052" xr:uid="{00000000-0005-0000-0000-000098090000}"/>
    <cellStyle name="Comma 5 2 3 3 2 3 4 3" xfId="21501" xr:uid="{00000000-0005-0000-0000-000099090000}"/>
    <cellStyle name="Comma 5 2 3 3 2 3 4 3 2" xfId="47054" xr:uid="{00000000-0005-0000-0000-00009A090000}"/>
    <cellStyle name="Comma 5 2 3 3 2 3 4 4" xfId="27984" xr:uid="{00000000-0005-0000-0000-00009B090000}"/>
    <cellStyle name="Comma 5 2 3 3 2 3 5" xfId="6254" xr:uid="{00000000-0005-0000-0000-00009C090000}"/>
    <cellStyle name="Comma 5 2 3 3 2 3 5 2" xfId="15081" xr:uid="{00000000-0005-0000-0000-00009D090000}"/>
    <cellStyle name="Comma 5 2 3 3 2 3 5 2 2" xfId="40636" xr:uid="{00000000-0005-0000-0000-00009E090000}"/>
    <cellStyle name="Comma 5 2 3 3 2 3 5 3" xfId="25332" xr:uid="{00000000-0005-0000-0000-00009F090000}"/>
    <cellStyle name="Comma 5 2 3 3 2 3 5 3 2" xfId="50885" xr:uid="{00000000-0005-0000-0000-0000A0090000}"/>
    <cellStyle name="Comma 5 2 3 3 2 3 5 4" xfId="31815" xr:uid="{00000000-0005-0000-0000-0000A1090000}"/>
    <cellStyle name="Comma 5 2 3 3 2 3 6" xfId="7700" xr:uid="{00000000-0005-0000-0000-0000A2090000}"/>
    <cellStyle name="Comma 5 2 3 3 2 3 6 2" xfId="20692" xr:uid="{00000000-0005-0000-0000-0000A3090000}"/>
    <cellStyle name="Comma 5 2 3 3 2 3 6 2 2" xfId="46245" xr:uid="{00000000-0005-0000-0000-0000A4090000}"/>
    <cellStyle name="Comma 5 2 3 3 2 3 6 3" xfId="33257" xr:uid="{00000000-0005-0000-0000-0000A5090000}"/>
    <cellStyle name="Comma 5 2 3 3 2 3 7" xfId="16494" xr:uid="{00000000-0005-0000-0000-0000A6090000}"/>
    <cellStyle name="Comma 5 2 3 3 2 3 7 2" xfId="42047" xr:uid="{00000000-0005-0000-0000-0000A7090000}"/>
    <cellStyle name="Comma 5 2 3 3 2 3 8" xfId="27175" xr:uid="{00000000-0005-0000-0000-0000A8090000}"/>
    <cellStyle name="Comma 5 2 3 3 2 4" xfId="3023" xr:uid="{00000000-0005-0000-0000-0000A9090000}"/>
    <cellStyle name="Comma 5 2 3 3 2 4 2" xfId="5401" xr:uid="{00000000-0005-0000-0000-0000AA090000}"/>
    <cellStyle name="Comma 5 2 3 3 2 4 2 2" xfId="14238" xr:uid="{00000000-0005-0000-0000-0000AB090000}"/>
    <cellStyle name="Comma 5 2 3 3 2 4 2 2 2" xfId="24489" xr:uid="{00000000-0005-0000-0000-0000AC090000}"/>
    <cellStyle name="Comma 5 2 3 3 2 4 2 2 2 2" xfId="50042" xr:uid="{00000000-0005-0000-0000-0000AD090000}"/>
    <cellStyle name="Comma 5 2 3 3 2 4 2 2 3" xfId="39793" xr:uid="{00000000-0005-0000-0000-0000AE090000}"/>
    <cellStyle name="Comma 5 2 3 3 2 4 2 3" xfId="10659" xr:uid="{00000000-0005-0000-0000-0000AF090000}"/>
    <cellStyle name="Comma 5 2 3 3 2 4 2 3 2" xfId="36216" xr:uid="{00000000-0005-0000-0000-0000B0090000}"/>
    <cellStyle name="Comma 5 2 3 3 2 4 2 4" xfId="19482" xr:uid="{00000000-0005-0000-0000-0000B1090000}"/>
    <cellStyle name="Comma 5 2 3 3 2 4 2 4 2" xfId="45035" xr:uid="{00000000-0005-0000-0000-0000B2090000}"/>
    <cellStyle name="Comma 5 2 3 3 2 4 2 5" xfId="30972" xr:uid="{00000000-0005-0000-0000-0000B3090000}"/>
    <cellStyle name="Comma 5 2 3 3 2 4 3" xfId="6856" xr:uid="{00000000-0005-0000-0000-0000B4090000}"/>
    <cellStyle name="Comma 5 2 3 3 2 4 3 2" xfId="15683" xr:uid="{00000000-0005-0000-0000-0000B5090000}"/>
    <cellStyle name="Comma 5 2 3 3 2 4 3 2 2" xfId="41238" xr:uid="{00000000-0005-0000-0000-0000B6090000}"/>
    <cellStyle name="Comma 5 2 3 3 2 4 3 3" xfId="25934" xr:uid="{00000000-0005-0000-0000-0000B7090000}"/>
    <cellStyle name="Comma 5 2 3 3 2 4 3 3 2" xfId="51487" xr:uid="{00000000-0005-0000-0000-0000B8090000}"/>
    <cellStyle name="Comma 5 2 3 3 2 4 3 4" xfId="32417" xr:uid="{00000000-0005-0000-0000-0000B9090000}"/>
    <cellStyle name="Comma 5 2 3 3 2 4 4" xfId="8302" xr:uid="{00000000-0005-0000-0000-0000BA090000}"/>
    <cellStyle name="Comma 5 2 3 3 2 4 4 2" xfId="22384" xr:uid="{00000000-0005-0000-0000-0000BB090000}"/>
    <cellStyle name="Comma 5 2 3 3 2 4 4 2 2" xfId="47937" xr:uid="{00000000-0005-0000-0000-0000BC090000}"/>
    <cellStyle name="Comma 5 2 3 3 2 4 4 3" xfId="33859" xr:uid="{00000000-0005-0000-0000-0000BD090000}"/>
    <cellStyle name="Comma 5 2 3 3 2 4 5" xfId="17377" xr:uid="{00000000-0005-0000-0000-0000BE090000}"/>
    <cellStyle name="Comma 5 2 3 3 2 4 5 2" xfId="42930" xr:uid="{00000000-0005-0000-0000-0000BF090000}"/>
    <cellStyle name="Comma 5 2 3 3 2 4 6" xfId="28867" xr:uid="{00000000-0005-0000-0000-0000C0090000}"/>
    <cellStyle name="Comma 5 2 3 3 2 5" xfId="4357" xr:uid="{00000000-0005-0000-0000-0000C1090000}"/>
    <cellStyle name="Comma 5 2 3 3 2 5 2" xfId="13195" xr:uid="{00000000-0005-0000-0000-0000C2090000}"/>
    <cellStyle name="Comma 5 2 3 3 2 5 2 2" xfId="23446" xr:uid="{00000000-0005-0000-0000-0000C3090000}"/>
    <cellStyle name="Comma 5 2 3 3 2 5 2 2 2" xfId="48999" xr:uid="{00000000-0005-0000-0000-0000C4090000}"/>
    <cellStyle name="Comma 5 2 3 3 2 5 2 3" xfId="38750" xr:uid="{00000000-0005-0000-0000-0000C5090000}"/>
    <cellStyle name="Comma 5 2 3 3 2 5 3" xfId="9616" xr:uid="{00000000-0005-0000-0000-0000C6090000}"/>
    <cellStyle name="Comma 5 2 3 3 2 5 3 2" xfId="35173" xr:uid="{00000000-0005-0000-0000-0000C7090000}"/>
    <cellStyle name="Comma 5 2 3 3 2 5 4" xfId="18439" xr:uid="{00000000-0005-0000-0000-0000C8090000}"/>
    <cellStyle name="Comma 5 2 3 3 2 5 4 2" xfId="43992" xr:uid="{00000000-0005-0000-0000-0000C9090000}"/>
    <cellStyle name="Comma 5 2 3 3 2 5 5" xfId="29929" xr:uid="{00000000-0005-0000-0000-0000CA090000}"/>
    <cellStyle name="Comma 5 2 3 3 2 6" xfId="1629" xr:uid="{00000000-0005-0000-0000-0000CB090000}"/>
    <cellStyle name="Comma 5 2 3 3 2 6 2" xfId="11006" xr:uid="{00000000-0005-0000-0000-0000CC090000}"/>
    <cellStyle name="Comma 5 2 3 3 2 6 2 2" xfId="36561" xr:uid="{00000000-0005-0000-0000-0000CD090000}"/>
    <cellStyle name="Comma 5 2 3 3 2 6 3" xfId="21010" xr:uid="{00000000-0005-0000-0000-0000CE090000}"/>
    <cellStyle name="Comma 5 2 3 3 2 6 3 2" xfId="46563" xr:uid="{00000000-0005-0000-0000-0000CF090000}"/>
    <cellStyle name="Comma 5 2 3 3 2 6 4" xfId="27493" xr:uid="{00000000-0005-0000-0000-0000D0090000}"/>
    <cellStyle name="Comma 5 2 3 3 2 7" xfId="5813" xr:uid="{00000000-0005-0000-0000-0000D1090000}"/>
    <cellStyle name="Comma 5 2 3 3 2 7 2" xfId="14640" xr:uid="{00000000-0005-0000-0000-0000D2090000}"/>
    <cellStyle name="Comma 5 2 3 3 2 7 2 2" xfId="40195" xr:uid="{00000000-0005-0000-0000-0000D3090000}"/>
    <cellStyle name="Comma 5 2 3 3 2 7 3" xfId="24891" xr:uid="{00000000-0005-0000-0000-0000D4090000}"/>
    <cellStyle name="Comma 5 2 3 3 2 7 3 2" xfId="50444" xr:uid="{00000000-0005-0000-0000-0000D5090000}"/>
    <cellStyle name="Comma 5 2 3 3 2 7 4" xfId="31374" xr:uid="{00000000-0005-0000-0000-0000D6090000}"/>
    <cellStyle name="Comma 5 2 3 3 2 8" xfId="7257" xr:uid="{00000000-0005-0000-0000-0000D7090000}"/>
    <cellStyle name="Comma 5 2 3 3 2 8 2" xfId="19983" xr:uid="{00000000-0005-0000-0000-0000D8090000}"/>
    <cellStyle name="Comma 5 2 3 3 2 8 2 2" xfId="45536" xr:uid="{00000000-0005-0000-0000-0000D9090000}"/>
    <cellStyle name="Comma 5 2 3 3 2 8 3" xfId="32814" xr:uid="{00000000-0005-0000-0000-0000DA090000}"/>
    <cellStyle name="Comma 5 2 3 3 2 9" xfId="16003" xr:uid="{00000000-0005-0000-0000-0000DB090000}"/>
    <cellStyle name="Comma 5 2 3 3 2 9 2" xfId="41556" xr:uid="{00000000-0005-0000-0000-0000DC090000}"/>
    <cellStyle name="Comma 5 2 3 3 3" xfId="437" xr:uid="{00000000-0005-0000-0000-0000DD090000}"/>
    <cellStyle name="Comma 5 2 3 3 3 2" xfId="2923" xr:uid="{00000000-0005-0000-0000-0000DE090000}"/>
    <cellStyle name="Comma 5 2 3 3 3 2 2" xfId="12211" xr:uid="{00000000-0005-0000-0000-0000DF090000}"/>
    <cellStyle name="Comma 5 2 3 3 3 2 2 2" xfId="22284" xr:uid="{00000000-0005-0000-0000-0000E0090000}"/>
    <cellStyle name="Comma 5 2 3 3 3 2 2 2 2" xfId="47837" xr:uid="{00000000-0005-0000-0000-0000E1090000}"/>
    <cellStyle name="Comma 5 2 3 3 3 2 2 3" xfId="37766" xr:uid="{00000000-0005-0000-0000-0000E2090000}"/>
    <cellStyle name="Comma 5 2 3 3 3 2 3" xfId="8596" xr:uid="{00000000-0005-0000-0000-0000E3090000}"/>
    <cellStyle name="Comma 5 2 3 3 3 2 3 2" xfId="34153" xr:uid="{00000000-0005-0000-0000-0000E4090000}"/>
    <cellStyle name="Comma 5 2 3 3 3 2 4" xfId="17277" xr:uid="{00000000-0005-0000-0000-0000E5090000}"/>
    <cellStyle name="Comma 5 2 3 3 3 2 4 2" xfId="42830" xr:uid="{00000000-0005-0000-0000-0000E6090000}"/>
    <cellStyle name="Comma 5 2 3 3 3 2 5" xfId="28767" xr:uid="{00000000-0005-0000-0000-0000E7090000}"/>
    <cellStyle name="Comma 5 2 3 3 3 3" xfId="4449" xr:uid="{00000000-0005-0000-0000-0000E8090000}"/>
    <cellStyle name="Comma 5 2 3 3 3 3 2" xfId="13287" xr:uid="{00000000-0005-0000-0000-0000E9090000}"/>
    <cellStyle name="Comma 5 2 3 3 3 3 2 2" xfId="23538" xr:uid="{00000000-0005-0000-0000-0000EA090000}"/>
    <cellStyle name="Comma 5 2 3 3 3 3 2 2 2" xfId="49091" xr:uid="{00000000-0005-0000-0000-0000EB090000}"/>
    <cellStyle name="Comma 5 2 3 3 3 3 2 3" xfId="38842" xr:uid="{00000000-0005-0000-0000-0000EC090000}"/>
    <cellStyle name="Comma 5 2 3 3 3 3 3" xfId="9708" xr:uid="{00000000-0005-0000-0000-0000ED090000}"/>
    <cellStyle name="Comma 5 2 3 3 3 3 3 2" xfId="35265" xr:uid="{00000000-0005-0000-0000-0000EE090000}"/>
    <cellStyle name="Comma 5 2 3 3 3 3 4" xfId="18531" xr:uid="{00000000-0005-0000-0000-0000EF090000}"/>
    <cellStyle name="Comma 5 2 3 3 3 3 4 2" xfId="44084" xr:uid="{00000000-0005-0000-0000-0000F0090000}"/>
    <cellStyle name="Comma 5 2 3 3 3 3 5" xfId="30021" xr:uid="{00000000-0005-0000-0000-0000F1090000}"/>
    <cellStyle name="Comma 5 2 3 3 3 4" xfId="2032" xr:uid="{00000000-0005-0000-0000-0000F2090000}"/>
    <cellStyle name="Comma 5 2 3 3 3 4 2" xfId="11397" xr:uid="{00000000-0005-0000-0000-0000F3090000}"/>
    <cellStyle name="Comma 5 2 3 3 3 4 2 2" xfId="36952" xr:uid="{00000000-0005-0000-0000-0000F4090000}"/>
    <cellStyle name="Comma 5 2 3 3 3 4 3" xfId="21401" xr:uid="{00000000-0005-0000-0000-0000F5090000}"/>
    <cellStyle name="Comma 5 2 3 3 3 4 3 2" xfId="46954" xr:uid="{00000000-0005-0000-0000-0000F6090000}"/>
    <cellStyle name="Comma 5 2 3 3 3 4 4" xfId="27884" xr:uid="{00000000-0005-0000-0000-0000F7090000}"/>
    <cellStyle name="Comma 5 2 3 3 3 5" xfId="5905" xr:uid="{00000000-0005-0000-0000-0000F8090000}"/>
    <cellStyle name="Comma 5 2 3 3 3 5 2" xfId="14732" xr:uid="{00000000-0005-0000-0000-0000F9090000}"/>
    <cellStyle name="Comma 5 2 3 3 3 5 2 2" xfId="40287" xr:uid="{00000000-0005-0000-0000-0000FA090000}"/>
    <cellStyle name="Comma 5 2 3 3 3 5 3" xfId="24983" xr:uid="{00000000-0005-0000-0000-0000FB090000}"/>
    <cellStyle name="Comma 5 2 3 3 3 5 3 2" xfId="50536" xr:uid="{00000000-0005-0000-0000-0000FC090000}"/>
    <cellStyle name="Comma 5 2 3 3 3 5 4" xfId="31466" xr:uid="{00000000-0005-0000-0000-0000FD090000}"/>
    <cellStyle name="Comma 5 2 3 3 3 6" xfId="7349" xr:uid="{00000000-0005-0000-0000-0000FE090000}"/>
    <cellStyle name="Comma 5 2 3 3 3 6 2" xfId="19883" xr:uid="{00000000-0005-0000-0000-0000FF090000}"/>
    <cellStyle name="Comma 5 2 3 3 3 6 2 2" xfId="45436" xr:uid="{00000000-0005-0000-0000-0000000A0000}"/>
    <cellStyle name="Comma 5 2 3 3 3 6 3" xfId="32906" xr:uid="{00000000-0005-0000-0000-0000010A0000}"/>
    <cellStyle name="Comma 5 2 3 3 3 7" xfId="16394" xr:uid="{00000000-0005-0000-0000-0000020A0000}"/>
    <cellStyle name="Comma 5 2 3 3 3 7 2" xfId="41947" xr:uid="{00000000-0005-0000-0000-0000030A0000}"/>
    <cellStyle name="Comma 5 2 3 3 3 8" xfId="26366" xr:uid="{00000000-0005-0000-0000-0000040A0000}"/>
    <cellStyle name="Comma 5 2 3 3 4" xfId="634" xr:uid="{00000000-0005-0000-0000-0000050A0000}"/>
    <cellStyle name="Comma 5 2 3 3 4 2" xfId="3120" xr:uid="{00000000-0005-0000-0000-0000060A0000}"/>
    <cellStyle name="Comma 5 2 3 3 4 2 2" xfId="12263" xr:uid="{00000000-0005-0000-0000-0000070A0000}"/>
    <cellStyle name="Comma 5 2 3 3 4 2 2 2" xfId="22481" xr:uid="{00000000-0005-0000-0000-0000080A0000}"/>
    <cellStyle name="Comma 5 2 3 3 4 2 2 2 2" xfId="48034" xr:uid="{00000000-0005-0000-0000-0000090A0000}"/>
    <cellStyle name="Comma 5 2 3 3 4 2 2 3" xfId="37818" xr:uid="{00000000-0005-0000-0000-00000A0A0000}"/>
    <cellStyle name="Comma 5 2 3 3 4 2 3" xfId="8685" xr:uid="{00000000-0005-0000-0000-00000B0A0000}"/>
    <cellStyle name="Comma 5 2 3 3 4 2 3 2" xfId="34242" xr:uid="{00000000-0005-0000-0000-00000C0A0000}"/>
    <cellStyle name="Comma 5 2 3 3 4 2 4" xfId="17474" xr:uid="{00000000-0005-0000-0000-00000D0A0000}"/>
    <cellStyle name="Comma 5 2 3 3 4 2 4 2" xfId="43027" xr:uid="{00000000-0005-0000-0000-00000E0A0000}"/>
    <cellStyle name="Comma 5 2 3 3 4 2 5" xfId="28964" xr:uid="{00000000-0005-0000-0000-00000F0A0000}"/>
    <cellStyle name="Comma 5 2 3 3 4 3" xfId="4798" xr:uid="{00000000-0005-0000-0000-0000100A0000}"/>
    <cellStyle name="Comma 5 2 3 3 4 3 2" xfId="13635" xr:uid="{00000000-0005-0000-0000-0000110A0000}"/>
    <cellStyle name="Comma 5 2 3 3 4 3 2 2" xfId="23886" xr:uid="{00000000-0005-0000-0000-0000120A0000}"/>
    <cellStyle name="Comma 5 2 3 3 4 3 2 2 2" xfId="49439" xr:uid="{00000000-0005-0000-0000-0000130A0000}"/>
    <cellStyle name="Comma 5 2 3 3 4 3 2 3" xfId="39190" xr:uid="{00000000-0005-0000-0000-0000140A0000}"/>
    <cellStyle name="Comma 5 2 3 3 4 3 3" xfId="10056" xr:uid="{00000000-0005-0000-0000-0000150A0000}"/>
    <cellStyle name="Comma 5 2 3 3 4 3 3 2" xfId="35613" xr:uid="{00000000-0005-0000-0000-0000160A0000}"/>
    <cellStyle name="Comma 5 2 3 3 4 3 4" xfId="18879" xr:uid="{00000000-0005-0000-0000-0000170A0000}"/>
    <cellStyle name="Comma 5 2 3 3 4 3 4 2" xfId="44432" xr:uid="{00000000-0005-0000-0000-0000180A0000}"/>
    <cellStyle name="Comma 5 2 3 3 4 3 5" xfId="30369" xr:uid="{00000000-0005-0000-0000-0000190A0000}"/>
    <cellStyle name="Comma 5 2 3 3 4 4" xfId="2229" xr:uid="{00000000-0005-0000-0000-00001A0A0000}"/>
    <cellStyle name="Comma 5 2 3 3 4 4 2" xfId="11594" xr:uid="{00000000-0005-0000-0000-00001B0A0000}"/>
    <cellStyle name="Comma 5 2 3 3 4 4 2 2" xfId="37149" xr:uid="{00000000-0005-0000-0000-00001C0A0000}"/>
    <cellStyle name="Comma 5 2 3 3 4 4 3" xfId="21598" xr:uid="{00000000-0005-0000-0000-00001D0A0000}"/>
    <cellStyle name="Comma 5 2 3 3 4 4 3 2" xfId="47151" xr:uid="{00000000-0005-0000-0000-00001E0A0000}"/>
    <cellStyle name="Comma 5 2 3 3 4 4 4" xfId="28081" xr:uid="{00000000-0005-0000-0000-00001F0A0000}"/>
    <cellStyle name="Comma 5 2 3 3 4 5" xfId="6253" xr:uid="{00000000-0005-0000-0000-0000200A0000}"/>
    <cellStyle name="Comma 5 2 3 3 4 5 2" xfId="15080" xr:uid="{00000000-0005-0000-0000-0000210A0000}"/>
    <cellStyle name="Comma 5 2 3 3 4 5 2 2" xfId="40635" xr:uid="{00000000-0005-0000-0000-0000220A0000}"/>
    <cellStyle name="Comma 5 2 3 3 4 5 3" xfId="25331" xr:uid="{00000000-0005-0000-0000-0000230A0000}"/>
    <cellStyle name="Comma 5 2 3 3 4 5 3 2" xfId="50884" xr:uid="{00000000-0005-0000-0000-0000240A0000}"/>
    <cellStyle name="Comma 5 2 3 3 4 5 4" xfId="31814" xr:uid="{00000000-0005-0000-0000-0000250A0000}"/>
    <cellStyle name="Comma 5 2 3 3 4 6" xfId="7699" xr:uid="{00000000-0005-0000-0000-0000260A0000}"/>
    <cellStyle name="Comma 5 2 3 3 4 6 2" xfId="20080" xr:uid="{00000000-0005-0000-0000-0000270A0000}"/>
    <cellStyle name="Comma 5 2 3 3 4 6 2 2" xfId="45633" xr:uid="{00000000-0005-0000-0000-0000280A0000}"/>
    <cellStyle name="Comma 5 2 3 3 4 6 3" xfId="33256" xr:uid="{00000000-0005-0000-0000-0000290A0000}"/>
    <cellStyle name="Comma 5 2 3 3 4 7" xfId="16591" xr:uid="{00000000-0005-0000-0000-00002A0A0000}"/>
    <cellStyle name="Comma 5 2 3 3 4 7 2" xfId="42144" xr:uid="{00000000-0005-0000-0000-00002B0A0000}"/>
    <cellStyle name="Comma 5 2 3 3 4 8" xfId="26563" xr:uid="{00000000-0005-0000-0000-00002C0A0000}"/>
    <cellStyle name="Comma 5 2 3 3 5" xfId="1209" xr:uid="{00000000-0005-0000-0000-00002D0A0000}"/>
    <cellStyle name="Comma 5 2 3 3 5 2" xfId="3638" xr:uid="{00000000-0005-0000-0000-00002E0A0000}"/>
    <cellStyle name="Comma 5 2 3 3 5 2 2" xfId="12774" xr:uid="{00000000-0005-0000-0000-00002F0A0000}"/>
    <cellStyle name="Comma 5 2 3 3 5 2 2 2" xfId="22993" xr:uid="{00000000-0005-0000-0000-0000300A0000}"/>
    <cellStyle name="Comma 5 2 3 3 5 2 2 2 2" xfId="48546" xr:uid="{00000000-0005-0000-0000-0000310A0000}"/>
    <cellStyle name="Comma 5 2 3 3 5 2 2 3" xfId="38329" xr:uid="{00000000-0005-0000-0000-0000320A0000}"/>
    <cellStyle name="Comma 5 2 3 3 5 2 3" xfId="9195" xr:uid="{00000000-0005-0000-0000-0000330A0000}"/>
    <cellStyle name="Comma 5 2 3 3 5 2 3 2" xfId="34752" xr:uid="{00000000-0005-0000-0000-0000340A0000}"/>
    <cellStyle name="Comma 5 2 3 3 5 2 4" xfId="17986" xr:uid="{00000000-0005-0000-0000-0000350A0000}"/>
    <cellStyle name="Comma 5 2 3 3 5 2 4 2" xfId="43539" xr:uid="{00000000-0005-0000-0000-0000360A0000}"/>
    <cellStyle name="Comma 5 2 3 3 5 2 5" xfId="29476" xr:uid="{00000000-0005-0000-0000-0000370A0000}"/>
    <cellStyle name="Comma 5 2 3 3 5 3" xfId="5301" xr:uid="{00000000-0005-0000-0000-0000380A0000}"/>
    <cellStyle name="Comma 5 2 3 3 5 3 2" xfId="14138" xr:uid="{00000000-0005-0000-0000-0000390A0000}"/>
    <cellStyle name="Comma 5 2 3 3 5 3 2 2" xfId="24389" xr:uid="{00000000-0005-0000-0000-00003A0A0000}"/>
    <cellStyle name="Comma 5 2 3 3 5 3 2 2 2" xfId="49942" xr:uid="{00000000-0005-0000-0000-00003B0A0000}"/>
    <cellStyle name="Comma 5 2 3 3 5 3 2 3" xfId="39693" xr:uid="{00000000-0005-0000-0000-00003C0A0000}"/>
    <cellStyle name="Comma 5 2 3 3 5 3 3" xfId="10559" xr:uid="{00000000-0005-0000-0000-00003D0A0000}"/>
    <cellStyle name="Comma 5 2 3 3 5 3 3 2" xfId="36116" xr:uid="{00000000-0005-0000-0000-00003E0A0000}"/>
    <cellStyle name="Comma 5 2 3 3 5 3 4" xfId="19382" xr:uid="{00000000-0005-0000-0000-00003F0A0000}"/>
    <cellStyle name="Comma 5 2 3 3 5 3 4 2" xfId="44935" xr:uid="{00000000-0005-0000-0000-0000400A0000}"/>
    <cellStyle name="Comma 5 2 3 3 5 3 5" xfId="30872" xr:uid="{00000000-0005-0000-0000-0000410A0000}"/>
    <cellStyle name="Comma 5 2 3 3 5 4" xfId="1812" xr:uid="{00000000-0005-0000-0000-0000420A0000}"/>
    <cellStyle name="Comma 5 2 3 3 5 4 2" xfId="11180" xr:uid="{00000000-0005-0000-0000-0000430A0000}"/>
    <cellStyle name="Comma 5 2 3 3 5 4 2 2" xfId="36735" xr:uid="{00000000-0005-0000-0000-0000440A0000}"/>
    <cellStyle name="Comma 5 2 3 3 5 4 3" xfId="21184" xr:uid="{00000000-0005-0000-0000-0000450A0000}"/>
    <cellStyle name="Comma 5 2 3 3 5 4 3 2" xfId="46737" xr:uid="{00000000-0005-0000-0000-0000460A0000}"/>
    <cellStyle name="Comma 5 2 3 3 5 4 4" xfId="27667" xr:uid="{00000000-0005-0000-0000-0000470A0000}"/>
    <cellStyle name="Comma 5 2 3 3 5 5" xfId="6756" xr:uid="{00000000-0005-0000-0000-0000480A0000}"/>
    <cellStyle name="Comma 5 2 3 3 5 5 2" xfId="15583" xr:uid="{00000000-0005-0000-0000-0000490A0000}"/>
    <cellStyle name="Comma 5 2 3 3 5 5 2 2" xfId="41138" xr:uid="{00000000-0005-0000-0000-00004A0A0000}"/>
    <cellStyle name="Comma 5 2 3 3 5 5 3" xfId="25834" xr:uid="{00000000-0005-0000-0000-00004B0A0000}"/>
    <cellStyle name="Comma 5 2 3 3 5 5 3 2" xfId="51387" xr:uid="{00000000-0005-0000-0000-00004C0A0000}"/>
    <cellStyle name="Comma 5 2 3 3 5 5 4" xfId="32317" xr:uid="{00000000-0005-0000-0000-00004D0A0000}"/>
    <cellStyle name="Comma 5 2 3 3 5 6" xfId="8202" xr:uid="{00000000-0005-0000-0000-00004E0A0000}"/>
    <cellStyle name="Comma 5 2 3 3 5 6 2" xfId="20592" xr:uid="{00000000-0005-0000-0000-00004F0A0000}"/>
    <cellStyle name="Comma 5 2 3 3 5 6 2 2" xfId="46145" xr:uid="{00000000-0005-0000-0000-0000500A0000}"/>
    <cellStyle name="Comma 5 2 3 3 5 6 3" xfId="33759" xr:uid="{00000000-0005-0000-0000-0000510A0000}"/>
    <cellStyle name="Comma 5 2 3 3 5 7" xfId="16177" xr:uid="{00000000-0005-0000-0000-0000520A0000}"/>
    <cellStyle name="Comma 5 2 3 3 5 7 2" xfId="41730" xr:uid="{00000000-0005-0000-0000-0000530A0000}"/>
    <cellStyle name="Comma 5 2 3 3 5 8" xfId="27075" xr:uid="{00000000-0005-0000-0000-0000540A0000}"/>
    <cellStyle name="Comma 5 2 3 3 6" xfId="2706" xr:uid="{00000000-0005-0000-0000-0000550A0000}"/>
    <cellStyle name="Comma 5 2 3 3 6 2" xfId="12023" xr:uid="{00000000-0005-0000-0000-0000560A0000}"/>
    <cellStyle name="Comma 5 2 3 3 6 2 2" xfId="22067" xr:uid="{00000000-0005-0000-0000-0000570A0000}"/>
    <cellStyle name="Comma 5 2 3 3 6 2 2 2" xfId="47620" xr:uid="{00000000-0005-0000-0000-0000580A0000}"/>
    <cellStyle name="Comma 5 2 3 3 6 2 3" xfId="37578" xr:uid="{00000000-0005-0000-0000-0000590A0000}"/>
    <cellStyle name="Comma 5 2 3 3 6 3" xfId="7494" xr:uid="{00000000-0005-0000-0000-00005A0A0000}"/>
    <cellStyle name="Comma 5 2 3 3 6 3 2" xfId="33051" xr:uid="{00000000-0005-0000-0000-00005B0A0000}"/>
    <cellStyle name="Comma 5 2 3 3 6 4" xfId="17060" xr:uid="{00000000-0005-0000-0000-00005C0A0000}"/>
    <cellStyle name="Comma 5 2 3 3 6 4 2" xfId="42613" xr:uid="{00000000-0005-0000-0000-00005D0A0000}"/>
    <cellStyle name="Comma 5 2 3 3 6 5" xfId="28550" xr:uid="{00000000-0005-0000-0000-00005E0A0000}"/>
    <cellStyle name="Comma 5 2 3 3 7" xfId="4257" xr:uid="{00000000-0005-0000-0000-00005F0A0000}"/>
    <cellStyle name="Comma 5 2 3 3 7 2" xfId="13095" xr:uid="{00000000-0005-0000-0000-0000600A0000}"/>
    <cellStyle name="Comma 5 2 3 3 7 2 2" xfId="23346" xr:uid="{00000000-0005-0000-0000-0000610A0000}"/>
    <cellStyle name="Comma 5 2 3 3 7 2 2 2" xfId="48899" xr:uid="{00000000-0005-0000-0000-0000620A0000}"/>
    <cellStyle name="Comma 5 2 3 3 7 2 3" xfId="38650" xr:uid="{00000000-0005-0000-0000-0000630A0000}"/>
    <cellStyle name="Comma 5 2 3 3 7 3" xfId="9516" xr:uid="{00000000-0005-0000-0000-0000640A0000}"/>
    <cellStyle name="Comma 5 2 3 3 7 3 2" xfId="35073" xr:uid="{00000000-0005-0000-0000-0000650A0000}"/>
    <cellStyle name="Comma 5 2 3 3 7 4" xfId="18339" xr:uid="{00000000-0005-0000-0000-0000660A0000}"/>
    <cellStyle name="Comma 5 2 3 3 7 4 2" xfId="43892" xr:uid="{00000000-0005-0000-0000-0000670A0000}"/>
    <cellStyle name="Comma 5 2 3 3 7 5" xfId="29829" xr:uid="{00000000-0005-0000-0000-0000680A0000}"/>
    <cellStyle name="Comma 5 2 3 3 8" xfId="1529" xr:uid="{00000000-0005-0000-0000-0000690A0000}"/>
    <cellStyle name="Comma 5 2 3 3 8 2" xfId="10906" xr:uid="{00000000-0005-0000-0000-00006A0A0000}"/>
    <cellStyle name="Comma 5 2 3 3 8 2 2" xfId="36461" xr:uid="{00000000-0005-0000-0000-00006B0A0000}"/>
    <cellStyle name="Comma 5 2 3 3 8 3" xfId="20910" xr:uid="{00000000-0005-0000-0000-00006C0A0000}"/>
    <cellStyle name="Comma 5 2 3 3 8 3 2" xfId="46463" xr:uid="{00000000-0005-0000-0000-00006D0A0000}"/>
    <cellStyle name="Comma 5 2 3 3 8 4" xfId="27393" xr:uid="{00000000-0005-0000-0000-00006E0A0000}"/>
    <cellStyle name="Comma 5 2 3 3 9" xfId="5713" xr:uid="{00000000-0005-0000-0000-00006F0A0000}"/>
    <cellStyle name="Comma 5 2 3 3 9 2" xfId="14540" xr:uid="{00000000-0005-0000-0000-0000700A0000}"/>
    <cellStyle name="Comma 5 2 3 3 9 2 2" xfId="40095" xr:uid="{00000000-0005-0000-0000-0000710A0000}"/>
    <cellStyle name="Comma 5 2 3 3 9 3" xfId="24791" xr:uid="{00000000-0005-0000-0000-0000720A0000}"/>
    <cellStyle name="Comma 5 2 3 3 9 3 2" xfId="50344" xr:uid="{00000000-0005-0000-0000-0000730A0000}"/>
    <cellStyle name="Comma 5 2 3 3 9 4" xfId="31274" xr:uid="{00000000-0005-0000-0000-0000740A0000}"/>
    <cellStyle name="Comma 5 2 3 4" xfId="244" xr:uid="{00000000-0005-0000-0000-0000750A0000}"/>
    <cellStyle name="Comma 5 2 3 4 10" xfId="7082" xr:uid="{00000000-0005-0000-0000-0000760A0000}"/>
    <cellStyle name="Comma 5 2 3 4 10 2" xfId="19696" xr:uid="{00000000-0005-0000-0000-0000770A0000}"/>
    <cellStyle name="Comma 5 2 3 4 10 2 2" xfId="45249" xr:uid="{00000000-0005-0000-0000-0000780A0000}"/>
    <cellStyle name="Comma 5 2 3 4 10 3" xfId="32639" xr:uid="{00000000-0005-0000-0000-0000790A0000}"/>
    <cellStyle name="Comma 5 2 3 4 11" xfId="15828" xr:uid="{00000000-0005-0000-0000-00007A0A0000}"/>
    <cellStyle name="Comma 5 2 3 4 11 2" xfId="41381" xr:uid="{00000000-0005-0000-0000-00007B0A0000}"/>
    <cellStyle name="Comma 5 2 3 4 12" xfId="26179" xr:uid="{00000000-0005-0000-0000-00007C0A0000}"/>
    <cellStyle name="Comma 5 2 3 4 2" xfId="567" xr:uid="{00000000-0005-0000-0000-00007D0A0000}"/>
    <cellStyle name="Comma 5 2 3 4 2 10" xfId="26496" xr:uid="{00000000-0005-0000-0000-00007E0A0000}"/>
    <cellStyle name="Comma 5 2 3 4 2 2" xfId="637" xr:uid="{00000000-0005-0000-0000-00007F0A0000}"/>
    <cellStyle name="Comma 5 2 3 4 2 2 2" xfId="3123" xr:uid="{00000000-0005-0000-0000-0000800A0000}"/>
    <cellStyle name="Comma 5 2 3 4 2 2 2 2" xfId="12266" xr:uid="{00000000-0005-0000-0000-0000810A0000}"/>
    <cellStyle name="Comma 5 2 3 4 2 2 2 2 2" xfId="22484" xr:uid="{00000000-0005-0000-0000-0000820A0000}"/>
    <cellStyle name="Comma 5 2 3 4 2 2 2 2 2 2" xfId="48037" xr:uid="{00000000-0005-0000-0000-0000830A0000}"/>
    <cellStyle name="Comma 5 2 3 4 2 2 2 2 3" xfId="37821" xr:uid="{00000000-0005-0000-0000-0000840A0000}"/>
    <cellStyle name="Comma 5 2 3 4 2 2 2 3" xfId="8688" xr:uid="{00000000-0005-0000-0000-0000850A0000}"/>
    <cellStyle name="Comma 5 2 3 4 2 2 2 3 2" xfId="34245" xr:uid="{00000000-0005-0000-0000-0000860A0000}"/>
    <cellStyle name="Comma 5 2 3 4 2 2 2 4" xfId="17477" xr:uid="{00000000-0005-0000-0000-0000870A0000}"/>
    <cellStyle name="Comma 5 2 3 4 2 2 2 4 2" xfId="43030" xr:uid="{00000000-0005-0000-0000-0000880A0000}"/>
    <cellStyle name="Comma 5 2 3 4 2 2 2 5" xfId="28967" xr:uid="{00000000-0005-0000-0000-0000890A0000}"/>
    <cellStyle name="Comma 5 2 3 4 2 2 3" xfId="4452" xr:uid="{00000000-0005-0000-0000-00008A0A0000}"/>
    <cellStyle name="Comma 5 2 3 4 2 2 3 2" xfId="13290" xr:uid="{00000000-0005-0000-0000-00008B0A0000}"/>
    <cellStyle name="Comma 5 2 3 4 2 2 3 2 2" xfId="23541" xr:uid="{00000000-0005-0000-0000-00008C0A0000}"/>
    <cellStyle name="Comma 5 2 3 4 2 2 3 2 2 2" xfId="49094" xr:uid="{00000000-0005-0000-0000-00008D0A0000}"/>
    <cellStyle name="Comma 5 2 3 4 2 2 3 2 3" xfId="38845" xr:uid="{00000000-0005-0000-0000-00008E0A0000}"/>
    <cellStyle name="Comma 5 2 3 4 2 2 3 3" xfId="9711" xr:uid="{00000000-0005-0000-0000-00008F0A0000}"/>
    <cellStyle name="Comma 5 2 3 4 2 2 3 3 2" xfId="35268" xr:uid="{00000000-0005-0000-0000-0000900A0000}"/>
    <cellStyle name="Comma 5 2 3 4 2 2 3 4" xfId="18534" xr:uid="{00000000-0005-0000-0000-0000910A0000}"/>
    <cellStyle name="Comma 5 2 3 4 2 2 3 4 2" xfId="44087" xr:uid="{00000000-0005-0000-0000-0000920A0000}"/>
    <cellStyle name="Comma 5 2 3 4 2 2 3 5" xfId="30024" xr:uid="{00000000-0005-0000-0000-0000930A0000}"/>
    <cellStyle name="Comma 5 2 3 4 2 2 4" xfId="2232" xr:uid="{00000000-0005-0000-0000-0000940A0000}"/>
    <cellStyle name="Comma 5 2 3 4 2 2 4 2" xfId="11597" xr:uid="{00000000-0005-0000-0000-0000950A0000}"/>
    <cellStyle name="Comma 5 2 3 4 2 2 4 2 2" xfId="37152" xr:uid="{00000000-0005-0000-0000-0000960A0000}"/>
    <cellStyle name="Comma 5 2 3 4 2 2 4 3" xfId="21601" xr:uid="{00000000-0005-0000-0000-0000970A0000}"/>
    <cellStyle name="Comma 5 2 3 4 2 2 4 3 2" xfId="47154" xr:uid="{00000000-0005-0000-0000-0000980A0000}"/>
    <cellStyle name="Comma 5 2 3 4 2 2 4 4" xfId="28084" xr:uid="{00000000-0005-0000-0000-0000990A0000}"/>
    <cellStyle name="Comma 5 2 3 4 2 2 5" xfId="5908" xr:uid="{00000000-0005-0000-0000-00009A0A0000}"/>
    <cellStyle name="Comma 5 2 3 4 2 2 5 2" xfId="14735" xr:uid="{00000000-0005-0000-0000-00009B0A0000}"/>
    <cellStyle name="Comma 5 2 3 4 2 2 5 2 2" xfId="40290" xr:uid="{00000000-0005-0000-0000-00009C0A0000}"/>
    <cellStyle name="Comma 5 2 3 4 2 2 5 3" xfId="24986" xr:uid="{00000000-0005-0000-0000-00009D0A0000}"/>
    <cellStyle name="Comma 5 2 3 4 2 2 5 3 2" xfId="50539" xr:uid="{00000000-0005-0000-0000-00009E0A0000}"/>
    <cellStyle name="Comma 5 2 3 4 2 2 5 4" xfId="31469" xr:uid="{00000000-0005-0000-0000-00009F0A0000}"/>
    <cellStyle name="Comma 5 2 3 4 2 2 6" xfId="7352" xr:uid="{00000000-0005-0000-0000-0000A00A0000}"/>
    <cellStyle name="Comma 5 2 3 4 2 2 6 2" xfId="20083" xr:uid="{00000000-0005-0000-0000-0000A10A0000}"/>
    <cellStyle name="Comma 5 2 3 4 2 2 6 2 2" xfId="45636" xr:uid="{00000000-0005-0000-0000-0000A20A0000}"/>
    <cellStyle name="Comma 5 2 3 4 2 2 6 3" xfId="32909" xr:uid="{00000000-0005-0000-0000-0000A30A0000}"/>
    <cellStyle name="Comma 5 2 3 4 2 2 7" xfId="16594" xr:uid="{00000000-0005-0000-0000-0000A40A0000}"/>
    <cellStyle name="Comma 5 2 3 4 2 2 7 2" xfId="42147" xr:uid="{00000000-0005-0000-0000-0000A50A0000}"/>
    <cellStyle name="Comma 5 2 3 4 2 2 8" xfId="26566" xr:uid="{00000000-0005-0000-0000-0000A60A0000}"/>
    <cellStyle name="Comma 5 2 3 4 2 3" xfId="1339" xr:uid="{00000000-0005-0000-0000-0000A70A0000}"/>
    <cellStyle name="Comma 5 2 3 4 2 3 2" xfId="3768" xr:uid="{00000000-0005-0000-0000-0000A80A0000}"/>
    <cellStyle name="Comma 5 2 3 4 2 3 2 2" xfId="12904" xr:uid="{00000000-0005-0000-0000-0000A90A0000}"/>
    <cellStyle name="Comma 5 2 3 4 2 3 2 2 2" xfId="23123" xr:uid="{00000000-0005-0000-0000-0000AA0A0000}"/>
    <cellStyle name="Comma 5 2 3 4 2 3 2 2 2 2" xfId="48676" xr:uid="{00000000-0005-0000-0000-0000AB0A0000}"/>
    <cellStyle name="Comma 5 2 3 4 2 3 2 2 3" xfId="38459" xr:uid="{00000000-0005-0000-0000-0000AC0A0000}"/>
    <cellStyle name="Comma 5 2 3 4 2 3 2 3" xfId="9325" xr:uid="{00000000-0005-0000-0000-0000AD0A0000}"/>
    <cellStyle name="Comma 5 2 3 4 2 3 2 3 2" xfId="34882" xr:uid="{00000000-0005-0000-0000-0000AE0A0000}"/>
    <cellStyle name="Comma 5 2 3 4 2 3 2 4" xfId="18116" xr:uid="{00000000-0005-0000-0000-0000AF0A0000}"/>
    <cellStyle name="Comma 5 2 3 4 2 3 2 4 2" xfId="43669" xr:uid="{00000000-0005-0000-0000-0000B00A0000}"/>
    <cellStyle name="Comma 5 2 3 4 2 3 2 5" xfId="29606" xr:uid="{00000000-0005-0000-0000-0000B10A0000}"/>
    <cellStyle name="Comma 5 2 3 4 2 3 3" xfId="4801" xr:uid="{00000000-0005-0000-0000-0000B20A0000}"/>
    <cellStyle name="Comma 5 2 3 4 2 3 3 2" xfId="13638" xr:uid="{00000000-0005-0000-0000-0000B30A0000}"/>
    <cellStyle name="Comma 5 2 3 4 2 3 3 2 2" xfId="23889" xr:uid="{00000000-0005-0000-0000-0000B40A0000}"/>
    <cellStyle name="Comma 5 2 3 4 2 3 3 2 2 2" xfId="49442" xr:uid="{00000000-0005-0000-0000-0000B50A0000}"/>
    <cellStyle name="Comma 5 2 3 4 2 3 3 2 3" xfId="39193" xr:uid="{00000000-0005-0000-0000-0000B60A0000}"/>
    <cellStyle name="Comma 5 2 3 4 2 3 3 3" xfId="10059" xr:uid="{00000000-0005-0000-0000-0000B70A0000}"/>
    <cellStyle name="Comma 5 2 3 4 2 3 3 3 2" xfId="35616" xr:uid="{00000000-0005-0000-0000-0000B80A0000}"/>
    <cellStyle name="Comma 5 2 3 4 2 3 3 4" xfId="18882" xr:uid="{00000000-0005-0000-0000-0000B90A0000}"/>
    <cellStyle name="Comma 5 2 3 4 2 3 3 4 2" xfId="44435" xr:uid="{00000000-0005-0000-0000-0000BA0A0000}"/>
    <cellStyle name="Comma 5 2 3 4 2 3 3 5" xfId="30372" xr:uid="{00000000-0005-0000-0000-0000BB0A0000}"/>
    <cellStyle name="Comma 5 2 3 4 2 3 4" xfId="2162" xr:uid="{00000000-0005-0000-0000-0000BC0A0000}"/>
    <cellStyle name="Comma 5 2 3 4 2 3 4 2" xfId="11527" xr:uid="{00000000-0005-0000-0000-0000BD0A0000}"/>
    <cellStyle name="Comma 5 2 3 4 2 3 4 2 2" xfId="37082" xr:uid="{00000000-0005-0000-0000-0000BE0A0000}"/>
    <cellStyle name="Comma 5 2 3 4 2 3 4 3" xfId="21531" xr:uid="{00000000-0005-0000-0000-0000BF0A0000}"/>
    <cellStyle name="Comma 5 2 3 4 2 3 4 3 2" xfId="47084" xr:uid="{00000000-0005-0000-0000-0000C00A0000}"/>
    <cellStyle name="Comma 5 2 3 4 2 3 4 4" xfId="28014" xr:uid="{00000000-0005-0000-0000-0000C10A0000}"/>
    <cellStyle name="Comma 5 2 3 4 2 3 5" xfId="6256" xr:uid="{00000000-0005-0000-0000-0000C20A0000}"/>
    <cellStyle name="Comma 5 2 3 4 2 3 5 2" xfId="15083" xr:uid="{00000000-0005-0000-0000-0000C30A0000}"/>
    <cellStyle name="Comma 5 2 3 4 2 3 5 2 2" xfId="40638" xr:uid="{00000000-0005-0000-0000-0000C40A0000}"/>
    <cellStyle name="Comma 5 2 3 4 2 3 5 3" xfId="25334" xr:uid="{00000000-0005-0000-0000-0000C50A0000}"/>
    <cellStyle name="Comma 5 2 3 4 2 3 5 3 2" xfId="50887" xr:uid="{00000000-0005-0000-0000-0000C60A0000}"/>
    <cellStyle name="Comma 5 2 3 4 2 3 5 4" xfId="31817" xr:uid="{00000000-0005-0000-0000-0000C70A0000}"/>
    <cellStyle name="Comma 5 2 3 4 2 3 6" xfId="7702" xr:uid="{00000000-0005-0000-0000-0000C80A0000}"/>
    <cellStyle name="Comma 5 2 3 4 2 3 6 2" xfId="20722" xr:uid="{00000000-0005-0000-0000-0000C90A0000}"/>
    <cellStyle name="Comma 5 2 3 4 2 3 6 2 2" xfId="46275" xr:uid="{00000000-0005-0000-0000-0000CA0A0000}"/>
    <cellStyle name="Comma 5 2 3 4 2 3 6 3" xfId="33259" xr:uid="{00000000-0005-0000-0000-0000CB0A0000}"/>
    <cellStyle name="Comma 5 2 3 4 2 3 7" xfId="16524" xr:uid="{00000000-0005-0000-0000-0000CC0A0000}"/>
    <cellStyle name="Comma 5 2 3 4 2 3 7 2" xfId="42077" xr:uid="{00000000-0005-0000-0000-0000CD0A0000}"/>
    <cellStyle name="Comma 5 2 3 4 2 3 8" xfId="27205" xr:uid="{00000000-0005-0000-0000-0000CE0A0000}"/>
    <cellStyle name="Comma 5 2 3 4 2 4" xfId="3053" xr:uid="{00000000-0005-0000-0000-0000CF0A0000}"/>
    <cellStyle name="Comma 5 2 3 4 2 4 2" xfId="5431" xr:uid="{00000000-0005-0000-0000-0000D00A0000}"/>
    <cellStyle name="Comma 5 2 3 4 2 4 2 2" xfId="14268" xr:uid="{00000000-0005-0000-0000-0000D10A0000}"/>
    <cellStyle name="Comma 5 2 3 4 2 4 2 2 2" xfId="24519" xr:uid="{00000000-0005-0000-0000-0000D20A0000}"/>
    <cellStyle name="Comma 5 2 3 4 2 4 2 2 2 2" xfId="50072" xr:uid="{00000000-0005-0000-0000-0000D30A0000}"/>
    <cellStyle name="Comma 5 2 3 4 2 4 2 2 3" xfId="39823" xr:uid="{00000000-0005-0000-0000-0000D40A0000}"/>
    <cellStyle name="Comma 5 2 3 4 2 4 2 3" xfId="10689" xr:uid="{00000000-0005-0000-0000-0000D50A0000}"/>
    <cellStyle name="Comma 5 2 3 4 2 4 2 3 2" xfId="36246" xr:uid="{00000000-0005-0000-0000-0000D60A0000}"/>
    <cellStyle name="Comma 5 2 3 4 2 4 2 4" xfId="19512" xr:uid="{00000000-0005-0000-0000-0000D70A0000}"/>
    <cellStyle name="Comma 5 2 3 4 2 4 2 4 2" xfId="45065" xr:uid="{00000000-0005-0000-0000-0000D80A0000}"/>
    <cellStyle name="Comma 5 2 3 4 2 4 2 5" xfId="31002" xr:uid="{00000000-0005-0000-0000-0000D90A0000}"/>
    <cellStyle name="Comma 5 2 3 4 2 4 3" xfId="6886" xr:uid="{00000000-0005-0000-0000-0000DA0A0000}"/>
    <cellStyle name="Comma 5 2 3 4 2 4 3 2" xfId="15713" xr:uid="{00000000-0005-0000-0000-0000DB0A0000}"/>
    <cellStyle name="Comma 5 2 3 4 2 4 3 2 2" xfId="41268" xr:uid="{00000000-0005-0000-0000-0000DC0A0000}"/>
    <cellStyle name="Comma 5 2 3 4 2 4 3 3" xfId="25964" xr:uid="{00000000-0005-0000-0000-0000DD0A0000}"/>
    <cellStyle name="Comma 5 2 3 4 2 4 3 3 2" xfId="51517" xr:uid="{00000000-0005-0000-0000-0000DE0A0000}"/>
    <cellStyle name="Comma 5 2 3 4 2 4 3 4" xfId="32447" xr:uid="{00000000-0005-0000-0000-0000DF0A0000}"/>
    <cellStyle name="Comma 5 2 3 4 2 4 4" xfId="8332" xr:uid="{00000000-0005-0000-0000-0000E00A0000}"/>
    <cellStyle name="Comma 5 2 3 4 2 4 4 2" xfId="22414" xr:uid="{00000000-0005-0000-0000-0000E10A0000}"/>
    <cellStyle name="Comma 5 2 3 4 2 4 4 2 2" xfId="47967" xr:uid="{00000000-0005-0000-0000-0000E20A0000}"/>
    <cellStyle name="Comma 5 2 3 4 2 4 4 3" xfId="33889" xr:uid="{00000000-0005-0000-0000-0000E30A0000}"/>
    <cellStyle name="Comma 5 2 3 4 2 4 5" xfId="17407" xr:uid="{00000000-0005-0000-0000-0000E40A0000}"/>
    <cellStyle name="Comma 5 2 3 4 2 4 5 2" xfId="42960" xr:uid="{00000000-0005-0000-0000-0000E50A0000}"/>
    <cellStyle name="Comma 5 2 3 4 2 4 6" xfId="28897" xr:uid="{00000000-0005-0000-0000-0000E60A0000}"/>
    <cellStyle name="Comma 5 2 3 4 2 5" xfId="4387" xr:uid="{00000000-0005-0000-0000-0000E70A0000}"/>
    <cellStyle name="Comma 5 2 3 4 2 5 2" xfId="13225" xr:uid="{00000000-0005-0000-0000-0000E80A0000}"/>
    <cellStyle name="Comma 5 2 3 4 2 5 2 2" xfId="23476" xr:uid="{00000000-0005-0000-0000-0000E90A0000}"/>
    <cellStyle name="Comma 5 2 3 4 2 5 2 2 2" xfId="49029" xr:uid="{00000000-0005-0000-0000-0000EA0A0000}"/>
    <cellStyle name="Comma 5 2 3 4 2 5 2 3" xfId="38780" xr:uid="{00000000-0005-0000-0000-0000EB0A0000}"/>
    <cellStyle name="Comma 5 2 3 4 2 5 3" xfId="9646" xr:uid="{00000000-0005-0000-0000-0000EC0A0000}"/>
    <cellStyle name="Comma 5 2 3 4 2 5 3 2" xfId="35203" xr:uid="{00000000-0005-0000-0000-0000ED0A0000}"/>
    <cellStyle name="Comma 5 2 3 4 2 5 4" xfId="18469" xr:uid="{00000000-0005-0000-0000-0000EE0A0000}"/>
    <cellStyle name="Comma 5 2 3 4 2 5 4 2" xfId="44022" xr:uid="{00000000-0005-0000-0000-0000EF0A0000}"/>
    <cellStyle name="Comma 5 2 3 4 2 5 5" xfId="29959" xr:uid="{00000000-0005-0000-0000-0000F00A0000}"/>
    <cellStyle name="Comma 5 2 3 4 2 6" xfId="1659" xr:uid="{00000000-0005-0000-0000-0000F10A0000}"/>
    <cellStyle name="Comma 5 2 3 4 2 6 2" xfId="11036" xr:uid="{00000000-0005-0000-0000-0000F20A0000}"/>
    <cellStyle name="Comma 5 2 3 4 2 6 2 2" xfId="36591" xr:uid="{00000000-0005-0000-0000-0000F30A0000}"/>
    <cellStyle name="Comma 5 2 3 4 2 6 3" xfId="21040" xr:uid="{00000000-0005-0000-0000-0000F40A0000}"/>
    <cellStyle name="Comma 5 2 3 4 2 6 3 2" xfId="46593" xr:uid="{00000000-0005-0000-0000-0000F50A0000}"/>
    <cellStyle name="Comma 5 2 3 4 2 6 4" xfId="27523" xr:uid="{00000000-0005-0000-0000-0000F60A0000}"/>
    <cellStyle name="Comma 5 2 3 4 2 7" xfId="5843" xr:uid="{00000000-0005-0000-0000-0000F70A0000}"/>
    <cellStyle name="Comma 5 2 3 4 2 7 2" xfId="14670" xr:uid="{00000000-0005-0000-0000-0000F80A0000}"/>
    <cellStyle name="Comma 5 2 3 4 2 7 2 2" xfId="40225" xr:uid="{00000000-0005-0000-0000-0000F90A0000}"/>
    <cellStyle name="Comma 5 2 3 4 2 7 3" xfId="24921" xr:uid="{00000000-0005-0000-0000-0000FA0A0000}"/>
    <cellStyle name="Comma 5 2 3 4 2 7 3 2" xfId="50474" xr:uid="{00000000-0005-0000-0000-0000FB0A0000}"/>
    <cellStyle name="Comma 5 2 3 4 2 7 4" xfId="31404" xr:uid="{00000000-0005-0000-0000-0000FC0A0000}"/>
    <cellStyle name="Comma 5 2 3 4 2 8" xfId="7287" xr:uid="{00000000-0005-0000-0000-0000FD0A0000}"/>
    <cellStyle name="Comma 5 2 3 4 2 8 2" xfId="20013" xr:uid="{00000000-0005-0000-0000-0000FE0A0000}"/>
    <cellStyle name="Comma 5 2 3 4 2 8 2 2" xfId="45566" xr:uid="{00000000-0005-0000-0000-0000FF0A0000}"/>
    <cellStyle name="Comma 5 2 3 4 2 8 3" xfId="32844" xr:uid="{00000000-0005-0000-0000-0000000B0000}"/>
    <cellStyle name="Comma 5 2 3 4 2 9" xfId="16033" xr:uid="{00000000-0005-0000-0000-0000010B0000}"/>
    <cellStyle name="Comma 5 2 3 4 2 9 2" xfId="41586" xr:uid="{00000000-0005-0000-0000-0000020B0000}"/>
    <cellStyle name="Comma 5 2 3 4 3" xfId="362" xr:uid="{00000000-0005-0000-0000-0000030B0000}"/>
    <cellStyle name="Comma 5 2 3 4 3 2" xfId="2848" xr:uid="{00000000-0005-0000-0000-0000040B0000}"/>
    <cellStyle name="Comma 5 2 3 4 3 2 2" xfId="12136" xr:uid="{00000000-0005-0000-0000-0000050B0000}"/>
    <cellStyle name="Comma 5 2 3 4 3 2 2 2" xfId="22209" xr:uid="{00000000-0005-0000-0000-0000060B0000}"/>
    <cellStyle name="Comma 5 2 3 4 3 2 2 2 2" xfId="47762" xr:uid="{00000000-0005-0000-0000-0000070B0000}"/>
    <cellStyle name="Comma 5 2 3 4 3 2 2 3" xfId="37691" xr:uid="{00000000-0005-0000-0000-0000080B0000}"/>
    <cellStyle name="Comma 5 2 3 4 3 2 3" xfId="8454" xr:uid="{00000000-0005-0000-0000-0000090B0000}"/>
    <cellStyle name="Comma 5 2 3 4 3 2 3 2" xfId="34011" xr:uid="{00000000-0005-0000-0000-00000A0B0000}"/>
    <cellStyle name="Comma 5 2 3 4 3 2 4" xfId="17202" xr:uid="{00000000-0005-0000-0000-00000B0B0000}"/>
    <cellStyle name="Comma 5 2 3 4 3 2 4 2" xfId="42755" xr:uid="{00000000-0005-0000-0000-00000C0B0000}"/>
    <cellStyle name="Comma 5 2 3 4 3 2 5" xfId="28692" xr:uid="{00000000-0005-0000-0000-00000D0B0000}"/>
    <cellStyle name="Comma 5 2 3 4 3 3" xfId="4451" xr:uid="{00000000-0005-0000-0000-00000E0B0000}"/>
    <cellStyle name="Comma 5 2 3 4 3 3 2" xfId="13289" xr:uid="{00000000-0005-0000-0000-00000F0B0000}"/>
    <cellStyle name="Comma 5 2 3 4 3 3 2 2" xfId="23540" xr:uid="{00000000-0005-0000-0000-0000100B0000}"/>
    <cellStyle name="Comma 5 2 3 4 3 3 2 2 2" xfId="49093" xr:uid="{00000000-0005-0000-0000-0000110B0000}"/>
    <cellStyle name="Comma 5 2 3 4 3 3 2 3" xfId="38844" xr:uid="{00000000-0005-0000-0000-0000120B0000}"/>
    <cellStyle name="Comma 5 2 3 4 3 3 3" xfId="9710" xr:uid="{00000000-0005-0000-0000-0000130B0000}"/>
    <cellStyle name="Comma 5 2 3 4 3 3 3 2" xfId="35267" xr:uid="{00000000-0005-0000-0000-0000140B0000}"/>
    <cellStyle name="Comma 5 2 3 4 3 3 4" xfId="18533" xr:uid="{00000000-0005-0000-0000-0000150B0000}"/>
    <cellStyle name="Comma 5 2 3 4 3 3 4 2" xfId="44086" xr:uid="{00000000-0005-0000-0000-0000160B0000}"/>
    <cellStyle name="Comma 5 2 3 4 3 3 5" xfId="30023" xr:uid="{00000000-0005-0000-0000-0000170B0000}"/>
    <cellStyle name="Comma 5 2 3 4 3 4" xfId="1957" xr:uid="{00000000-0005-0000-0000-0000180B0000}"/>
    <cellStyle name="Comma 5 2 3 4 3 4 2" xfId="11322" xr:uid="{00000000-0005-0000-0000-0000190B0000}"/>
    <cellStyle name="Comma 5 2 3 4 3 4 2 2" xfId="36877" xr:uid="{00000000-0005-0000-0000-00001A0B0000}"/>
    <cellStyle name="Comma 5 2 3 4 3 4 3" xfId="21326" xr:uid="{00000000-0005-0000-0000-00001B0B0000}"/>
    <cellStyle name="Comma 5 2 3 4 3 4 3 2" xfId="46879" xr:uid="{00000000-0005-0000-0000-00001C0B0000}"/>
    <cellStyle name="Comma 5 2 3 4 3 4 4" xfId="27809" xr:uid="{00000000-0005-0000-0000-00001D0B0000}"/>
    <cellStyle name="Comma 5 2 3 4 3 5" xfId="5907" xr:uid="{00000000-0005-0000-0000-00001E0B0000}"/>
    <cellStyle name="Comma 5 2 3 4 3 5 2" xfId="14734" xr:uid="{00000000-0005-0000-0000-00001F0B0000}"/>
    <cellStyle name="Comma 5 2 3 4 3 5 2 2" xfId="40289" xr:uid="{00000000-0005-0000-0000-0000200B0000}"/>
    <cellStyle name="Comma 5 2 3 4 3 5 3" xfId="24985" xr:uid="{00000000-0005-0000-0000-0000210B0000}"/>
    <cellStyle name="Comma 5 2 3 4 3 5 3 2" xfId="50538" xr:uid="{00000000-0005-0000-0000-0000220B0000}"/>
    <cellStyle name="Comma 5 2 3 4 3 5 4" xfId="31468" xr:uid="{00000000-0005-0000-0000-0000230B0000}"/>
    <cellStyle name="Comma 5 2 3 4 3 6" xfId="7351" xr:uid="{00000000-0005-0000-0000-0000240B0000}"/>
    <cellStyle name="Comma 5 2 3 4 3 6 2" xfId="19808" xr:uid="{00000000-0005-0000-0000-0000250B0000}"/>
    <cellStyle name="Comma 5 2 3 4 3 6 2 2" xfId="45361" xr:uid="{00000000-0005-0000-0000-0000260B0000}"/>
    <cellStyle name="Comma 5 2 3 4 3 6 3" xfId="32908" xr:uid="{00000000-0005-0000-0000-0000270B0000}"/>
    <cellStyle name="Comma 5 2 3 4 3 7" xfId="16319" xr:uid="{00000000-0005-0000-0000-0000280B0000}"/>
    <cellStyle name="Comma 5 2 3 4 3 7 2" xfId="41872" xr:uid="{00000000-0005-0000-0000-0000290B0000}"/>
    <cellStyle name="Comma 5 2 3 4 3 8" xfId="26291" xr:uid="{00000000-0005-0000-0000-00002A0B0000}"/>
    <cellStyle name="Comma 5 2 3 4 4" xfId="636" xr:uid="{00000000-0005-0000-0000-00002B0B0000}"/>
    <cellStyle name="Comma 5 2 3 4 4 2" xfId="3122" xr:uid="{00000000-0005-0000-0000-00002C0B0000}"/>
    <cellStyle name="Comma 5 2 3 4 4 2 2" xfId="12265" xr:uid="{00000000-0005-0000-0000-00002D0B0000}"/>
    <cellStyle name="Comma 5 2 3 4 4 2 2 2" xfId="22483" xr:uid="{00000000-0005-0000-0000-00002E0B0000}"/>
    <cellStyle name="Comma 5 2 3 4 4 2 2 2 2" xfId="48036" xr:uid="{00000000-0005-0000-0000-00002F0B0000}"/>
    <cellStyle name="Comma 5 2 3 4 4 2 2 3" xfId="37820" xr:uid="{00000000-0005-0000-0000-0000300B0000}"/>
    <cellStyle name="Comma 5 2 3 4 4 2 3" xfId="8687" xr:uid="{00000000-0005-0000-0000-0000310B0000}"/>
    <cellStyle name="Comma 5 2 3 4 4 2 3 2" xfId="34244" xr:uid="{00000000-0005-0000-0000-0000320B0000}"/>
    <cellStyle name="Comma 5 2 3 4 4 2 4" xfId="17476" xr:uid="{00000000-0005-0000-0000-0000330B0000}"/>
    <cellStyle name="Comma 5 2 3 4 4 2 4 2" xfId="43029" xr:uid="{00000000-0005-0000-0000-0000340B0000}"/>
    <cellStyle name="Comma 5 2 3 4 4 2 5" xfId="28966" xr:uid="{00000000-0005-0000-0000-0000350B0000}"/>
    <cellStyle name="Comma 5 2 3 4 4 3" xfId="4800" xr:uid="{00000000-0005-0000-0000-0000360B0000}"/>
    <cellStyle name="Comma 5 2 3 4 4 3 2" xfId="13637" xr:uid="{00000000-0005-0000-0000-0000370B0000}"/>
    <cellStyle name="Comma 5 2 3 4 4 3 2 2" xfId="23888" xr:uid="{00000000-0005-0000-0000-0000380B0000}"/>
    <cellStyle name="Comma 5 2 3 4 4 3 2 2 2" xfId="49441" xr:uid="{00000000-0005-0000-0000-0000390B0000}"/>
    <cellStyle name="Comma 5 2 3 4 4 3 2 3" xfId="39192" xr:uid="{00000000-0005-0000-0000-00003A0B0000}"/>
    <cellStyle name="Comma 5 2 3 4 4 3 3" xfId="10058" xr:uid="{00000000-0005-0000-0000-00003B0B0000}"/>
    <cellStyle name="Comma 5 2 3 4 4 3 3 2" xfId="35615" xr:uid="{00000000-0005-0000-0000-00003C0B0000}"/>
    <cellStyle name="Comma 5 2 3 4 4 3 4" xfId="18881" xr:uid="{00000000-0005-0000-0000-00003D0B0000}"/>
    <cellStyle name="Comma 5 2 3 4 4 3 4 2" xfId="44434" xr:uid="{00000000-0005-0000-0000-00003E0B0000}"/>
    <cellStyle name="Comma 5 2 3 4 4 3 5" xfId="30371" xr:uid="{00000000-0005-0000-0000-00003F0B0000}"/>
    <cellStyle name="Comma 5 2 3 4 4 4" xfId="2231" xr:uid="{00000000-0005-0000-0000-0000400B0000}"/>
    <cellStyle name="Comma 5 2 3 4 4 4 2" xfId="11596" xr:uid="{00000000-0005-0000-0000-0000410B0000}"/>
    <cellStyle name="Comma 5 2 3 4 4 4 2 2" xfId="37151" xr:uid="{00000000-0005-0000-0000-0000420B0000}"/>
    <cellStyle name="Comma 5 2 3 4 4 4 3" xfId="21600" xr:uid="{00000000-0005-0000-0000-0000430B0000}"/>
    <cellStyle name="Comma 5 2 3 4 4 4 3 2" xfId="47153" xr:uid="{00000000-0005-0000-0000-0000440B0000}"/>
    <cellStyle name="Comma 5 2 3 4 4 4 4" xfId="28083" xr:uid="{00000000-0005-0000-0000-0000450B0000}"/>
    <cellStyle name="Comma 5 2 3 4 4 5" xfId="6255" xr:uid="{00000000-0005-0000-0000-0000460B0000}"/>
    <cellStyle name="Comma 5 2 3 4 4 5 2" xfId="15082" xr:uid="{00000000-0005-0000-0000-0000470B0000}"/>
    <cellStyle name="Comma 5 2 3 4 4 5 2 2" xfId="40637" xr:uid="{00000000-0005-0000-0000-0000480B0000}"/>
    <cellStyle name="Comma 5 2 3 4 4 5 3" xfId="25333" xr:uid="{00000000-0005-0000-0000-0000490B0000}"/>
    <cellStyle name="Comma 5 2 3 4 4 5 3 2" xfId="50886" xr:uid="{00000000-0005-0000-0000-00004A0B0000}"/>
    <cellStyle name="Comma 5 2 3 4 4 5 4" xfId="31816" xr:uid="{00000000-0005-0000-0000-00004B0B0000}"/>
    <cellStyle name="Comma 5 2 3 4 4 6" xfId="7701" xr:uid="{00000000-0005-0000-0000-00004C0B0000}"/>
    <cellStyle name="Comma 5 2 3 4 4 6 2" xfId="20082" xr:uid="{00000000-0005-0000-0000-00004D0B0000}"/>
    <cellStyle name="Comma 5 2 3 4 4 6 2 2" xfId="45635" xr:uid="{00000000-0005-0000-0000-00004E0B0000}"/>
    <cellStyle name="Comma 5 2 3 4 4 6 3" xfId="33258" xr:uid="{00000000-0005-0000-0000-00004F0B0000}"/>
    <cellStyle name="Comma 5 2 3 4 4 7" xfId="16593" xr:uid="{00000000-0005-0000-0000-0000500B0000}"/>
    <cellStyle name="Comma 5 2 3 4 4 7 2" xfId="42146" xr:uid="{00000000-0005-0000-0000-0000510B0000}"/>
    <cellStyle name="Comma 5 2 3 4 4 8" xfId="26565" xr:uid="{00000000-0005-0000-0000-0000520B0000}"/>
    <cellStyle name="Comma 5 2 3 4 5" xfId="1134" xr:uid="{00000000-0005-0000-0000-0000530B0000}"/>
    <cellStyle name="Comma 5 2 3 4 5 2" xfId="3563" xr:uid="{00000000-0005-0000-0000-0000540B0000}"/>
    <cellStyle name="Comma 5 2 3 4 5 2 2" xfId="12699" xr:uid="{00000000-0005-0000-0000-0000550B0000}"/>
    <cellStyle name="Comma 5 2 3 4 5 2 2 2" xfId="22918" xr:uid="{00000000-0005-0000-0000-0000560B0000}"/>
    <cellStyle name="Comma 5 2 3 4 5 2 2 2 2" xfId="48471" xr:uid="{00000000-0005-0000-0000-0000570B0000}"/>
    <cellStyle name="Comma 5 2 3 4 5 2 2 3" xfId="38254" xr:uid="{00000000-0005-0000-0000-0000580B0000}"/>
    <cellStyle name="Comma 5 2 3 4 5 2 3" xfId="9120" xr:uid="{00000000-0005-0000-0000-0000590B0000}"/>
    <cellStyle name="Comma 5 2 3 4 5 2 3 2" xfId="34677" xr:uid="{00000000-0005-0000-0000-00005A0B0000}"/>
    <cellStyle name="Comma 5 2 3 4 5 2 4" xfId="17911" xr:uid="{00000000-0005-0000-0000-00005B0B0000}"/>
    <cellStyle name="Comma 5 2 3 4 5 2 4 2" xfId="43464" xr:uid="{00000000-0005-0000-0000-00005C0B0000}"/>
    <cellStyle name="Comma 5 2 3 4 5 2 5" xfId="29401" xr:uid="{00000000-0005-0000-0000-00005D0B0000}"/>
    <cellStyle name="Comma 5 2 3 4 5 3" xfId="5226" xr:uid="{00000000-0005-0000-0000-00005E0B0000}"/>
    <cellStyle name="Comma 5 2 3 4 5 3 2" xfId="14063" xr:uid="{00000000-0005-0000-0000-00005F0B0000}"/>
    <cellStyle name="Comma 5 2 3 4 5 3 2 2" xfId="24314" xr:uid="{00000000-0005-0000-0000-0000600B0000}"/>
    <cellStyle name="Comma 5 2 3 4 5 3 2 2 2" xfId="49867" xr:uid="{00000000-0005-0000-0000-0000610B0000}"/>
    <cellStyle name="Comma 5 2 3 4 5 3 2 3" xfId="39618" xr:uid="{00000000-0005-0000-0000-0000620B0000}"/>
    <cellStyle name="Comma 5 2 3 4 5 3 3" xfId="10484" xr:uid="{00000000-0005-0000-0000-0000630B0000}"/>
    <cellStyle name="Comma 5 2 3 4 5 3 3 2" xfId="36041" xr:uid="{00000000-0005-0000-0000-0000640B0000}"/>
    <cellStyle name="Comma 5 2 3 4 5 3 4" xfId="19307" xr:uid="{00000000-0005-0000-0000-0000650B0000}"/>
    <cellStyle name="Comma 5 2 3 4 5 3 4 2" xfId="44860" xr:uid="{00000000-0005-0000-0000-0000660B0000}"/>
    <cellStyle name="Comma 5 2 3 4 5 3 5" xfId="30797" xr:uid="{00000000-0005-0000-0000-0000670B0000}"/>
    <cellStyle name="Comma 5 2 3 4 5 4" xfId="1842" xr:uid="{00000000-0005-0000-0000-0000680B0000}"/>
    <cellStyle name="Comma 5 2 3 4 5 4 2" xfId="11210" xr:uid="{00000000-0005-0000-0000-0000690B0000}"/>
    <cellStyle name="Comma 5 2 3 4 5 4 2 2" xfId="36765" xr:uid="{00000000-0005-0000-0000-00006A0B0000}"/>
    <cellStyle name="Comma 5 2 3 4 5 4 3" xfId="21214" xr:uid="{00000000-0005-0000-0000-00006B0B0000}"/>
    <cellStyle name="Comma 5 2 3 4 5 4 3 2" xfId="46767" xr:uid="{00000000-0005-0000-0000-00006C0B0000}"/>
    <cellStyle name="Comma 5 2 3 4 5 4 4" xfId="27697" xr:uid="{00000000-0005-0000-0000-00006D0B0000}"/>
    <cellStyle name="Comma 5 2 3 4 5 5" xfId="6681" xr:uid="{00000000-0005-0000-0000-00006E0B0000}"/>
    <cellStyle name="Comma 5 2 3 4 5 5 2" xfId="15508" xr:uid="{00000000-0005-0000-0000-00006F0B0000}"/>
    <cellStyle name="Comma 5 2 3 4 5 5 2 2" xfId="41063" xr:uid="{00000000-0005-0000-0000-0000700B0000}"/>
    <cellStyle name="Comma 5 2 3 4 5 5 3" xfId="25759" xr:uid="{00000000-0005-0000-0000-0000710B0000}"/>
    <cellStyle name="Comma 5 2 3 4 5 5 3 2" xfId="51312" xr:uid="{00000000-0005-0000-0000-0000720B0000}"/>
    <cellStyle name="Comma 5 2 3 4 5 5 4" xfId="32242" xr:uid="{00000000-0005-0000-0000-0000730B0000}"/>
    <cellStyle name="Comma 5 2 3 4 5 6" xfId="8127" xr:uid="{00000000-0005-0000-0000-0000740B0000}"/>
    <cellStyle name="Comma 5 2 3 4 5 6 2" xfId="20517" xr:uid="{00000000-0005-0000-0000-0000750B0000}"/>
    <cellStyle name="Comma 5 2 3 4 5 6 2 2" xfId="46070" xr:uid="{00000000-0005-0000-0000-0000760B0000}"/>
    <cellStyle name="Comma 5 2 3 4 5 6 3" xfId="33684" xr:uid="{00000000-0005-0000-0000-0000770B0000}"/>
    <cellStyle name="Comma 5 2 3 4 5 7" xfId="16207" xr:uid="{00000000-0005-0000-0000-0000780B0000}"/>
    <cellStyle name="Comma 5 2 3 4 5 7 2" xfId="41760" xr:uid="{00000000-0005-0000-0000-0000790B0000}"/>
    <cellStyle name="Comma 5 2 3 4 5 8" xfId="27000" xr:uid="{00000000-0005-0000-0000-00007A0B0000}"/>
    <cellStyle name="Comma 5 2 3 4 6" xfId="2736" xr:uid="{00000000-0005-0000-0000-00007B0B0000}"/>
    <cellStyle name="Comma 5 2 3 4 6 2" xfId="12053" xr:uid="{00000000-0005-0000-0000-00007C0B0000}"/>
    <cellStyle name="Comma 5 2 3 4 6 2 2" xfId="22097" xr:uid="{00000000-0005-0000-0000-00007D0B0000}"/>
    <cellStyle name="Comma 5 2 3 4 6 2 2 2" xfId="47650" xr:uid="{00000000-0005-0000-0000-00007E0B0000}"/>
    <cellStyle name="Comma 5 2 3 4 6 2 3" xfId="37608" xr:uid="{00000000-0005-0000-0000-00007F0B0000}"/>
    <cellStyle name="Comma 5 2 3 4 6 3" xfId="8480" xr:uid="{00000000-0005-0000-0000-0000800B0000}"/>
    <cellStyle name="Comma 5 2 3 4 6 3 2" xfId="34037" xr:uid="{00000000-0005-0000-0000-0000810B0000}"/>
    <cellStyle name="Comma 5 2 3 4 6 4" xfId="17090" xr:uid="{00000000-0005-0000-0000-0000820B0000}"/>
    <cellStyle name="Comma 5 2 3 4 6 4 2" xfId="42643" xr:uid="{00000000-0005-0000-0000-0000830B0000}"/>
    <cellStyle name="Comma 5 2 3 4 6 5" xfId="28580" xr:uid="{00000000-0005-0000-0000-0000840B0000}"/>
    <cellStyle name="Comma 5 2 3 4 7" xfId="4182" xr:uid="{00000000-0005-0000-0000-0000850B0000}"/>
    <cellStyle name="Comma 5 2 3 4 7 2" xfId="13020" xr:uid="{00000000-0005-0000-0000-0000860B0000}"/>
    <cellStyle name="Comma 5 2 3 4 7 2 2" xfId="23271" xr:uid="{00000000-0005-0000-0000-0000870B0000}"/>
    <cellStyle name="Comma 5 2 3 4 7 2 2 2" xfId="48824" xr:uid="{00000000-0005-0000-0000-0000880B0000}"/>
    <cellStyle name="Comma 5 2 3 4 7 2 3" xfId="38575" xr:uid="{00000000-0005-0000-0000-0000890B0000}"/>
    <cellStyle name="Comma 5 2 3 4 7 3" xfId="9441" xr:uid="{00000000-0005-0000-0000-00008A0B0000}"/>
    <cellStyle name="Comma 5 2 3 4 7 3 2" xfId="34998" xr:uid="{00000000-0005-0000-0000-00008B0B0000}"/>
    <cellStyle name="Comma 5 2 3 4 7 4" xfId="18264" xr:uid="{00000000-0005-0000-0000-00008C0B0000}"/>
    <cellStyle name="Comma 5 2 3 4 7 4 2" xfId="43817" xr:uid="{00000000-0005-0000-0000-00008D0B0000}"/>
    <cellStyle name="Comma 5 2 3 4 7 5" xfId="29754" xr:uid="{00000000-0005-0000-0000-00008E0B0000}"/>
    <cellStyle name="Comma 5 2 3 4 8" xfId="1454" xr:uid="{00000000-0005-0000-0000-00008F0B0000}"/>
    <cellStyle name="Comma 5 2 3 4 8 2" xfId="10831" xr:uid="{00000000-0005-0000-0000-0000900B0000}"/>
    <cellStyle name="Comma 5 2 3 4 8 2 2" xfId="36386" xr:uid="{00000000-0005-0000-0000-0000910B0000}"/>
    <cellStyle name="Comma 5 2 3 4 8 3" xfId="20835" xr:uid="{00000000-0005-0000-0000-0000920B0000}"/>
    <cellStyle name="Comma 5 2 3 4 8 3 2" xfId="46388" xr:uid="{00000000-0005-0000-0000-0000930B0000}"/>
    <cellStyle name="Comma 5 2 3 4 8 4" xfId="27318" xr:uid="{00000000-0005-0000-0000-0000940B0000}"/>
    <cellStyle name="Comma 5 2 3 4 9" xfId="5638" xr:uid="{00000000-0005-0000-0000-0000950B0000}"/>
    <cellStyle name="Comma 5 2 3 4 9 2" xfId="14465" xr:uid="{00000000-0005-0000-0000-0000960B0000}"/>
    <cellStyle name="Comma 5 2 3 4 9 2 2" xfId="40020" xr:uid="{00000000-0005-0000-0000-0000970B0000}"/>
    <cellStyle name="Comma 5 2 3 4 9 3" xfId="24716" xr:uid="{00000000-0005-0000-0000-0000980B0000}"/>
    <cellStyle name="Comma 5 2 3 4 9 3 2" xfId="50269" xr:uid="{00000000-0005-0000-0000-0000990B0000}"/>
    <cellStyle name="Comma 5 2 3 4 9 4" xfId="31199" xr:uid="{00000000-0005-0000-0000-00009A0B0000}"/>
    <cellStyle name="Comma 5 2 3 5" xfId="462" xr:uid="{00000000-0005-0000-0000-00009B0B0000}"/>
    <cellStyle name="Comma 5 2 3 5 10" xfId="26391" xr:uid="{00000000-0005-0000-0000-00009C0B0000}"/>
    <cellStyle name="Comma 5 2 3 5 2" xfId="638" xr:uid="{00000000-0005-0000-0000-00009D0B0000}"/>
    <cellStyle name="Comma 5 2 3 5 2 2" xfId="3124" xr:uid="{00000000-0005-0000-0000-00009E0B0000}"/>
    <cellStyle name="Comma 5 2 3 5 2 2 2" xfId="12267" xr:uid="{00000000-0005-0000-0000-00009F0B0000}"/>
    <cellStyle name="Comma 5 2 3 5 2 2 2 2" xfId="22485" xr:uid="{00000000-0005-0000-0000-0000A00B0000}"/>
    <cellStyle name="Comma 5 2 3 5 2 2 2 2 2" xfId="48038" xr:uid="{00000000-0005-0000-0000-0000A10B0000}"/>
    <cellStyle name="Comma 5 2 3 5 2 2 2 3" xfId="37822" xr:uid="{00000000-0005-0000-0000-0000A20B0000}"/>
    <cellStyle name="Comma 5 2 3 5 2 2 3" xfId="8689" xr:uid="{00000000-0005-0000-0000-0000A30B0000}"/>
    <cellStyle name="Comma 5 2 3 5 2 2 3 2" xfId="34246" xr:uid="{00000000-0005-0000-0000-0000A40B0000}"/>
    <cellStyle name="Comma 5 2 3 5 2 2 4" xfId="17478" xr:uid="{00000000-0005-0000-0000-0000A50B0000}"/>
    <cellStyle name="Comma 5 2 3 5 2 2 4 2" xfId="43031" xr:uid="{00000000-0005-0000-0000-0000A60B0000}"/>
    <cellStyle name="Comma 5 2 3 5 2 2 5" xfId="28968" xr:uid="{00000000-0005-0000-0000-0000A70B0000}"/>
    <cellStyle name="Comma 5 2 3 5 2 3" xfId="4453" xr:uid="{00000000-0005-0000-0000-0000A80B0000}"/>
    <cellStyle name="Comma 5 2 3 5 2 3 2" xfId="13291" xr:uid="{00000000-0005-0000-0000-0000A90B0000}"/>
    <cellStyle name="Comma 5 2 3 5 2 3 2 2" xfId="23542" xr:uid="{00000000-0005-0000-0000-0000AA0B0000}"/>
    <cellStyle name="Comma 5 2 3 5 2 3 2 2 2" xfId="49095" xr:uid="{00000000-0005-0000-0000-0000AB0B0000}"/>
    <cellStyle name="Comma 5 2 3 5 2 3 2 3" xfId="38846" xr:uid="{00000000-0005-0000-0000-0000AC0B0000}"/>
    <cellStyle name="Comma 5 2 3 5 2 3 3" xfId="9712" xr:uid="{00000000-0005-0000-0000-0000AD0B0000}"/>
    <cellStyle name="Comma 5 2 3 5 2 3 3 2" xfId="35269" xr:uid="{00000000-0005-0000-0000-0000AE0B0000}"/>
    <cellStyle name="Comma 5 2 3 5 2 3 4" xfId="18535" xr:uid="{00000000-0005-0000-0000-0000AF0B0000}"/>
    <cellStyle name="Comma 5 2 3 5 2 3 4 2" xfId="44088" xr:uid="{00000000-0005-0000-0000-0000B00B0000}"/>
    <cellStyle name="Comma 5 2 3 5 2 3 5" xfId="30025" xr:uid="{00000000-0005-0000-0000-0000B10B0000}"/>
    <cellStyle name="Comma 5 2 3 5 2 4" xfId="2233" xr:uid="{00000000-0005-0000-0000-0000B20B0000}"/>
    <cellStyle name="Comma 5 2 3 5 2 4 2" xfId="11598" xr:uid="{00000000-0005-0000-0000-0000B30B0000}"/>
    <cellStyle name="Comma 5 2 3 5 2 4 2 2" xfId="37153" xr:uid="{00000000-0005-0000-0000-0000B40B0000}"/>
    <cellStyle name="Comma 5 2 3 5 2 4 3" xfId="21602" xr:uid="{00000000-0005-0000-0000-0000B50B0000}"/>
    <cellStyle name="Comma 5 2 3 5 2 4 3 2" xfId="47155" xr:uid="{00000000-0005-0000-0000-0000B60B0000}"/>
    <cellStyle name="Comma 5 2 3 5 2 4 4" xfId="28085" xr:uid="{00000000-0005-0000-0000-0000B70B0000}"/>
    <cellStyle name="Comma 5 2 3 5 2 5" xfId="5909" xr:uid="{00000000-0005-0000-0000-0000B80B0000}"/>
    <cellStyle name="Comma 5 2 3 5 2 5 2" xfId="14736" xr:uid="{00000000-0005-0000-0000-0000B90B0000}"/>
    <cellStyle name="Comma 5 2 3 5 2 5 2 2" xfId="40291" xr:uid="{00000000-0005-0000-0000-0000BA0B0000}"/>
    <cellStyle name="Comma 5 2 3 5 2 5 3" xfId="24987" xr:uid="{00000000-0005-0000-0000-0000BB0B0000}"/>
    <cellStyle name="Comma 5 2 3 5 2 5 3 2" xfId="50540" xr:uid="{00000000-0005-0000-0000-0000BC0B0000}"/>
    <cellStyle name="Comma 5 2 3 5 2 5 4" xfId="31470" xr:uid="{00000000-0005-0000-0000-0000BD0B0000}"/>
    <cellStyle name="Comma 5 2 3 5 2 6" xfId="7353" xr:uid="{00000000-0005-0000-0000-0000BE0B0000}"/>
    <cellStyle name="Comma 5 2 3 5 2 6 2" xfId="20084" xr:uid="{00000000-0005-0000-0000-0000BF0B0000}"/>
    <cellStyle name="Comma 5 2 3 5 2 6 2 2" xfId="45637" xr:uid="{00000000-0005-0000-0000-0000C00B0000}"/>
    <cellStyle name="Comma 5 2 3 5 2 6 3" xfId="32910" xr:uid="{00000000-0005-0000-0000-0000C10B0000}"/>
    <cellStyle name="Comma 5 2 3 5 2 7" xfId="16595" xr:uid="{00000000-0005-0000-0000-0000C20B0000}"/>
    <cellStyle name="Comma 5 2 3 5 2 7 2" xfId="42148" xr:uid="{00000000-0005-0000-0000-0000C30B0000}"/>
    <cellStyle name="Comma 5 2 3 5 2 8" xfId="26567" xr:uid="{00000000-0005-0000-0000-0000C40B0000}"/>
    <cellStyle name="Comma 5 2 3 5 3" xfId="1234" xr:uid="{00000000-0005-0000-0000-0000C50B0000}"/>
    <cellStyle name="Comma 5 2 3 5 3 2" xfId="3663" xr:uid="{00000000-0005-0000-0000-0000C60B0000}"/>
    <cellStyle name="Comma 5 2 3 5 3 2 2" xfId="12799" xr:uid="{00000000-0005-0000-0000-0000C70B0000}"/>
    <cellStyle name="Comma 5 2 3 5 3 2 2 2" xfId="23018" xr:uid="{00000000-0005-0000-0000-0000C80B0000}"/>
    <cellStyle name="Comma 5 2 3 5 3 2 2 2 2" xfId="48571" xr:uid="{00000000-0005-0000-0000-0000C90B0000}"/>
    <cellStyle name="Comma 5 2 3 5 3 2 2 3" xfId="38354" xr:uid="{00000000-0005-0000-0000-0000CA0B0000}"/>
    <cellStyle name="Comma 5 2 3 5 3 2 3" xfId="9220" xr:uid="{00000000-0005-0000-0000-0000CB0B0000}"/>
    <cellStyle name="Comma 5 2 3 5 3 2 3 2" xfId="34777" xr:uid="{00000000-0005-0000-0000-0000CC0B0000}"/>
    <cellStyle name="Comma 5 2 3 5 3 2 4" xfId="18011" xr:uid="{00000000-0005-0000-0000-0000CD0B0000}"/>
    <cellStyle name="Comma 5 2 3 5 3 2 4 2" xfId="43564" xr:uid="{00000000-0005-0000-0000-0000CE0B0000}"/>
    <cellStyle name="Comma 5 2 3 5 3 2 5" xfId="29501" xr:uid="{00000000-0005-0000-0000-0000CF0B0000}"/>
    <cellStyle name="Comma 5 2 3 5 3 3" xfId="4802" xr:uid="{00000000-0005-0000-0000-0000D00B0000}"/>
    <cellStyle name="Comma 5 2 3 5 3 3 2" xfId="13639" xr:uid="{00000000-0005-0000-0000-0000D10B0000}"/>
    <cellStyle name="Comma 5 2 3 5 3 3 2 2" xfId="23890" xr:uid="{00000000-0005-0000-0000-0000D20B0000}"/>
    <cellStyle name="Comma 5 2 3 5 3 3 2 2 2" xfId="49443" xr:uid="{00000000-0005-0000-0000-0000D30B0000}"/>
    <cellStyle name="Comma 5 2 3 5 3 3 2 3" xfId="39194" xr:uid="{00000000-0005-0000-0000-0000D40B0000}"/>
    <cellStyle name="Comma 5 2 3 5 3 3 3" xfId="10060" xr:uid="{00000000-0005-0000-0000-0000D50B0000}"/>
    <cellStyle name="Comma 5 2 3 5 3 3 3 2" xfId="35617" xr:uid="{00000000-0005-0000-0000-0000D60B0000}"/>
    <cellStyle name="Comma 5 2 3 5 3 3 4" xfId="18883" xr:uid="{00000000-0005-0000-0000-0000D70B0000}"/>
    <cellStyle name="Comma 5 2 3 5 3 3 4 2" xfId="44436" xr:uid="{00000000-0005-0000-0000-0000D80B0000}"/>
    <cellStyle name="Comma 5 2 3 5 3 3 5" xfId="30373" xr:uid="{00000000-0005-0000-0000-0000D90B0000}"/>
    <cellStyle name="Comma 5 2 3 5 3 4" xfId="2057" xr:uid="{00000000-0005-0000-0000-0000DA0B0000}"/>
    <cellStyle name="Comma 5 2 3 5 3 4 2" xfId="11422" xr:uid="{00000000-0005-0000-0000-0000DB0B0000}"/>
    <cellStyle name="Comma 5 2 3 5 3 4 2 2" xfId="36977" xr:uid="{00000000-0005-0000-0000-0000DC0B0000}"/>
    <cellStyle name="Comma 5 2 3 5 3 4 3" xfId="21426" xr:uid="{00000000-0005-0000-0000-0000DD0B0000}"/>
    <cellStyle name="Comma 5 2 3 5 3 4 3 2" xfId="46979" xr:uid="{00000000-0005-0000-0000-0000DE0B0000}"/>
    <cellStyle name="Comma 5 2 3 5 3 4 4" xfId="27909" xr:uid="{00000000-0005-0000-0000-0000DF0B0000}"/>
    <cellStyle name="Comma 5 2 3 5 3 5" xfId="6257" xr:uid="{00000000-0005-0000-0000-0000E00B0000}"/>
    <cellStyle name="Comma 5 2 3 5 3 5 2" xfId="15084" xr:uid="{00000000-0005-0000-0000-0000E10B0000}"/>
    <cellStyle name="Comma 5 2 3 5 3 5 2 2" xfId="40639" xr:uid="{00000000-0005-0000-0000-0000E20B0000}"/>
    <cellStyle name="Comma 5 2 3 5 3 5 3" xfId="25335" xr:uid="{00000000-0005-0000-0000-0000E30B0000}"/>
    <cellStyle name="Comma 5 2 3 5 3 5 3 2" xfId="50888" xr:uid="{00000000-0005-0000-0000-0000E40B0000}"/>
    <cellStyle name="Comma 5 2 3 5 3 5 4" xfId="31818" xr:uid="{00000000-0005-0000-0000-0000E50B0000}"/>
    <cellStyle name="Comma 5 2 3 5 3 6" xfId="7703" xr:uid="{00000000-0005-0000-0000-0000E60B0000}"/>
    <cellStyle name="Comma 5 2 3 5 3 6 2" xfId="20617" xr:uid="{00000000-0005-0000-0000-0000E70B0000}"/>
    <cellStyle name="Comma 5 2 3 5 3 6 2 2" xfId="46170" xr:uid="{00000000-0005-0000-0000-0000E80B0000}"/>
    <cellStyle name="Comma 5 2 3 5 3 6 3" xfId="33260" xr:uid="{00000000-0005-0000-0000-0000E90B0000}"/>
    <cellStyle name="Comma 5 2 3 5 3 7" xfId="16419" xr:uid="{00000000-0005-0000-0000-0000EA0B0000}"/>
    <cellStyle name="Comma 5 2 3 5 3 7 2" xfId="41972" xr:uid="{00000000-0005-0000-0000-0000EB0B0000}"/>
    <cellStyle name="Comma 5 2 3 5 3 8" xfId="27100" xr:uid="{00000000-0005-0000-0000-0000EC0B0000}"/>
    <cellStyle name="Comma 5 2 3 5 4" xfId="2948" xr:uid="{00000000-0005-0000-0000-0000ED0B0000}"/>
    <cellStyle name="Comma 5 2 3 5 4 2" xfId="5326" xr:uid="{00000000-0005-0000-0000-0000EE0B0000}"/>
    <cellStyle name="Comma 5 2 3 5 4 2 2" xfId="14163" xr:uid="{00000000-0005-0000-0000-0000EF0B0000}"/>
    <cellStyle name="Comma 5 2 3 5 4 2 2 2" xfId="24414" xr:uid="{00000000-0005-0000-0000-0000F00B0000}"/>
    <cellStyle name="Comma 5 2 3 5 4 2 2 2 2" xfId="49967" xr:uid="{00000000-0005-0000-0000-0000F10B0000}"/>
    <cellStyle name="Comma 5 2 3 5 4 2 2 3" xfId="39718" xr:uid="{00000000-0005-0000-0000-0000F20B0000}"/>
    <cellStyle name="Comma 5 2 3 5 4 2 3" xfId="10584" xr:uid="{00000000-0005-0000-0000-0000F30B0000}"/>
    <cellStyle name="Comma 5 2 3 5 4 2 3 2" xfId="36141" xr:uid="{00000000-0005-0000-0000-0000F40B0000}"/>
    <cellStyle name="Comma 5 2 3 5 4 2 4" xfId="19407" xr:uid="{00000000-0005-0000-0000-0000F50B0000}"/>
    <cellStyle name="Comma 5 2 3 5 4 2 4 2" xfId="44960" xr:uid="{00000000-0005-0000-0000-0000F60B0000}"/>
    <cellStyle name="Comma 5 2 3 5 4 2 5" xfId="30897" xr:uid="{00000000-0005-0000-0000-0000F70B0000}"/>
    <cellStyle name="Comma 5 2 3 5 4 3" xfId="6781" xr:uid="{00000000-0005-0000-0000-0000F80B0000}"/>
    <cellStyle name="Comma 5 2 3 5 4 3 2" xfId="15608" xr:uid="{00000000-0005-0000-0000-0000F90B0000}"/>
    <cellStyle name="Comma 5 2 3 5 4 3 2 2" xfId="41163" xr:uid="{00000000-0005-0000-0000-0000FA0B0000}"/>
    <cellStyle name="Comma 5 2 3 5 4 3 3" xfId="25859" xr:uid="{00000000-0005-0000-0000-0000FB0B0000}"/>
    <cellStyle name="Comma 5 2 3 5 4 3 3 2" xfId="51412" xr:uid="{00000000-0005-0000-0000-0000FC0B0000}"/>
    <cellStyle name="Comma 5 2 3 5 4 3 4" xfId="32342" xr:uid="{00000000-0005-0000-0000-0000FD0B0000}"/>
    <cellStyle name="Comma 5 2 3 5 4 4" xfId="8227" xr:uid="{00000000-0005-0000-0000-0000FE0B0000}"/>
    <cellStyle name="Comma 5 2 3 5 4 4 2" xfId="22309" xr:uid="{00000000-0005-0000-0000-0000FF0B0000}"/>
    <cellStyle name="Comma 5 2 3 5 4 4 2 2" xfId="47862" xr:uid="{00000000-0005-0000-0000-0000000C0000}"/>
    <cellStyle name="Comma 5 2 3 5 4 4 3" xfId="33784" xr:uid="{00000000-0005-0000-0000-0000010C0000}"/>
    <cellStyle name="Comma 5 2 3 5 4 5" xfId="17302" xr:uid="{00000000-0005-0000-0000-0000020C0000}"/>
    <cellStyle name="Comma 5 2 3 5 4 5 2" xfId="42855" xr:uid="{00000000-0005-0000-0000-0000030C0000}"/>
    <cellStyle name="Comma 5 2 3 5 4 6" xfId="28792" xr:uid="{00000000-0005-0000-0000-0000040C0000}"/>
    <cellStyle name="Comma 5 2 3 5 5" xfId="4282" xr:uid="{00000000-0005-0000-0000-0000050C0000}"/>
    <cellStyle name="Comma 5 2 3 5 5 2" xfId="13120" xr:uid="{00000000-0005-0000-0000-0000060C0000}"/>
    <cellStyle name="Comma 5 2 3 5 5 2 2" xfId="23371" xr:uid="{00000000-0005-0000-0000-0000070C0000}"/>
    <cellStyle name="Comma 5 2 3 5 5 2 2 2" xfId="48924" xr:uid="{00000000-0005-0000-0000-0000080C0000}"/>
    <cellStyle name="Comma 5 2 3 5 5 2 3" xfId="38675" xr:uid="{00000000-0005-0000-0000-0000090C0000}"/>
    <cellStyle name="Comma 5 2 3 5 5 3" xfId="9541" xr:uid="{00000000-0005-0000-0000-00000A0C0000}"/>
    <cellStyle name="Comma 5 2 3 5 5 3 2" xfId="35098" xr:uid="{00000000-0005-0000-0000-00000B0C0000}"/>
    <cellStyle name="Comma 5 2 3 5 5 4" xfId="18364" xr:uid="{00000000-0005-0000-0000-00000C0C0000}"/>
    <cellStyle name="Comma 5 2 3 5 5 4 2" xfId="43917" xr:uid="{00000000-0005-0000-0000-00000D0C0000}"/>
    <cellStyle name="Comma 5 2 3 5 5 5" xfId="29854" xr:uid="{00000000-0005-0000-0000-00000E0C0000}"/>
    <cellStyle name="Comma 5 2 3 5 6" xfId="1554" xr:uid="{00000000-0005-0000-0000-00000F0C0000}"/>
    <cellStyle name="Comma 5 2 3 5 6 2" xfId="10931" xr:uid="{00000000-0005-0000-0000-0000100C0000}"/>
    <cellStyle name="Comma 5 2 3 5 6 2 2" xfId="36486" xr:uid="{00000000-0005-0000-0000-0000110C0000}"/>
    <cellStyle name="Comma 5 2 3 5 6 3" xfId="20935" xr:uid="{00000000-0005-0000-0000-0000120C0000}"/>
    <cellStyle name="Comma 5 2 3 5 6 3 2" xfId="46488" xr:uid="{00000000-0005-0000-0000-0000130C0000}"/>
    <cellStyle name="Comma 5 2 3 5 6 4" xfId="27418" xr:uid="{00000000-0005-0000-0000-0000140C0000}"/>
    <cellStyle name="Comma 5 2 3 5 7" xfId="5738" xr:uid="{00000000-0005-0000-0000-0000150C0000}"/>
    <cellStyle name="Comma 5 2 3 5 7 2" xfId="14565" xr:uid="{00000000-0005-0000-0000-0000160C0000}"/>
    <cellStyle name="Comma 5 2 3 5 7 2 2" xfId="40120" xr:uid="{00000000-0005-0000-0000-0000170C0000}"/>
    <cellStyle name="Comma 5 2 3 5 7 3" xfId="24816" xr:uid="{00000000-0005-0000-0000-0000180C0000}"/>
    <cellStyle name="Comma 5 2 3 5 7 3 2" xfId="50369" xr:uid="{00000000-0005-0000-0000-0000190C0000}"/>
    <cellStyle name="Comma 5 2 3 5 7 4" xfId="31299" xr:uid="{00000000-0005-0000-0000-00001A0C0000}"/>
    <cellStyle name="Comma 5 2 3 5 8" xfId="7182" xr:uid="{00000000-0005-0000-0000-00001B0C0000}"/>
    <cellStyle name="Comma 5 2 3 5 8 2" xfId="19908" xr:uid="{00000000-0005-0000-0000-00001C0C0000}"/>
    <cellStyle name="Comma 5 2 3 5 8 2 2" xfId="45461" xr:uid="{00000000-0005-0000-0000-00001D0C0000}"/>
    <cellStyle name="Comma 5 2 3 5 8 3" xfId="32739" xr:uid="{00000000-0005-0000-0000-00001E0C0000}"/>
    <cellStyle name="Comma 5 2 3 5 9" xfId="15928" xr:uid="{00000000-0005-0000-0000-00001F0C0000}"/>
    <cellStyle name="Comma 5 2 3 5 9 2" xfId="41481" xr:uid="{00000000-0005-0000-0000-0000200C0000}"/>
    <cellStyle name="Comma 5 2 3 6" xfId="337" xr:uid="{00000000-0005-0000-0000-0000210C0000}"/>
    <cellStyle name="Comma 5 2 3 6 10" xfId="26266" xr:uid="{00000000-0005-0000-0000-0000220C0000}"/>
    <cellStyle name="Comma 5 2 3 6 2" xfId="639" xr:uid="{00000000-0005-0000-0000-0000230C0000}"/>
    <cellStyle name="Comma 5 2 3 6 2 2" xfId="3125" xr:uid="{00000000-0005-0000-0000-0000240C0000}"/>
    <cellStyle name="Comma 5 2 3 6 2 2 2" xfId="12268" xr:uid="{00000000-0005-0000-0000-0000250C0000}"/>
    <cellStyle name="Comma 5 2 3 6 2 2 2 2" xfId="22486" xr:uid="{00000000-0005-0000-0000-0000260C0000}"/>
    <cellStyle name="Comma 5 2 3 6 2 2 2 2 2" xfId="48039" xr:uid="{00000000-0005-0000-0000-0000270C0000}"/>
    <cellStyle name="Comma 5 2 3 6 2 2 2 3" xfId="37823" xr:uid="{00000000-0005-0000-0000-0000280C0000}"/>
    <cellStyle name="Comma 5 2 3 6 2 2 3" xfId="8690" xr:uid="{00000000-0005-0000-0000-0000290C0000}"/>
    <cellStyle name="Comma 5 2 3 6 2 2 3 2" xfId="34247" xr:uid="{00000000-0005-0000-0000-00002A0C0000}"/>
    <cellStyle name="Comma 5 2 3 6 2 2 4" xfId="17479" xr:uid="{00000000-0005-0000-0000-00002B0C0000}"/>
    <cellStyle name="Comma 5 2 3 6 2 2 4 2" xfId="43032" xr:uid="{00000000-0005-0000-0000-00002C0C0000}"/>
    <cellStyle name="Comma 5 2 3 6 2 2 5" xfId="28969" xr:uid="{00000000-0005-0000-0000-00002D0C0000}"/>
    <cellStyle name="Comma 5 2 3 6 2 3" xfId="4454" xr:uid="{00000000-0005-0000-0000-00002E0C0000}"/>
    <cellStyle name="Comma 5 2 3 6 2 3 2" xfId="13292" xr:uid="{00000000-0005-0000-0000-00002F0C0000}"/>
    <cellStyle name="Comma 5 2 3 6 2 3 2 2" xfId="23543" xr:uid="{00000000-0005-0000-0000-0000300C0000}"/>
    <cellStyle name="Comma 5 2 3 6 2 3 2 2 2" xfId="49096" xr:uid="{00000000-0005-0000-0000-0000310C0000}"/>
    <cellStyle name="Comma 5 2 3 6 2 3 2 3" xfId="38847" xr:uid="{00000000-0005-0000-0000-0000320C0000}"/>
    <cellStyle name="Comma 5 2 3 6 2 3 3" xfId="9713" xr:uid="{00000000-0005-0000-0000-0000330C0000}"/>
    <cellStyle name="Comma 5 2 3 6 2 3 3 2" xfId="35270" xr:uid="{00000000-0005-0000-0000-0000340C0000}"/>
    <cellStyle name="Comma 5 2 3 6 2 3 4" xfId="18536" xr:uid="{00000000-0005-0000-0000-0000350C0000}"/>
    <cellStyle name="Comma 5 2 3 6 2 3 4 2" xfId="44089" xr:uid="{00000000-0005-0000-0000-0000360C0000}"/>
    <cellStyle name="Comma 5 2 3 6 2 3 5" xfId="30026" xr:uid="{00000000-0005-0000-0000-0000370C0000}"/>
    <cellStyle name="Comma 5 2 3 6 2 4" xfId="2234" xr:uid="{00000000-0005-0000-0000-0000380C0000}"/>
    <cellStyle name="Comma 5 2 3 6 2 4 2" xfId="11599" xr:uid="{00000000-0005-0000-0000-0000390C0000}"/>
    <cellStyle name="Comma 5 2 3 6 2 4 2 2" xfId="37154" xr:uid="{00000000-0005-0000-0000-00003A0C0000}"/>
    <cellStyle name="Comma 5 2 3 6 2 4 3" xfId="21603" xr:uid="{00000000-0005-0000-0000-00003B0C0000}"/>
    <cellStyle name="Comma 5 2 3 6 2 4 3 2" xfId="47156" xr:uid="{00000000-0005-0000-0000-00003C0C0000}"/>
    <cellStyle name="Comma 5 2 3 6 2 4 4" xfId="28086" xr:uid="{00000000-0005-0000-0000-00003D0C0000}"/>
    <cellStyle name="Comma 5 2 3 6 2 5" xfId="5910" xr:uid="{00000000-0005-0000-0000-00003E0C0000}"/>
    <cellStyle name="Comma 5 2 3 6 2 5 2" xfId="14737" xr:uid="{00000000-0005-0000-0000-00003F0C0000}"/>
    <cellStyle name="Comma 5 2 3 6 2 5 2 2" xfId="40292" xr:uid="{00000000-0005-0000-0000-0000400C0000}"/>
    <cellStyle name="Comma 5 2 3 6 2 5 3" xfId="24988" xr:uid="{00000000-0005-0000-0000-0000410C0000}"/>
    <cellStyle name="Comma 5 2 3 6 2 5 3 2" xfId="50541" xr:uid="{00000000-0005-0000-0000-0000420C0000}"/>
    <cellStyle name="Comma 5 2 3 6 2 5 4" xfId="31471" xr:uid="{00000000-0005-0000-0000-0000430C0000}"/>
    <cellStyle name="Comma 5 2 3 6 2 6" xfId="7354" xr:uid="{00000000-0005-0000-0000-0000440C0000}"/>
    <cellStyle name="Comma 5 2 3 6 2 6 2" xfId="20085" xr:uid="{00000000-0005-0000-0000-0000450C0000}"/>
    <cellStyle name="Comma 5 2 3 6 2 6 2 2" xfId="45638" xr:uid="{00000000-0005-0000-0000-0000460C0000}"/>
    <cellStyle name="Comma 5 2 3 6 2 6 3" xfId="32911" xr:uid="{00000000-0005-0000-0000-0000470C0000}"/>
    <cellStyle name="Comma 5 2 3 6 2 7" xfId="16596" xr:uid="{00000000-0005-0000-0000-0000480C0000}"/>
    <cellStyle name="Comma 5 2 3 6 2 7 2" xfId="42149" xr:uid="{00000000-0005-0000-0000-0000490C0000}"/>
    <cellStyle name="Comma 5 2 3 6 2 8" xfId="26568" xr:uid="{00000000-0005-0000-0000-00004A0C0000}"/>
    <cellStyle name="Comma 5 2 3 6 3" xfId="1109" xr:uid="{00000000-0005-0000-0000-00004B0C0000}"/>
    <cellStyle name="Comma 5 2 3 6 3 2" xfId="3538" xr:uid="{00000000-0005-0000-0000-00004C0C0000}"/>
    <cellStyle name="Comma 5 2 3 6 3 2 2" xfId="12674" xr:uid="{00000000-0005-0000-0000-00004D0C0000}"/>
    <cellStyle name="Comma 5 2 3 6 3 2 2 2" xfId="22893" xr:uid="{00000000-0005-0000-0000-00004E0C0000}"/>
    <cellStyle name="Comma 5 2 3 6 3 2 2 2 2" xfId="48446" xr:uid="{00000000-0005-0000-0000-00004F0C0000}"/>
    <cellStyle name="Comma 5 2 3 6 3 2 2 3" xfId="38229" xr:uid="{00000000-0005-0000-0000-0000500C0000}"/>
    <cellStyle name="Comma 5 2 3 6 3 2 3" xfId="9095" xr:uid="{00000000-0005-0000-0000-0000510C0000}"/>
    <cellStyle name="Comma 5 2 3 6 3 2 3 2" xfId="34652" xr:uid="{00000000-0005-0000-0000-0000520C0000}"/>
    <cellStyle name="Comma 5 2 3 6 3 2 4" xfId="17886" xr:uid="{00000000-0005-0000-0000-0000530C0000}"/>
    <cellStyle name="Comma 5 2 3 6 3 2 4 2" xfId="43439" xr:uid="{00000000-0005-0000-0000-0000540C0000}"/>
    <cellStyle name="Comma 5 2 3 6 3 2 5" xfId="29376" xr:uid="{00000000-0005-0000-0000-0000550C0000}"/>
    <cellStyle name="Comma 5 2 3 6 3 3" xfId="4803" xr:uid="{00000000-0005-0000-0000-0000560C0000}"/>
    <cellStyle name="Comma 5 2 3 6 3 3 2" xfId="13640" xr:uid="{00000000-0005-0000-0000-0000570C0000}"/>
    <cellStyle name="Comma 5 2 3 6 3 3 2 2" xfId="23891" xr:uid="{00000000-0005-0000-0000-0000580C0000}"/>
    <cellStyle name="Comma 5 2 3 6 3 3 2 2 2" xfId="49444" xr:uid="{00000000-0005-0000-0000-0000590C0000}"/>
    <cellStyle name="Comma 5 2 3 6 3 3 2 3" xfId="39195" xr:uid="{00000000-0005-0000-0000-00005A0C0000}"/>
    <cellStyle name="Comma 5 2 3 6 3 3 3" xfId="10061" xr:uid="{00000000-0005-0000-0000-00005B0C0000}"/>
    <cellStyle name="Comma 5 2 3 6 3 3 3 2" xfId="35618" xr:uid="{00000000-0005-0000-0000-00005C0C0000}"/>
    <cellStyle name="Comma 5 2 3 6 3 3 4" xfId="18884" xr:uid="{00000000-0005-0000-0000-00005D0C0000}"/>
    <cellStyle name="Comma 5 2 3 6 3 3 4 2" xfId="44437" xr:uid="{00000000-0005-0000-0000-00005E0C0000}"/>
    <cellStyle name="Comma 5 2 3 6 3 3 5" xfId="30374" xr:uid="{00000000-0005-0000-0000-00005F0C0000}"/>
    <cellStyle name="Comma 5 2 3 6 3 4" xfId="2570" xr:uid="{00000000-0005-0000-0000-0000600C0000}"/>
    <cellStyle name="Comma 5 2 3 6 3 4 2" xfId="11934" xr:uid="{00000000-0005-0000-0000-0000610C0000}"/>
    <cellStyle name="Comma 5 2 3 6 3 4 2 2" xfId="37489" xr:uid="{00000000-0005-0000-0000-0000620C0000}"/>
    <cellStyle name="Comma 5 2 3 6 3 4 3" xfId="21938" xr:uid="{00000000-0005-0000-0000-0000630C0000}"/>
    <cellStyle name="Comma 5 2 3 6 3 4 3 2" xfId="47491" xr:uid="{00000000-0005-0000-0000-0000640C0000}"/>
    <cellStyle name="Comma 5 2 3 6 3 4 4" xfId="28421" xr:uid="{00000000-0005-0000-0000-0000650C0000}"/>
    <cellStyle name="Comma 5 2 3 6 3 5" xfId="6258" xr:uid="{00000000-0005-0000-0000-0000660C0000}"/>
    <cellStyle name="Comma 5 2 3 6 3 5 2" xfId="15085" xr:uid="{00000000-0005-0000-0000-0000670C0000}"/>
    <cellStyle name="Comma 5 2 3 6 3 5 2 2" xfId="40640" xr:uid="{00000000-0005-0000-0000-0000680C0000}"/>
    <cellStyle name="Comma 5 2 3 6 3 5 3" xfId="25336" xr:uid="{00000000-0005-0000-0000-0000690C0000}"/>
    <cellStyle name="Comma 5 2 3 6 3 5 3 2" xfId="50889" xr:uid="{00000000-0005-0000-0000-00006A0C0000}"/>
    <cellStyle name="Comma 5 2 3 6 3 5 4" xfId="31819" xr:uid="{00000000-0005-0000-0000-00006B0C0000}"/>
    <cellStyle name="Comma 5 2 3 6 3 6" xfId="7704" xr:uid="{00000000-0005-0000-0000-00006C0C0000}"/>
    <cellStyle name="Comma 5 2 3 6 3 6 2" xfId="20492" xr:uid="{00000000-0005-0000-0000-00006D0C0000}"/>
    <cellStyle name="Comma 5 2 3 6 3 6 2 2" xfId="46045" xr:uid="{00000000-0005-0000-0000-00006E0C0000}"/>
    <cellStyle name="Comma 5 2 3 6 3 6 3" xfId="33261" xr:uid="{00000000-0005-0000-0000-00006F0C0000}"/>
    <cellStyle name="Comma 5 2 3 6 3 7" xfId="16931" xr:uid="{00000000-0005-0000-0000-0000700C0000}"/>
    <cellStyle name="Comma 5 2 3 6 3 7 2" xfId="42484" xr:uid="{00000000-0005-0000-0000-0000710C0000}"/>
    <cellStyle name="Comma 5 2 3 6 3 8" xfId="26975" xr:uid="{00000000-0005-0000-0000-0000720C0000}"/>
    <cellStyle name="Comma 5 2 3 6 4" xfId="2823" xr:uid="{00000000-0005-0000-0000-0000730C0000}"/>
    <cellStyle name="Comma 5 2 3 6 4 2" xfId="5201" xr:uid="{00000000-0005-0000-0000-0000740C0000}"/>
    <cellStyle name="Comma 5 2 3 6 4 2 2" xfId="14038" xr:uid="{00000000-0005-0000-0000-0000750C0000}"/>
    <cellStyle name="Comma 5 2 3 6 4 2 2 2" xfId="24289" xr:uid="{00000000-0005-0000-0000-0000760C0000}"/>
    <cellStyle name="Comma 5 2 3 6 4 2 2 2 2" xfId="49842" xr:uid="{00000000-0005-0000-0000-0000770C0000}"/>
    <cellStyle name="Comma 5 2 3 6 4 2 2 3" xfId="39593" xr:uid="{00000000-0005-0000-0000-0000780C0000}"/>
    <cellStyle name="Comma 5 2 3 6 4 2 3" xfId="10459" xr:uid="{00000000-0005-0000-0000-0000790C0000}"/>
    <cellStyle name="Comma 5 2 3 6 4 2 3 2" xfId="36016" xr:uid="{00000000-0005-0000-0000-00007A0C0000}"/>
    <cellStyle name="Comma 5 2 3 6 4 2 4" xfId="19282" xr:uid="{00000000-0005-0000-0000-00007B0C0000}"/>
    <cellStyle name="Comma 5 2 3 6 4 2 4 2" xfId="44835" xr:uid="{00000000-0005-0000-0000-00007C0C0000}"/>
    <cellStyle name="Comma 5 2 3 6 4 2 5" xfId="30772" xr:uid="{00000000-0005-0000-0000-00007D0C0000}"/>
    <cellStyle name="Comma 5 2 3 6 4 3" xfId="6656" xr:uid="{00000000-0005-0000-0000-00007E0C0000}"/>
    <cellStyle name="Comma 5 2 3 6 4 3 2" xfId="15483" xr:uid="{00000000-0005-0000-0000-00007F0C0000}"/>
    <cellStyle name="Comma 5 2 3 6 4 3 2 2" xfId="41038" xr:uid="{00000000-0005-0000-0000-0000800C0000}"/>
    <cellStyle name="Comma 5 2 3 6 4 3 3" xfId="25734" xr:uid="{00000000-0005-0000-0000-0000810C0000}"/>
    <cellStyle name="Comma 5 2 3 6 4 3 3 2" xfId="51287" xr:uid="{00000000-0005-0000-0000-0000820C0000}"/>
    <cellStyle name="Comma 5 2 3 6 4 3 4" xfId="32217" xr:uid="{00000000-0005-0000-0000-0000830C0000}"/>
    <cellStyle name="Comma 5 2 3 6 4 4" xfId="8102" xr:uid="{00000000-0005-0000-0000-0000840C0000}"/>
    <cellStyle name="Comma 5 2 3 6 4 4 2" xfId="22184" xr:uid="{00000000-0005-0000-0000-0000850C0000}"/>
    <cellStyle name="Comma 5 2 3 6 4 4 2 2" xfId="47737" xr:uid="{00000000-0005-0000-0000-0000860C0000}"/>
    <cellStyle name="Comma 5 2 3 6 4 4 3" xfId="33659" xr:uid="{00000000-0005-0000-0000-0000870C0000}"/>
    <cellStyle name="Comma 5 2 3 6 4 5" xfId="17177" xr:uid="{00000000-0005-0000-0000-0000880C0000}"/>
    <cellStyle name="Comma 5 2 3 6 4 5 2" xfId="42730" xr:uid="{00000000-0005-0000-0000-0000890C0000}"/>
    <cellStyle name="Comma 5 2 3 6 4 6" xfId="28667" xr:uid="{00000000-0005-0000-0000-00008A0C0000}"/>
    <cellStyle name="Comma 5 2 3 6 5" xfId="4155" xr:uid="{00000000-0005-0000-0000-00008B0C0000}"/>
    <cellStyle name="Comma 5 2 3 6 5 2" xfId="12993" xr:uid="{00000000-0005-0000-0000-00008C0C0000}"/>
    <cellStyle name="Comma 5 2 3 6 5 2 2" xfId="23244" xr:uid="{00000000-0005-0000-0000-00008D0C0000}"/>
    <cellStyle name="Comma 5 2 3 6 5 2 2 2" xfId="48797" xr:uid="{00000000-0005-0000-0000-00008E0C0000}"/>
    <cellStyle name="Comma 5 2 3 6 5 2 3" xfId="38548" xr:uid="{00000000-0005-0000-0000-00008F0C0000}"/>
    <cellStyle name="Comma 5 2 3 6 5 3" xfId="9414" xr:uid="{00000000-0005-0000-0000-0000900C0000}"/>
    <cellStyle name="Comma 5 2 3 6 5 3 2" xfId="34971" xr:uid="{00000000-0005-0000-0000-0000910C0000}"/>
    <cellStyle name="Comma 5 2 3 6 5 4" xfId="18237" xr:uid="{00000000-0005-0000-0000-0000920C0000}"/>
    <cellStyle name="Comma 5 2 3 6 5 4 2" xfId="43790" xr:uid="{00000000-0005-0000-0000-0000930C0000}"/>
    <cellStyle name="Comma 5 2 3 6 5 5" xfId="29727" xr:uid="{00000000-0005-0000-0000-0000940C0000}"/>
    <cellStyle name="Comma 5 2 3 6 6" xfId="1932" xr:uid="{00000000-0005-0000-0000-0000950C0000}"/>
    <cellStyle name="Comma 5 2 3 6 6 2" xfId="11297" xr:uid="{00000000-0005-0000-0000-0000960C0000}"/>
    <cellStyle name="Comma 5 2 3 6 6 2 2" xfId="36852" xr:uid="{00000000-0005-0000-0000-0000970C0000}"/>
    <cellStyle name="Comma 5 2 3 6 6 3" xfId="21301" xr:uid="{00000000-0005-0000-0000-0000980C0000}"/>
    <cellStyle name="Comma 5 2 3 6 6 3 2" xfId="46854" xr:uid="{00000000-0005-0000-0000-0000990C0000}"/>
    <cellStyle name="Comma 5 2 3 6 6 4" xfId="27784" xr:uid="{00000000-0005-0000-0000-00009A0C0000}"/>
    <cellStyle name="Comma 5 2 3 6 7" xfId="5613" xr:uid="{00000000-0005-0000-0000-00009B0C0000}"/>
    <cellStyle name="Comma 5 2 3 6 7 2" xfId="14440" xr:uid="{00000000-0005-0000-0000-00009C0C0000}"/>
    <cellStyle name="Comma 5 2 3 6 7 2 2" xfId="39995" xr:uid="{00000000-0005-0000-0000-00009D0C0000}"/>
    <cellStyle name="Comma 5 2 3 6 7 3" xfId="24691" xr:uid="{00000000-0005-0000-0000-00009E0C0000}"/>
    <cellStyle name="Comma 5 2 3 6 7 3 2" xfId="50244" xr:uid="{00000000-0005-0000-0000-00009F0C0000}"/>
    <cellStyle name="Comma 5 2 3 6 7 4" xfId="31174" xr:uid="{00000000-0005-0000-0000-0000A00C0000}"/>
    <cellStyle name="Comma 5 2 3 6 8" xfId="7057" xr:uid="{00000000-0005-0000-0000-0000A10C0000}"/>
    <cellStyle name="Comma 5 2 3 6 8 2" xfId="19783" xr:uid="{00000000-0005-0000-0000-0000A20C0000}"/>
    <cellStyle name="Comma 5 2 3 6 8 2 2" xfId="45336" xr:uid="{00000000-0005-0000-0000-0000A30C0000}"/>
    <cellStyle name="Comma 5 2 3 6 8 3" xfId="32614" xr:uid="{00000000-0005-0000-0000-0000A40C0000}"/>
    <cellStyle name="Comma 5 2 3 6 9" xfId="16294" xr:uid="{00000000-0005-0000-0000-0000A50C0000}"/>
    <cellStyle name="Comma 5 2 3 6 9 2" xfId="41847" xr:uid="{00000000-0005-0000-0000-0000A60C0000}"/>
    <cellStyle name="Comma 5 2 3 7" xfId="630" xr:uid="{00000000-0005-0000-0000-0000A70C0000}"/>
    <cellStyle name="Comma 5 2 3 7 2" xfId="3116" xr:uid="{00000000-0005-0000-0000-0000A80C0000}"/>
    <cellStyle name="Comma 5 2 3 7 2 2" xfId="12259" xr:uid="{00000000-0005-0000-0000-0000A90C0000}"/>
    <cellStyle name="Comma 5 2 3 7 2 2 2" xfId="22477" xr:uid="{00000000-0005-0000-0000-0000AA0C0000}"/>
    <cellStyle name="Comma 5 2 3 7 2 2 2 2" xfId="48030" xr:uid="{00000000-0005-0000-0000-0000AB0C0000}"/>
    <cellStyle name="Comma 5 2 3 7 2 2 3" xfId="37814" xr:uid="{00000000-0005-0000-0000-0000AC0C0000}"/>
    <cellStyle name="Comma 5 2 3 7 2 3" xfId="8681" xr:uid="{00000000-0005-0000-0000-0000AD0C0000}"/>
    <cellStyle name="Comma 5 2 3 7 2 3 2" xfId="34238" xr:uid="{00000000-0005-0000-0000-0000AE0C0000}"/>
    <cellStyle name="Comma 5 2 3 7 2 4" xfId="17470" xr:uid="{00000000-0005-0000-0000-0000AF0C0000}"/>
    <cellStyle name="Comma 5 2 3 7 2 4 2" xfId="43023" xr:uid="{00000000-0005-0000-0000-0000B00C0000}"/>
    <cellStyle name="Comma 5 2 3 7 2 5" xfId="28960" xr:uid="{00000000-0005-0000-0000-0000B10C0000}"/>
    <cellStyle name="Comma 5 2 3 7 3" xfId="4445" xr:uid="{00000000-0005-0000-0000-0000B20C0000}"/>
    <cellStyle name="Comma 5 2 3 7 3 2" xfId="13283" xr:uid="{00000000-0005-0000-0000-0000B30C0000}"/>
    <cellStyle name="Comma 5 2 3 7 3 2 2" xfId="23534" xr:uid="{00000000-0005-0000-0000-0000B40C0000}"/>
    <cellStyle name="Comma 5 2 3 7 3 2 2 2" xfId="49087" xr:uid="{00000000-0005-0000-0000-0000B50C0000}"/>
    <cellStyle name="Comma 5 2 3 7 3 2 3" xfId="38838" xr:uid="{00000000-0005-0000-0000-0000B60C0000}"/>
    <cellStyle name="Comma 5 2 3 7 3 3" xfId="9704" xr:uid="{00000000-0005-0000-0000-0000B70C0000}"/>
    <cellStyle name="Comma 5 2 3 7 3 3 2" xfId="35261" xr:uid="{00000000-0005-0000-0000-0000B80C0000}"/>
    <cellStyle name="Comma 5 2 3 7 3 4" xfId="18527" xr:uid="{00000000-0005-0000-0000-0000B90C0000}"/>
    <cellStyle name="Comma 5 2 3 7 3 4 2" xfId="44080" xr:uid="{00000000-0005-0000-0000-0000BA0C0000}"/>
    <cellStyle name="Comma 5 2 3 7 3 5" xfId="30017" xr:uid="{00000000-0005-0000-0000-0000BB0C0000}"/>
    <cellStyle name="Comma 5 2 3 7 4" xfId="2225" xr:uid="{00000000-0005-0000-0000-0000BC0C0000}"/>
    <cellStyle name="Comma 5 2 3 7 4 2" xfId="11590" xr:uid="{00000000-0005-0000-0000-0000BD0C0000}"/>
    <cellStyle name="Comma 5 2 3 7 4 2 2" xfId="37145" xr:uid="{00000000-0005-0000-0000-0000BE0C0000}"/>
    <cellStyle name="Comma 5 2 3 7 4 3" xfId="21594" xr:uid="{00000000-0005-0000-0000-0000BF0C0000}"/>
    <cellStyle name="Comma 5 2 3 7 4 3 2" xfId="47147" xr:uid="{00000000-0005-0000-0000-0000C00C0000}"/>
    <cellStyle name="Comma 5 2 3 7 4 4" xfId="28077" xr:uid="{00000000-0005-0000-0000-0000C10C0000}"/>
    <cellStyle name="Comma 5 2 3 7 5" xfId="5901" xr:uid="{00000000-0005-0000-0000-0000C20C0000}"/>
    <cellStyle name="Comma 5 2 3 7 5 2" xfId="14728" xr:uid="{00000000-0005-0000-0000-0000C30C0000}"/>
    <cellStyle name="Comma 5 2 3 7 5 2 2" xfId="40283" xr:uid="{00000000-0005-0000-0000-0000C40C0000}"/>
    <cellStyle name="Comma 5 2 3 7 5 3" xfId="24979" xr:uid="{00000000-0005-0000-0000-0000C50C0000}"/>
    <cellStyle name="Comma 5 2 3 7 5 3 2" xfId="50532" xr:uid="{00000000-0005-0000-0000-0000C60C0000}"/>
    <cellStyle name="Comma 5 2 3 7 5 4" xfId="31462" xr:uid="{00000000-0005-0000-0000-0000C70C0000}"/>
    <cellStyle name="Comma 5 2 3 7 6" xfId="7345" xr:uid="{00000000-0005-0000-0000-0000C80C0000}"/>
    <cellStyle name="Comma 5 2 3 7 6 2" xfId="20076" xr:uid="{00000000-0005-0000-0000-0000C90C0000}"/>
    <cellStyle name="Comma 5 2 3 7 6 2 2" xfId="45629" xr:uid="{00000000-0005-0000-0000-0000CA0C0000}"/>
    <cellStyle name="Comma 5 2 3 7 6 3" xfId="32902" xr:uid="{00000000-0005-0000-0000-0000CB0C0000}"/>
    <cellStyle name="Comma 5 2 3 7 7" xfId="16587" xr:uid="{00000000-0005-0000-0000-0000CC0C0000}"/>
    <cellStyle name="Comma 5 2 3 7 7 2" xfId="42140" xr:uid="{00000000-0005-0000-0000-0000CD0C0000}"/>
    <cellStyle name="Comma 5 2 3 7 8" xfId="26559" xr:uid="{00000000-0005-0000-0000-0000CE0C0000}"/>
    <cellStyle name="Comma 5 2 3 8" xfId="1064" xr:uid="{00000000-0005-0000-0000-0000CF0C0000}"/>
    <cellStyle name="Comma 5 2 3 8 2" xfId="3493" xr:uid="{00000000-0005-0000-0000-0000D00C0000}"/>
    <cellStyle name="Comma 5 2 3 8 2 2" xfId="12629" xr:uid="{00000000-0005-0000-0000-0000D10C0000}"/>
    <cellStyle name="Comma 5 2 3 8 2 2 2" xfId="22848" xr:uid="{00000000-0005-0000-0000-0000D20C0000}"/>
    <cellStyle name="Comma 5 2 3 8 2 2 2 2" xfId="48401" xr:uid="{00000000-0005-0000-0000-0000D30C0000}"/>
    <cellStyle name="Comma 5 2 3 8 2 2 3" xfId="38184" xr:uid="{00000000-0005-0000-0000-0000D40C0000}"/>
    <cellStyle name="Comma 5 2 3 8 2 3" xfId="9051" xr:uid="{00000000-0005-0000-0000-0000D50C0000}"/>
    <cellStyle name="Comma 5 2 3 8 2 3 2" xfId="34608" xr:uid="{00000000-0005-0000-0000-0000D60C0000}"/>
    <cellStyle name="Comma 5 2 3 8 2 4" xfId="17841" xr:uid="{00000000-0005-0000-0000-0000D70C0000}"/>
    <cellStyle name="Comma 5 2 3 8 2 4 2" xfId="43394" xr:uid="{00000000-0005-0000-0000-0000D80C0000}"/>
    <cellStyle name="Comma 5 2 3 8 2 5" xfId="29331" xr:uid="{00000000-0005-0000-0000-0000D90C0000}"/>
    <cellStyle name="Comma 5 2 3 8 3" xfId="4794" xr:uid="{00000000-0005-0000-0000-0000DA0C0000}"/>
    <cellStyle name="Comma 5 2 3 8 3 2" xfId="13631" xr:uid="{00000000-0005-0000-0000-0000DB0C0000}"/>
    <cellStyle name="Comma 5 2 3 8 3 2 2" xfId="23882" xr:uid="{00000000-0005-0000-0000-0000DC0C0000}"/>
    <cellStyle name="Comma 5 2 3 8 3 2 2 2" xfId="49435" xr:uid="{00000000-0005-0000-0000-0000DD0C0000}"/>
    <cellStyle name="Comma 5 2 3 8 3 2 3" xfId="39186" xr:uid="{00000000-0005-0000-0000-0000DE0C0000}"/>
    <cellStyle name="Comma 5 2 3 8 3 3" xfId="10052" xr:uid="{00000000-0005-0000-0000-0000DF0C0000}"/>
    <cellStyle name="Comma 5 2 3 8 3 3 2" xfId="35609" xr:uid="{00000000-0005-0000-0000-0000E00C0000}"/>
    <cellStyle name="Comma 5 2 3 8 3 4" xfId="18875" xr:uid="{00000000-0005-0000-0000-0000E10C0000}"/>
    <cellStyle name="Comma 5 2 3 8 3 4 2" xfId="44428" xr:uid="{00000000-0005-0000-0000-0000E20C0000}"/>
    <cellStyle name="Comma 5 2 3 8 3 5" xfId="30365" xr:uid="{00000000-0005-0000-0000-0000E30C0000}"/>
    <cellStyle name="Comma 5 2 3 8 4" xfId="1730" xr:uid="{00000000-0005-0000-0000-0000E40C0000}"/>
    <cellStyle name="Comma 5 2 3 8 4 2" xfId="11104" xr:uid="{00000000-0005-0000-0000-0000E50C0000}"/>
    <cellStyle name="Comma 5 2 3 8 4 2 2" xfId="36659" xr:uid="{00000000-0005-0000-0000-0000E60C0000}"/>
    <cellStyle name="Comma 5 2 3 8 4 3" xfId="21108" xr:uid="{00000000-0005-0000-0000-0000E70C0000}"/>
    <cellStyle name="Comma 5 2 3 8 4 3 2" xfId="46661" xr:uid="{00000000-0005-0000-0000-0000E80C0000}"/>
    <cellStyle name="Comma 5 2 3 8 4 4" xfId="27591" xr:uid="{00000000-0005-0000-0000-0000E90C0000}"/>
    <cellStyle name="Comma 5 2 3 8 5" xfId="6249" xr:uid="{00000000-0005-0000-0000-0000EA0C0000}"/>
    <cellStyle name="Comma 5 2 3 8 5 2" xfId="15076" xr:uid="{00000000-0005-0000-0000-0000EB0C0000}"/>
    <cellStyle name="Comma 5 2 3 8 5 2 2" xfId="40631" xr:uid="{00000000-0005-0000-0000-0000EC0C0000}"/>
    <cellStyle name="Comma 5 2 3 8 5 3" xfId="25327" xr:uid="{00000000-0005-0000-0000-0000ED0C0000}"/>
    <cellStyle name="Comma 5 2 3 8 5 3 2" xfId="50880" xr:uid="{00000000-0005-0000-0000-0000EE0C0000}"/>
    <cellStyle name="Comma 5 2 3 8 5 4" xfId="31810" xr:uid="{00000000-0005-0000-0000-0000EF0C0000}"/>
    <cellStyle name="Comma 5 2 3 8 6" xfId="7695" xr:uid="{00000000-0005-0000-0000-0000F00C0000}"/>
    <cellStyle name="Comma 5 2 3 8 6 2" xfId="20447" xr:uid="{00000000-0005-0000-0000-0000F10C0000}"/>
    <cellStyle name="Comma 5 2 3 8 6 2 2" xfId="46000" xr:uid="{00000000-0005-0000-0000-0000F20C0000}"/>
    <cellStyle name="Comma 5 2 3 8 6 3" xfId="33252" xr:uid="{00000000-0005-0000-0000-0000F30C0000}"/>
    <cellStyle name="Comma 5 2 3 8 7" xfId="16101" xr:uid="{00000000-0005-0000-0000-0000F40C0000}"/>
    <cellStyle name="Comma 5 2 3 8 7 2" xfId="41654" xr:uid="{00000000-0005-0000-0000-0000F50C0000}"/>
    <cellStyle name="Comma 5 2 3 8 8" xfId="26930" xr:uid="{00000000-0005-0000-0000-0000F60C0000}"/>
    <cellStyle name="Comma 5 2 3 9" xfId="2630" xr:uid="{00000000-0005-0000-0000-0000F70C0000}"/>
    <cellStyle name="Comma 5 2 3 9 2" xfId="5156" xr:uid="{00000000-0005-0000-0000-0000F80C0000}"/>
    <cellStyle name="Comma 5 2 3 9 2 2" xfId="13993" xr:uid="{00000000-0005-0000-0000-0000F90C0000}"/>
    <cellStyle name="Comma 5 2 3 9 2 2 2" xfId="24244" xr:uid="{00000000-0005-0000-0000-0000FA0C0000}"/>
    <cellStyle name="Comma 5 2 3 9 2 2 2 2" xfId="49797" xr:uid="{00000000-0005-0000-0000-0000FB0C0000}"/>
    <cellStyle name="Comma 5 2 3 9 2 2 3" xfId="39548" xr:uid="{00000000-0005-0000-0000-0000FC0C0000}"/>
    <cellStyle name="Comma 5 2 3 9 2 3" xfId="10414" xr:uid="{00000000-0005-0000-0000-0000FD0C0000}"/>
    <cellStyle name="Comma 5 2 3 9 2 3 2" xfId="35971" xr:uid="{00000000-0005-0000-0000-0000FE0C0000}"/>
    <cellStyle name="Comma 5 2 3 9 2 4" xfId="19237" xr:uid="{00000000-0005-0000-0000-0000FF0C0000}"/>
    <cellStyle name="Comma 5 2 3 9 2 4 2" xfId="44790" xr:uid="{00000000-0005-0000-0000-0000000D0000}"/>
    <cellStyle name="Comma 5 2 3 9 2 5" xfId="30727" xr:uid="{00000000-0005-0000-0000-0000010D0000}"/>
    <cellStyle name="Comma 5 2 3 9 3" xfId="6611" xr:uid="{00000000-0005-0000-0000-0000020D0000}"/>
    <cellStyle name="Comma 5 2 3 9 3 2" xfId="15438" xr:uid="{00000000-0005-0000-0000-0000030D0000}"/>
    <cellStyle name="Comma 5 2 3 9 3 2 2" xfId="40993" xr:uid="{00000000-0005-0000-0000-0000040D0000}"/>
    <cellStyle name="Comma 5 2 3 9 3 3" xfId="25689" xr:uid="{00000000-0005-0000-0000-0000050D0000}"/>
    <cellStyle name="Comma 5 2 3 9 3 3 2" xfId="51242" xr:uid="{00000000-0005-0000-0000-0000060D0000}"/>
    <cellStyle name="Comma 5 2 3 9 3 4" xfId="32172" xr:uid="{00000000-0005-0000-0000-0000070D0000}"/>
    <cellStyle name="Comma 5 2 3 9 4" xfId="8057" xr:uid="{00000000-0005-0000-0000-0000080D0000}"/>
    <cellStyle name="Comma 5 2 3 9 4 2" xfId="21992" xr:uid="{00000000-0005-0000-0000-0000090D0000}"/>
    <cellStyle name="Comma 5 2 3 9 4 2 2" xfId="47545" xr:uid="{00000000-0005-0000-0000-00000A0D0000}"/>
    <cellStyle name="Comma 5 2 3 9 4 3" xfId="33614" xr:uid="{00000000-0005-0000-0000-00000B0D0000}"/>
    <cellStyle name="Comma 5 2 3 9 5" xfId="16985" xr:uid="{00000000-0005-0000-0000-00000C0D0000}"/>
    <cellStyle name="Comma 5 2 3 9 5 2" xfId="42538" xr:uid="{00000000-0005-0000-0000-00000D0D0000}"/>
    <cellStyle name="Comma 5 2 3 9 6" xfId="28475" xr:uid="{00000000-0005-0000-0000-00000E0D0000}"/>
    <cellStyle name="Comma 5 2 4" xfId="139" xr:uid="{00000000-0005-0000-0000-00000F0D0000}"/>
    <cellStyle name="Comma 5 2 4 10" xfId="1407" xr:uid="{00000000-0005-0000-0000-0000100D0000}"/>
    <cellStyle name="Comma 5 2 4 10 2" xfId="10784" xr:uid="{00000000-0005-0000-0000-0000110D0000}"/>
    <cellStyle name="Comma 5 2 4 10 2 2" xfId="36339" xr:uid="{00000000-0005-0000-0000-0000120D0000}"/>
    <cellStyle name="Comma 5 2 4 10 3" xfId="20788" xr:uid="{00000000-0005-0000-0000-0000130D0000}"/>
    <cellStyle name="Comma 5 2 4 10 3 2" xfId="46341" xr:uid="{00000000-0005-0000-0000-0000140D0000}"/>
    <cellStyle name="Comma 5 2 4 10 4" xfId="27271" xr:uid="{00000000-0005-0000-0000-0000150D0000}"/>
    <cellStyle name="Comma 5 2 4 11" xfId="5518" xr:uid="{00000000-0005-0000-0000-0000160D0000}"/>
    <cellStyle name="Comma 5 2 4 11 2" xfId="14345" xr:uid="{00000000-0005-0000-0000-0000170D0000}"/>
    <cellStyle name="Comma 5 2 4 11 2 2" xfId="39900" xr:uid="{00000000-0005-0000-0000-0000180D0000}"/>
    <cellStyle name="Comma 5 2 4 11 3" xfId="24596" xr:uid="{00000000-0005-0000-0000-0000190D0000}"/>
    <cellStyle name="Comma 5 2 4 11 3 2" xfId="50149" xr:uid="{00000000-0005-0000-0000-00001A0D0000}"/>
    <cellStyle name="Comma 5 2 4 11 4" xfId="31079" xr:uid="{00000000-0005-0000-0000-00001B0D0000}"/>
    <cellStyle name="Comma 5 2 4 12" xfId="6958" xr:uid="{00000000-0005-0000-0000-00001C0D0000}"/>
    <cellStyle name="Comma 5 2 4 12 2" xfId="19603" xr:uid="{00000000-0005-0000-0000-00001D0D0000}"/>
    <cellStyle name="Comma 5 2 4 12 2 2" xfId="45156" xr:uid="{00000000-0005-0000-0000-00001E0D0000}"/>
    <cellStyle name="Comma 5 2 4 12 3" xfId="32516" xr:uid="{00000000-0005-0000-0000-00001F0D0000}"/>
    <cellStyle name="Comma 5 2 4 13" xfId="15781" xr:uid="{00000000-0005-0000-0000-0000200D0000}"/>
    <cellStyle name="Comma 5 2 4 13 2" xfId="41334" xr:uid="{00000000-0005-0000-0000-0000210D0000}"/>
    <cellStyle name="Comma 5 2 4 14" xfId="26086" xr:uid="{00000000-0005-0000-0000-0000220D0000}"/>
    <cellStyle name="Comma 5 2 4 2" xfId="189" xr:uid="{00000000-0005-0000-0000-0000230D0000}"/>
    <cellStyle name="Comma 5 2 4 2 10" xfId="7137" xr:uid="{00000000-0005-0000-0000-0000240D0000}"/>
    <cellStyle name="Comma 5 2 4 2 10 2" xfId="19646" xr:uid="{00000000-0005-0000-0000-0000250D0000}"/>
    <cellStyle name="Comma 5 2 4 2 10 2 2" xfId="45199" xr:uid="{00000000-0005-0000-0000-0000260D0000}"/>
    <cellStyle name="Comma 5 2 4 2 10 3" xfId="32694" xr:uid="{00000000-0005-0000-0000-0000270D0000}"/>
    <cellStyle name="Comma 5 2 4 2 11" xfId="15883" xr:uid="{00000000-0005-0000-0000-0000280D0000}"/>
    <cellStyle name="Comma 5 2 4 2 11 2" xfId="41436" xr:uid="{00000000-0005-0000-0000-0000290D0000}"/>
    <cellStyle name="Comma 5 2 4 2 12" xfId="26129" xr:uid="{00000000-0005-0000-0000-00002A0D0000}"/>
    <cellStyle name="Comma 5 2 4 2 2" xfId="517" xr:uid="{00000000-0005-0000-0000-00002B0D0000}"/>
    <cellStyle name="Comma 5 2 4 2 2 10" xfId="26446" xr:uid="{00000000-0005-0000-0000-00002C0D0000}"/>
    <cellStyle name="Comma 5 2 4 2 2 2" xfId="642" xr:uid="{00000000-0005-0000-0000-00002D0D0000}"/>
    <cellStyle name="Comma 5 2 4 2 2 2 2" xfId="3128" xr:uid="{00000000-0005-0000-0000-00002E0D0000}"/>
    <cellStyle name="Comma 5 2 4 2 2 2 2 2" xfId="12271" xr:uid="{00000000-0005-0000-0000-00002F0D0000}"/>
    <cellStyle name="Comma 5 2 4 2 2 2 2 2 2" xfId="22489" xr:uid="{00000000-0005-0000-0000-0000300D0000}"/>
    <cellStyle name="Comma 5 2 4 2 2 2 2 2 2 2" xfId="48042" xr:uid="{00000000-0005-0000-0000-0000310D0000}"/>
    <cellStyle name="Comma 5 2 4 2 2 2 2 2 3" xfId="37826" xr:uid="{00000000-0005-0000-0000-0000320D0000}"/>
    <cellStyle name="Comma 5 2 4 2 2 2 2 3" xfId="8693" xr:uid="{00000000-0005-0000-0000-0000330D0000}"/>
    <cellStyle name="Comma 5 2 4 2 2 2 2 3 2" xfId="34250" xr:uid="{00000000-0005-0000-0000-0000340D0000}"/>
    <cellStyle name="Comma 5 2 4 2 2 2 2 4" xfId="17482" xr:uid="{00000000-0005-0000-0000-0000350D0000}"/>
    <cellStyle name="Comma 5 2 4 2 2 2 2 4 2" xfId="43035" xr:uid="{00000000-0005-0000-0000-0000360D0000}"/>
    <cellStyle name="Comma 5 2 4 2 2 2 2 5" xfId="28972" xr:uid="{00000000-0005-0000-0000-0000370D0000}"/>
    <cellStyle name="Comma 5 2 4 2 2 2 3" xfId="4457" xr:uid="{00000000-0005-0000-0000-0000380D0000}"/>
    <cellStyle name="Comma 5 2 4 2 2 2 3 2" xfId="13295" xr:uid="{00000000-0005-0000-0000-0000390D0000}"/>
    <cellStyle name="Comma 5 2 4 2 2 2 3 2 2" xfId="23546" xr:uid="{00000000-0005-0000-0000-00003A0D0000}"/>
    <cellStyle name="Comma 5 2 4 2 2 2 3 2 2 2" xfId="49099" xr:uid="{00000000-0005-0000-0000-00003B0D0000}"/>
    <cellStyle name="Comma 5 2 4 2 2 2 3 2 3" xfId="38850" xr:uid="{00000000-0005-0000-0000-00003C0D0000}"/>
    <cellStyle name="Comma 5 2 4 2 2 2 3 3" xfId="9716" xr:uid="{00000000-0005-0000-0000-00003D0D0000}"/>
    <cellStyle name="Comma 5 2 4 2 2 2 3 3 2" xfId="35273" xr:uid="{00000000-0005-0000-0000-00003E0D0000}"/>
    <cellStyle name="Comma 5 2 4 2 2 2 3 4" xfId="18539" xr:uid="{00000000-0005-0000-0000-00003F0D0000}"/>
    <cellStyle name="Comma 5 2 4 2 2 2 3 4 2" xfId="44092" xr:uid="{00000000-0005-0000-0000-0000400D0000}"/>
    <cellStyle name="Comma 5 2 4 2 2 2 3 5" xfId="30029" xr:uid="{00000000-0005-0000-0000-0000410D0000}"/>
    <cellStyle name="Comma 5 2 4 2 2 2 4" xfId="2237" xr:uid="{00000000-0005-0000-0000-0000420D0000}"/>
    <cellStyle name="Comma 5 2 4 2 2 2 4 2" xfId="11602" xr:uid="{00000000-0005-0000-0000-0000430D0000}"/>
    <cellStyle name="Comma 5 2 4 2 2 2 4 2 2" xfId="37157" xr:uid="{00000000-0005-0000-0000-0000440D0000}"/>
    <cellStyle name="Comma 5 2 4 2 2 2 4 3" xfId="21606" xr:uid="{00000000-0005-0000-0000-0000450D0000}"/>
    <cellStyle name="Comma 5 2 4 2 2 2 4 3 2" xfId="47159" xr:uid="{00000000-0005-0000-0000-0000460D0000}"/>
    <cellStyle name="Comma 5 2 4 2 2 2 4 4" xfId="28089" xr:uid="{00000000-0005-0000-0000-0000470D0000}"/>
    <cellStyle name="Comma 5 2 4 2 2 2 5" xfId="5913" xr:uid="{00000000-0005-0000-0000-0000480D0000}"/>
    <cellStyle name="Comma 5 2 4 2 2 2 5 2" xfId="14740" xr:uid="{00000000-0005-0000-0000-0000490D0000}"/>
    <cellStyle name="Comma 5 2 4 2 2 2 5 2 2" xfId="40295" xr:uid="{00000000-0005-0000-0000-00004A0D0000}"/>
    <cellStyle name="Comma 5 2 4 2 2 2 5 3" xfId="24991" xr:uid="{00000000-0005-0000-0000-00004B0D0000}"/>
    <cellStyle name="Comma 5 2 4 2 2 2 5 3 2" xfId="50544" xr:uid="{00000000-0005-0000-0000-00004C0D0000}"/>
    <cellStyle name="Comma 5 2 4 2 2 2 5 4" xfId="31474" xr:uid="{00000000-0005-0000-0000-00004D0D0000}"/>
    <cellStyle name="Comma 5 2 4 2 2 2 6" xfId="7357" xr:uid="{00000000-0005-0000-0000-00004E0D0000}"/>
    <cellStyle name="Comma 5 2 4 2 2 2 6 2" xfId="20088" xr:uid="{00000000-0005-0000-0000-00004F0D0000}"/>
    <cellStyle name="Comma 5 2 4 2 2 2 6 2 2" xfId="45641" xr:uid="{00000000-0005-0000-0000-0000500D0000}"/>
    <cellStyle name="Comma 5 2 4 2 2 2 6 3" xfId="32914" xr:uid="{00000000-0005-0000-0000-0000510D0000}"/>
    <cellStyle name="Comma 5 2 4 2 2 2 7" xfId="16599" xr:uid="{00000000-0005-0000-0000-0000520D0000}"/>
    <cellStyle name="Comma 5 2 4 2 2 2 7 2" xfId="42152" xr:uid="{00000000-0005-0000-0000-0000530D0000}"/>
    <cellStyle name="Comma 5 2 4 2 2 2 8" xfId="26571" xr:uid="{00000000-0005-0000-0000-0000540D0000}"/>
    <cellStyle name="Comma 5 2 4 2 2 3" xfId="1289" xr:uid="{00000000-0005-0000-0000-0000550D0000}"/>
    <cellStyle name="Comma 5 2 4 2 2 3 2" xfId="3718" xr:uid="{00000000-0005-0000-0000-0000560D0000}"/>
    <cellStyle name="Comma 5 2 4 2 2 3 2 2" xfId="12854" xr:uid="{00000000-0005-0000-0000-0000570D0000}"/>
    <cellStyle name="Comma 5 2 4 2 2 3 2 2 2" xfId="23073" xr:uid="{00000000-0005-0000-0000-0000580D0000}"/>
    <cellStyle name="Comma 5 2 4 2 2 3 2 2 2 2" xfId="48626" xr:uid="{00000000-0005-0000-0000-0000590D0000}"/>
    <cellStyle name="Comma 5 2 4 2 2 3 2 2 3" xfId="38409" xr:uid="{00000000-0005-0000-0000-00005A0D0000}"/>
    <cellStyle name="Comma 5 2 4 2 2 3 2 3" xfId="9275" xr:uid="{00000000-0005-0000-0000-00005B0D0000}"/>
    <cellStyle name="Comma 5 2 4 2 2 3 2 3 2" xfId="34832" xr:uid="{00000000-0005-0000-0000-00005C0D0000}"/>
    <cellStyle name="Comma 5 2 4 2 2 3 2 4" xfId="18066" xr:uid="{00000000-0005-0000-0000-00005D0D0000}"/>
    <cellStyle name="Comma 5 2 4 2 2 3 2 4 2" xfId="43619" xr:uid="{00000000-0005-0000-0000-00005E0D0000}"/>
    <cellStyle name="Comma 5 2 4 2 2 3 2 5" xfId="29556" xr:uid="{00000000-0005-0000-0000-00005F0D0000}"/>
    <cellStyle name="Comma 5 2 4 2 2 3 3" xfId="4806" xr:uid="{00000000-0005-0000-0000-0000600D0000}"/>
    <cellStyle name="Comma 5 2 4 2 2 3 3 2" xfId="13643" xr:uid="{00000000-0005-0000-0000-0000610D0000}"/>
    <cellStyle name="Comma 5 2 4 2 2 3 3 2 2" xfId="23894" xr:uid="{00000000-0005-0000-0000-0000620D0000}"/>
    <cellStyle name="Comma 5 2 4 2 2 3 3 2 2 2" xfId="49447" xr:uid="{00000000-0005-0000-0000-0000630D0000}"/>
    <cellStyle name="Comma 5 2 4 2 2 3 3 2 3" xfId="39198" xr:uid="{00000000-0005-0000-0000-0000640D0000}"/>
    <cellStyle name="Comma 5 2 4 2 2 3 3 3" xfId="10064" xr:uid="{00000000-0005-0000-0000-0000650D0000}"/>
    <cellStyle name="Comma 5 2 4 2 2 3 3 3 2" xfId="35621" xr:uid="{00000000-0005-0000-0000-0000660D0000}"/>
    <cellStyle name="Comma 5 2 4 2 2 3 3 4" xfId="18887" xr:uid="{00000000-0005-0000-0000-0000670D0000}"/>
    <cellStyle name="Comma 5 2 4 2 2 3 3 4 2" xfId="44440" xr:uid="{00000000-0005-0000-0000-0000680D0000}"/>
    <cellStyle name="Comma 5 2 4 2 2 3 3 5" xfId="30377" xr:uid="{00000000-0005-0000-0000-0000690D0000}"/>
    <cellStyle name="Comma 5 2 4 2 2 3 4" xfId="2112" xr:uid="{00000000-0005-0000-0000-00006A0D0000}"/>
    <cellStyle name="Comma 5 2 4 2 2 3 4 2" xfId="11477" xr:uid="{00000000-0005-0000-0000-00006B0D0000}"/>
    <cellStyle name="Comma 5 2 4 2 2 3 4 2 2" xfId="37032" xr:uid="{00000000-0005-0000-0000-00006C0D0000}"/>
    <cellStyle name="Comma 5 2 4 2 2 3 4 3" xfId="21481" xr:uid="{00000000-0005-0000-0000-00006D0D0000}"/>
    <cellStyle name="Comma 5 2 4 2 2 3 4 3 2" xfId="47034" xr:uid="{00000000-0005-0000-0000-00006E0D0000}"/>
    <cellStyle name="Comma 5 2 4 2 2 3 4 4" xfId="27964" xr:uid="{00000000-0005-0000-0000-00006F0D0000}"/>
    <cellStyle name="Comma 5 2 4 2 2 3 5" xfId="6261" xr:uid="{00000000-0005-0000-0000-0000700D0000}"/>
    <cellStyle name="Comma 5 2 4 2 2 3 5 2" xfId="15088" xr:uid="{00000000-0005-0000-0000-0000710D0000}"/>
    <cellStyle name="Comma 5 2 4 2 2 3 5 2 2" xfId="40643" xr:uid="{00000000-0005-0000-0000-0000720D0000}"/>
    <cellStyle name="Comma 5 2 4 2 2 3 5 3" xfId="25339" xr:uid="{00000000-0005-0000-0000-0000730D0000}"/>
    <cellStyle name="Comma 5 2 4 2 2 3 5 3 2" xfId="50892" xr:uid="{00000000-0005-0000-0000-0000740D0000}"/>
    <cellStyle name="Comma 5 2 4 2 2 3 5 4" xfId="31822" xr:uid="{00000000-0005-0000-0000-0000750D0000}"/>
    <cellStyle name="Comma 5 2 4 2 2 3 6" xfId="7707" xr:uid="{00000000-0005-0000-0000-0000760D0000}"/>
    <cellStyle name="Comma 5 2 4 2 2 3 6 2" xfId="20672" xr:uid="{00000000-0005-0000-0000-0000770D0000}"/>
    <cellStyle name="Comma 5 2 4 2 2 3 6 2 2" xfId="46225" xr:uid="{00000000-0005-0000-0000-0000780D0000}"/>
    <cellStyle name="Comma 5 2 4 2 2 3 6 3" xfId="33264" xr:uid="{00000000-0005-0000-0000-0000790D0000}"/>
    <cellStyle name="Comma 5 2 4 2 2 3 7" xfId="16474" xr:uid="{00000000-0005-0000-0000-00007A0D0000}"/>
    <cellStyle name="Comma 5 2 4 2 2 3 7 2" xfId="42027" xr:uid="{00000000-0005-0000-0000-00007B0D0000}"/>
    <cellStyle name="Comma 5 2 4 2 2 3 8" xfId="27155" xr:uid="{00000000-0005-0000-0000-00007C0D0000}"/>
    <cellStyle name="Comma 5 2 4 2 2 4" xfId="3003" xr:uid="{00000000-0005-0000-0000-00007D0D0000}"/>
    <cellStyle name="Comma 5 2 4 2 2 4 2" xfId="5381" xr:uid="{00000000-0005-0000-0000-00007E0D0000}"/>
    <cellStyle name="Comma 5 2 4 2 2 4 2 2" xfId="14218" xr:uid="{00000000-0005-0000-0000-00007F0D0000}"/>
    <cellStyle name="Comma 5 2 4 2 2 4 2 2 2" xfId="24469" xr:uid="{00000000-0005-0000-0000-0000800D0000}"/>
    <cellStyle name="Comma 5 2 4 2 2 4 2 2 2 2" xfId="50022" xr:uid="{00000000-0005-0000-0000-0000810D0000}"/>
    <cellStyle name="Comma 5 2 4 2 2 4 2 2 3" xfId="39773" xr:uid="{00000000-0005-0000-0000-0000820D0000}"/>
    <cellStyle name="Comma 5 2 4 2 2 4 2 3" xfId="10639" xr:uid="{00000000-0005-0000-0000-0000830D0000}"/>
    <cellStyle name="Comma 5 2 4 2 2 4 2 3 2" xfId="36196" xr:uid="{00000000-0005-0000-0000-0000840D0000}"/>
    <cellStyle name="Comma 5 2 4 2 2 4 2 4" xfId="19462" xr:uid="{00000000-0005-0000-0000-0000850D0000}"/>
    <cellStyle name="Comma 5 2 4 2 2 4 2 4 2" xfId="45015" xr:uid="{00000000-0005-0000-0000-0000860D0000}"/>
    <cellStyle name="Comma 5 2 4 2 2 4 2 5" xfId="30952" xr:uid="{00000000-0005-0000-0000-0000870D0000}"/>
    <cellStyle name="Comma 5 2 4 2 2 4 3" xfId="6836" xr:uid="{00000000-0005-0000-0000-0000880D0000}"/>
    <cellStyle name="Comma 5 2 4 2 2 4 3 2" xfId="15663" xr:uid="{00000000-0005-0000-0000-0000890D0000}"/>
    <cellStyle name="Comma 5 2 4 2 2 4 3 2 2" xfId="41218" xr:uid="{00000000-0005-0000-0000-00008A0D0000}"/>
    <cellStyle name="Comma 5 2 4 2 2 4 3 3" xfId="25914" xr:uid="{00000000-0005-0000-0000-00008B0D0000}"/>
    <cellStyle name="Comma 5 2 4 2 2 4 3 3 2" xfId="51467" xr:uid="{00000000-0005-0000-0000-00008C0D0000}"/>
    <cellStyle name="Comma 5 2 4 2 2 4 3 4" xfId="32397" xr:uid="{00000000-0005-0000-0000-00008D0D0000}"/>
    <cellStyle name="Comma 5 2 4 2 2 4 4" xfId="8282" xr:uid="{00000000-0005-0000-0000-00008E0D0000}"/>
    <cellStyle name="Comma 5 2 4 2 2 4 4 2" xfId="22364" xr:uid="{00000000-0005-0000-0000-00008F0D0000}"/>
    <cellStyle name="Comma 5 2 4 2 2 4 4 2 2" xfId="47917" xr:uid="{00000000-0005-0000-0000-0000900D0000}"/>
    <cellStyle name="Comma 5 2 4 2 2 4 4 3" xfId="33839" xr:uid="{00000000-0005-0000-0000-0000910D0000}"/>
    <cellStyle name="Comma 5 2 4 2 2 4 5" xfId="17357" xr:uid="{00000000-0005-0000-0000-0000920D0000}"/>
    <cellStyle name="Comma 5 2 4 2 2 4 5 2" xfId="42910" xr:uid="{00000000-0005-0000-0000-0000930D0000}"/>
    <cellStyle name="Comma 5 2 4 2 2 4 6" xfId="28847" xr:uid="{00000000-0005-0000-0000-0000940D0000}"/>
    <cellStyle name="Comma 5 2 4 2 2 5" xfId="4337" xr:uid="{00000000-0005-0000-0000-0000950D0000}"/>
    <cellStyle name="Comma 5 2 4 2 2 5 2" xfId="13175" xr:uid="{00000000-0005-0000-0000-0000960D0000}"/>
    <cellStyle name="Comma 5 2 4 2 2 5 2 2" xfId="23426" xr:uid="{00000000-0005-0000-0000-0000970D0000}"/>
    <cellStyle name="Comma 5 2 4 2 2 5 2 2 2" xfId="48979" xr:uid="{00000000-0005-0000-0000-0000980D0000}"/>
    <cellStyle name="Comma 5 2 4 2 2 5 2 3" xfId="38730" xr:uid="{00000000-0005-0000-0000-0000990D0000}"/>
    <cellStyle name="Comma 5 2 4 2 2 5 3" xfId="9596" xr:uid="{00000000-0005-0000-0000-00009A0D0000}"/>
    <cellStyle name="Comma 5 2 4 2 2 5 3 2" xfId="35153" xr:uid="{00000000-0005-0000-0000-00009B0D0000}"/>
    <cellStyle name="Comma 5 2 4 2 2 5 4" xfId="18419" xr:uid="{00000000-0005-0000-0000-00009C0D0000}"/>
    <cellStyle name="Comma 5 2 4 2 2 5 4 2" xfId="43972" xr:uid="{00000000-0005-0000-0000-00009D0D0000}"/>
    <cellStyle name="Comma 5 2 4 2 2 5 5" xfId="29909" xr:uid="{00000000-0005-0000-0000-00009E0D0000}"/>
    <cellStyle name="Comma 5 2 4 2 2 6" xfId="1609" xr:uid="{00000000-0005-0000-0000-00009F0D0000}"/>
    <cellStyle name="Comma 5 2 4 2 2 6 2" xfId="10986" xr:uid="{00000000-0005-0000-0000-0000A00D0000}"/>
    <cellStyle name="Comma 5 2 4 2 2 6 2 2" xfId="36541" xr:uid="{00000000-0005-0000-0000-0000A10D0000}"/>
    <cellStyle name="Comma 5 2 4 2 2 6 3" xfId="20990" xr:uid="{00000000-0005-0000-0000-0000A20D0000}"/>
    <cellStyle name="Comma 5 2 4 2 2 6 3 2" xfId="46543" xr:uid="{00000000-0005-0000-0000-0000A30D0000}"/>
    <cellStyle name="Comma 5 2 4 2 2 6 4" xfId="27473" xr:uid="{00000000-0005-0000-0000-0000A40D0000}"/>
    <cellStyle name="Comma 5 2 4 2 2 7" xfId="5793" xr:uid="{00000000-0005-0000-0000-0000A50D0000}"/>
    <cellStyle name="Comma 5 2 4 2 2 7 2" xfId="14620" xr:uid="{00000000-0005-0000-0000-0000A60D0000}"/>
    <cellStyle name="Comma 5 2 4 2 2 7 2 2" xfId="40175" xr:uid="{00000000-0005-0000-0000-0000A70D0000}"/>
    <cellStyle name="Comma 5 2 4 2 2 7 3" xfId="24871" xr:uid="{00000000-0005-0000-0000-0000A80D0000}"/>
    <cellStyle name="Comma 5 2 4 2 2 7 3 2" xfId="50424" xr:uid="{00000000-0005-0000-0000-0000A90D0000}"/>
    <cellStyle name="Comma 5 2 4 2 2 7 4" xfId="31354" xr:uid="{00000000-0005-0000-0000-0000AA0D0000}"/>
    <cellStyle name="Comma 5 2 4 2 2 8" xfId="7237" xr:uid="{00000000-0005-0000-0000-0000AB0D0000}"/>
    <cellStyle name="Comma 5 2 4 2 2 8 2" xfId="19963" xr:uid="{00000000-0005-0000-0000-0000AC0D0000}"/>
    <cellStyle name="Comma 5 2 4 2 2 8 2 2" xfId="45516" xr:uid="{00000000-0005-0000-0000-0000AD0D0000}"/>
    <cellStyle name="Comma 5 2 4 2 2 8 3" xfId="32794" xr:uid="{00000000-0005-0000-0000-0000AE0D0000}"/>
    <cellStyle name="Comma 5 2 4 2 2 9" xfId="15983" xr:uid="{00000000-0005-0000-0000-0000AF0D0000}"/>
    <cellStyle name="Comma 5 2 4 2 2 9 2" xfId="41536" xr:uid="{00000000-0005-0000-0000-0000B00D0000}"/>
    <cellStyle name="Comma 5 2 4 2 3" xfId="417" xr:uid="{00000000-0005-0000-0000-0000B10D0000}"/>
    <cellStyle name="Comma 5 2 4 2 3 2" xfId="2903" xr:uid="{00000000-0005-0000-0000-0000B20D0000}"/>
    <cellStyle name="Comma 5 2 4 2 3 2 2" xfId="12191" xr:uid="{00000000-0005-0000-0000-0000B30D0000}"/>
    <cellStyle name="Comma 5 2 4 2 3 2 2 2" xfId="22264" xr:uid="{00000000-0005-0000-0000-0000B40D0000}"/>
    <cellStyle name="Comma 5 2 4 2 3 2 2 2 2" xfId="47817" xr:uid="{00000000-0005-0000-0000-0000B50D0000}"/>
    <cellStyle name="Comma 5 2 4 2 3 2 2 3" xfId="37746" xr:uid="{00000000-0005-0000-0000-0000B60D0000}"/>
    <cellStyle name="Comma 5 2 4 2 3 2 3" xfId="8512" xr:uid="{00000000-0005-0000-0000-0000B70D0000}"/>
    <cellStyle name="Comma 5 2 4 2 3 2 3 2" xfId="34069" xr:uid="{00000000-0005-0000-0000-0000B80D0000}"/>
    <cellStyle name="Comma 5 2 4 2 3 2 4" xfId="17257" xr:uid="{00000000-0005-0000-0000-0000B90D0000}"/>
    <cellStyle name="Comma 5 2 4 2 3 2 4 2" xfId="42810" xr:uid="{00000000-0005-0000-0000-0000BA0D0000}"/>
    <cellStyle name="Comma 5 2 4 2 3 2 5" xfId="28747" xr:uid="{00000000-0005-0000-0000-0000BB0D0000}"/>
    <cellStyle name="Comma 5 2 4 2 3 3" xfId="4456" xr:uid="{00000000-0005-0000-0000-0000BC0D0000}"/>
    <cellStyle name="Comma 5 2 4 2 3 3 2" xfId="13294" xr:uid="{00000000-0005-0000-0000-0000BD0D0000}"/>
    <cellStyle name="Comma 5 2 4 2 3 3 2 2" xfId="23545" xr:uid="{00000000-0005-0000-0000-0000BE0D0000}"/>
    <cellStyle name="Comma 5 2 4 2 3 3 2 2 2" xfId="49098" xr:uid="{00000000-0005-0000-0000-0000BF0D0000}"/>
    <cellStyle name="Comma 5 2 4 2 3 3 2 3" xfId="38849" xr:uid="{00000000-0005-0000-0000-0000C00D0000}"/>
    <cellStyle name="Comma 5 2 4 2 3 3 3" xfId="9715" xr:uid="{00000000-0005-0000-0000-0000C10D0000}"/>
    <cellStyle name="Comma 5 2 4 2 3 3 3 2" xfId="35272" xr:uid="{00000000-0005-0000-0000-0000C20D0000}"/>
    <cellStyle name="Comma 5 2 4 2 3 3 4" xfId="18538" xr:uid="{00000000-0005-0000-0000-0000C30D0000}"/>
    <cellStyle name="Comma 5 2 4 2 3 3 4 2" xfId="44091" xr:uid="{00000000-0005-0000-0000-0000C40D0000}"/>
    <cellStyle name="Comma 5 2 4 2 3 3 5" xfId="30028" xr:uid="{00000000-0005-0000-0000-0000C50D0000}"/>
    <cellStyle name="Comma 5 2 4 2 3 4" xfId="2012" xr:uid="{00000000-0005-0000-0000-0000C60D0000}"/>
    <cellStyle name="Comma 5 2 4 2 3 4 2" xfId="11377" xr:uid="{00000000-0005-0000-0000-0000C70D0000}"/>
    <cellStyle name="Comma 5 2 4 2 3 4 2 2" xfId="36932" xr:uid="{00000000-0005-0000-0000-0000C80D0000}"/>
    <cellStyle name="Comma 5 2 4 2 3 4 3" xfId="21381" xr:uid="{00000000-0005-0000-0000-0000C90D0000}"/>
    <cellStyle name="Comma 5 2 4 2 3 4 3 2" xfId="46934" xr:uid="{00000000-0005-0000-0000-0000CA0D0000}"/>
    <cellStyle name="Comma 5 2 4 2 3 4 4" xfId="27864" xr:uid="{00000000-0005-0000-0000-0000CB0D0000}"/>
    <cellStyle name="Comma 5 2 4 2 3 5" xfId="5912" xr:uid="{00000000-0005-0000-0000-0000CC0D0000}"/>
    <cellStyle name="Comma 5 2 4 2 3 5 2" xfId="14739" xr:uid="{00000000-0005-0000-0000-0000CD0D0000}"/>
    <cellStyle name="Comma 5 2 4 2 3 5 2 2" xfId="40294" xr:uid="{00000000-0005-0000-0000-0000CE0D0000}"/>
    <cellStyle name="Comma 5 2 4 2 3 5 3" xfId="24990" xr:uid="{00000000-0005-0000-0000-0000CF0D0000}"/>
    <cellStyle name="Comma 5 2 4 2 3 5 3 2" xfId="50543" xr:uid="{00000000-0005-0000-0000-0000D00D0000}"/>
    <cellStyle name="Comma 5 2 4 2 3 5 4" xfId="31473" xr:uid="{00000000-0005-0000-0000-0000D10D0000}"/>
    <cellStyle name="Comma 5 2 4 2 3 6" xfId="7356" xr:uid="{00000000-0005-0000-0000-0000D20D0000}"/>
    <cellStyle name="Comma 5 2 4 2 3 6 2" xfId="19863" xr:uid="{00000000-0005-0000-0000-0000D30D0000}"/>
    <cellStyle name="Comma 5 2 4 2 3 6 2 2" xfId="45416" xr:uid="{00000000-0005-0000-0000-0000D40D0000}"/>
    <cellStyle name="Comma 5 2 4 2 3 6 3" xfId="32913" xr:uid="{00000000-0005-0000-0000-0000D50D0000}"/>
    <cellStyle name="Comma 5 2 4 2 3 7" xfId="16374" xr:uid="{00000000-0005-0000-0000-0000D60D0000}"/>
    <cellStyle name="Comma 5 2 4 2 3 7 2" xfId="41927" xr:uid="{00000000-0005-0000-0000-0000D70D0000}"/>
    <cellStyle name="Comma 5 2 4 2 3 8" xfId="26346" xr:uid="{00000000-0005-0000-0000-0000D80D0000}"/>
    <cellStyle name="Comma 5 2 4 2 4" xfId="641" xr:uid="{00000000-0005-0000-0000-0000D90D0000}"/>
    <cellStyle name="Comma 5 2 4 2 4 2" xfId="3127" xr:uid="{00000000-0005-0000-0000-0000DA0D0000}"/>
    <cellStyle name="Comma 5 2 4 2 4 2 2" xfId="12270" xr:uid="{00000000-0005-0000-0000-0000DB0D0000}"/>
    <cellStyle name="Comma 5 2 4 2 4 2 2 2" xfId="22488" xr:uid="{00000000-0005-0000-0000-0000DC0D0000}"/>
    <cellStyle name="Comma 5 2 4 2 4 2 2 2 2" xfId="48041" xr:uid="{00000000-0005-0000-0000-0000DD0D0000}"/>
    <cellStyle name="Comma 5 2 4 2 4 2 2 3" xfId="37825" xr:uid="{00000000-0005-0000-0000-0000DE0D0000}"/>
    <cellStyle name="Comma 5 2 4 2 4 2 3" xfId="8692" xr:uid="{00000000-0005-0000-0000-0000DF0D0000}"/>
    <cellStyle name="Comma 5 2 4 2 4 2 3 2" xfId="34249" xr:uid="{00000000-0005-0000-0000-0000E00D0000}"/>
    <cellStyle name="Comma 5 2 4 2 4 2 4" xfId="17481" xr:uid="{00000000-0005-0000-0000-0000E10D0000}"/>
    <cellStyle name="Comma 5 2 4 2 4 2 4 2" xfId="43034" xr:uid="{00000000-0005-0000-0000-0000E20D0000}"/>
    <cellStyle name="Comma 5 2 4 2 4 2 5" xfId="28971" xr:uid="{00000000-0005-0000-0000-0000E30D0000}"/>
    <cellStyle name="Comma 5 2 4 2 4 3" xfId="4805" xr:uid="{00000000-0005-0000-0000-0000E40D0000}"/>
    <cellStyle name="Comma 5 2 4 2 4 3 2" xfId="13642" xr:uid="{00000000-0005-0000-0000-0000E50D0000}"/>
    <cellStyle name="Comma 5 2 4 2 4 3 2 2" xfId="23893" xr:uid="{00000000-0005-0000-0000-0000E60D0000}"/>
    <cellStyle name="Comma 5 2 4 2 4 3 2 2 2" xfId="49446" xr:uid="{00000000-0005-0000-0000-0000E70D0000}"/>
    <cellStyle name="Comma 5 2 4 2 4 3 2 3" xfId="39197" xr:uid="{00000000-0005-0000-0000-0000E80D0000}"/>
    <cellStyle name="Comma 5 2 4 2 4 3 3" xfId="10063" xr:uid="{00000000-0005-0000-0000-0000E90D0000}"/>
    <cellStyle name="Comma 5 2 4 2 4 3 3 2" xfId="35620" xr:uid="{00000000-0005-0000-0000-0000EA0D0000}"/>
    <cellStyle name="Comma 5 2 4 2 4 3 4" xfId="18886" xr:uid="{00000000-0005-0000-0000-0000EB0D0000}"/>
    <cellStyle name="Comma 5 2 4 2 4 3 4 2" xfId="44439" xr:uid="{00000000-0005-0000-0000-0000EC0D0000}"/>
    <cellStyle name="Comma 5 2 4 2 4 3 5" xfId="30376" xr:uid="{00000000-0005-0000-0000-0000ED0D0000}"/>
    <cellStyle name="Comma 5 2 4 2 4 4" xfId="2236" xr:uid="{00000000-0005-0000-0000-0000EE0D0000}"/>
    <cellStyle name="Comma 5 2 4 2 4 4 2" xfId="11601" xr:uid="{00000000-0005-0000-0000-0000EF0D0000}"/>
    <cellStyle name="Comma 5 2 4 2 4 4 2 2" xfId="37156" xr:uid="{00000000-0005-0000-0000-0000F00D0000}"/>
    <cellStyle name="Comma 5 2 4 2 4 4 3" xfId="21605" xr:uid="{00000000-0005-0000-0000-0000F10D0000}"/>
    <cellStyle name="Comma 5 2 4 2 4 4 3 2" xfId="47158" xr:uid="{00000000-0005-0000-0000-0000F20D0000}"/>
    <cellStyle name="Comma 5 2 4 2 4 4 4" xfId="28088" xr:uid="{00000000-0005-0000-0000-0000F30D0000}"/>
    <cellStyle name="Comma 5 2 4 2 4 5" xfId="6260" xr:uid="{00000000-0005-0000-0000-0000F40D0000}"/>
    <cellStyle name="Comma 5 2 4 2 4 5 2" xfId="15087" xr:uid="{00000000-0005-0000-0000-0000F50D0000}"/>
    <cellStyle name="Comma 5 2 4 2 4 5 2 2" xfId="40642" xr:uid="{00000000-0005-0000-0000-0000F60D0000}"/>
    <cellStyle name="Comma 5 2 4 2 4 5 3" xfId="25338" xr:uid="{00000000-0005-0000-0000-0000F70D0000}"/>
    <cellStyle name="Comma 5 2 4 2 4 5 3 2" xfId="50891" xr:uid="{00000000-0005-0000-0000-0000F80D0000}"/>
    <cellStyle name="Comma 5 2 4 2 4 5 4" xfId="31821" xr:uid="{00000000-0005-0000-0000-0000F90D0000}"/>
    <cellStyle name="Comma 5 2 4 2 4 6" xfId="7706" xr:uid="{00000000-0005-0000-0000-0000FA0D0000}"/>
    <cellStyle name="Comma 5 2 4 2 4 6 2" xfId="20087" xr:uid="{00000000-0005-0000-0000-0000FB0D0000}"/>
    <cellStyle name="Comma 5 2 4 2 4 6 2 2" xfId="45640" xr:uid="{00000000-0005-0000-0000-0000FC0D0000}"/>
    <cellStyle name="Comma 5 2 4 2 4 6 3" xfId="33263" xr:uid="{00000000-0005-0000-0000-0000FD0D0000}"/>
    <cellStyle name="Comma 5 2 4 2 4 7" xfId="16598" xr:uid="{00000000-0005-0000-0000-0000FE0D0000}"/>
    <cellStyle name="Comma 5 2 4 2 4 7 2" xfId="42151" xr:uid="{00000000-0005-0000-0000-0000FF0D0000}"/>
    <cellStyle name="Comma 5 2 4 2 4 8" xfId="26570" xr:uid="{00000000-0005-0000-0000-0000000E0000}"/>
    <cellStyle name="Comma 5 2 4 2 5" xfId="1189" xr:uid="{00000000-0005-0000-0000-0000010E0000}"/>
    <cellStyle name="Comma 5 2 4 2 5 2" xfId="3618" xr:uid="{00000000-0005-0000-0000-0000020E0000}"/>
    <cellStyle name="Comma 5 2 4 2 5 2 2" xfId="12754" xr:uid="{00000000-0005-0000-0000-0000030E0000}"/>
    <cellStyle name="Comma 5 2 4 2 5 2 2 2" xfId="22973" xr:uid="{00000000-0005-0000-0000-0000040E0000}"/>
    <cellStyle name="Comma 5 2 4 2 5 2 2 2 2" xfId="48526" xr:uid="{00000000-0005-0000-0000-0000050E0000}"/>
    <cellStyle name="Comma 5 2 4 2 5 2 2 3" xfId="38309" xr:uid="{00000000-0005-0000-0000-0000060E0000}"/>
    <cellStyle name="Comma 5 2 4 2 5 2 3" xfId="9175" xr:uid="{00000000-0005-0000-0000-0000070E0000}"/>
    <cellStyle name="Comma 5 2 4 2 5 2 3 2" xfId="34732" xr:uid="{00000000-0005-0000-0000-0000080E0000}"/>
    <cellStyle name="Comma 5 2 4 2 5 2 4" xfId="17966" xr:uid="{00000000-0005-0000-0000-0000090E0000}"/>
    <cellStyle name="Comma 5 2 4 2 5 2 4 2" xfId="43519" xr:uid="{00000000-0005-0000-0000-00000A0E0000}"/>
    <cellStyle name="Comma 5 2 4 2 5 2 5" xfId="29456" xr:uid="{00000000-0005-0000-0000-00000B0E0000}"/>
    <cellStyle name="Comma 5 2 4 2 5 3" xfId="5281" xr:uid="{00000000-0005-0000-0000-00000C0E0000}"/>
    <cellStyle name="Comma 5 2 4 2 5 3 2" xfId="14118" xr:uid="{00000000-0005-0000-0000-00000D0E0000}"/>
    <cellStyle name="Comma 5 2 4 2 5 3 2 2" xfId="24369" xr:uid="{00000000-0005-0000-0000-00000E0E0000}"/>
    <cellStyle name="Comma 5 2 4 2 5 3 2 2 2" xfId="49922" xr:uid="{00000000-0005-0000-0000-00000F0E0000}"/>
    <cellStyle name="Comma 5 2 4 2 5 3 2 3" xfId="39673" xr:uid="{00000000-0005-0000-0000-0000100E0000}"/>
    <cellStyle name="Comma 5 2 4 2 5 3 3" xfId="10539" xr:uid="{00000000-0005-0000-0000-0000110E0000}"/>
    <cellStyle name="Comma 5 2 4 2 5 3 3 2" xfId="36096" xr:uid="{00000000-0005-0000-0000-0000120E0000}"/>
    <cellStyle name="Comma 5 2 4 2 5 3 4" xfId="19362" xr:uid="{00000000-0005-0000-0000-0000130E0000}"/>
    <cellStyle name="Comma 5 2 4 2 5 3 4 2" xfId="44915" xr:uid="{00000000-0005-0000-0000-0000140E0000}"/>
    <cellStyle name="Comma 5 2 4 2 5 3 5" xfId="30852" xr:uid="{00000000-0005-0000-0000-0000150E0000}"/>
    <cellStyle name="Comma 5 2 4 2 5 4" xfId="1791" xr:uid="{00000000-0005-0000-0000-0000160E0000}"/>
    <cellStyle name="Comma 5 2 4 2 5 4 2" xfId="11160" xr:uid="{00000000-0005-0000-0000-0000170E0000}"/>
    <cellStyle name="Comma 5 2 4 2 5 4 2 2" xfId="36715" xr:uid="{00000000-0005-0000-0000-0000180E0000}"/>
    <cellStyle name="Comma 5 2 4 2 5 4 3" xfId="21164" xr:uid="{00000000-0005-0000-0000-0000190E0000}"/>
    <cellStyle name="Comma 5 2 4 2 5 4 3 2" xfId="46717" xr:uid="{00000000-0005-0000-0000-00001A0E0000}"/>
    <cellStyle name="Comma 5 2 4 2 5 4 4" xfId="27647" xr:uid="{00000000-0005-0000-0000-00001B0E0000}"/>
    <cellStyle name="Comma 5 2 4 2 5 5" xfId="6736" xr:uid="{00000000-0005-0000-0000-00001C0E0000}"/>
    <cellStyle name="Comma 5 2 4 2 5 5 2" xfId="15563" xr:uid="{00000000-0005-0000-0000-00001D0E0000}"/>
    <cellStyle name="Comma 5 2 4 2 5 5 2 2" xfId="41118" xr:uid="{00000000-0005-0000-0000-00001E0E0000}"/>
    <cellStyle name="Comma 5 2 4 2 5 5 3" xfId="25814" xr:uid="{00000000-0005-0000-0000-00001F0E0000}"/>
    <cellStyle name="Comma 5 2 4 2 5 5 3 2" xfId="51367" xr:uid="{00000000-0005-0000-0000-0000200E0000}"/>
    <cellStyle name="Comma 5 2 4 2 5 5 4" xfId="32297" xr:uid="{00000000-0005-0000-0000-0000210E0000}"/>
    <cellStyle name="Comma 5 2 4 2 5 6" xfId="8182" xr:uid="{00000000-0005-0000-0000-0000220E0000}"/>
    <cellStyle name="Comma 5 2 4 2 5 6 2" xfId="20572" xr:uid="{00000000-0005-0000-0000-0000230E0000}"/>
    <cellStyle name="Comma 5 2 4 2 5 6 2 2" xfId="46125" xr:uid="{00000000-0005-0000-0000-0000240E0000}"/>
    <cellStyle name="Comma 5 2 4 2 5 6 3" xfId="33739" xr:uid="{00000000-0005-0000-0000-0000250E0000}"/>
    <cellStyle name="Comma 5 2 4 2 5 7" xfId="16157" xr:uid="{00000000-0005-0000-0000-0000260E0000}"/>
    <cellStyle name="Comma 5 2 4 2 5 7 2" xfId="41710" xr:uid="{00000000-0005-0000-0000-0000270E0000}"/>
    <cellStyle name="Comma 5 2 4 2 5 8" xfId="27055" xr:uid="{00000000-0005-0000-0000-0000280E0000}"/>
    <cellStyle name="Comma 5 2 4 2 6" xfId="2686" xr:uid="{00000000-0005-0000-0000-0000290E0000}"/>
    <cellStyle name="Comma 5 2 4 2 6 2" xfId="12003" xr:uid="{00000000-0005-0000-0000-00002A0E0000}"/>
    <cellStyle name="Comma 5 2 4 2 6 2 2" xfId="22047" xr:uid="{00000000-0005-0000-0000-00002B0E0000}"/>
    <cellStyle name="Comma 5 2 4 2 6 2 2 2" xfId="47600" xr:uid="{00000000-0005-0000-0000-00002C0E0000}"/>
    <cellStyle name="Comma 5 2 4 2 6 2 3" xfId="37558" xr:uid="{00000000-0005-0000-0000-00002D0E0000}"/>
    <cellStyle name="Comma 5 2 4 2 6 3" xfId="8583" xr:uid="{00000000-0005-0000-0000-00002E0E0000}"/>
    <cellStyle name="Comma 5 2 4 2 6 3 2" xfId="34140" xr:uid="{00000000-0005-0000-0000-00002F0E0000}"/>
    <cellStyle name="Comma 5 2 4 2 6 4" xfId="17040" xr:uid="{00000000-0005-0000-0000-0000300E0000}"/>
    <cellStyle name="Comma 5 2 4 2 6 4 2" xfId="42593" xr:uid="{00000000-0005-0000-0000-0000310E0000}"/>
    <cellStyle name="Comma 5 2 4 2 6 5" xfId="28530" xr:uid="{00000000-0005-0000-0000-0000320E0000}"/>
    <cellStyle name="Comma 5 2 4 2 7" xfId="4237" xr:uid="{00000000-0005-0000-0000-0000330E0000}"/>
    <cellStyle name="Comma 5 2 4 2 7 2" xfId="13075" xr:uid="{00000000-0005-0000-0000-0000340E0000}"/>
    <cellStyle name="Comma 5 2 4 2 7 2 2" xfId="23326" xr:uid="{00000000-0005-0000-0000-0000350E0000}"/>
    <cellStyle name="Comma 5 2 4 2 7 2 2 2" xfId="48879" xr:uid="{00000000-0005-0000-0000-0000360E0000}"/>
    <cellStyle name="Comma 5 2 4 2 7 2 3" xfId="38630" xr:uid="{00000000-0005-0000-0000-0000370E0000}"/>
    <cellStyle name="Comma 5 2 4 2 7 3" xfId="9496" xr:uid="{00000000-0005-0000-0000-0000380E0000}"/>
    <cellStyle name="Comma 5 2 4 2 7 3 2" xfId="35053" xr:uid="{00000000-0005-0000-0000-0000390E0000}"/>
    <cellStyle name="Comma 5 2 4 2 7 4" xfId="18319" xr:uid="{00000000-0005-0000-0000-00003A0E0000}"/>
    <cellStyle name="Comma 5 2 4 2 7 4 2" xfId="43872" xr:uid="{00000000-0005-0000-0000-00003B0E0000}"/>
    <cellStyle name="Comma 5 2 4 2 7 5" xfId="29809" xr:uid="{00000000-0005-0000-0000-00003C0E0000}"/>
    <cellStyle name="Comma 5 2 4 2 8" xfId="1509" xr:uid="{00000000-0005-0000-0000-00003D0E0000}"/>
    <cellStyle name="Comma 5 2 4 2 8 2" xfId="10886" xr:uid="{00000000-0005-0000-0000-00003E0E0000}"/>
    <cellStyle name="Comma 5 2 4 2 8 2 2" xfId="36441" xr:uid="{00000000-0005-0000-0000-00003F0E0000}"/>
    <cellStyle name="Comma 5 2 4 2 8 3" xfId="20890" xr:uid="{00000000-0005-0000-0000-0000400E0000}"/>
    <cellStyle name="Comma 5 2 4 2 8 3 2" xfId="46443" xr:uid="{00000000-0005-0000-0000-0000410E0000}"/>
    <cellStyle name="Comma 5 2 4 2 8 4" xfId="27373" xr:uid="{00000000-0005-0000-0000-0000420E0000}"/>
    <cellStyle name="Comma 5 2 4 2 9" xfId="5693" xr:uid="{00000000-0005-0000-0000-0000430E0000}"/>
    <cellStyle name="Comma 5 2 4 2 9 2" xfId="14520" xr:uid="{00000000-0005-0000-0000-0000440E0000}"/>
    <cellStyle name="Comma 5 2 4 2 9 2 2" xfId="40075" xr:uid="{00000000-0005-0000-0000-0000450E0000}"/>
    <cellStyle name="Comma 5 2 4 2 9 3" xfId="24771" xr:uid="{00000000-0005-0000-0000-0000460E0000}"/>
    <cellStyle name="Comma 5 2 4 2 9 3 2" xfId="50324" xr:uid="{00000000-0005-0000-0000-0000470E0000}"/>
    <cellStyle name="Comma 5 2 4 2 9 4" xfId="31254" xr:uid="{00000000-0005-0000-0000-0000480E0000}"/>
    <cellStyle name="Comma 5 2 4 3" xfId="256" xr:uid="{00000000-0005-0000-0000-0000490E0000}"/>
    <cellStyle name="Comma 5 2 4 3 10" xfId="7094" xr:uid="{00000000-0005-0000-0000-00004A0E0000}"/>
    <cellStyle name="Comma 5 2 4 3 10 2" xfId="19708" xr:uid="{00000000-0005-0000-0000-00004B0E0000}"/>
    <cellStyle name="Comma 5 2 4 3 10 2 2" xfId="45261" xr:uid="{00000000-0005-0000-0000-00004C0E0000}"/>
    <cellStyle name="Comma 5 2 4 3 10 3" xfId="32651" xr:uid="{00000000-0005-0000-0000-00004D0E0000}"/>
    <cellStyle name="Comma 5 2 4 3 11" xfId="15840" xr:uid="{00000000-0005-0000-0000-00004E0E0000}"/>
    <cellStyle name="Comma 5 2 4 3 11 2" xfId="41393" xr:uid="{00000000-0005-0000-0000-00004F0E0000}"/>
    <cellStyle name="Comma 5 2 4 3 12" xfId="26191" xr:uid="{00000000-0005-0000-0000-0000500E0000}"/>
    <cellStyle name="Comma 5 2 4 3 2" xfId="579" xr:uid="{00000000-0005-0000-0000-0000510E0000}"/>
    <cellStyle name="Comma 5 2 4 3 2 10" xfId="26508" xr:uid="{00000000-0005-0000-0000-0000520E0000}"/>
    <cellStyle name="Comma 5 2 4 3 2 2" xfId="644" xr:uid="{00000000-0005-0000-0000-0000530E0000}"/>
    <cellStyle name="Comma 5 2 4 3 2 2 2" xfId="3130" xr:uid="{00000000-0005-0000-0000-0000540E0000}"/>
    <cellStyle name="Comma 5 2 4 3 2 2 2 2" xfId="12273" xr:uid="{00000000-0005-0000-0000-0000550E0000}"/>
    <cellStyle name="Comma 5 2 4 3 2 2 2 2 2" xfId="22491" xr:uid="{00000000-0005-0000-0000-0000560E0000}"/>
    <cellStyle name="Comma 5 2 4 3 2 2 2 2 2 2" xfId="48044" xr:uid="{00000000-0005-0000-0000-0000570E0000}"/>
    <cellStyle name="Comma 5 2 4 3 2 2 2 2 3" xfId="37828" xr:uid="{00000000-0005-0000-0000-0000580E0000}"/>
    <cellStyle name="Comma 5 2 4 3 2 2 2 3" xfId="8695" xr:uid="{00000000-0005-0000-0000-0000590E0000}"/>
    <cellStyle name="Comma 5 2 4 3 2 2 2 3 2" xfId="34252" xr:uid="{00000000-0005-0000-0000-00005A0E0000}"/>
    <cellStyle name="Comma 5 2 4 3 2 2 2 4" xfId="17484" xr:uid="{00000000-0005-0000-0000-00005B0E0000}"/>
    <cellStyle name="Comma 5 2 4 3 2 2 2 4 2" xfId="43037" xr:uid="{00000000-0005-0000-0000-00005C0E0000}"/>
    <cellStyle name="Comma 5 2 4 3 2 2 2 5" xfId="28974" xr:uid="{00000000-0005-0000-0000-00005D0E0000}"/>
    <cellStyle name="Comma 5 2 4 3 2 2 3" xfId="4459" xr:uid="{00000000-0005-0000-0000-00005E0E0000}"/>
    <cellStyle name="Comma 5 2 4 3 2 2 3 2" xfId="13297" xr:uid="{00000000-0005-0000-0000-00005F0E0000}"/>
    <cellStyle name="Comma 5 2 4 3 2 2 3 2 2" xfId="23548" xr:uid="{00000000-0005-0000-0000-0000600E0000}"/>
    <cellStyle name="Comma 5 2 4 3 2 2 3 2 2 2" xfId="49101" xr:uid="{00000000-0005-0000-0000-0000610E0000}"/>
    <cellStyle name="Comma 5 2 4 3 2 2 3 2 3" xfId="38852" xr:uid="{00000000-0005-0000-0000-0000620E0000}"/>
    <cellStyle name="Comma 5 2 4 3 2 2 3 3" xfId="9718" xr:uid="{00000000-0005-0000-0000-0000630E0000}"/>
    <cellStyle name="Comma 5 2 4 3 2 2 3 3 2" xfId="35275" xr:uid="{00000000-0005-0000-0000-0000640E0000}"/>
    <cellStyle name="Comma 5 2 4 3 2 2 3 4" xfId="18541" xr:uid="{00000000-0005-0000-0000-0000650E0000}"/>
    <cellStyle name="Comma 5 2 4 3 2 2 3 4 2" xfId="44094" xr:uid="{00000000-0005-0000-0000-0000660E0000}"/>
    <cellStyle name="Comma 5 2 4 3 2 2 3 5" xfId="30031" xr:uid="{00000000-0005-0000-0000-0000670E0000}"/>
    <cellStyle name="Comma 5 2 4 3 2 2 4" xfId="2239" xr:uid="{00000000-0005-0000-0000-0000680E0000}"/>
    <cellStyle name="Comma 5 2 4 3 2 2 4 2" xfId="11604" xr:uid="{00000000-0005-0000-0000-0000690E0000}"/>
    <cellStyle name="Comma 5 2 4 3 2 2 4 2 2" xfId="37159" xr:uid="{00000000-0005-0000-0000-00006A0E0000}"/>
    <cellStyle name="Comma 5 2 4 3 2 2 4 3" xfId="21608" xr:uid="{00000000-0005-0000-0000-00006B0E0000}"/>
    <cellStyle name="Comma 5 2 4 3 2 2 4 3 2" xfId="47161" xr:uid="{00000000-0005-0000-0000-00006C0E0000}"/>
    <cellStyle name="Comma 5 2 4 3 2 2 4 4" xfId="28091" xr:uid="{00000000-0005-0000-0000-00006D0E0000}"/>
    <cellStyle name="Comma 5 2 4 3 2 2 5" xfId="5915" xr:uid="{00000000-0005-0000-0000-00006E0E0000}"/>
    <cellStyle name="Comma 5 2 4 3 2 2 5 2" xfId="14742" xr:uid="{00000000-0005-0000-0000-00006F0E0000}"/>
    <cellStyle name="Comma 5 2 4 3 2 2 5 2 2" xfId="40297" xr:uid="{00000000-0005-0000-0000-0000700E0000}"/>
    <cellStyle name="Comma 5 2 4 3 2 2 5 3" xfId="24993" xr:uid="{00000000-0005-0000-0000-0000710E0000}"/>
    <cellStyle name="Comma 5 2 4 3 2 2 5 3 2" xfId="50546" xr:uid="{00000000-0005-0000-0000-0000720E0000}"/>
    <cellStyle name="Comma 5 2 4 3 2 2 5 4" xfId="31476" xr:uid="{00000000-0005-0000-0000-0000730E0000}"/>
    <cellStyle name="Comma 5 2 4 3 2 2 6" xfId="7359" xr:uid="{00000000-0005-0000-0000-0000740E0000}"/>
    <cellStyle name="Comma 5 2 4 3 2 2 6 2" xfId="20090" xr:uid="{00000000-0005-0000-0000-0000750E0000}"/>
    <cellStyle name="Comma 5 2 4 3 2 2 6 2 2" xfId="45643" xr:uid="{00000000-0005-0000-0000-0000760E0000}"/>
    <cellStyle name="Comma 5 2 4 3 2 2 6 3" xfId="32916" xr:uid="{00000000-0005-0000-0000-0000770E0000}"/>
    <cellStyle name="Comma 5 2 4 3 2 2 7" xfId="16601" xr:uid="{00000000-0005-0000-0000-0000780E0000}"/>
    <cellStyle name="Comma 5 2 4 3 2 2 7 2" xfId="42154" xr:uid="{00000000-0005-0000-0000-0000790E0000}"/>
    <cellStyle name="Comma 5 2 4 3 2 2 8" xfId="26573" xr:uid="{00000000-0005-0000-0000-00007A0E0000}"/>
    <cellStyle name="Comma 5 2 4 3 2 3" xfId="1351" xr:uid="{00000000-0005-0000-0000-00007B0E0000}"/>
    <cellStyle name="Comma 5 2 4 3 2 3 2" xfId="3780" xr:uid="{00000000-0005-0000-0000-00007C0E0000}"/>
    <cellStyle name="Comma 5 2 4 3 2 3 2 2" xfId="12916" xr:uid="{00000000-0005-0000-0000-00007D0E0000}"/>
    <cellStyle name="Comma 5 2 4 3 2 3 2 2 2" xfId="23135" xr:uid="{00000000-0005-0000-0000-00007E0E0000}"/>
    <cellStyle name="Comma 5 2 4 3 2 3 2 2 2 2" xfId="48688" xr:uid="{00000000-0005-0000-0000-00007F0E0000}"/>
    <cellStyle name="Comma 5 2 4 3 2 3 2 2 3" xfId="38471" xr:uid="{00000000-0005-0000-0000-0000800E0000}"/>
    <cellStyle name="Comma 5 2 4 3 2 3 2 3" xfId="9337" xr:uid="{00000000-0005-0000-0000-0000810E0000}"/>
    <cellStyle name="Comma 5 2 4 3 2 3 2 3 2" xfId="34894" xr:uid="{00000000-0005-0000-0000-0000820E0000}"/>
    <cellStyle name="Comma 5 2 4 3 2 3 2 4" xfId="18128" xr:uid="{00000000-0005-0000-0000-0000830E0000}"/>
    <cellStyle name="Comma 5 2 4 3 2 3 2 4 2" xfId="43681" xr:uid="{00000000-0005-0000-0000-0000840E0000}"/>
    <cellStyle name="Comma 5 2 4 3 2 3 2 5" xfId="29618" xr:uid="{00000000-0005-0000-0000-0000850E0000}"/>
    <cellStyle name="Comma 5 2 4 3 2 3 3" xfId="4808" xr:uid="{00000000-0005-0000-0000-0000860E0000}"/>
    <cellStyle name="Comma 5 2 4 3 2 3 3 2" xfId="13645" xr:uid="{00000000-0005-0000-0000-0000870E0000}"/>
    <cellStyle name="Comma 5 2 4 3 2 3 3 2 2" xfId="23896" xr:uid="{00000000-0005-0000-0000-0000880E0000}"/>
    <cellStyle name="Comma 5 2 4 3 2 3 3 2 2 2" xfId="49449" xr:uid="{00000000-0005-0000-0000-0000890E0000}"/>
    <cellStyle name="Comma 5 2 4 3 2 3 3 2 3" xfId="39200" xr:uid="{00000000-0005-0000-0000-00008A0E0000}"/>
    <cellStyle name="Comma 5 2 4 3 2 3 3 3" xfId="10066" xr:uid="{00000000-0005-0000-0000-00008B0E0000}"/>
    <cellStyle name="Comma 5 2 4 3 2 3 3 3 2" xfId="35623" xr:uid="{00000000-0005-0000-0000-00008C0E0000}"/>
    <cellStyle name="Comma 5 2 4 3 2 3 3 4" xfId="18889" xr:uid="{00000000-0005-0000-0000-00008D0E0000}"/>
    <cellStyle name="Comma 5 2 4 3 2 3 3 4 2" xfId="44442" xr:uid="{00000000-0005-0000-0000-00008E0E0000}"/>
    <cellStyle name="Comma 5 2 4 3 2 3 3 5" xfId="30379" xr:uid="{00000000-0005-0000-0000-00008F0E0000}"/>
    <cellStyle name="Comma 5 2 4 3 2 3 4" xfId="2174" xr:uid="{00000000-0005-0000-0000-0000900E0000}"/>
    <cellStyle name="Comma 5 2 4 3 2 3 4 2" xfId="11539" xr:uid="{00000000-0005-0000-0000-0000910E0000}"/>
    <cellStyle name="Comma 5 2 4 3 2 3 4 2 2" xfId="37094" xr:uid="{00000000-0005-0000-0000-0000920E0000}"/>
    <cellStyle name="Comma 5 2 4 3 2 3 4 3" xfId="21543" xr:uid="{00000000-0005-0000-0000-0000930E0000}"/>
    <cellStyle name="Comma 5 2 4 3 2 3 4 3 2" xfId="47096" xr:uid="{00000000-0005-0000-0000-0000940E0000}"/>
    <cellStyle name="Comma 5 2 4 3 2 3 4 4" xfId="28026" xr:uid="{00000000-0005-0000-0000-0000950E0000}"/>
    <cellStyle name="Comma 5 2 4 3 2 3 5" xfId="6263" xr:uid="{00000000-0005-0000-0000-0000960E0000}"/>
    <cellStyle name="Comma 5 2 4 3 2 3 5 2" xfId="15090" xr:uid="{00000000-0005-0000-0000-0000970E0000}"/>
    <cellStyle name="Comma 5 2 4 3 2 3 5 2 2" xfId="40645" xr:uid="{00000000-0005-0000-0000-0000980E0000}"/>
    <cellStyle name="Comma 5 2 4 3 2 3 5 3" xfId="25341" xr:uid="{00000000-0005-0000-0000-0000990E0000}"/>
    <cellStyle name="Comma 5 2 4 3 2 3 5 3 2" xfId="50894" xr:uid="{00000000-0005-0000-0000-00009A0E0000}"/>
    <cellStyle name="Comma 5 2 4 3 2 3 5 4" xfId="31824" xr:uid="{00000000-0005-0000-0000-00009B0E0000}"/>
    <cellStyle name="Comma 5 2 4 3 2 3 6" xfId="7709" xr:uid="{00000000-0005-0000-0000-00009C0E0000}"/>
    <cellStyle name="Comma 5 2 4 3 2 3 6 2" xfId="20734" xr:uid="{00000000-0005-0000-0000-00009D0E0000}"/>
    <cellStyle name="Comma 5 2 4 3 2 3 6 2 2" xfId="46287" xr:uid="{00000000-0005-0000-0000-00009E0E0000}"/>
    <cellStyle name="Comma 5 2 4 3 2 3 6 3" xfId="33266" xr:uid="{00000000-0005-0000-0000-00009F0E0000}"/>
    <cellStyle name="Comma 5 2 4 3 2 3 7" xfId="16536" xr:uid="{00000000-0005-0000-0000-0000A00E0000}"/>
    <cellStyle name="Comma 5 2 4 3 2 3 7 2" xfId="42089" xr:uid="{00000000-0005-0000-0000-0000A10E0000}"/>
    <cellStyle name="Comma 5 2 4 3 2 3 8" xfId="27217" xr:uid="{00000000-0005-0000-0000-0000A20E0000}"/>
    <cellStyle name="Comma 5 2 4 3 2 4" xfId="3065" xr:uid="{00000000-0005-0000-0000-0000A30E0000}"/>
    <cellStyle name="Comma 5 2 4 3 2 4 2" xfId="5443" xr:uid="{00000000-0005-0000-0000-0000A40E0000}"/>
    <cellStyle name="Comma 5 2 4 3 2 4 2 2" xfId="14280" xr:uid="{00000000-0005-0000-0000-0000A50E0000}"/>
    <cellStyle name="Comma 5 2 4 3 2 4 2 2 2" xfId="24531" xr:uid="{00000000-0005-0000-0000-0000A60E0000}"/>
    <cellStyle name="Comma 5 2 4 3 2 4 2 2 2 2" xfId="50084" xr:uid="{00000000-0005-0000-0000-0000A70E0000}"/>
    <cellStyle name="Comma 5 2 4 3 2 4 2 2 3" xfId="39835" xr:uid="{00000000-0005-0000-0000-0000A80E0000}"/>
    <cellStyle name="Comma 5 2 4 3 2 4 2 3" xfId="10701" xr:uid="{00000000-0005-0000-0000-0000A90E0000}"/>
    <cellStyle name="Comma 5 2 4 3 2 4 2 3 2" xfId="36258" xr:uid="{00000000-0005-0000-0000-0000AA0E0000}"/>
    <cellStyle name="Comma 5 2 4 3 2 4 2 4" xfId="19524" xr:uid="{00000000-0005-0000-0000-0000AB0E0000}"/>
    <cellStyle name="Comma 5 2 4 3 2 4 2 4 2" xfId="45077" xr:uid="{00000000-0005-0000-0000-0000AC0E0000}"/>
    <cellStyle name="Comma 5 2 4 3 2 4 2 5" xfId="31014" xr:uid="{00000000-0005-0000-0000-0000AD0E0000}"/>
    <cellStyle name="Comma 5 2 4 3 2 4 3" xfId="6898" xr:uid="{00000000-0005-0000-0000-0000AE0E0000}"/>
    <cellStyle name="Comma 5 2 4 3 2 4 3 2" xfId="15725" xr:uid="{00000000-0005-0000-0000-0000AF0E0000}"/>
    <cellStyle name="Comma 5 2 4 3 2 4 3 2 2" xfId="41280" xr:uid="{00000000-0005-0000-0000-0000B00E0000}"/>
    <cellStyle name="Comma 5 2 4 3 2 4 3 3" xfId="25976" xr:uid="{00000000-0005-0000-0000-0000B10E0000}"/>
    <cellStyle name="Comma 5 2 4 3 2 4 3 3 2" xfId="51529" xr:uid="{00000000-0005-0000-0000-0000B20E0000}"/>
    <cellStyle name="Comma 5 2 4 3 2 4 3 4" xfId="32459" xr:uid="{00000000-0005-0000-0000-0000B30E0000}"/>
    <cellStyle name="Comma 5 2 4 3 2 4 4" xfId="8344" xr:uid="{00000000-0005-0000-0000-0000B40E0000}"/>
    <cellStyle name="Comma 5 2 4 3 2 4 4 2" xfId="22426" xr:uid="{00000000-0005-0000-0000-0000B50E0000}"/>
    <cellStyle name="Comma 5 2 4 3 2 4 4 2 2" xfId="47979" xr:uid="{00000000-0005-0000-0000-0000B60E0000}"/>
    <cellStyle name="Comma 5 2 4 3 2 4 4 3" xfId="33901" xr:uid="{00000000-0005-0000-0000-0000B70E0000}"/>
    <cellStyle name="Comma 5 2 4 3 2 4 5" xfId="17419" xr:uid="{00000000-0005-0000-0000-0000B80E0000}"/>
    <cellStyle name="Comma 5 2 4 3 2 4 5 2" xfId="42972" xr:uid="{00000000-0005-0000-0000-0000B90E0000}"/>
    <cellStyle name="Comma 5 2 4 3 2 4 6" xfId="28909" xr:uid="{00000000-0005-0000-0000-0000BA0E0000}"/>
    <cellStyle name="Comma 5 2 4 3 2 5" xfId="4399" xr:uid="{00000000-0005-0000-0000-0000BB0E0000}"/>
    <cellStyle name="Comma 5 2 4 3 2 5 2" xfId="13237" xr:uid="{00000000-0005-0000-0000-0000BC0E0000}"/>
    <cellStyle name="Comma 5 2 4 3 2 5 2 2" xfId="23488" xr:uid="{00000000-0005-0000-0000-0000BD0E0000}"/>
    <cellStyle name="Comma 5 2 4 3 2 5 2 2 2" xfId="49041" xr:uid="{00000000-0005-0000-0000-0000BE0E0000}"/>
    <cellStyle name="Comma 5 2 4 3 2 5 2 3" xfId="38792" xr:uid="{00000000-0005-0000-0000-0000BF0E0000}"/>
    <cellStyle name="Comma 5 2 4 3 2 5 3" xfId="9658" xr:uid="{00000000-0005-0000-0000-0000C00E0000}"/>
    <cellStyle name="Comma 5 2 4 3 2 5 3 2" xfId="35215" xr:uid="{00000000-0005-0000-0000-0000C10E0000}"/>
    <cellStyle name="Comma 5 2 4 3 2 5 4" xfId="18481" xr:uid="{00000000-0005-0000-0000-0000C20E0000}"/>
    <cellStyle name="Comma 5 2 4 3 2 5 4 2" xfId="44034" xr:uid="{00000000-0005-0000-0000-0000C30E0000}"/>
    <cellStyle name="Comma 5 2 4 3 2 5 5" xfId="29971" xr:uid="{00000000-0005-0000-0000-0000C40E0000}"/>
    <cellStyle name="Comma 5 2 4 3 2 6" xfId="1671" xr:uid="{00000000-0005-0000-0000-0000C50E0000}"/>
    <cellStyle name="Comma 5 2 4 3 2 6 2" xfId="11048" xr:uid="{00000000-0005-0000-0000-0000C60E0000}"/>
    <cellStyle name="Comma 5 2 4 3 2 6 2 2" xfId="36603" xr:uid="{00000000-0005-0000-0000-0000C70E0000}"/>
    <cellStyle name="Comma 5 2 4 3 2 6 3" xfId="21052" xr:uid="{00000000-0005-0000-0000-0000C80E0000}"/>
    <cellStyle name="Comma 5 2 4 3 2 6 3 2" xfId="46605" xr:uid="{00000000-0005-0000-0000-0000C90E0000}"/>
    <cellStyle name="Comma 5 2 4 3 2 6 4" xfId="27535" xr:uid="{00000000-0005-0000-0000-0000CA0E0000}"/>
    <cellStyle name="Comma 5 2 4 3 2 7" xfId="5855" xr:uid="{00000000-0005-0000-0000-0000CB0E0000}"/>
    <cellStyle name="Comma 5 2 4 3 2 7 2" xfId="14682" xr:uid="{00000000-0005-0000-0000-0000CC0E0000}"/>
    <cellStyle name="Comma 5 2 4 3 2 7 2 2" xfId="40237" xr:uid="{00000000-0005-0000-0000-0000CD0E0000}"/>
    <cellStyle name="Comma 5 2 4 3 2 7 3" xfId="24933" xr:uid="{00000000-0005-0000-0000-0000CE0E0000}"/>
    <cellStyle name="Comma 5 2 4 3 2 7 3 2" xfId="50486" xr:uid="{00000000-0005-0000-0000-0000CF0E0000}"/>
    <cellStyle name="Comma 5 2 4 3 2 7 4" xfId="31416" xr:uid="{00000000-0005-0000-0000-0000D00E0000}"/>
    <cellStyle name="Comma 5 2 4 3 2 8" xfId="7299" xr:uid="{00000000-0005-0000-0000-0000D10E0000}"/>
    <cellStyle name="Comma 5 2 4 3 2 8 2" xfId="20025" xr:uid="{00000000-0005-0000-0000-0000D20E0000}"/>
    <cellStyle name="Comma 5 2 4 3 2 8 2 2" xfId="45578" xr:uid="{00000000-0005-0000-0000-0000D30E0000}"/>
    <cellStyle name="Comma 5 2 4 3 2 8 3" xfId="32856" xr:uid="{00000000-0005-0000-0000-0000D40E0000}"/>
    <cellStyle name="Comma 5 2 4 3 2 9" xfId="16045" xr:uid="{00000000-0005-0000-0000-0000D50E0000}"/>
    <cellStyle name="Comma 5 2 4 3 2 9 2" xfId="41598" xr:uid="{00000000-0005-0000-0000-0000D60E0000}"/>
    <cellStyle name="Comma 5 2 4 3 3" xfId="374" xr:uid="{00000000-0005-0000-0000-0000D70E0000}"/>
    <cellStyle name="Comma 5 2 4 3 3 2" xfId="2860" xr:uid="{00000000-0005-0000-0000-0000D80E0000}"/>
    <cellStyle name="Comma 5 2 4 3 3 2 2" xfId="12148" xr:uid="{00000000-0005-0000-0000-0000D90E0000}"/>
    <cellStyle name="Comma 5 2 4 3 3 2 2 2" xfId="22221" xr:uid="{00000000-0005-0000-0000-0000DA0E0000}"/>
    <cellStyle name="Comma 5 2 4 3 3 2 2 2 2" xfId="47774" xr:uid="{00000000-0005-0000-0000-0000DB0E0000}"/>
    <cellStyle name="Comma 5 2 4 3 3 2 2 3" xfId="37703" xr:uid="{00000000-0005-0000-0000-0000DC0E0000}"/>
    <cellStyle name="Comma 5 2 4 3 3 2 3" xfId="8632" xr:uid="{00000000-0005-0000-0000-0000DD0E0000}"/>
    <cellStyle name="Comma 5 2 4 3 3 2 3 2" xfId="34189" xr:uid="{00000000-0005-0000-0000-0000DE0E0000}"/>
    <cellStyle name="Comma 5 2 4 3 3 2 4" xfId="17214" xr:uid="{00000000-0005-0000-0000-0000DF0E0000}"/>
    <cellStyle name="Comma 5 2 4 3 3 2 4 2" xfId="42767" xr:uid="{00000000-0005-0000-0000-0000E00E0000}"/>
    <cellStyle name="Comma 5 2 4 3 3 2 5" xfId="28704" xr:uid="{00000000-0005-0000-0000-0000E10E0000}"/>
    <cellStyle name="Comma 5 2 4 3 3 3" xfId="4458" xr:uid="{00000000-0005-0000-0000-0000E20E0000}"/>
    <cellStyle name="Comma 5 2 4 3 3 3 2" xfId="13296" xr:uid="{00000000-0005-0000-0000-0000E30E0000}"/>
    <cellStyle name="Comma 5 2 4 3 3 3 2 2" xfId="23547" xr:uid="{00000000-0005-0000-0000-0000E40E0000}"/>
    <cellStyle name="Comma 5 2 4 3 3 3 2 2 2" xfId="49100" xr:uid="{00000000-0005-0000-0000-0000E50E0000}"/>
    <cellStyle name="Comma 5 2 4 3 3 3 2 3" xfId="38851" xr:uid="{00000000-0005-0000-0000-0000E60E0000}"/>
    <cellStyle name="Comma 5 2 4 3 3 3 3" xfId="9717" xr:uid="{00000000-0005-0000-0000-0000E70E0000}"/>
    <cellStyle name="Comma 5 2 4 3 3 3 3 2" xfId="35274" xr:uid="{00000000-0005-0000-0000-0000E80E0000}"/>
    <cellStyle name="Comma 5 2 4 3 3 3 4" xfId="18540" xr:uid="{00000000-0005-0000-0000-0000E90E0000}"/>
    <cellStyle name="Comma 5 2 4 3 3 3 4 2" xfId="44093" xr:uid="{00000000-0005-0000-0000-0000EA0E0000}"/>
    <cellStyle name="Comma 5 2 4 3 3 3 5" xfId="30030" xr:uid="{00000000-0005-0000-0000-0000EB0E0000}"/>
    <cellStyle name="Comma 5 2 4 3 3 4" xfId="1969" xr:uid="{00000000-0005-0000-0000-0000EC0E0000}"/>
    <cellStyle name="Comma 5 2 4 3 3 4 2" xfId="11334" xr:uid="{00000000-0005-0000-0000-0000ED0E0000}"/>
    <cellStyle name="Comma 5 2 4 3 3 4 2 2" xfId="36889" xr:uid="{00000000-0005-0000-0000-0000EE0E0000}"/>
    <cellStyle name="Comma 5 2 4 3 3 4 3" xfId="21338" xr:uid="{00000000-0005-0000-0000-0000EF0E0000}"/>
    <cellStyle name="Comma 5 2 4 3 3 4 3 2" xfId="46891" xr:uid="{00000000-0005-0000-0000-0000F00E0000}"/>
    <cellStyle name="Comma 5 2 4 3 3 4 4" xfId="27821" xr:uid="{00000000-0005-0000-0000-0000F10E0000}"/>
    <cellStyle name="Comma 5 2 4 3 3 5" xfId="5914" xr:uid="{00000000-0005-0000-0000-0000F20E0000}"/>
    <cellStyle name="Comma 5 2 4 3 3 5 2" xfId="14741" xr:uid="{00000000-0005-0000-0000-0000F30E0000}"/>
    <cellStyle name="Comma 5 2 4 3 3 5 2 2" xfId="40296" xr:uid="{00000000-0005-0000-0000-0000F40E0000}"/>
    <cellStyle name="Comma 5 2 4 3 3 5 3" xfId="24992" xr:uid="{00000000-0005-0000-0000-0000F50E0000}"/>
    <cellStyle name="Comma 5 2 4 3 3 5 3 2" xfId="50545" xr:uid="{00000000-0005-0000-0000-0000F60E0000}"/>
    <cellStyle name="Comma 5 2 4 3 3 5 4" xfId="31475" xr:uid="{00000000-0005-0000-0000-0000F70E0000}"/>
    <cellStyle name="Comma 5 2 4 3 3 6" xfId="7358" xr:uid="{00000000-0005-0000-0000-0000F80E0000}"/>
    <cellStyle name="Comma 5 2 4 3 3 6 2" xfId="19820" xr:uid="{00000000-0005-0000-0000-0000F90E0000}"/>
    <cellStyle name="Comma 5 2 4 3 3 6 2 2" xfId="45373" xr:uid="{00000000-0005-0000-0000-0000FA0E0000}"/>
    <cellStyle name="Comma 5 2 4 3 3 6 3" xfId="32915" xr:uid="{00000000-0005-0000-0000-0000FB0E0000}"/>
    <cellStyle name="Comma 5 2 4 3 3 7" xfId="16331" xr:uid="{00000000-0005-0000-0000-0000FC0E0000}"/>
    <cellStyle name="Comma 5 2 4 3 3 7 2" xfId="41884" xr:uid="{00000000-0005-0000-0000-0000FD0E0000}"/>
    <cellStyle name="Comma 5 2 4 3 3 8" xfId="26303" xr:uid="{00000000-0005-0000-0000-0000FE0E0000}"/>
    <cellStyle name="Comma 5 2 4 3 4" xfId="643" xr:uid="{00000000-0005-0000-0000-0000FF0E0000}"/>
    <cellStyle name="Comma 5 2 4 3 4 2" xfId="3129" xr:uid="{00000000-0005-0000-0000-0000000F0000}"/>
    <cellStyle name="Comma 5 2 4 3 4 2 2" xfId="12272" xr:uid="{00000000-0005-0000-0000-0000010F0000}"/>
    <cellStyle name="Comma 5 2 4 3 4 2 2 2" xfId="22490" xr:uid="{00000000-0005-0000-0000-0000020F0000}"/>
    <cellStyle name="Comma 5 2 4 3 4 2 2 2 2" xfId="48043" xr:uid="{00000000-0005-0000-0000-0000030F0000}"/>
    <cellStyle name="Comma 5 2 4 3 4 2 2 3" xfId="37827" xr:uid="{00000000-0005-0000-0000-0000040F0000}"/>
    <cellStyle name="Comma 5 2 4 3 4 2 3" xfId="8694" xr:uid="{00000000-0005-0000-0000-0000050F0000}"/>
    <cellStyle name="Comma 5 2 4 3 4 2 3 2" xfId="34251" xr:uid="{00000000-0005-0000-0000-0000060F0000}"/>
    <cellStyle name="Comma 5 2 4 3 4 2 4" xfId="17483" xr:uid="{00000000-0005-0000-0000-0000070F0000}"/>
    <cellStyle name="Comma 5 2 4 3 4 2 4 2" xfId="43036" xr:uid="{00000000-0005-0000-0000-0000080F0000}"/>
    <cellStyle name="Comma 5 2 4 3 4 2 5" xfId="28973" xr:uid="{00000000-0005-0000-0000-0000090F0000}"/>
    <cellStyle name="Comma 5 2 4 3 4 3" xfId="4807" xr:uid="{00000000-0005-0000-0000-00000A0F0000}"/>
    <cellStyle name="Comma 5 2 4 3 4 3 2" xfId="13644" xr:uid="{00000000-0005-0000-0000-00000B0F0000}"/>
    <cellStyle name="Comma 5 2 4 3 4 3 2 2" xfId="23895" xr:uid="{00000000-0005-0000-0000-00000C0F0000}"/>
    <cellStyle name="Comma 5 2 4 3 4 3 2 2 2" xfId="49448" xr:uid="{00000000-0005-0000-0000-00000D0F0000}"/>
    <cellStyle name="Comma 5 2 4 3 4 3 2 3" xfId="39199" xr:uid="{00000000-0005-0000-0000-00000E0F0000}"/>
    <cellStyle name="Comma 5 2 4 3 4 3 3" xfId="10065" xr:uid="{00000000-0005-0000-0000-00000F0F0000}"/>
    <cellStyle name="Comma 5 2 4 3 4 3 3 2" xfId="35622" xr:uid="{00000000-0005-0000-0000-0000100F0000}"/>
    <cellStyle name="Comma 5 2 4 3 4 3 4" xfId="18888" xr:uid="{00000000-0005-0000-0000-0000110F0000}"/>
    <cellStyle name="Comma 5 2 4 3 4 3 4 2" xfId="44441" xr:uid="{00000000-0005-0000-0000-0000120F0000}"/>
    <cellStyle name="Comma 5 2 4 3 4 3 5" xfId="30378" xr:uid="{00000000-0005-0000-0000-0000130F0000}"/>
    <cellStyle name="Comma 5 2 4 3 4 4" xfId="2238" xr:uid="{00000000-0005-0000-0000-0000140F0000}"/>
    <cellStyle name="Comma 5 2 4 3 4 4 2" xfId="11603" xr:uid="{00000000-0005-0000-0000-0000150F0000}"/>
    <cellStyle name="Comma 5 2 4 3 4 4 2 2" xfId="37158" xr:uid="{00000000-0005-0000-0000-0000160F0000}"/>
    <cellStyle name="Comma 5 2 4 3 4 4 3" xfId="21607" xr:uid="{00000000-0005-0000-0000-0000170F0000}"/>
    <cellStyle name="Comma 5 2 4 3 4 4 3 2" xfId="47160" xr:uid="{00000000-0005-0000-0000-0000180F0000}"/>
    <cellStyle name="Comma 5 2 4 3 4 4 4" xfId="28090" xr:uid="{00000000-0005-0000-0000-0000190F0000}"/>
    <cellStyle name="Comma 5 2 4 3 4 5" xfId="6262" xr:uid="{00000000-0005-0000-0000-00001A0F0000}"/>
    <cellStyle name="Comma 5 2 4 3 4 5 2" xfId="15089" xr:uid="{00000000-0005-0000-0000-00001B0F0000}"/>
    <cellStyle name="Comma 5 2 4 3 4 5 2 2" xfId="40644" xr:uid="{00000000-0005-0000-0000-00001C0F0000}"/>
    <cellStyle name="Comma 5 2 4 3 4 5 3" xfId="25340" xr:uid="{00000000-0005-0000-0000-00001D0F0000}"/>
    <cellStyle name="Comma 5 2 4 3 4 5 3 2" xfId="50893" xr:uid="{00000000-0005-0000-0000-00001E0F0000}"/>
    <cellStyle name="Comma 5 2 4 3 4 5 4" xfId="31823" xr:uid="{00000000-0005-0000-0000-00001F0F0000}"/>
    <cellStyle name="Comma 5 2 4 3 4 6" xfId="7708" xr:uid="{00000000-0005-0000-0000-0000200F0000}"/>
    <cellStyle name="Comma 5 2 4 3 4 6 2" xfId="20089" xr:uid="{00000000-0005-0000-0000-0000210F0000}"/>
    <cellStyle name="Comma 5 2 4 3 4 6 2 2" xfId="45642" xr:uid="{00000000-0005-0000-0000-0000220F0000}"/>
    <cellStyle name="Comma 5 2 4 3 4 6 3" xfId="33265" xr:uid="{00000000-0005-0000-0000-0000230F0000}"/>
    <cellStyle name="Comma 5 2 4 3 4 7" xfId="16600" xr:uid="{00000000-0005-0000-0000-0000240F0000}"/>
    <cellStyle name="Comma 5 2 4 3 4 7 2" xfId="42153" xr:uid="{00000000-0005-0000-0000-0000250F0000}"/>
    <cellStyle name="Comma 5 2 4 3 4 8" xfId="26572" xr:uid="{00000000-0005-0000-0000-0000260F0000}"/>
    <cellStyle name="Comma 5 2 4 3 5" xfId="1146" xr:uid="{00000000-0005-0000-0000-0000270F0000}"/>
    <cellStyle name="Comma 5 2 4 3 5 2" xfId="3575" xr:uid="{00000000-0005-0000-0000-0000280F0000}"/>
    <cellStyle name="Comma 5 2 4 3 5 2 2" xfId="12711" xr:uid="{00000000-0005-0000-0000-0000290F0000}"/>
    <cellStyle name="Comma 5 2 4 3 5 2 2 2" xfId="22930" xr:uid="{00000000-0005-0000-0000-00002A0F0000}"/>
    <cellStyle name="Comma 5 2 4 3 5 2 2 2 2" xfId="48483" xr:uid="{00000000-0005-0000-0000-00002B0F0000}"/>
    <cellStyle name="Comma 5 2 4 3 5 2 2 3" xfId="38266" xr:uid="{00000000-0005-0000-0000-00002C0F0000}"/>
    <cellStyle name="Comma 5 2 4 3 5 2 3" xfId="9132" xr:uid="{00000000-0005-0000-0000-00002D0F0000}"/>
    <cellStyle name="Comma 5 2 4 3 5 2 3 2" xfId="34689" xr:uid="{00000000-0005-0000-0000-00002E0F0000}"/>
    <cellStyle name="Comma 5 2 4 3 5 2 4" xfId="17923" xr:uid="{00000000-0005-0000-0000-00002F0F0000}"/>
    <cellStyle name="Comma 5 2 4 3 5 2 4 2" xfId="43476" xr:uid="{00000000-0005-0000-0000-0000300F0000}"/>
    <cellStyle name="Comma 5 2 4 3 5 2 5" xfId="29413" xr:uid="{00000000-0005-0000-0000-0000310F0000}"/>
    <cellStyle name="Comma 5 2 4 3 5 3" xfId="5238" xr:uid="{00000000-0005-0000-0000-0000320F0000}"/>
    <cellStyle name="Comma 5 2 4 3 5 3 2" xfId="14075" xr:uid="{00000000-0005-0000-0000-0000330F0000}"/>
    <cellStyle name="Comma 5 2 4 3 5 3 2 2" xfId="24326" xr:uid="{00000000-0005-0000-0000-0000340F0000}"/>
    <cellStyle name="Comma 5 2 4 3 5 3 2 2 2" xfId="49879" xr:uid="{00000000-0005-0000-0000-0000350F0000}"/>
    <cellStyle name="Comma 5 2 4 3 5 3 2 3" xfId="39630" xr:uid="{00000000-0005-0000-0000-0000360F0000}"/>
    <cellStyle name="Comma 5 2 4 3 5 3 3" xfId="10496" xr:uid="{00000000-0005-0000-0000-0000370F0000}"/>
    <cellStyle name="Comma 5 2 4 3 5 3 3 2" xfId="36053" xr:uid="{00000000-0005-0000-0000-0000380F0000}"/>
    <cellStyle name="Comma 5 2 4 3 5 3 4" xfId="19319" xr:uid="{00000000-0005-0000-0000-0000390F0000}"/>
    <cellStyle name="Comma 5 2 4 3 5 3 4 2" xfId="44872" xr:uid="{00000000-0005-0000-0000-00003A0F0000}"/>
    <cellStyle name="Comma 5 2 4 3 5 3 5" xfId="30809" xr:uid="{00000000-0005-0000-0000-00003B0F0000}"/>
    <cellStyle name="Comma 5 2 4 3 5 4" xfId="1854" xr:uid="{00000000-0005-0000-0000-00003C0F0000}"/>
    <cellStyle name="Comma 5 2 4 3 5 4 2" xfId="11222" xr:uid="{00000000-0005-0000-0000-00003D0F0000}"/>
    <cellStyle name="Comma 5 2 4 3 5 4 2 2" xfId="36777" xr:uid="{00000000-0005-0000-0000-00003E0F0000}"/>
    <cellStyle name="Comma 5 2 4 3 5 4 3" xfId="21226" xr:uid="{00000000-0005-0000-0000-00003F0F0000}"/>
    <cellStyle name="Comma 5 2 4 3 5 4 3 2" xfId="46779" xr:uid="{00000000-0005-0000-0000-0000400F0000}"/>
    <cellStyle name="Comma 5 2 4 3 5 4 4" xfId="27709" xr:uid="{00000000-0005-0000-0000-0000410F0000}"/>
    <cellStyle name="Comma 5 2 4 3 5 5" xfId="6693" xr:uid="{00000000-0005-0000-0000-0000420F0000}"/>
    <cellStyle name="Comma 5 2 4 3 5 5 2" xfId="15520" xr:uid="{00000000-0005-0000-0000-0000430F0000}"/>
    <cellStyle name="Comma 5 2 4 3 5 5 2 2" xfId="41075" xr:uid="{00000000-0005-0000-0000-0000440F0000}"/>
    <cellStyle name="Comma 5 2 4 3 5 5 3" xfId="25771" xr:uid="{00000000-0005-0000-0000-0000450F0000}"/>
    <cellStyle name="Comma 5 2 4 3 5 5 3 2" xfId="51324" xr:uid="{00000000-0005-0000-0000-0000460F0000}"/>
    <cellStyle name="Comma 5 2 4 3 5 5 4" xfId="32254" xr:uid="{00000000-0005-0000-0000-0000470F0000}"/>
    <cellStyle name="Comma 5 2 4 3 5 6" xfId="8139" xr:uid="{00000000-0005-0000-0000-0000480F0000}"/>
    <cellStyle name="Comma 5 2 4 3 5 6 2" xfId="20529" xr:uid="{00000000-0005-0000-0000-0000490F0000}"/>
    <cellStyle name="Comma 5 2 4 3 5 6 2 2" xfId="46082" xr:uid="{00000000-0005-0000-0000-00004A0F0000}"/>
    <cellStyle name="Comma 5 2 4 3 5 6 3" xfId="33696" xr:uid="{00000000-0005-0000-0000-00004B0F0000}"/>
    <cellStyle name="Comma 5 2 4 3 5 7" xfId="16219" xr:uid="{00000000-0005-0000-0000-00004C0F0000}"/>
    <cellStyle name="Comma 5 2 4 3 5 7 2" xfId="41772" xr:uid="{00000000-0005-0000-0000-00004D0F0000}"/>
    <cellStyle name="Comma 5 2 4 3 5 8" xfId="27012" xr:uid="{00000000-0005-0000-0000-00004E0F0000}"/>
    <cellStyle name="Comma 5 2 4 3 6" xfId="2748" xr:uid="{00000000-0005-0000-0000-00004F0F0000}"/>
    <cellStyle name="Comma 5 2 4 3 6 2" xfId="12065" xr:uid="{00000000-0005-0000-0000-0000500F0000}"/>
    <cellStyle name="Comma 5 2 4 3 6 2 2" xfId="22109" xr:uid="{00000000-0005-0000-0000-0000510F0000}"/>
    <cellStyle name="Comma 5 2 4 3 6 2 2 2" xfId="47662" xr:uid="{00000000-0005-0000-0000-0000520F0000}"/>
    <cellStyle name="Comma 5 2 4 3 6 2 3" xfId="37620" xr:uid="{00000000-0005-0000-0000-0000530F0000}"/>
    <cellStyle name="Comma 5 2 4 3 6 3" xfId="8634" xr:uid="{00000000-0005-0000-0000-0000540F0000}"/>
    <cellStyle name="Comma 5 2 4 3 6 3 2" xfId="34191" xr:uid="{00000000-0005-0000-0000-0000550F0000}"/>
    <cellStyle name="Comma 5 2 4 3 6 4" xfId="17102" xr:uid="{00000000-0005-0000-0000-0000560F0000}"/>
    <cellStyle name="Comma 5 2 4 3 6 4 2" xfId="42655" xr:uid="{00000000-0005-0000-0000-0000570F0000}"/>
    <cellStyle name="Comma 5 2 4 3 6 5" xfId="28592" xr:uid="{00000000-0005-0000-0000-0000580F0000}"/>
    <cellStyle name="Comma 5 2 4 3 7" xfId="4194" xr:uid="{00000000-0005-0000-0000-0000590F0000}"/>
    <cellStyle name="Comma 5 2 4 3 7 2" xfId="13032" xr:uid="{00000000-0005-0000-0000-00005A0F0000}"/>
    <cellStyle name="Comma 5 2 4 3 7 2 2" xfId="23283" xr:uid="{00000000-0005-0000-0000-00005B0F0000}"/>
    <cellStyle name="Comma 5 2 4 3 7 2 2 2" xfId="48836" xr:uid="{00000000-0005-0000-0000-00005C0F0000}"/>
    <cellStyle name="Comma 5 2 4 3 7 2 3" xfId="38587" xr:uid="{00000000-0005-0000-0000-00005D0F0000}"/>
    <cellStyle name="Comma 5 2 4 3 7 3" xfId="9453" xr:uid="{00000000-0005-0000-0000-00005E0F0000}"/>
    <cellStyle name="Comma 5 2 4 3 7 3 2" xfId="35010" xr:uid="{00000000-0005-0000-0000-00005F0F0000}"/>
    <cellStyle name="Comma 5 2 4 3 7 4" xfId="18276" xr:uid="{00000000-0005-0000-0000-0000600F0000}"/>
    <cellStyle name="Comma 5 2 4 3 7 4 2" xfId="43829" xr:uid="{00000000-0005-0000-0000-0000610F0000}"/>
    <cellStyle name="Comma 5 2 4 3 7 5" xfId="29766" xr:uid="{00000000-0005-0000-0000-0000620F0000}"/>
    <cellStyle name="Comma 5 2 4 3 8" xfId="1466" xr:uid="{00000000-0005-0000-0000-0000630F0000}"/>
    <cellStyle name="Comma 5 2 4 3 8 2" xfId="10843" xr:uid="{00000000-0005-0000-0000-0000640F0000}"/>
    <cellStyle name="Comma 5 2 4 3 8 2 2" xfId="36398" xr:uid="{00000000-0005-0000-0000-0000650F0000}"/>
    <cellStyle name="Comma 5 2 4 3 8 3" xfId="20847" xr:uid="{00000000-0005-0000-0000-0000660F0000}"/>
    <cellStyle name="Comma 5 2 4 3 8 3 2" xfId="46400" xr:uid="{00000000-0005-0000-0000-0000670F0000}"/>
    <cellStyle name="Comma 5 2 4 3 8 4" xfId="27330" xr:uid="{00000000-0005-0000-0000-0000680F0000}"/>
    <cellStyle name="Comma 5 2 4 3 9" xfId="5650" xr:uid="{00000000-0005-0000-0000-0000690F0000}"/>
    <cellStyle name="Comma 5 2 4 3 9 2" xfId="14477" xr:uid="{00000000-0005-0000-0000-00006A0F0000}"/>
    <cellStyle name="Comma 5 2 4 3 9 2 2" xfId="40032" xr:uid="{00000000-0005-0000-0000-00006B0F0000}"/>
    <cellStyle name="Comma 5 2 4 3 9 3" xfId="24728" xr:uid="{00000000-0005-0000-0000-00006C0F0000}"/>
    <cellStyle name="Comma 5 2 4 3 9 3 2" xfId="50281" xr:uid="{00000000-0005-0000-0000-00006D0F0000}"/>
    <cellStyle name="Comma 5 2 4 3 9 4" xfId="31211" xr:uid="{00000000-0005-0000-0000-00006E0F0000}"/>
    <cellStyle name="Comma 5 2 4 4" xfId="474" xr:uid="{00000000-0005-0000-0000-00006F0F0000}"/>
    <cellStyle name="Comma 5 2 4 4 10" xfId="26403" xr:uid="{00000000-0005-0000-0000-0000700F0000}"/>
    <cellStyle name="Comma 5 2 4 4 2" xfId="645" xr:uid="{00000000-0005-0000-0000-0000710F0000}"/>
    <cellStyle name="Comma 5 2 4 4 2 2" xfId="3131" xr:uid="{00000000-0005-0000-0000-0000720F0000}"/>
    <cellStyle name="Comma 5 2 4 4 2 2 2" xfId="12274" xr:uid="{00000000-0005-0000-0000-0000730F0000}"/>
    <cellStyle name="Comma 5 2 4 4 2 2 2 2" xfId="22492" xr:uid="{00000000-0005-0000-0000-0000740F0000}"/>
    <cellStyle name="Comma 5 2 4 4 2 2 2 2 2" xfId="48045" xr:uid="{00000000-0005-0000-0000-0000750F0000}"/>
    <cellStyle name="Comma 5 2 4 4 2 2 2 3" xfId="37829" xr:uid="{00000000-0005-0000-0000-0000760F0000}"/>
    <cellStyle name="Comma 5 2 4 4 2 2 3" xfId="8696" xr:uid="{00000000-0005-0000-0000-0000770F0000}"/>
    <cellStyle name="Comma 5 2 4 4 2 2 3 2" xfId="34253" xr:uid="{00000000-0005-0000-0000-0000780F0000}"/>
    <cellStyle name="Comma 5 2 4 4 2 2 4" xfId="17485" xr:uid="{00000000-0005-0000-0000-0000790F0000}"/>
    <cellStyle name="Comma 5 2 4 4 2 2 4 2" xfId="43038" xr:uid="{00000000-0005-0000-0000-00007A0F0000}"/>
    <cellStyle name="Comma 5 2 4 4 2 2 5" xfId="28975" xr:uid="{00000000-0005-0000-0000-00007B0F0000}"/>
    <cellStyle name="Comma 5 2 4 4 2 3" xfId="4460" xr:uid="{00000000-0005-0000-0000-00007C0F0000}"/>
    <cellStyle name="Comma 5 2 4 4 2 3 2" xfId="13298" xr:uid="{00000000-0005-0000-0000-00007D0F0000}"/>
    <cellStyle name="Comma 5 2 4 4 2 3 2 2" xfId="23549" xr:uid="{00000000-0005-0000-0000-00007E0F0000}"/>
    <cellStyle name="Comma 5 2 4 4 2 3 2 2 2" xfId="49102" xr:uid="{00000000-0005-0000-0000-00007F0F0000}"/>
    <cellStyle name="Comma 5 2 4 4 2 3 2 3" xfId="38853" xr:uid="{00000000-0005-0000-0000-0000800F0000}"/>
    <cellStyle name="Comma 5 2 4 4 2 3 3" xfId="9719" xr:uid="{00000000-0005-0000-0000-0000810F0000}"/>
    <cellStyle name="Comma 5 2 4 4 2 3 3 2" xfId="35276" xr:uid="{00000000-0005-0000-0000-0000820F0000}"/>
    <cellStyle name="Comma 5 2 4 4 2 3 4" xfId="18542" xr:uid="{00000000-0005-0000-0000-0000830F0000}"/>
    <cellStyle name="Comma 5 2 4 4 2 3 4 2" xfId="44095" xr:uid="{00000000-0005-0000-0000-0000840F0000}"/>
    <cellStyle name="Comma 5 2 4 4 2 3 5" xfId="30032" xr:uid="{00000000-0005-0000-0000-0000850F0000}"/>
    <cellStyle name="Comma 5 2 4 4 2 4" xfId="2240" xr:uid="{00000000-0005-0000-0000-0000860F0000}"/>
    <cellStyle name="Comma 5 2 4 4 2 4 2" xfId="11605" xr:uid="{00000000-0005-0000-0000-0000870F0000}"/>
    <cellStyle name="Comma 5 2 4 4 2 4 2 2" xfId="37160" xr:uid="{00000000-0005-0000-0000-0000880F0000}"/>
    <cellStyle name="Comma 5 2 4 4 2 4 3" xfId="21609" xr:uid="{00000000-0005-0000-0000-0000890F0000}"/>
    <cellStyle name="Comma 5 2 4 4 2 4 3 2" xfId="47162" xr:uid="{00000000-0005-0000-0000-00008A0F0000}"/>
    <cellStyle name="Comma 5 2 4 4 2 4 4" xfId="28092" xr:uid="{00000000-0005-0000-0000-00008B0F0000}"/>
    <cellStyle name="Comma 5 2 4 4 2 5" xfId="5916" xr:uid="{00000000-0005-0000-0000-00008C0F0000}"/>
    <cellStyle name="Comma 5 2 4 4 2 5 2" xfId="14743" xr:uid="{00000000-0005-0000-0000-00008D0F0000}"/>
    <cellStyle name="Comma 5 2 4 4 2 5 2 2" xfId="40298" xr:uid="{00000000-0005-0000-0000-00008E0F0000}"/>
    <cellStyle name="Comma 5 2 4 4 2 5 3" xfId="24994" xr:uid="{00000000-0005-0000-0000-00008F0F0000}"/>
    <cellStyle name="Comma 5 2 4 4 2 5 3 2" xfId="50547" xr:uid="{00000000-0005-0000-0000-0000900F0000}"/>
    <cellStyle name="Comma 5 2 4 4 2 5 4" xfId="31477" xr:uid="{00000000-0005-0000-0000-0000910F0000}"/>
    <cellStyle name="Comma 5 2 4 4 2 6" xfId="7360" xr:uid="{00000000-0005-0000-0000-0000920F0000}"/>
    <cellStyle name="Comma 5 2 4 4 2 6 2" xfId="20091" xr:uid="{00000000-0005-0000-0000-0000930F0000}"/>
    <cellStyle name="Comma 5 2 4 4 2 6 2 2" xfId="45644" xr:uid="{00000000-0005-0000-0000-0000940F0000}"/>
    <cellStyle name="Comma 5 2 4 4 2 6 3" xfId="32917" xr:uid="{00000000-0005-0000-0000-0000950F0000}"/>
    <cellStyle name="Comma 5 2 4 4 2 7" xfId="16602" xr:uid="{00000000-0005-0000-0000-0000960F0000}"/>
    <cellStyle name="Comma 5 2 4 4 2 7 2" xfId="42155" xr:uid="{00000000-0005-0000-0000-0000970F0000}"/>
    <cellStyle name="Comma 5 2 4 4 2 8" xfId="26574" xr:uid="{00000000-0005-0000-0000-0000980F0000}"/>
    <cellStyle name="Comma 5 2 4 4 3" xfId="1246" xr:uid="{00000000-0005-0000-0000-0000990F0000}"/>
    <cellStyle name="Comma 5 2 4 4 3 2" xfId="3675" xr:uid="{00000000-0005-0000-0000-00009A0F0000}"/>
    <cellStyle name="Comma 5 2 4 4 3 2 2" xfId="12811" xr:uid="{00000000-0005-0000-0000-00009B0F0000}"/>
    <cellStyle name="Comma 5 2 4 4 3 2 2 2" xfId="23030" xr:uid="{00000000-0005-0000-0000-00009C0F0000}"/>
    <cellStyle name="Comma 5 2 4 4 3 2 2 2 2" xfId="48583" xr:uid="{00000000-0005-0000-0000-00009D0F0000}"/>
    <cellStyle name="Comma 5 2 4 4 3 2 2 3" xfId="38366" xr:uid="{00000000-0005-0000-0000-00009E0F0000}"/>
    <cellStyle name="Comma 5 2 4 4 3 2 3" xfId="9232" xr:uid="{00000000-0005-0000-0000-00009F0F0000}"/>
    <cellStyle name="Comma 5 2 4 4 3 2 3 2" xfId="34789" xr:uid="{00000000-0005-0000-0000-0000A00F0000}"/>
    <cellStyle name="Comma 5 2 4 4 3 2 4" xfId="18023" xr:uid="{00000000-0005-0000-0000-0000A10F0000}"/>
    <cellStyle name="Comma 5 2 4 4 3 2 4 2" xfId="43576" xr:uid="{00000000-0005-0000-0000-0000A20F0000}"/>
    <cellStyle name="Comma 5 2 4 4 3 2 5" xfId="29513" xr:uid="{00000000-0005-0000-0000-0000A30F0000}"/>
    <cellStyle name="Comma 5 2 4 4 3 3" xfId="4809" xr:uid="{00000000-0005-0000-0000-0000A40F0000}"/>
    <cellStyle name="Comma 5 2 4 4 3 3 2" xfId="13646" xr:uid="{00000000-0005-0000-0000-0000A50F0000}"/>
    <cellStyle name="Comma 5 2 4 4 3 3 2 2" xfId="23897" xr:uid="{00000000-0005-0000-0000-0000A60F0000}"/>
    <cellStyle name="Comma 5 2 4 4 3 3 2 2 2" xfId="49450" xr:uid="{00000000-0005-0000-0000-0000A70F0000}"/>
    <cellStyle name="Comma 5 2 4 4 3 3 2 3" xfId="39201" xr:uid="{00000000-0005-0000-0000-0000A80F0000}"/>
    <cellStyle name="Comma 5 2 4 4 3 3 3" xfId="10067" xr:uid="{00000000-0005-0000-0000-0000A90F0000}"/>
    <cellStyle name="Comma 5 2 4 4 3 3 3 2" xfId="35624" xr:uid="{00000000-0005-0000-0000-0000AA0F0000}"/>
    <cellStyle name="Comma 5 2 4 4 3 3 4" xfId="18890" xr:uid="{00000000-0005-0000-0000-0000AB0F0000}"/>
    <cellStyle name="Comma 5 2 4 4 3 3 4 2" xfId="44443" xr:uid="{00000000-0005-0000-0000-0000AC0F0000}"/>
    <cellStyle name="Comma 5 2 4 4 3 3 5" xfId="30380" xr:uid="{00000000-0005-0000-0000-0000AD0F0000}"/>
    <cellStyle name="Comma 5 2 4 4 3 4" xfId="2069" xr:uid="{00000000-0005-0000-0000-0000AE0F0000}"/>
    <cellStyle name="Comma 5 2 4 4 3 4 2" xfId="11434" xr:uid="{00000000-0005-0000-0000-0000AF0F0000}"/>
    <cellStyle name="Comma 5 2 4 4 3 4 2 2" xfId="36989" xr:uid="{00000000-0005-0000-0000-0000B00F0000}"/>
    <cellStyle name="Comma 5 2 4 4 3 4 3" xfId="21438" xr:uid="{00000000-0005-0000-0000-0000B10F0000}"/>
    <cellStyle name="Comma 5 2 4 4 3 4 3 2" xfId="46991" xr:uid="{00000000-0005-0000-0000-0000B20F0000}"/>
    <cellStyle name="Comma 5 2 4 4 3 4 4" xfId="27921" xr:uid="{00000000-0005-0000-0000-0000B30F0000}"/>
    <cellStyle name="Comma 5 2 4 4 3 5" xfId="6264" xr:uid="{00000000-0005-0000-0000-0000B40F0000}"/>
    <cellStyle name="Comma 5 2 4 4 3 5 2" xfId="15091" xr:uid="{00000000-0005-0000-0000-0000B50F0000}"/>
    <cellStyle name="Comma 5 2 4 4 3 5 2 2" xfId="40646" xr:uid="{00000000-0005-0000-0000-0000B60F0000}"/>
    <cellStyle name="Comma 5 2 4 4 3 5 3" xfId="25342" xr:uid="{00000000-0005-0000-0000-0000B70F0000}"/>
    <cellStyle name="Comma 5 2 4 4 3 5 3 2" xfId="50895" xr:uid="{00000000-0005-0000-0000-0000B80F0000}"/>
    <cellStyle name="Comma 5 2 4 4 3 5 4" xfId="31825" xr:uid="{00000000-0005-0000-0000-0000B90F0000}"/>
    <cellStyle name="Comma 5 2 4 4 3 6" xfId="7710" xr:uid="{00000000-0005-0000-0000-0000BA0F0000}"/>
    <cellStyle name="Comma 5 2 4 4 3 6 2" xfId="20629" xr:uid="{00000000-0005-0000-0000-0000BB0F0000}"/>
    <cellStyle name="Comma 5 2 4 4 3 6 2 2" xfId="46182" xr:uid="{00000000-0005-0000-0000-0000BC0F0000}"/>
    <cellStyle name="Comma 5 2 4 4 3 6 3" xfId="33267" xr:uid="{00000000-0005-0000-0000-0000BD0F0000}"/>
    <cellStyle name="Comma 5 2 4 4 3 7" xfId="16431" xr:uid="{00000000-0005-0000-0000-0000BE0F0000}"/>
    <cellStyle name="Comma 5 2 4 4 3 7 2" xfId="41984" xr:uid="{00000000-0005-0000-0000-0000BF0F0000}"/>
    <cellStyle name="Comma 5 2 4 4 3 8" xfId="27112" xr:uid="{00000000-0005-0000-0000-0000C00F0000}"/>
    <cellStyle name="Comma 5 2 4 4 4" xfId="2960" xr:uid="{00000000-0005-0000-0000-0000C10F0000}"/>
    <cellStyle name="Comma 5 2 4 4 4 2" xfId="5338" xr:uid="{00000000-0005-0000-0000-0000C20F0000}"/>
    <cellStyle name="Comma 5 2 4 4 4 2 2" xfId="14175" xr:uid="{00000000-0005-0000-0000-0000C30F0000}"/>
    <cellStyle name="Comma 5 2 4 4 4 2 2 2" xfId="24426" xr:uid="{00000000-0005-0000-0000-0000C40F0000}"/>
    <cellStyle name="Comma 5 2 4 4 4 2 2 2 2" xfId="49979" xr:uid="{00000000-0005-0000-0000-0000C50F0000}"/>
    <cellStyle name="Comma 5 2 4 4 4 2 2 3" xfId="39730" xr:uid="{00000000-0005-0000-0000-0000C60F0000}"/>
    <cellStyle name="Comma 5 2 4 4 4 2 3" xfId="10596" xr:uid="{00000000-0005-0000-0000-0000C70F0000}"/>
    <cellStyle name="Comma 5 2 4 4 4 2 3 2" xfId="36153" xr:uid="{00000000-0005-0000-0000-0000C80F0000}"/>
    <cellStyle name="Comma 5 2 4 4 4 2 4" xfId="19419" xr:uid="{00000000-0005-0000-0000-0000C90F0000}"/>
    <cellStyle name="Comma 5 2 4 4 4 2 4 2" xfId="44972" xr:uid="{00000000-0005-0000-0000-0000CA0F0000}"/>
    <cellStyle name="Comma 5 2 4 4 4 2 5" xfId="30909" xr:uid="{00000000-0005-0000-0000-0000CB0F0000}"/>
    <cellStyle name="Comma 5 2 4 4 4 3" xfId="6793" xr:uid="{00000000-0005-0000-0000-0000CC0F0000}"/>
    <cellStyle name="Comma 5 2 4 4 4 3 2" xfId="15620" xr:uid="{00000000-0005-0000-0000-0000CD0F0000}"/>
    <cellStyle name="Comma 5 2 4 4 4 3 2 2" xfId="41175" xr:uid="{00000000-0005-0000-0000-0000CE0F0000}"/>
    <cellStyle name="Comma 5 2 4 4 4 3 3" xfId="25871" xr:uid="{00000000-0005-0000-0000-0000CF0F0000}"/>
    <cellStyle name="Comma 5 2 4 4 4 3 3 2" xfId="51424" xr:uid="{00000000-0005-0000-0000-0000D00F0000}"/>
    <cellStyle name="Comma 5 2 4 4 4 3 4" xfId="32354" xr:uid="{00000000-0005-0000-0000-0000D10F0000}"/>
    <cellStyle name="Comma 5 2 4 4 4 4" xfId="8239" xr:uid="{00000000-0005-0000-0000-0000D20F0000}"/>
    <cellStyle name="Comma 5 2 4 4 4 4 2" xfId="22321" xr:uid="{00000000-0005-0000-0000-0000D30F0000}"/>
    <cellStyle name="Comma 5 2 4 4 4 4 2 2" xfId="47874" xr:uid="{00000000-0005-0000-0000-0000D40F0000}"/>
    <cellStyle name="Comma 5 2 4 4 4 4 3" xfId="33796" xr:uid="{00000000-0005-0000-0000-0000D50F0000}"/>
    <cellStyle name="Comma 5 2 4 4 4 5" xfId="17314" xr:uid="{00000000-0005-0000-0000-0000D60F0000}"/>
    <cellStyle name="Comma 5 2 4 4 4 5 2" xfId="42867" xr:uid="{00000000-0005-0000-0000-0000D70F0000}"/>
    <cellStyle name="Comma 5 2 4 4 4 6" xfId="28804" xr:uid="{00000000-0005-0000-0000-0000D80F0000}"/>
    <cellStyle name="Comma 5 2 4 4 5" xfId="4294" xr:uid="{00000000-0005-0000-0000-0000D90F0000}"/>
    <cellStyle name="Comma 5 2 4 4 5 2" xfId="13132" xr:uid="{00000000-0005-0000-0000-0000DA0F0000}"/>
    <cellStyle name="Comma 5 2 4 4 5 2 2" xfId="23383" xr:uid="{00000000-0005-0000-0000-0000DB0F0000}"/>
    <cellStyle name="Comma 5 2 4 4 5 2 2 2" xfId="48936" xr:uid="{00000000-0005-0000-0000-0000DC0F0000}"/>
    <cellStyle name="Comma 5 2 4 4 5 2 3" xfId="38687" xr:uid="{00000000-0005-0000-0000-0000DD0F0000}"/>
    <cellStyle name="Comma 5 2 4 4 5 3" xfId="9553" xr:uid="{00000000-0005-0000-0000-0000DE0F0000}"/>
    <cellStyle name="Comma 5 2 4 4 5 3 2" xfId="35110" xr:uid="{00000000-0005-0000-0000-0000DF0F0000}"/>
    <cellStyle name="Comma 5 2 4 4 5 4" xfId="18376" xr:uid="{00000000-0005-0000-0000-0000E00F0000}"/>
    <cellStyle name="Comma 5 2 4 4 5 4 2" xfId="43929" xr:uid="{00000000-0005-0000-0000-0000E10F0000}"/>
    <cellStyle name="Comma 5 2 4 4 5 5" xfId="29866" xr:uid="{00000000-0005-0000-0000-0000E20F0000}"/>
    <cellStyle name="Comma 5 2 4 4 6" xfId="1566" xr:uid="{00000000-0005-0000-0000-0000E30F0000}"/>
    <cellStyle name="Comma 5 2 4 4 6 2" xfId="10943" xr:uid="{00000000-0005-0000-0000-0000E40F0000}"/>
    <cellStyle name="Comma 5 2 4 4 6 2 2" xfId="36498" xr:uid="{00000000-0005-0000-0000-0000E50F0000}"/>
    <cellStyle name="Comma 5 2 4 4 6 3" xfId="20947" xr:uid="{00000000-0005-0000-0000-0000E60F0000}"/>
    <cellStyle name="Comma 5 2 4 4 6 3 2" xfId="46500" xr:uid="{00000000-0005-0000-0000-0000E70F0000}"/>
    <cellStyle name="Comma 5 2 4 4 6 4" xfId="27430" xr:uid="{00000000-0005-0000-0000-0000E80F0000}"/>
    <cellStyle name="Comma 5 2 4 4 7" xfId="5750" xr:uid="{00000000-0005-0000-0000-0000E90F0000}"/>
    <cellStyle name="Comma 5 2 4 4 7 2" xfId="14577" xr:uid="{00000000-0005-0000-0000-0000EA0F0000}"/>
    <cellStyle name="Comma 5 2 4 4 7 2 2" xfId="40132" xr:uid="{00000000-0005-0000-0000-0000EB0F0000}"/>
    <cellStyle name="Comma 5 2 4 4 7 3" xfId="24828" xr:uid="{00000000-0005-0000-0000-0000EC0F0000}"/>
    <cellStyle name="Comma 5 2 4 4 7 3 2" xfId="50381" xr:uid="{00000000-0005-0000-0000-0000ED0F0000}"/>
    <cellStyle name="Comma 5 2 4 4 7 4" xfId="31311" xr:uid="{00000000-0005-0000-0000-0000EE0F0000}"/>
    <cellStyle name="Comma 5 2 4 4 8" xfId="7194" xr:uid="{00000000-0005-0000-0000-0000EF0F0000}"/>
    <cellStyle name="Comma 5 2 4 4 8 2" xfId="19920" xr:uid="{00000000-0005-0000-0000-0000F00F0000}"/>
    <cellStyle name="Comma 5 2 4 4 8 2 2" xfId="45473" xr:uid="{00000000-0005-0000-0000-0000F10F0000}"/>
    <cellStyle name="Comma 5 2 4 4 8 3" xfId="32751" xr:uid="{00000000-0005-0000-0000-0000F20F0000}"/>
    <cellStyle name="Comma 5 2 4 4 9" xfId="15940" xr:uid="{00000000-0005-0000-0000-0000F30F0000}"/>
    <cellStyle name="Comma 5 2 4 4 9 2" xfId="41493" xr:uid="{00000000-0005-0000-0000-0000F40F0000}"/>
    <cellStyle name="Comma 5 2 4 5" xfId="315" xr:uid="{00000000-0005-0000-0000-0000F50F0000}"/>
    <cellStyle name="Comma 5 2 4 5 2" xfId="2801" xr:uid="{00000000-0005-0000-0000-0000F60F0000}"/>
    <cellStyle name="Comma 5 2 4 5 2 2" xfId="12105" xr:uid="{00000000-0005-0000-0000-0000F70F0000}"/>
    <cellStyle name="Comma 5 2 4 5 2 2 2" xfId="22162" xr:uid="{00000000-0005-0000-0000-0000F80F0000}"/>
    <cellStyle name="Comma 5 2 4 5 2 2 2 2" xfId="47715" xr:uid="{00000000-0005-0000-0000-0000F90F0000}"/>
    <cellStyle name="Comma 5 2 4 5 2 2 3" xfId="37660" xr:uid="{00000000-0005-0000-0000-0000FA0F0000}"/>
    <cellStyle name="Comma 5 2 4 5 2 3" xfId="8472" xr:uid="{00000000-0005-0000-0000-0000FB0F0000}"/>
    <cellStyle name="Comma 5 2 4 5 2 3 2" xfId="34029" xr:uid="{00000000-0005-0000-0000-0000FC0F0000}"/>
    <cellStyle name="Comma 5 2 4 5 2 4" xfId="17155" xr:uid="{00000000-0005-0000-0000-0000FD0F0000}"/>
    <cellStyle name="Comma 5 2 4 5 2 4 2" xfId="42708" xr:uid="{00000000-0005-0000-0000-0000FE0F0000}"/>
    <cellStyle name="Comma 5 2 4 5 2 5" xfId="28645" xr:uid="{00000000-0005-0000-0000-0000FF0F0000}"/>
    <cellStyle name="Comma 5 2 4 5 3" xfId="4455" xr:uid="{00000000-0005-0000-0000-000000100000}"/>
    <cellStyle name="Comma 5 2 4 5 3 2" xfId="13293" xr:uid="{00000000-0005-0000-0000-000001100000}"/>
    <cellStyle name="Comma 5 2 4 5 3 2 2" xfId="23544" xr:uid="{00000000-0005-0000-0000-000002100000}"/>
    <cellStyle name="Comma 5 2 4 5 3 2 2 2" xfId="49097" xr:uid="{00000000-0005-0000-0000-000003100000}"/>
    <cellStyle name="Comma 5 2 4 5 3 2 3" xfId="38848" xr:uid="{00000000-0005-0000-0000-000004100000}"/>
    <cellStyle name="Comma 5 2 4 5 3 3" xfId="9714" xr:uid="{00000000-0005-0000-0000-000005100000}"/>
    <cellStyle name="Comma 5 2 4 5 3 3 2" xfId="35271" xr:uid="{00000000-0005-0000-0000-000006100000}"/>
    <cellStyle name="Comma 5 2 4 5 3 4" xfId="18537" xr:uid="{00000000-0005-0000-0000-000007100000}"/>
    <cellStyle name="Comma 5 2 4 5 3 4 2" xfId="44090" xr:uid="{00000000-0005-0000-0000-000008100000}"/>
    <cellStyle name="Comma 5 2 4 5 3 5" xfId="30027" xr:uid="{00000000-0005-0000-0000-000009100000}"/>
    <cellStyle name="Comma 5 2 4 5 4" xfId="1910" xr:uid="{00000000-0005-0000-0000-00000A100000}"/>
    <cellStyle name="Comma 5 2 4 5 4 2" xfId="11275" xr:uid="{00000000-0005-0000-0000-00000B100000}"/>
    <cellStyle name="Comma 5 2 4 5 4 2 2" xfId="36830" xr:uid="{00000000-0005-0000-0000-00000C100000}"/>
    <cellStyle name="Comma 5 2 4 5 4 3" xfId="21279" xr:uid="{00000000-0005-0000-0000-00000D100000}"/>
    <cellStyle name="Comma 5 2 4 5 4 3 2" xfId="46832" xr:uid="{00000000-0005-0000-0000-00000E100000}"/>
    <cellStyle name="Comma 5 2 4 5 4 4" xfId="27762" xr:uid="{00000000-0005-0000-0000-00000F100000}"/>
    <cellStyle name="Comma 5 2 4 5 5" xfId="5911" xr:uid="{00000000-0005-0000-0000-000010100000}"/>
    <cellStyle name="Comma 5 2 4 5 5 2" xfId="14738" xr:uid="{00000000-0005-0000-0000-000011100000}"/>
    <cellStyle name="Comma 5 2 4 5 5 2 2" xfId="40293" xr:uid="{00000000-0005-0000-0000-000012100000}"/>
    <cellStyle name="Comma 5 2 4 5 5 3" xfId="24989" xr:uid="{00000000-0005-0000-0000-000013100000}"/>
    <cellStyle name="Comma 5 2 4 5 5 3 2" xfId="50542" xr:uid="{00000000-0005-0000-0000-000014100000}"/>
    <cellStyle name="Comma 5 2 4 5 5 4" xfId="31472" xr:uid="{00000000-0005-0000-0000-000015100000}"/>
    <cellStyle name="Comma 5 2 4 5 6" xfId="7355" xr:uid="{00000000-0005-0000-0000-000016100000}"/>
    <cellStyle name="Comma 5 2 4 5 6 2" xfId="19761" xr:uid="{00000000-0005-0000-0000-000017100000}"/>
    <cellStyle name="Comma 5 2 4 5 6 2 2" xfId="45314" xr:uid="{00000000-0005-0000-0000-000018100000}"/>
    <cellStyle name="Comma 5 2 4 5 6 3" xfId="32912" xr:uid="{00000000-0005-0000-0000-000019100000}"/>
    <cellStyle name="Comma 5 2 4 5 7" xfId="16272" xr:uid="{00000000-0005-0000-0000-00001A100000}"/>
    <cellStyle name="Comma 5 2 4 5 7 2" xfId="41825" xr:uid="{00000000-0005-0000-0000-00001B100000}"/>
    <cellStyle name="Comma 5 2 4 5 8" xfId="26244" xr:uid="{00000000-0005-0000-0000-00001C100000}"/>
    <cellStyle name="Comma 5 2 4 6" xfId="640" xr:uid="{00000000-0005-0000-0000-00001D100000}"/>
    <cellStyle name="Comma 5 2 4 6 2" xfId="3126" xr:uid="{00000000-0005-0000-0000-00001E100000}"/>
    <cellStyle name="Comma 5 2 4 6 2 2" xfId="12269" xr:uid="{00000000-0005-0000-0000-00001F100000}"/>
    <cellStyle name="Comma 5 2 4 6 2 2 2" xfId="22487" xr:uid="{00000000-0005-0000-0000-000020100000}"/>
    <cellStyle name="Comma 5 2 4 6 2 2 2 2" xfId="48040" xr:uid="{00000000-0005-0000-0000-000021100000}"/>
    <cellStyle name="Comma 5 2 4 6 2 2 3" xfId="37824" xr:uid="{00000000-0005-0000-0000-000022100000}"/>
    <cellStyle name="Comma 5 2 4 6 2 3" xfId="8691" xr:uid="{00000000-0005-0000-0000-000023100000}"/>
    <cellStyle name="Comma 5 2 4 6 2 3 2" xfId="34248" xr:uid="{00000000-0005-0000-0000-000024100000}"/>
    <cellStyle name="Comma 5 2 4 6 2 4" xfId="17480" xr:uid="{00000000-0005-0000-0000-000025100000}"/>
    <cellStyle name="Comma 5 2 4 6 2 4 2" xfId="43033" xr:uid="{00000000-0005-0000-0000-000026100000}"/>
    <cellStyle name="Comma 5 2 4 6 2 5" xfId="28970" xr:uid="{00000000-0005-0000-0000-000027100000}"/>
    <cellStyle name="Comma 5 2 4 6 3" xfId="4804" xr:uid="{00000000-0005-0000-0000-000028100000}"/>
    <cellStyle name="Comma 5 2 4 6 3 2" xfId="13641" xr:uid="{00000000-0005-0000-0000-000029100000}"/>
    <cellStyle name="Comma 5 2 4 6 3 2 2" xfId="23892" xr:uid="{00000000-0005-0000-0000-00002A100000}"/>
    <cellStyle name="Comma 5 2 4 6 3 2 2 2" xfId="49445" xr:uid="{00000000-0005-0000-0000-00002B100000}"/>
    <cellStyle name="Comma 5 2 4 6 3 2 3" xfId="39196" xr:uid="{00000000-0005-0000-0000-00002C100000}"/>
    <cellStyle name="Comma 5 2 4 6 3 3" xfId="10062" xr:uid="{00000000-0005-0000-0000-00002D100000}"/>
    <cellStyle name="Comma 5 2 4 6 3 3 2" xfId="35619" xr:uid="{00000000-0005-0000-0000-00002E100000}"/>
    <cellStyle name="Comma 5 2 4 6 3 4" xfId="18885" xr:uid="{00000000-0005-0000-0000-00002F100000}"/>
    <cellStyle name="Comma 5 2 4 6 3 4 2" xfId="44438" xr:uid="{00000000-0005-0000-0000-000030100000}"/>
    <cellStyle name="Comma 5 2 4 6 3 5" xfId="30375" xr:uid="{00000000-0005-0000-0000-000031100000}"/>
    <cellStyle name="Comma 5 2 4 6 4" xfId="2235" xr:uid="{00000000-0005-0000-0000-000032100000}"/>
    <cellStyle name="Comma 5 2 4 6 4 2" xfId="11600" xr:uid="{00000000-0005-0000-0000-000033100000}"/>
    <cellStyle name="Comma 5 2 4 6 4 2 2" xfId="37155" xr:uid="{00000000-0005-0000-0000-000034100000}"/>
    <cellStyle name="Comma 5 2 4 6 4 3" xfId="21604" xr:uid="{00000000-0005-0000-0000-000035100000}"/>
    <cellStyle name="Comma 5 2 4 6 4 3 2" xfId="47157" xr:uid="{00000000-0005-0000-0000-000036100000}"/>
    <cellStyle name="Comma 5 2 4 6 4 4" xfId="28087" xr:uid="{00000000-0005-0000-0000-000037100000}"/>
    <cellStyle name="Comma 5 2 4 6 5" xfId="6259" xr:uid="{00000000-0005-0000-0000-000038100000}"/>
    <cellStyle name="Comma 5 2 4 6 5 2" xfId="15086" xr:uid="{00000000-0005-0000-0000-000039100000}"/>
    <cellStyle name="Comma 5 2 4 6 5 2 2" xfId="40641" xr:uid="{00000000-0005-0000-0000-00003A100000}"/>
    <cellStyle name="Comma 5 2 4 6 5 3" xfId="25337" xr:uid="{00000000-0005-0000-0000-00003B100000}"/>
    <cellStyle name="Comma 5 2 4 6 5 3 2" xfId="50890" xr:uid="{00000000-0005-0000-0000-00003C100000}"/>
    <cellStyle name="Comma 5 2 4 6 5 4" xfId="31820" xr:uid="{00000000-0005-0000-0000-00003D100000}"/>
    <cellStyle name="Comma 5 2 4 6 6" xfId="7705" xr:uid="{00000000-0005-0000-0000-00003E100000}"/>
    <cellStyle name="Comma 5 2 4 6 6 2" xfId="20086" xr:uid="{00000000-0005-0000-0000-00003F100000}"/>
    <cellStyle name="Comma 5 2 4 6 6 2 2" xfId="45639" xr:uid="{00000000-0005-0000-0000-000040100000}"/>
    <cellStyle name="Comma 5 2 4 6 6 3" xfId="33262" xr:uid="{00000000-0005-0000-0000-000041100000}"/>
    <cellStyle name="Comma 5 2 4 6 7" xfId="16597" xr:uid="{00000000-0005-0000-0000-000042100000}"/>
    <cellStyle name="Comma 5 2 4 6 7 2" xfId="42150" xr:uid="{00000000-0005-0000-0000-000043100000}"/>
    <cellStyle name="Comma 5 2 4 6 8" xfId="26569" xr:uid="{00000000-0005-0000-0000-000044100000}"/>
    <cellStyle name="Comma 5 2 4 7" xfId="1087" xr:uid="{00000000-0005-0000-0000-000045100000}"/>
    <cellStyle name="Comma 5 2 4 7 2" xfId="3516" xr:uid="{00000000-0005-0000-0000-000046100000}"/>
    <cellStyle name="Comma 5 2 4 7 2 2" xfId="12652" xr:uid="{00000000-0005-0000-0000-000047100000}"/>
    <cellStyle name="Comma 5 2 4 7 2 2 2" xfId="22871" xr:uid="{00000000-0005-0000-0000-000048100000}"/>
    <cellStyle name="Comma 5 2 4 7 2 2 2 2" xfId="48424" xr:uid="{00000000-0005-0000-0000-000049100000}"/>
    <cellStyle name="Comma 5 2 4 7 2 2 3" xfId="38207" xr:uid="{00000000-0005-0000-0000-00004A100000}"/>
    <cellStyle name="Comma 5 2 4 7 2 3" xfId="9074" xr:uid="{00000000-0005-0000-0000-00004B100000}"/>
    <cellStyle name="Comma 5 2 4 7 2 3 2" xfId="34631" xr:uid="{00000000-0005-0000-0000-00004C100000}"/>
    <cellStyle name="Comma 5 2 4 7 2 4" xfId="17864" xr:uid="{00000000-0005-0000-0000-00004D100000}"/>
    <cellStyle name="Comma 5 2 4 7 2 4 2" xfId="43417" xr:uid="{00000000-0005-0000-0000-00004E100000}"/>
    <cellStyle name="Comma 5 2 4 7 2 5" xfId="29354" xr:uid="{00000000-0005-0000-0000-00004F100000}"/>
    <cellStyle name="Comma 5 2 4 7 3" xfId="5179" xr:uid="{00000000-0005-0000-0000-000050100000}"/>
    <cellStyle name="Comma 5 2 4 7 3 2" xfId="14016" xr:uid="{00000000-0005-0000-0000-000051100000}"/>
    <cellStyle name="Comma 5 2 4 7 3 2 2" xfId="24267" xr:uid="{00000000-0005-0000-0000-000052100000}"/>
    <cellStyle name="Comma 5 2 4 7 3 2 2 2" xfId="49820" xr:uid="{00000000-0005-0000-0000-000053100000}"/>
    <cellStyle name="Comma 5 2 4 7 3 2 3" xfId="39571" xr:uid="{00000000-0005-0000-0000-000054100000}"/>
    <cellStyle name="Comma 5 2 4 7 3 3" xfId="10437" xr:uid="{00000000-0005-0000-0000-000055100000}"/>
    <cellStyle name="Comma 5 2 4 7 3 3 2" xfId="35994" xr:uid="{00000000-0005-0000-0000-000056100000}"/>
    <cellStyle name="Comma 5 2 4 7 3 4" xfId="19260" xr:uid="{00000000-0005-0000-0000-000057100000}"/>
    <cellStyle name="Comma 5 2 4 7 3 4 2" xfId="44813" xr:uid="{00000000-0005-0000-0000-000058100000}"/>
    <cellStyle name="Comma 5 2 4 7 3 5" xfId="30750" xr:uid="{00000000-0005-0000-0000-000059100000}"/>
    <cellStyle name="Comma 5 2 4 7 4" xfId="1745" xr:uid="{00000000-0005-0000-0000-00005A100000}"/>
    <cellStyle name="Comma 5 2 4 7 4 2" xfId="11116" xr:uid="{00000000-0005-0000-0000-00005B100000}"/>
    <cellStyle name="Comma 5 2 4 7 4 2 2" xfId="36671" xr:uid="{00000000-0005-0000-0000-00005C100000}"/>
    <cellStyle name="Comma 5 2 4 7 4 3" xfId="21120" xr:uid="{00000000-0005-0000-0000-00005D100000}"/>
    <cellStyle name="Comma 5 2 4 7 4 3 2" xfId="46673" xr:uid="{00000000-0005-0000-0000-00005E100000}"/>
    <cellStyle name="Comma 5 2 4 7 4 4" xfId="27603" xr:uid="{00000000-0005-0000-0000-00005F100000}"/>
    <cellStyle name="Comma 5 2 4 7 5" xfId="6634" xr:uid="{00000000-0005-0000-0000-000060100000}"/>
    <cellStyle name="Comma 5 2 4 7 5 2" xfId="15461" xr:uid="{00000000-0005-0000-0000-000061100000}"/>
    <cellStyle name="Comma 5 2 4 7 5 2 2" xfId="41016" xr:uid="{00000000-0005-0000-0000-000062100000}"/>
    <cellStyle name="Comma 5 2 4 7 5 3" xfId="25712" xr:uid="{00000000-0005-0000-0000-000063100000}"/>
    <cellStyle name="Comma 5 2 4 7 5 3 2" xfId="51265" xr:uid="{00000000-0005-0000-0000-000064100000}"/>
    <cellStyle name="Comma 5 2 4 7 5 4" xfId="32195" xr:uid="{00000000-0005-0000-0000-000065100000}"/>
    <cellStyle name="Comma 5 2 4 7 6" xfId="8080" xr:uid="{00000000-0005-0000-0000-000066100000}"/>
    <cellStyle name="Comma 5 2 4 7 6 2" xfId="20470" xr:uid="{00000000-0005-0000-0000-000067100000}"/>
    <cellStyle name="Comma 5 2 4 7 6 2 2" xfId="46023" xr:uid="{00000000-0005-0000-0000-000068100000}"/>
    <cellStyle name="Comma 5 2 4 7 6 3" xfId="33637" xr:uid="{00000000-0005-0000-0000-000069100000}"/>
    <cellStyle name="Comma 5 2 4 7 7" xfId="16113" xr:uid="{00000000-0005-0000-0000-00006A100000}"/>
    <cellStyle name="Comma 5 2 4 7 7 2" xfId="41666" xr:uid="{00000000-0005-0000-0000-00006B100000}"/>
    <cellStyle name="Comma 5 2 4 7 8" xfId="26953" xr:uid="{00000000-0005-0000-0000-00006C100000}"/>
    <cellStyle name="Comma 5 2 4 8" xfId="2643" xr:uid="{00000000-0005-0000-0000-00006D100000}"/>
    <cellStyle name="Comma 5 2 4 8 2" xfId="5591" xr:uid="{00000000-0005-0000-0000-00006E100000}"/>
    <cellStyle name="Comma 5 2 4 8 2 2" xfId="14418" xr:uid="{00000000-0005-0000-0000-00006F100000}"/>
    <cellStyle name="Comma 5 2 4 8 2 2 2" xfId="39973" xr:uid="{00000000-0005-0000-0000-000070100000}"/>
    <cellStyle name="Comma 5 2 4 8 2 3" xfId="24669" xr:uid="{00000000-0005-0000-0000-000071100000}"/>
    <cellStyle name="Comma 5 2 4 8 2 3 2" xfId="50222" xr:uid="{00000000-0005-0000-0000-000072100000}"/>
    <cellStyle name="Comma 5 2 4 8 2 4" xfId="31152" xr:uid="{00000000-0005-0000-0000-000073100000}"/>
    <cellStyle name="Comma 5 2 4 8 3" xfId="7035" xr:uid="{00000000-0005-0000-0000-000074100000}"/>
    <cellStyle name="Comma 5 2 4 8 3 2" xfId="22004" xr:uid="{00000000-0005-0000-0000-000075100000}"/>
    <cellStyle name="Comma 5 2 4 8 3 2 2" xfId="47557" xr:uid="{00000000-0005-0000-0000-000076100000}"/>
    <cellStyle name="Comma 5 2 4 8 3 3" xfId="32592" xr:uid="{00000000-0005-0000-0000-000077100000}"/>
    <cellStyle name="Comma 5 2 4 8 4" xfId="16997" xr:uid="{00000000-0005-0000-0000-000078100000}"/>
    <cellStyle name="Comma 5 2 4 8 4 2" xfId="42550" xr:uid="{00000000-0005-0000-0000-000079100000}"/>
    <cellStyle name="Comma 5 2 4 8 5" xfId="28487" xr:uid="{00000000-0005-0000-0000-00007A100000}"/>
    <cellStyle name="Comma 5 2 4 9" xfId="4133" xr:uid="{00000000-0005-0000-0000-00007B100000}"/>
    <cellStyle name="Comma 5 2 4 9 2" xfId="12971" xr:uid="{00000000-0005-0000-0000-00007C100000}"/>
    <cellStyle name="Comma 5 2 4 9 2 2" xfId="23222" xr:uid="{00000000-0005-0000-0000-00007D100000}"/>
    <cellStyle name="Comma 5 2 4 9 2 2 2" xfId="48775" xr:uid="{00000000-0005-0000-0000-00007E100000}"/>
    <cellStyle name="Comma 5 2 4 9 2 3" xfId="38526" xr:uid="{00000000-0005-0000-0000-00007F100000}"/>
    <cellStyle name="Comma 5 2 4 9 3" xfId="9392" xr:uid="{00000000-0005-0000-0000-000080100000}"/>
    <cellStyle name="Comma 5 2 4 9 3 2" xfId="34949" xr:uid="{00000000-0005-0000-0000-000081100000}"/>
    <cellStyle name="Comma 5 2 4 9 4" xfId="18215" xr:uid="{00000000-0005-0000-0000-000082100000}"/>
    <cellStyle name="Comma 5 2 4 9 4 2" xfId="43768" xr:uid="{00000000-0005-0000-0000-000083100000}"/>
    <cellStyle name="Comma 5 2 4 9 5" xfId="29705" xr:uid="{00000000-0005-0000-0000-000084100000}"/>
    <cellStyle name="Comma 5 2 5" xfId="172" xr:uid="{00000000-0005-0000-0000-000085100000}"/>
    <cellStyle name="Comma 5 2 5 10" xfId="7120" xr:uid="{00000000-0005-0000-0000-000086100000}"/>
    <cellStyle name="Comma 5 2 5 10 2" xfId="19629" xr:uid="{00000000-0005-0000-0000-000087100000}"/>
    <cellStyle name="Comma 5 2 5 10 2 2" xfId="45182" xr:uid="{00000000-0005-0000-0000-000088100000}"/>
    <cellStyle name="Comma 5 2 5 10 3" xfId="32677" xr:uid="{00000000-0005-0000-0000-000089100000}"/>
    <cellStyle name="Comma 5 2 5 11" xfId="15866" xr:uid="{00000000-0005-0000-0000-00008A100000}"/>
    <cellStyle name="Comma 5 2 5 11 2" xfId="41419" xr:uid="{00000000-0005-0000-0000-00008B100000}"/>
    <cellStyle name="Comma 5 2 5 12" xfId="26112" xr:uid="{00000000-0005-0000-0000-00008C100000}"/>
    <cellStyle name="Comma 5 2 5 2" xfId="500" xr:uid="{00000000-0005-0000-0000-00008D100000}"/>
    <cellStyle name="Comma 5 2 5 2 10" xfId="26429" xr:uid="{00000000-0005-0000-0000-00008E100000}"/>
    <cellStyle name="Comma 5 2 5 2 2" xfId="647" xr:uid="{00000000-0005-0000-0000-00008F100000}"/>
    <cellStyle name="Comma 5 2 5 2 2 2" xfId="3133" xr:uid="{00000000-0005-0000-0000-000090100000}"/>
    <cellStyle name="Comma 5 2 5 2 2 2 2" xfId="12276" xr:uid="{00000000-0005-0000-0000-000091100000}"/>
    <cellStyle name="Comma 5 2 5 2 2 2 2 2" xfId="22494" xr:uid="{00000000-0005-0000-0000-000092100000}"/>
    <cellStyle name="Comma 5 2 5 2 2 2 2 2 2" xfId="48047" xr:uid="{00000000-0005-0000-0000-000093100000}"/>
    <cellStyle name="Comma 5 2 5 2 2 2 2 3" xfId="37831" xr:uid="{00000000-0005-0000-0000-000094100000}"/>
    <cellStyle name="Comma 5 2 5 2 2 2 3" xfId="8698" xr:uid="{00000000-0005-0000-0000-000095100000}"/>
    <cellStyle name="Comma 5 2 5 2 2 2 3 2" xfId="34255" xr:uid="{00000000-0005-0000-0000-000096100000}"/>
    <cellStyle name="Comma 5 2 5 2 2 2 4" xfId="17487" xr:uid="{00000000-0005-0000-0000-000097100000}"/>
    <cellStyle name="Comma 5 2 5 2 2 2 4 2" xfId="43040" xr:uid="{00000000-0005-0000-0000-000098100000}"/>
    <cellStyle name="Comma 5 2 5 2 2 2 5" xfId="28977" xr:uid="{00000000-0005-0000-0000-000099100000}"/>
    <cellStyle name="Comma 5 2 5 2 2 3" xfId="4462" xr:uid="{00000000-0005-0000-0000-00009A100000}"/>
    <cellStyle name="Comma 5 2 5 2 2 3 2" xfId="13300" xr:uid="{00000000-0005-0000-0000-00009B100000}"/>
    <cellStyle name="Comma 5 2 5 2 2 3 2 2" xfId="23551" xr:uid="{00000000-0005-0000-0000-00009C100000}"/>
    <cellStyle name="Comma 5 2 5 2 2 3 2 2 2" xfId="49104" xr:uid="{00000000-0005-0000-0000-00009D100000}"/>
    <cellStyle name="Comma 5 2 5 2 2 3 2 3" xfId="38855" xr:uid="{00000000-0005-0000-0000-00009E100000}"/>
    <cellStyle name="Comma 5 2 5 2 2 3 3" xfId="9721" xr:uid="{00000000-0005-0000-0000-00009F100000}"/>
    <cellStyle name="Comma 5 2 5 2 2 3 3 2" xfId="35278" xr:uid="{00000000-0005-0000-0000-0000A0100000}"/>
    <cellStyle name="Comma 5 2 5 2 2 3 4" xfId="18544" xr:uid="{00000000-0005-0000-0000-0000A1100000}"/>
    <cellStyle name="Comma 5 2 5 2 2 3 4 2" xfId="44097" xr:uid="{00000000-0005-0000-0000-0000A2100000}"/>
    <cellStyle name="Comma 5 2 5 2 2 3 5" xfId="30034" xr:uid="{00000000-0005-0000-0000-0000A3100000}"/>
    <cellStyle name="Comma 5 2 5 2 2 4" xfId="2242" xr:uid="{00000000-0005-0000-0000-0000A4100000}"/>
    <cellStyle name="Comma 5 2 5 2 2 4 2" xfId="11607" xr:uid="{00000000-0005-0000-0000-0000A5100000}"/>
    <cellStyle name="Comma 5 2 5 2 2 4 2 2" xfId="37162" xr:uid="{00000000-0005-0000-0000-0000A6100000}"/>
    <cellStyle name="Comma 5 2 5 2 2 4 3" xfId="21611" xr:uid="{00000000-0005-0000-0000-0000A7100000}"/>
    <cellStyle name="Comma 5 2 5 2 2 4 3 2" xfId="47164" xr:uid="{00000000-0005-0000-0000-0000A8100000}"/>
    <cellStyle name="Comma 5 2 5 2 2 4 4" xfId="28094" xr:uid="{00000000-0005-0000-0000-0000A9100000}"/>
    <cellStyle name="Comma 5 2 5 2 2 5" xfId="5918" xr:uid="{00000000-0005-0000-0000-0000AA100000}"/>
    <cellStyle name="Comma 5 2 5 2 2 5 2" xfId="14745" xr:uid="{00000000-0005-0000-0000-0000AB100000}"/>
    <cellStyle name="Comma 5 2 5 2 2 5 2 2" xfId="40300" xr:uid="{00000000-0005-0000-0000-0000AC100000}"/>
    <cellStyle name="Comma 5 2 5 2 2 5 3" xfId="24996" xr:uid="{00000000-0005-0000-0000-0000AD100000}"/>
    <cellStyle name="Comma 5 2 5 2 2 5 3 2" xfId="50549" xr:uid="{00000000-0005-0000-0000-0000AE100000}"/>
    <cellStyle name="Comma 5 2 5 2 2 5 4" xfId="31479" xr:uid="{00000000-0005-0000-0000-0000AF100000}"/>
    <cellStyle name="Comma 5 2 5 2 2 6" xfId="7362" xr:uid="{00000000-0005-0000-0000-0000B0100000}"/>
    <cellStyle name="Comma 5 2 5 2 2 6 2" xfId="20093" xr:uid="{00000000-0005-0000-0000-0000B1100000}"/>
    <cellStyle name="Comma 5 2 5 2 2 6 2 2" xfId="45646" xr:uid="{00000000-0005-0000-0000-0000B2100000}"/>
    <cellStyle name="Comma 5 2 5 2 2 6 3" xfId="32919" xr:uid="{00000000-0005-0000-0000-0000B3100000}"/>
    <cellStyle name="Comma 5 2 5 2 2 7" xfId="16604" xr:uid="{00000000-0005-0000-0000-0000B4100000}"/>
    <cellStyle name="Comma 5 2 5 2 2 7 2" xfId="42157" xr:uid="{00000000-0005-0000-0000-0000B5100000}"/>
    <cellStyle name="Comma 5 2 5 2 2 8" xfId="26576" xr:uid="{00000000-0005-0000-0000-0000B6100000}"/>
    <cellStyle name="Comma 5 2 5 2 3" xfId="1272" xr:uid="{00000000-0005-0000-0000-0000B7100000}"/>
    <cellStyle name="Comma 5 2 5 2 3 2" xfId="3701" xr:uid="{00000000-0005-0000-0000-0000B8100000}"/>
    <cellStyle name="Comma 5 2 5 2 3 2 2" xfId="12837" xr:uid="{00000000-0005-0000-0000-0000B9100000}"/>
    <cellStyle name="Comma 5 2 5 2 3 2 2 2" xfId="23056" xr:uid="{00000000-0005-0000-0000-0000BA100000}"/>
    <cellStyle name="Comma 5 2 5 2 3 2 2 2 2" xfId="48609" xr:uid="{00000000-0005-0000-0000-0000BB100000}"/>
    <cellStyle name="Comma 5 2 5 2 3 2 2 3" xfId="38392" xr:uid="{00000000-0005-0000-0000-0000BC100000}"/>
    <cellStyle name="Comma 5 2 5 2 3 2 3" xfId="9258" xr:uid="{00000000-0005-0000-0000-0000BD100000}"/>
    <cellStyle name="Comma 5 2 5 2 3 2 3 2" xfId="34815" xr:uid="{00000000-0005-0000-0000-0000BE100000}"/>
    <cellStyle name="Comma 5 2 5 2 3 2 4" xfId="18049" xr:uid="{00000000-0005-0000-0000-0000BF100000}"/>
    <cellStyle name="Comma 5 2 5 2 3 2 4 2" xfId="43602" xr:uid="{00000000-0005-0000-0000-0000C0100000}"/>
    <cellStyle name="Comma 5 2 5 2 3 2 5" xfId="29539" xr:uid="{00000000-0005-0000-0000-0000C1100000}"/>
    <cellStyle name="Comma 5 2 5 2 3 3" xfId="4811" xr:uid="{00000000-0005-0000-0000-0000C2100000}"/>
    <cellStyle name="Comma 5 2 5 2 3 3 2" xfId="13648" xr:uid="{00000000-0005-0000-0000-0000C3100000}"/>
    <cellStyle name="Comma 5 2 5 2 3 3 2 2" xfId="23899" xr:uid="{00000000-0005-0000-0000-0000C4100000}"/>
    <cellStyle name="Comma 5 2 5 2 3 3 2 2 2" xfId="49452" xr:uid="{00000000-0005-0000-0000-0000C5100000}"/>
    <cellStyle name="Comma 5 2 5 2 3 3 2 3" xfId="39203" xr:uid="{00000000-0005-0000-0000-0000C6100000}"/>
    <cellStyle name="Comma 5 2 5 2 3 3 3" xfId="10069" xr:uid="{00000000-0005-0000-0000-0000C7100000}"/>
    <cellStyle name="Comma 5 2 5 2 3 3 3 2" xfId="35626" xr:uid="{00000000-0005-0000-0000-0000C8100000}"/>
    <cellStyle name="Comma 5 2 5 2 3 3 4" xfId="18892" xr:uid="{00000000-0005-0000-0000-0000C9100000}"/>
    <cellStyle name="Comma 5 2 5 2 3 3 4 2" xfId="44445" xr:uid="{00000000-0005-0000-0000-0000CA100000}"/>
    <cellStyle name="Comma 5 2 5 2 3 3 5" xfId="30382" xr:uid="{00000000-0005-0000-0000-0000CB100000}"/>
    <cellStyle name="Comma 5 2 5 2 3 4" xfId="2095" xr:uid="{00000000-0005-0000-0000-0000CC100000}"/>
    <cellStyle name="Comma 5 2 5 2 3 4 2" xfId="11460" xr:uid="{00000000-0005-0000-0000-0000CD100000}"/>
    <cellStyle name="Comma 5 2 5 2 3 4 2 2" xfId="37015" xr:uid="{00000000-0005-0000-0000-0000CE100000}"/>
    <cellStyle name="Comma 5 2 5 2 3 4 3" xfId="21464" xr:uid="{00000000-0005-0000-0000-0000CF100000}"/>
    <cellStyle name="Comma 5 2 5 2 3 4 3 2" xfId="47017" xr:uid="{00000000-0005-0000-0000-0000D0100000}"/>
    <cellStyle name="Comma 5 2 5 2 3 4 4" xfId="27947" xr:uid="{00000000-0005-0000-0000-0000D1100000}"/>
    <cellStyle name="Comma 5 2 5 2 3 5" xfId="6266" xr:uid="{00000000-0005-0000-0000-0000D2100000}"/>
    <cellStyle name="Comma 5 2 5 2 3 5 2" xfId="15093" xr:uid="{00000000-0005-0000-0000-0000D3100000}"/>
    <cellStyle name="Comma 5 2 5 2 3 5 2 2" xfId="40648" xr:uid="{00000000-0005-0000-0000-0000D4100000}"/>
    <cellStyle name="Comma 5 2 5 2 3 5 3" xfId="25344" xr:uid="{00000000-0005-0000-0000-0000D5100000}"/>
    <cellStyle name="Comma 5 2 5 2 3 5 3 2" xfId="50897" xr:uid="{00000000-0005-0000-0000-0000D6100000}"/>
    <cellStyle name="Comma 5 2 5 2 3 5 4" xfId="31827" xr:uid="{00000000-0005-0000-0000-0000D7100000}"/>
    <cellStyle name="Comma 5 2 5 2 3 6" xfId="7712" xr:uid="{00000000-0005-0000-0000-0000D8100000}"/>
    <cellStyle name="Comma 5 2 5 2 3 6 2" xfId="20655" xr:uid="{00000000-0005-0000-0000-0000D9100000}"/>
    <cellStyle name="Comma 5 2 5 2 3 6 2 2" xfId="46208" xr:uid="{00000000-0005-0000-0000-0000DA100000}"/>
    <cellStyle name="Comma 5 2 5 2 3 6 3" xfId="33269" xr:uid="{00000000-0005-0000-0000-0000DB100000}"/>
    <cellStyle name="Comma 5 2 5 2 3 7" xfId="16457" xr:uid="{00000000-0005-0000-0000-0000DC100000}"/>
    <cellStyle name="Comma 5 2 5 2 3 7 2" xfId="42010" xr:uid="{00000000-0005-0000-0000-0000DD100000}"/>
    <cellStyle name="Comma 5 2 5 2 3 8" xfId="27138" xr:uid="{00000000-0005-0000-0000-0000DE100000}"/>
    <cellStyle name="Comma 5 2 5 2 4" xfId="2986" xr:uid="{00000000-0005-0000-0000-0000DF100000}"/>
    <cellStyle name="Comma 5 2 5 2 4 2" xfId="5364" xr:uid="{00000000-0005-0000-0000-0000E0100000}"/>
    <cellStyle name="Comma 5 2 5 2 4 2 2" xfId="14201" xr:uid="{00000000-0005-0000-0000-0000E1100000}"/>
    <cellStyle name="Comma 5 2 5 2 4 2 2 2" xfId="24452" xr:uid="{00000000-0005-0000-0000-0000E2100000}"/>
    <cellStyle name="Comma 5 2 5 2 4 2 2 2 2" xfId="50005" xr:uid="{00000000-0005-0000-0000-0000E3100000}"/>
    <cellStyle name="Comma 5 2 5 2 4 2 2 3" xfId="39756" xr:uid="{00000000-0005-0000-0000-0000E4100000}"/>
    <cellStyle name="Comma 5 2 5 2 4 2 3" xfId="10622" xr:uid="{00000000-0005-0000-0000-0000E5100000}"/>
    <cellStyle name="Comma 5 2 5 2 4 2 3 2" xfId="36179" xr:uid="{00000000-0005-0000-0000-0000E6100000}"/>
    <cellStyle name="Comma 5 2 5 2 4 2 4" xfId="19445" xr:uid="{00000000-0005-0000-0000-0000E7100000}"/>
    <cellStyle name="Comma 5 2 5 2 4 2 4 2" xfId="44998" xr:uid="{00000000-0005-0000-0000-0000E8100000}"/>
    <cellStyle name="Comma 5 2 5 2 4 2 5" xfId="30935" xr:uid="{00000000-0005-0000-0000-0000E9100000}"/>
    <cellStyle name="Comma 5 2 5 2 4 3" xfId="6819" xr:uid="{00000000-0005-0000-0000-0000EA100000}"/>
    <cellStyle name="Comma 5 2 5 2 4 3 2" xfId="15646" xr:uid="{00000000-0005-0000-0000-0000EB100000}"/>
    <cellStyle name="Comma 5 2 5 2 4 3 2 2" xfId="41201" xr:uid="{00000000-0005-0000-0000-0000EC100000}"/>
    <cellStyle name="Comma 5 2 5 2 4 3 3" xfId="25897" xr:uid="{00000000-0005-0000-0000-0000ED100000}"/>
    <cellStyle name="Comma 5 2 5 2 4 3 3 2" xfId="51450" xr:uid="{00000000-0005-0000-0000-0000EE100000}"/>
    <cellStyle name="Comma 5 2 5 2 4 3 4" xfId="32380" xr:uid="{00000000-0005-0000-0000-0000EF100000}"/>
    <cellStyle name="Comma 5 2 5 2 4 4" xfId="8265" xr:uid="{00000000-0005-0000-0000-0000F0100000}"/>
    <cellStyle name="Comma 5 2 5 2 4 4 2" xfId="22347" xr:uid="{00000000-0005-0000-0000-0000F1100000}"/>
    <cellStyle name="Comma 5 2 5 2 4 4 2 2" xfId="47900" xr:uid="{00000000-0005-0000-0000-0000F2100000}"/>
    <cellStyle name="Comma 5 2 5 2 4 4 3" xfId="33822" xr:uid="{00000000-0005-0000-0000-0000F3100000}"/>
    <cellStyle name="Comma 5 2 5 2 4 5" xfId="17340" xr:uid="{00000000-0005-0000-0000-0000F4100000}"/>
    <cellStyle name="Comma 5 2 5 2 4 5 2" xfId="42893" xr:uid="{00000000-0005-0000-0000-0000F5100000}"/>
    <cellStyle name="Comma 5 2 5 2 4 6" xfId="28830" xr:uid="{00000000-0005-0000-0000-0000F6100000}"/>
    <cellStyle name="Comma 5 2 5 2 5" xfId="4320" xr:uid="{00000000-0005-0000-0000-0000F7100000}"/>
    <cellStyle name="Comma 5 2 5 2 5 2" xfId="13158" xr:uid="{00000000-0005-0000-0000-0000F8100000}"/>
    <cellStyle name="Comma 5 2 5 2 5 2 2" xfId="23409" xr:uid="{00000000-0005-0000-0000-0000F9100000}"/>
    <cellStyle name="Comma 5 2 5 2 5 2 2 2" xfId="48962" xr:uid="{00000000-0005-0000-0000-0000FA100000}"/>
    <cellStyle name="Comma 5 2 5 2 5 2 3" xfId="38713" xr:uid="{00000000-0005-0000-0000-0000FB100000}"/>
    <cellStyle name="Comma 5 2 5 2 5 3" xfId="9579" xr:uid="{00000000-0005-0000-0000-0000FC100000}"/>
    <cellStyle name="Comma 5 2 5 2 5 3 2" xfId="35136" xr:uid="{00000000-0005-0000-0000-0000FD100000}"/>
    <cellStyle name="Comma 5 2 5 2 5 4" xfId="18402" xr:uid="{00000000-0005-0000-0000-0000FE100000}"/>
    <cellStyle name="Comma 5 2 5 2 5 4 2" xfId="43955" xr:uid="{00000000-0005-0000-0000-0000FF100000}"/>
    <cellStyle name="Comma 5 2 5 2 5 5" xfId="29892" xr:uid="{00000000-0005-0000-0000-000000110000}"/>
    <cellStyle name="Comma 5 2 5 2 6" xfId="1592" xr:uid="{00000000-0005-0000-0000-000001110000}"/>
    <cellStyle name="Comma 5 2 5 2 6 2" xfId="10969" xr:uid="{00000000-0005-0000-0000-000002110000}"/>
    <cellStyle name="Comma 5 2 5 2 6 2 2" xfId="36524" xr:uid="{00000000-0005-0000-0000-000003110000}"/>
    <cellStyle name="Comma 5 2 5 2 6 3" xfId="20973" xr:uid="{00000000-0005-0000-0000-000004110000}"/>
    <cellStyle name="Comma 5 2 5 2 6 3 2" xfId="46526" xr:uid="{00000000-0005-0000-0000-000005110000}"/>
    <cellStyle name="Comma 5 2 5 2 6 4" xfId="27456" xr:uid="{00000000-0005-0000-0000-000006110000}"/>
    <cellStyle name="Comma 5 2 5 2 7" xfId="5776" xr:uid="{00000000-0005-0000-0000-000007110000}"/>
    <cellStyle name="Comma 5 2 5 2 7 2" xfId="14603" xr:uid="{00000000-0005-0000-0000-000008110000}"/>
    <cellStyle name="Comma 5 2 5 2 7 2 2" xfId="40158" xr:uid="{00000000-0005-0000-0000-000009110000}"/>
    <cellStyle name="Comma 5 2 5 2 7 3" xfId="24854" xr:uid="{00000000-0005-0000-0000-00000A110000}"/>
    <cellStyle name="Comma 5 2 5 2 7 3 2" xfId="50407" xr:uid="{00000000-0005-0000-0000-00000B110000}"/>
    <cellStyle name="Comma 5 2 5 2 7 4" xfId="31337" xr:uid="{00000000-0005-0000-0000-00000C110000}"/>
    <cellStyle name="Comma 5 2 5 2 8" xfId="7220" xr:uid="{00000000-0005-0000-0000-00000D110000}"/>
    <cellStyle name="Comma 5 2 5 2 8 2" xfId="19946" xr:uid="{00000000-0005-0000-0000-00000E110000}"/>
    <cellStyle name="Comma 5 2 5 2 8 2 2" xfId="45499" xr:uid="{00000000-0005-0000-0000-00000F110000}"/>
    <cellStyle name="Comma 5 2 5 2 8 3" xfId="32777" xr:uid="{00000000-0005-0000-0000-000010110000}"/>
    <cellStyle name="Comma 5 2 5 2 9" xfId="15966" xr:uid="{00000000-0005-0000-0000-000011110000}"/>
    <cellStyle name="Comma 5 2 5 2 9 2" xfId="41519" xr:uid="{00000000-0005-0000-0000-000012110000}"/>
    <cellStyle name="Comma 5 2 5 3" xfId="400" xr:uid="{00000000-0005-0000-0000-000013110000}"/>
    <cellStyle name="Comma 5 2 5 3 2" xfId="2886" xr:uid="{00000000-0005-0000-0000-000014110000}"/>
    <cellStyle name="Comma 5 2 5 3 2 2" xfId="12174" xr:uid="{00000000-0005-0000-0000-000015110000}"/>
    <cellStyle name="Comma 5 2 5 3 2 2 2" xfId="22247" xr:uid="{00000000-0005-0000-0000-000016110000}"/>
    <cellStyle name="Comma 5 2 5 3 2 2 2 2" xfId="47800" xr:uid="{00000000-0005-0000-0000-000017110000}"/>
    <cellStyle name="Comma 5 2 5 3 2 2 3" xfId="37729" xr:uid="{00000000-0005-0000-0000-000018110000}"/>
    <cellStyle name="Comma 5 2 5 3 2 3" xfId="6968" xr:uid="{00000000-0005-0000-0000-000019110000}"/>
    <cellStyle name="Comma 5 2 5 3 2 3 2" xfId="32526" xr:uid="{00000000-0005-0000-0000-00001A110000}"/>
    <cellStyle name="Comma 5 2 5 3 2 4" xfId="17240" xr:uid="{00000000-0005-0000-0000-00001B110000}"/>
    <cellStyle name="Comma 5 2 5 3 2 4 2" xfId="42793" xr:uid="{00000000-0005-0000-0000-00001C110000}"/>
    <cellStyle name="Comma 5 2 5 3 2 5" xfId="28730" xr:uid="{00000000-0005-0000-0000-00001D110000}"/>
    <cellStyle name="Comma 5 2 5 3 3" xfId="4461" xr:uid="{00000000-0005-0000-0000-00001E110000}"/>
    <cellStyle name="Comma 5 2 5 3 3 2" xfId="13299" xr:uid="{00000000-0005-0000-0000-00001F110000}"/>
    <cellStyle name="Comma 5 2 5 3 3 2 2" xfId="23550" xr:uid="{00000000-0005-0000-0000-000020110000}"/>
    <cellStyle name="Comma 5 2 5 3 3 2 2 2" xfId="49103" xr:uid="{00000000-0005-0000-0000-000021110000}"/>
    <cellStyle name="Comma 5 2 5 3 3 2 3" xfId="38854" xr:uid="{00000000-0005-0000-0000-000022110000}"/>
    <cellStyle name="Comma 5 2 5 3 3 3" xfId="9720" xr:uid="{00000000-0005-0000-0000-000023110000}"/>
    <cellStyle name="Comma 5 2 5 3 3 3 2" xfId="35277" xr:uid="{00000000-0005-0000-0000-000024110000}"/>
    <cellStyle name="Comma 5 2 5 3 3 4" xfId="18543" xr:uid="{00000000-0005-0000-0000-000025110000}"/>
    <cellStyle name="Comma 5 2 5 3 3 4 2" xfId="44096" xr:uid="{00000000-0005-0000-0000-000026110000}"/>
    <cellStyle name="Comma 5 2 5 3 3 5" xfId="30033" xr:uid="{00000000-0005-0000-0000-000027110000}"/>
    <cellStyle name="Comma 5 2 5 3 4" xfId="1995" xr:uid="{00000000-0005-0000-0000-000028110000}"/>
    <cellStyle name="Comma 5 2 5 3 4 2" xfId="11360" xr:uid="{00000000-0005-0000-0000-000029110000}"/>
    <cellStyle name="Comma 5 2 5 3 4 2 2" xfId="36915" xr:uid="{00000000-0005-0000-0000-00002A110000}"/>
    <cellStyle name="Comma 5 2 5 3 4 3" xfId="21364" xr:uid="{00000000-0005-0000-0000-00002B110000}"/>
    <cellStyle name="Comma 5 2 5 3 4 3 2" xfId="46917" xr:uid="{00000000-0005-0000-0000-00002C110000}"/>
    <cellStyle name="Comma 5 2 5 3 4 4" xfId="27847" xr:uid="{00000000-0005-0000-0000-00002D110000}"/>
    <cellStyle name="Comma 5 2 5 3 5" xfId="5917" xr:uid="{00000000-0005-0000-0000-00002E110000}"/>
    <cellStyle name="Comma 5 2 5 3 5 2" xfId="14744" xr:uid="{00000000-0005-0000-0000-00002F110000}"/>
    <cellStyle name="Comma 5 2 5 3 5 2 2" xfId="40299" xr:uid="{00000000-0005-0000-0000-000030110000}"/>
    <cellStyle name="Comma 5 2 5 3 5 3" xfId="24995" xr:uid="{00000000-0005-0000-0000-000031110000}"/>
    <cellStyle name="Comma 5 2 5 3 5 3 2" xfId="50548" xr:uid="{00000000-0005-0000-0000-000032110000}"/>
    <cellStyle name="Comma 5 2 5 3 5 4" xfId="31478" xr:uid="{00000000-0005-0000-0000-000033110000}"/>
    <cellStyle name="Comma 5 2 5 3 6" xfId="7361" xr:uid="{00000000-0005-0000-0000-000034110000}"/>
    <cellStyle name="Comma 5 2 5 3 6 2" xfId="19846" xr:uid="{00000000-0005-0000-0000-000035110000}"/>
    <cellStyle name="Comma 5 2 5 3 6 2 2" xfId="45399" xr:uid="{00000000-0005-0000-0000-000036110000}"/>
    <cellStyle name="Comma 5 2 5 3 6 3" xfId="32918" xr:uid="{00000000-0005-0000-0000-000037110000}"/>
    <cellStyle name="Comma 5 2 5 3 7" xfId="16357" xr:uid="{00000000-0005-0000-0000-000038110000}"/>
    <cellStyle name="Comma 5 2 5 3 7 2" xfId="41910" xr:uid="{00000000-0005-0000-0000-000039110000}"/>
    <cellStyle name="Comma 5 2 5 3 8" xfId="26329" xr:uid="{00000000-0005-0000-0000-00003A110000}"/>
    <cellStyle name="Comma 5 2 5 4" xfId="646" xr:uid="{00000000-0005-0000-0000-00003B110000}"/>
    <cellStyle name="Comma 5 2 5 4 2" xfId="3132" xr:uid="{00000000-0005-0000-0000-00003C110000}"/>
    <cellStyle name="Comma 5 2 5 4 2 2" xfId="12275" xr:uid="{00000000-0005-0000-0000-00003D110000}"/>
    <cellStyle name="Comma 5 2 5 4 2 2 2" xfId="22493" xr:uid="{00000000-0005-0000-0000-00003E110000}"/>
    <cellStyle name="Comma 5 2 5 4 2 2 2 2" xfId="48046" xr:uid="{00000000-0005-0000-0000-00003F110000}"/>
    <cellStyle name="Comma 5 2 5 4 2 2 3" xfId="37830" xr:uid="{00000000-0005-0000-0000-000040110000}"/>
    <cellStyle name="Comma 5 2 5 4 2 3" xfId="8697" xr:uid="{00000000-0005-0000-0000-000041110000}"/>
    <cellStyle name="Comma 5 2 5 4 2 3 2" xfId="34254" xr:uid="{00000000-0005-0000-0000-000042110000}"/>
    <cellStyle name="Comma 5 2 5 4 2 4" xfId="17486" xr:uid="{00000000-0005-0000-0000-000043110000}"/>
    <cellStyle name="Comma 5 2 5 4 2 4 2" xfId="43039" xr:uid="{00000000-0005-0000-0000-000044110000}"/>
    <cellStyle name="Comma 5 2 5 4 2 5" xfId="28976" xr:uid="{00000000-0005-0000-0000-000045110000}"/>
    <cellStyle name="Comma 5 2 5 4 3" xfId="4810" xr:uid="{00000000-0005-0000-0000-000046110000}"/>
    <cellStyle name="Comma 5 2 5 4 3 2" xfId="13647" xr:uid="{00000000-0005-0000-0000-000047110000}"/>
    <cellStyle name="Comma 5 2 5 4 3 2 2" xfId="23898" xr:uid="{00000000-0005-0000-0000-000048110000}"/>
    <cellStyle name="Comma 5 2 5 4 3 2 2 2" xfId="49451" xr:uid="{00000000-0005-0000-0000-000049110000}"/>
    <cellStyle name="Comma 5 2 5 4 3 2 3" xfId="39202" xr:uid="{00000000-0005-0000-0000-00004A110000}"/>
    <cellStyle name="Comma 5 2 5 4 3 3" xfId="10068" xr:uid="{00000000-0005-0000-0000-00004B110000}"/>
    <cellStyle name="Comma 5 2 5 4 3 3 2" xfId="35625" xr:uid="{00000000-0005-0000-0000-00004C110000}"/>
    <cellStyle name="Comma 5 2 5 4 3 4" xfId="18891" xr:uid="{00000000-0005-0000-0000-00004D110000}"/>
    <cellStyle name="Comma 5 2 5 4 3 4 2" xfId="44444" xr:uid="{00000000-0005-0000-0000-00004E110000}"/>
    <cellStyle name="Comma 5 2 5 4 3 5" xfId="30381" xr:uid="{00000000-0005-0000-0000-00004F110000}"/>
    <cellStyle name="Comma 5 2 5 4 4" xfId="2241" xr:uid="{00000000-0005-0000-0000-000050110000}"/>
    <cellStyle name="Comma 5 2 5 4 4 2" xfId="11606" xr:uid="{00000000-0005-0000-0000-000051110000}"/>
    <cellStyle name="Comma 5 2 5 4 4 2 2" xfId="37161" xr:uid="{00000000-0005-0000-0000-000052110000}"/>
    <cellStyle name="Comma 5 2 5 4 4 3" xfId="21610" xr:uid="{00000000-0005-0000-0000-000053110000}"/>
    <cellStyle name="Comma 5 2 5 4 4 3 2" xfId="47163" xr:uid="{00000000-0005-0000-0000-000054110000}"/>
    <cellStyle name="Comma 5 2 5 4 4 4" xfId="28093" xr:uid="{00000000-0005-0000-0000-000055110000}"/>
    <cellStyle name="Comma 5 2 5 4 5" xfId="6265" xr:uid="{00000000-0005-0000-0000-000056110000}"/>
    <cellStyle name="Comma 5 2 5 4 5 2" xfId="15092" xr:uid="{00000000-0005-0000-0000-000057110000}"/>
    <cellStyle name="Comma 5 2 5 4 5 2 2" xfId="40647" xr:uid="{00000000-0005-0000-0000-000058110000}"/>
    <cellStyle name="Comma 5 2 5 4 5 3" xfId="25343" xr:uid="{00000000-0005-0000-0000-000059110000}"/>
    <cellStyle name="Comma 5 2 5 4 5 3 2" xfId="50896" xr:uid="{00000000-0005-0000-0000-00005A110000}"/>
    <cellStyle name="Comma 5 2 5 4 5 4" xfId="31826" xr:uid="{00000000-0005-0000-0000-00005B110000}"/>
    <cellStyle name="Comma 5 2 5 4 6" xfId="7711" xr:uid="{00000000-0005-0000-0000-00005C110000}"/>
    <cellStyle name="Comma 5 2 5 4 6 2" xfId="20092" xr:uid="{00000000-0005-0000-0000-00005D110000}"/>
    <cellStyle name="Comma 5 2 5 4 6 2 2" xfId="45645" xr:uid="{00000000-0005-0000-0000-00005E110000}"/>
    <cellStyle name="Comma 5 2 5 4 6 3" xfId="33268" xr:uid="{00000000-0005-0000-0000-00005F110000}"/>
    <cellStyle name="Comma 5 2 5 4 7" xfId="16603" xr:uid="{00000000-0005-0000-0000-000060110000}"/>
    <cellStyle name="Comma 5 2 5 4 7 2" xfId="42156" xr:uid="{00000000-0005-0000-0000-000061110000}"/>
    <cellStyle name="Comma 5 2 5 4 8" xfId="26575" xr:uid="{00000000-0005-0000-0000-000062110000}"/>
    <cellStyle name="Comma 5 2 5 5" xfId="1172" xr:uid="{00000000-0005-0000-0000-000063110000}"/>
    <cellStyle name="Comma 5 2 5 5 2" xfId="3601" xr:uid="{00000000-0005-0000-0000-000064110000}"/>
    <cellStyle name="Comma 5 2 5 5 2 2" xfId="12737" xr:uid="{00000000-0005-0000-0000-000065110000}"/>
    <cellStyle name="Comma 5 2 5 5 2 2 2" xfId="22956" xr:uid="{00000000-0005-0000-0000-000066110000}"/>
    <cellStyle name="Comma 5 2 5 5 2 2 2 2" xfId="48509" xr:uid="{00000000-0005-0000-0000-000067110000}"/>
    <cellStyle name="Comma 5 2 5 5 2 2 3" xfId="38292" xr:uid="{00000000-0005-0000-0000-000068110000}"/>
    <cellStyle name="Comma 5 2 5 5 2 3" xfId="9158" xr:uid="{00000000-0005-0000-0000-000069110000}"/>
    <cellStyle name="Comma 5 2 5 5 2 3 2" xfId="34715" xr:uid="{00000000-0005-0000-0000-00006A110000}"/>
    <cellStyle name="Comma 5 2 5 5 2 4" xfId="17949" xr:uid="{00000000-0005-0000-0000-00006B110000}"/>
    <cellStyle name="Comma 5 2 5 5 2 4 2" xfId="43502" xr:uid="{00000000-0005-0000-0000-00006C110000}"/>
    <cellStyle name="Comma 5 2 5 5 2 5" xfId="29439" xr:uid="{00000000-0005-0000-0000-00006D110000}"/>
    <cellStyle name="Comma 5 2 5 5 3" xfId="5264" xr:uid="{00000000-0005-0000-0000-00006E110000}"/>
    <cellStyle name="Comma 5 2 5 5 3 2" xfId="14101" xr:uid="{00000000-0005-0000-0000-00006F110000}"/>
    <cellStyle name="Comma 5 2 5 5 3 2 2" xfId="24352" xr:uid="{00000000-0005-0000-0000-000070110000}"/>
    <cellStyle name="Comma 5 2 5 5 3 2 2 2" xfId="49905" xr:uid="{00000000-0005-0000-0000-000071110000}"/>
    <cellStyle name="Comma 5 2 5 5 3 2 3" xfId="39656" xr:uid="{00000000-0005-0000-0000-000072110000}"/>
    <cellStyle name="Comma 5 2 5 5 3 3" xfId="10522" xr:uid="{00000000-0005-0000-0000-000073110000}"/>
    <cellStyle name="Comma 5 2 5 5 3 3 2" xfId="36079" xr:uid="{00000000-0005-0000-0000-000074110000}"/>
    <cellStyle name="Comma 5 2 5 5 3 4" xfId="19345" xr:uid="{00000000-0005-0000-0000-000075110000}"/>
    <cellStyle name="Comma 5 2 5 5 3 4 2" xfId="44898" xr:uid="{00000000-0005-0000-0000-000076110000}"/>
    <cellStyle name="Comma 5 2 5 5 3 5" xfId="30835" xr:uid="{00000000-0005-0000-0000-000077110000}"/>
    <cellStyle name="Comma 5 2 5 5 4" xfId="1774" xr:uid="{00000000-0005-0000-0000-000078110000}"/>
    <cellStyle name="Comma 5 2 5 5 4 2" xfId="11143" xr:uid="{00000000-0005-0000-0000-000079110000}"/>
    <cellStyle name="Comma 5 2 5 5 4 2 2" xfId="36698" xr:uid="{00000000-0005-0000-0000-00007A110000}"/>
    <cellStyle name="Comma 5 2 5 5 4 3" xfId="21147" xr:uid="{00000000-0005-0000-0000-00007B110000}"/>
    <cellStyle name="Comma 5 2 5 5 4 3 2" xfId="46700" xr:uid="{00000000-0005-0000-0000-00007C110000}"/>
    <cellStyle name="Comma 5 2 5 5 4 4" xfId="27630" xr:uid="{00000000-0005-0000-0000-00007D110000}"/>
    <cellStyle name="Comma 5 2 5 5 5" xfId="6719" xr:uid="{00000000-0005-0000-0000-00007E110000}"/>
    <cellStyle name="Comma 5 2 5 5 5 2" xfId="15546" xr:uid="{00000000-0005-0000-0000-00007F110000}"/>
    <cellStyle name="Comma 5 2 5 5 5 2 2" xfId="41101" xr:uid="{00000000-0005-0000-0000-000080110000}"/>
    <cellStyle name="Comma 5 2 5 5 5 3" xfId="25797" xr:uid="{00000000-0005-0000-0000-000081110000}"/>
    <cellStyle name="Comma 5 2 5 5 5 3 2" xfId="51350" xr:uid="{00000000-0005-0000-0000-000082110000}"/>
    <cellStyle name="Comma 5 2 5 5 5 4" xfId="32280" xr:uid="{00000000-0005-0000-0000-000083110000}"/>
    <cellStyle name="Comma 5 2 5 5 6" xfId="8165" xr:uid="{00000000-0005-0000-0000-000084110000}"/>
    <cellStyle name="Comma 5 2 5 5 6 2" xfId="20555" xr:uid="{00000000-0005-0000-0000-000085110000}"/>
    <cellStyle name="Comma 5 2 5 5 6 2 2" xfId="46108" xr:uid="{00000000-0005-0000-0000-000086110000}"/>
    <cellStyle name="Comma 5 2 5 5 6 3" xfId="33722" xr:uid="{00000000-0005-0000-0000-000087110000}"/>
    <cellStyle name="Comma 5 2 5 5 7" xfId="16140" xr:uid="{00000000-0005-0000-0000-000088110000}"/>
    <cellStyle name="Comma 5 2 5 5 7 2" xfId="41693" xr:uid="{00000000-0005-0000-0000-000089110000}"/>
    <cellStyle name="Comma 5 2 5 5 8" xfId="27038" xr:uid="{00000000-0005-0000-0000-00008A110000}"/>
    <cellStyle name="Comma 5 2 5 6" xfId="2669" xr:uid="{00000000-0005-0000-0000-00008B110000}"/>
    <cellStyle name="Comma 5 2 5 6 2" xfId="11986" xr:uid="{00000000-0005-0000-0000-00008C110000}"/>
    <cellStyle name="Comma 5 2 5 6 2 2" xfId="22030" xr:uid="{00000000-0005-0000-0000-00008D110000}"/>
    <cellStyle name="Comma 5 2 5 6 2 2 2" xfId="47583" xr:uid="{00000000-0005-0000-0000-00008E110000}"/>
    <cellStyle name="Comma 5 2 5 6 2 3" xfId="37541" xr:uid="{00000000-0005-0000-0000-00008F110000}"/>
    <cellStyle name="Comma 5 2 5 6 3" xfId="8498" xr:uid="{00000000-0005-0000-0000-000090110000}"/>
    <cellStyle name="Comma 5 2 5 6 3 2" xfId="34055" xr:uid="{00000000-0005-0000-0000-000091110000}"/>
    <cellStyle name="Comma 5 2 5 6 4" xfId="17023" xr:uid="{00000000-0005-0000-0000-000092110000}"/>
    <cellStyle name="Comma 5 2 5 6 4 2" xfId="42576" xr:uid="{00000000-0005-0000-0000-000093110000}"/>
    <cellStyle name="Comma 5 2 5 6 5" xfId="28513" xr:uid="{00000000-0005-0000-0000-000094110000}"/>
    <cellStyle name="Comma 5 2 5 7" xfId="4220" xr:uid="{00000000-0005-0000-0000-000095110000}"/>
    <cellStyle name="Comma 5 2 5 7 2" xfId="13058" xr:uid="{00000000-0005-0000-0000-000096110000}"/>
    <cellStyle name="Comma 5 2 5 7 2 2" xfId="23309" xr:uid="{00000000-0005-0000-0000-000097110000}"/>
    <cellStyle name="Comma 5 2 5 7 2 2 2" xfId="48862" xr:uid="{00000000-0005-0000-0000-000098110000}"/>
    <cellStyle name="Comma 5 2 5 7 2 3" xfId="38613" xr:uid="{00000000-0005-0000-0000-000099110000}"/>
    <cellStyle name="Comma 5 2 5 7 3" xfId="9479" xr:uid="{00000000-0005-0000-0000-00009A110000}"/>
    <cellStyle name="Comma 5 2 5 7 3 2" xfId="35036" xr:uid="{00000000-0005-0000-0000-00009B110000}"/>
    <cellStyle name="Comma 5 2 5 7 4" xfId="18302" xr:uid="{00000000-0005-0000-0000-00009C110000}"/>
    <cellStyle name="Comma 5 2 5 7 4 2" xfId="43855" xr:uid="{00000000-0005-0000-0000-00009D110000}"/>
    <cellStyle name="Comma 5 2 5 7 5" xfId="29792" xr:uid="{00000000-0005-0000-0000-00009E110000}"/>
    <cellStyle name="Comma 5 2 5 8" xfId="1492" xr:uid="{00000000-0005-0000-0000-00009F110000}"/>
    <cellStyle name="Comma 5 2 5 8 2" xfId="10869" xr:uid="{00000000-0005-0000-0000-0000A0110000}"/>
    <cellStyle name="Comma 5 2 5 8 2 2" xfId="36424" xr:uid="{00000000-0005-0000-0000-0000A1110000}"/>
    <cellStyle name="Comma 5 2 5 8 3" xfId="20873" xr:uid="{00000000-0005-0000-0000-0000A2110000}"/>
    <cellStyle name="Comma 5 2 5 8 3 2" xfId="46426" xr:uid="{00000000-0005-0000-0000-0000A3110000}"/>
    <cellStyle name="Comma 5 2 5 8 4" xfId="27356" xr:uid="{00000000-0005-0000-0000-0000A4110000}"/>
    <cellStyle name="Comma 5 2 5 9" xfId="5676" xr:uid="{00000000-0005-0000-0000-0000A5110000}"/>
    <cellStyle name="Comma 5 2 5 9 2" xfId="14503" xr:uid="{00000000-0005-0000-0000-0000A6110000}"/>
    <cellStyle name="Comma 5 2 5 9 2 2" xfId="40058" xr:uid="{00000000-0005-0000-0000-0000A7110000}"/>
    <cellStyle name="Comma 5 2 5 9 3" xfId="24754" xr:uid="{00000000-0005-0000-0000-0000A8110000}"/>
    <cellStyle name="Comma 5 2 5 9 3 2" xfId="50307" xr:uid="{00000000-0005-0000-0000-0000A9110000}"/>
    <cellStyle name="Comma 5 2 5 9 4" xfId="31237" xr:uid="{00000000-0005-0000-0000-0000AA110000}"/>
    <cellStyle name="Comma 5 2 6" xfId="225" xr:uid="{00000000-0005-0000-0000-0000AB110000}"/>
    <cellStyle name="Comma 5 2 6 10" xfId="7063" xr:uid="{00000000-0005-0000-0000-0000AC110000}"/>
    <cellStyle name="Comma 5 2 6 10 2" xfId="19677" xr:uid="{00000000-0005-0000-0000-0000AD110000}"/>
    <cellStyle name="Comma 5 2 6 10 2 2" xfId="45230" xr:uid="{00000000-0005-0000-0000-0000AE110000}"/>
    <cellStyle name="Comma 5 2 6 10 3" xfId="32620" xr:uid="{00000000-0005-0000-0000-0000AF110000}"/>
    <cellStyle name="Comma 5 2 6 11" xfId="15809" xr:uid="{00000000-0005-0000-0000-0000B0110000}"/>
    <cellStyle name="Comma 5 2 6 11 2" xfId="41362" xr:uid="{00000000-0005-0000-0000-0000B1110000}"/>
    <cellStyle name="Comma 5 2 6 12" xfId="26160" xr:uid="{00000000-0005-0000-0000-0000B2110000}"/>
    <cellStyle name="Comma 5 2 6 2" xfId="548" xr:uid="{00000000-0005-0000-0000-0000B3110000}"/>
    <cellStyle name="Comma 5 2 6 2 10" xfId="26477" xr:uid="{00000000-0005-0000-0000-0000B4110000}"/>
    <cellStyle name="Comma 5 2 6 2 2" xfId="649" xr:uid="{00000000-0005-0000-0000-0000B5110000}"/>
    <cellStyle name="Comma 5 2 6 2 2 2" xfId="3135" xr:uid="{00000000-0005-0000-0000-0000B6110000}"/>
    <cellStyle name="Comma 5 2 6 2 2 2 2" xfId="12278" xr:uid="{00000000-0005-0000-0000-0000B7110000}"/>
    <cellStyle name="Comma 5 2 6 2 2 2 2 2" xfId="22496" xr:uid="{00000000-0005-0000-0000-0000B8110000}"/>
    <cellStyle name="Comma 5 2 6 2 2 2 2 2 2" xfId="48049" xr:uid="{00000000-0005-0000-0000-0000B9110000}"/>
    <cellStyle name="Comma 5 2 6 2 2 2 2 3" xfId="37833" xr:uid="{00000000-0005-0000-0000-0000BA110000}"/>
    <cellStyle name="Comma 5 2 6 2 2 2 3" xfId="8700" xr:uid="{00000000-0005-0000-0000-0000BB110000}"/>
    <cellStyle name="Comma 5 2 6 2 2 2 3 2" xfId="34257" xr:uid="{00000000-0005-0000-0000-0000BC110000}"/>
    <cellStyle name="Comma 5 2 6 2 2 2 4" xfId="17489" xr:uid="{00000000-0005-0000-0000-0000BD110000}"/>
    <cellStyle name="Comma 5 2 6 2 2 2 4 2" xfId="43042" xr:uid="{00000000-0005-0000-0000-0000BE110000}"/>
    <cellStyle name="Comma 5 2 6 2 2 2 5" xfId="28979" xr:uid="{00000000-0005-0000-0000-0000BF110000}"/>
    <cellStyle name="Comma 5 2 6 2 2 3" xfId="4464" xr:uid="{00000000-0005-0000-0000-0000C0110000}"/>
    <cellStyle name="Comma 5 2 6 2 2 3 2" xfId="13302" xr:uid="{00000000-0005-0000-0000-0000C1110000}"/>
    <cellStyle name="Comma 5 2 6 2 2 3 2 2" xfId="23553" xr:uid="{00000000-0005-0000-0000-0000C2110000}"/>
    <cellStyle name="Comma 5 2 6 2 2 3 2 2 2" xfId="49106" xr:uid="{00000000-0005-0000-0000-0000C3110000}"/>
    <cellStyle name="Comma 5 2 6 2 2 3 2 3" xfId="38857" xr:uid="{00000000-0005-0000-0000-0000C4110000}"/>
    <cellStyle name="Comma 5 2 6 2 2 3 3" xfId="9723" xr:uid="{00000000-0005-0000-0000-0000C5110000}"/>
    <cellStyle name="Comma 5 2 6 2 2 3 3 2" xfId="35280" xr:uid="{00000000-0005-0000-0000-0000C6110000}"/>
    <cellStyle name="Comma 5 2 6 2 2 3 4" xfId="18546" xr:uid="{00000000-0005-0000-0000-0000C7110000}"/>
    <cellStyle name="Comma 5 2 6 2 2 3 4 2" xfId="44099" xr:uid="{00000000-0005-0000-0000-0000C8110000}"/>
    <cellStyle name="Comma 5 2 6 2 2 3 5" xfId="30036" xr:uid="{00000000-0005-0000-0000-0000C9110000}"/>
    <cellStyle name="Comma 5 2 6 2 2 4" xfId="2244" xr:uid="{00000000-0005-0000-0000-0000CA110000}"/>
    <cellStyle name="Comma 5 2 6 2 2 4 2" xfId="11609" xr:uid="{00000000-0005-0000-0000-0000CB110000}"/>
    <cellStyle name="Comma 5 2 6 2 2 4 2 2" xfId="37164" xr:uid="{00000000-0005-0000-0000-0000CC110000}"/>
    <cellStyle name="Comma 5 2 6 2 2 4 3" xfId="21613" xr:uid="{00000000-0005-0000-0000-0000CD110000}"/>
    <cellStyle name="Comma 5 2 6 2 2 4 3 2" xfId="47166" xr:uid="{00000000-0005-0000-0000-0000CE110000}"/>
    <cellStyle name="Comma 5 2 6 2 2 4 4" xfId="28096" xr:uid="{00000000-0005-0000-0000-0000CF110000}"/>
    <cellStyle name="Comma 5 2 6 2 2 5" xfId="5920" xr:uid="{00000000-0005-0000-0000-0000D0110000}"/>
    <cellStyle name="Comma 5 2 6 2 2 5 2" xfId="14747" xr:uid="{00000000-0005-0000-0000-0000D1110000}"/>
    <cellStyle name="Comma 5 2 6 2 2 5 2 2" xfId="40302" xr:uid="{00000000-0005-0000-0000-0000D2110000}"/>
    <cellStyle name="Comma 5 2 6 2 2 5 3" xfId="24998" xr:uid="{00000000-0005-0000-0000-0000D3110000}"/>
    <cellStyle name="Comma 5 2 6 2 2 5 3 2" xfId="50551" xr:uid="{00000000-0005-0000-0000-0000D4110000}"/>
    <cellStyle name="Comma 5 2 6 2 2 5 4" xfId="31481" xr:uid="{00000000-0005-0000-0000-0000D5110000}"/>
    <cellStyle name="Comma 5 2 6 2 2 6" xfId="7364" xr:uid="{00000000-0005-0000-0000-0000D6110000}"/>
    <cellStyle name="Comma 5 2 6 2 2 6 2" xfId="20095" xr:uid="{00000000-0005-0000-0000-0000D7110000}"/>
    <cellStyle name="Comma 5 2 6 2 2 6 2 2" xfId="45648" xr:uid="{00000000-0005-0000-0000-0000D8110000}"/>
    <cellStyle name="Comma 5 2 6 2 2 6 3" xfId="32921" xr:uid="{00000000-0005-0000-0000-0000D9110000}"/>
    <cellStyle name="Comma 5 2 6 2 2 7" xfId="16606" xr:uid="{00000000-0005-0000-0000-0000DA110000}"/>
    <cellStyle name="Comma 5 2 6 2 2 7 2" xfId="42159" xr:uid="{00000000-0005-0000-0000-0000DB110000}"/>
    <cellStyle name="Comma 5 2 6 2 2 8" xfId="26578" xr:uid="{00000000-0005-0000-0000-0000DC110000}"/>
    <cellStyle name="Comma 5 2 6 2 3" xfId="1320" xr:uid="{00000000-0005-0000-0000-0000DD110000}"/>
    <cellStyle name="Comma 5 2 6 2 3 2" xfId="3749" xr:uid="{00000000-0005-0000-0000-0000DE110000}"/>
    <cellStyle name="Comma 5 2 6 2 3 2 2" xfId="12885" xr:uid="{00000000-0005-0000-0000-0000DF110000}"/>
    <cellStyle name="Comma 5 2 6 2 3 2 2 2" xfId="23104" xr:uid="{00000000-0005-0000-0000-0000E0110000}"/>
    <cellStyle name="Comma 5 2 6 2 3 2 2 2 2" xfId="48657" xr:uid="{00000000-0005-0000-0000-0000E1110000}"/>
    <cellStyle name="Comma 5 2 6 2 3 2 2 3" xfId="38440" xr:uid="{00000000-0005-0000-0000-0000E2110000}"/>
    <cellStyle name="Comma 5 2 6 2 3 2 3" xfId="9306" xr:uid="{00000000-0005-0000-0000-0000E3110000}"/>
    <cellStyle name="Comma 5 2 6 2 3 2 3 2" xfId="34863" xr:uid="{00000000-0005-0000-0000-0000E4110000}"/>
    <cellStyle name="Comma 5 2 6 2 3 2 4" xfId="18097" xr:uid="{00000000-0005-0000-0000-0000E5110000}"/>
    <cellStyle name="Comma 5 2 6 2 3 2 4 2" xfId="43650" xr:uid="{00000000-0005-0000-0000-0000E6110000}"/>
    <cellStyle name="Comma 5 2 6 2 3 2 5" xfId="29587" xr:uid="{00000000-0005-0000-0000-0000E7110000}"/>
    <cellStyle name="Comma 5 2 6 2 3 3" xfId="4813" xr:uid="{00000000-0005-0000-0000-0000E8110000}"/>
    <cellStyle name="Comma 5 2 6 2 3 3 2" xfId="13650" xr:uid="{00000000-0005-0000-0000-0000E9110000}"/>
    <cellStyle name="Comma 5 2 6 2 3 3 2 2" xfId="23901" xr:uid="{00000000-0005-0000-0000-0000EA110000}"/>
    <cellStyle name="Comma 5 2 6 2 3 3 2 2 2" xfId="49454" xr:uid="{00000000-0005-0000-0000-0000EB110000}"/>
    <cellStyle name="Comma 5 2 6 2 3 3 2 3" xfId="39205" xr:uid="{00000000-0005-0000-0000-0000EC110000}"/>
    <cellStyle name="Comma 5 2 6 2 3 3 3" xfId="10071" xr:uid="{00000000-0005-0000-0000-0000ED110000}"/>
    <cellStyle name="Comma 5 2 6 2 3 3 3 2" xfId="35628" xr:uid="{00000000-0005-0000-0000-0000EE110000}"/>
    <cellStyle name="Comma 5 2 6 2 3 3 4" xfId="18894" xr:uid="{00000000-0005-0000-0000-0000EF110000}"/>
    <cellStyle name="Comma 5 2 6 2 3 3 4 2" xfId="44447" xr:uid="{00000000-0005-0000-0000-0000F0110000}"/>
    <cellStyle name="Comma 5 2 6 2 3 3 5" xfId="30384" xr:uid="{00000000-0005-0000-0000-0000F1110000}"/>
    <cellStyle name="Comma 5 2 6 2 3 4" xfId="2143" xr:uid="{00000000-0005-0000-0000-0000F2110000}"/>
    <cellStyle name="Comma 5 2 6 2 3 4 2" xfId="11508" xr:uid="{00000000-0005-0000-0000-0000F3110000}"/>
    <cellStyle name="Comma 5 2 6 2 3 4 2 2" xfId="37063" xr:uid="{00000000-0005-0000-0000-0000F4110000}"/>
    <cellStyle name="Comma 5 2 6 2 3 4 3" xfId="21512" xr:uid="{00000000-0005-0000-0000-0000F5110000}"/>
    <cellStyle name="Comma 5 2 6 2 3 4 3 2" xfId="47065" xr:uid="{00000000-0005-0000-0000-0000F6110000}"/>
    <cellStyle name="Comma 5 2 6 2 3 4 4" xfId="27995" xr:uid="{00000000-0005-0000-0000-0000F7110000}"/>
    <cellStyle name="Comma 5 2 6 2 3 5" xfId="6268" xr:uid="{00000000-0005-0000-0000-0000F8110000}"/>
    <cellStyle name="Comma 5 2 6 2 3 5 2" xfId="15095" xr:uid="{00000000-0005-0000-0000-0000F9110000}"/>
    <cellStyle name="Comma 5 2 6 2 3 5 2 2" xfId="40650" xr:uid="{00000000-0005-0000-0000-0000FA110000}"/>
    <cellStyle name="Comma 5 2 6 2 3 5 3" xfId="25346" xr:uid="{00000000-0005-0000-0000-0000FB110000}"/>
    <cellStyle name="Comma 5 2 6 2 3 5 3 2" xfId="50899" xr:uid="{00000000-0005-0000-0000-0000FC110000}"/>
    <cellStyle name="Comma 5 2 6 2 3 5 4" xfId="31829" xr:uid="{00000000-0005-0000-0000-0000FD110000}"/>
    <cellStyle name="Comma 5 2 6 2 3 6" xfId="7714" xr:uid="{00000000-0005-0000-0000-0000FE110000}"/>
    <cellStyle name="Comma 5 2 6 2 3 6 2" xfId="20703" xr:uid="{00000000-0005-0000-0000-0000FF110000}"/>
    <cellStyle name="Comma 5 2 6 2 3 6 2 2" xfId="46256" xr:uid="{00000000-0005-0000-0000-000000120000}"/>
    <cellStyle name="Comma 5 2 6 2 3 6 3" xfId="33271" xr:uid="{00000000-0005-0000-0000-000001120000}"/>
    <cellStyle name="Comma 5 2 6 2 3 7" xfId="16505" xr:uid="{00000000-0005-0000-0000-000002120000}"/>
    <cellStyle name="Comma 5 2 6 2 3 7 2" xfId="42058" xr:uid="{00000000-0005-0000-0000-000003120000}"/>
    <cellStyle name="Comma 5 2 6 2 3 8" xfId="27186" xr:uid="{00000000-0005-0000-0000-000004120000}"/>
    <cellStyle name="Comma 5 2 6 2 4" xfId="3034" xr:uid="{00000000-0005-0000-0000-000005120000}"/>
    <cellStyle name="Comma 5 2 6 2 4 2" xfId="5412" xr:uid="{00000000-0005-0000-0000-000006120000}"/>
    <cellStyle name="Comma 5 2 6 2 4 2 2" xfId="14249" xr:uid="{00000000-0005-0000-0000-000007120000}"/>
    <cellStyle name="Comma 5 2 6 2 4 2 2 2" xfId="24500" xr:uid="{00000000-0005-0000-0000-000008120000}"/>
    <cellStyle name="Comma 5 2 6 2 4 2 2 2 2" xfId="50053" xr:uid="{00000000-0005-0000-0000-000009120000}"/>
    <cellStyle name="Comma 5 2 6 2 4 2 2 3" xfId="39804" xr:uid="{00000000-0005-0000-0000-00000A120000}"/>
    <cellStyle name="Comma 5 2 6 2 4 2 3" xfId="10670" xr:uid="{00000000-0005-0000-0000-00000B120000}"/>
    <cellStyle name="Comma 5 2 6 2 4 2 3 2" xfId="36227" xr:uid="{00000000-0005-0000-0000-00000C120000}"/>
    <cellStyle name="Comma 5 2 6 2 4 2 4" xfId="19493" xr:uid="{00000000-0005-0000-0000-00000D120000}"/>
    <cellStyle name="Comma 5 2 6 2 4 2 4 2" xfId="45046" xr:uid="{00000000-0005-0000-0000-00000E120000}"/>
    <cellStyle name="Comma 5 2 6 2 4 2 5" xfId="30983" xr:uid="{00000000-0005-0000-0000-00000F120000}"/>
    <cellStyle name="Comma 5 2 6 2 4 3" xfId="6867" xr:uid="{00000000-0005-0000-0000-000010120000}"/>
    <cellStyle name="Comma 5 2 6 2 4 3 2" xfId="15694" xr:uid="{00000000-0005-0000-0000-000011120000}"/>
    <cellStyle name="Comma 5 2 6 2 4 3 2 2" xfId="41249" xr:uid="{00000000-0005-0000-0000-000012120000}"/>
    <cellStyle name="Comma 5 2 6 2 4 3 3" xfId="25945" xr:uid="{00000000-0005-0000-0000-000013120000}"/>
    <cellStyle name="Comma 5 2 6 2 4 3 3 2" xfId="51498" xr:uid="{00000000-0005-0000-0000-000014120000}"/>
    <cellStyle name="Comma 5 2 6 2 4 3 4" xfId="32428" xr:uid="{00000000-0005-0000-0000-000015120000}"/>
    <cellStyle name="Comma 5 2 6 2 4 4" xfId="8313" xr:uid="{00000000-0005-0000-0000-000016120000}"/>
    <cellStyle name="Comma 5 2 6 2 4 4 2" xfId="22395" xr:uid="{00000000-0005-0000-0000-000017120000}"/>
    <cellStyle name="Comma 5 2 6 2 4 4 2 2" xfId="47948" xr:uid="{00000000-0005-0000-0000-000018120000}"/>
    <cellStyle name="Comma 5 2 6 2 4 4 3" xfId="33870" xr:uid="{00000000-0005-0000-0000-000019120000}"/>
    <cellStyle name="Comma 5 2 6 2 4 5" xfId="17388" xr:uid="{00000000-0005-0000-0000-00001A120000}"/>
    <cellStyle name="Comma 5 2 6 2 4 5 2" xfId="42941" xr:uid="{00000000-0005-0000-0000-00001B120000}"/>
    <cellStyle name="Comma 5 2 6 2 4 6" xfId="28878" xr:uid="{00000000-0005-0000-0000-00001C120000}"/>
    <cellStyle name="Comma 5 2 6 2 5" xfId="4368" xr:uid="{00000000-0005-0000-0000-00001D120000}"/>
    <cellStyle name="Comma 5 2 6 2 5 2" xfId="13206" xr:uid="{00000000-0005-0000-0000-00001E120000}"/>
    <cellStyle name="Comma 5 2 6 2 5 2 2" xfId="23457" xr:uid="{00000000-0005-0000-0000-00001F120000}"/>
    <cellStyle name="Comma 5 2 6 2 5 2 2 2" xfId="49010" xr:uid="{00000000-0005-0000-0000-000020120000}"/>
    <cellStyle name="Comma 5 2 6 2 5 2 3" xfId="38761" xr:uid="{00000000-0005-0000-0000-000021120000}"/>
    <cellStyle name="Comma 5 2 6 2 5 3" xfId="9627" xr:uid="{00000000-0005-0000-0000-000022120000}"/>
    <cellStyle name="Comma 5 2 6 2 5 3 2" xfId="35184" xr:uid="{00000000-0005-0000-0000-000023120000}"/>
    <cellStyle name="Comma 5 2 6 2 5 4" xfId="18450" xr:uid="{00000000-0005-0000-0000-000024120000}"/>
    <cellStyle name="Comma 5 2 6 2 5 4 2" xfId="44003" xr:uid="{00000000-0005-0000-0000-000025120000}"/>
    <cellStyle name="Comma 5 2 6 2 5 5" xfId="29940" xr:uid="{00000000-0005-0000-0000-000026120000}"/>
    <cellStyle name="Comma 5 2 6 2 6" xfId="1640" xr:uid="{00000000-0005-0000-0000-000027120000}"/>
    <cellStyle name="Comma 5 2 6 2 6 2" xfId="11017" xr:uid="{00000000-0005-0000-0000-000028120000}"/>
    <cellStyle name="Comma 5 2 6 2 6 2 2" xfId="36572" xr:uid="{00000000-0005-0000-0000-000029120000}"/>
    <cellStyle name="Comma 5 2 6 2 6 3" xfId="21021" xr:uid="{00000000-0005-0000-0000-00002A120000}"/>
    <cellStyle name="Comma 5 2 6 2 6 3 2" xfId="46574" xr:uid="{00000000-0005-0000-0000-00002B120000}"/>
    <cellStyle name="Comma 5 2 6 2 6 4" xfId="27504" xr:uid="{00000000-0005-0000-0000-00002C120000}"/>
    <cellStyle name="Comma 5 2 6 2 7" xfId="5824" xr:uid="{00000000-0005-0000-0000-00002D120000}"/>
    <cellStyle name="Comma 5 2 6 2 7 2" xfId="14651" xr:uid="{00000000-0005-0000-0000-00002E120000}"/>
    <cellStyle name="Comma 5 2 6 2 7 2 2" xfId="40206" xr:uid="{00000000-0005-0000-0000-00002F120000}"/>
    <cellStyle name="Comma 5 2 6 2 7 3" xfId="24902" xr:uid="{00000000-0005-0000-0000-000030120000}"/>
    <cellStyle name="Comma 5 2 6 2 7 3 2" xfId="50455" xr:uid="{00000000-0005-0000-0000-000031120000}"/>
    <cellStyle name="Comma 5 2 6 2 7 4" xfId="31385" xr:uid="{00000000-0005-0000-0000-000032120000}"/>
    <cellStyle name="Comma 5 2 6 2 8" xfId="7268" xr:uid="{00000000-0005-0000-0000-000033120000}"/>
    <cellStyle name="Comma 5 2 6 2 8 2" xfId="19994" xr:uid="{00000000-0005-0000-0000-000034120000}"/>
    <cellStyle name="Comma 5 2 6 2 8 2 2" xfId="45547" xr:uid="{00000000-0005-0000-0000-000035120000}"/>
    <cellStyle name="Comma 5 2 6 2 8 3" xfId="32825" xr:uid="{00000000-0005-0000-0000-000036120000}"/>
    <cellStyle name="Comma 5 2 6 2 9" xfId="16014" xr:uid="{00000000-0005-0000-0000-000037120000}"/>
    <cellStyle name="Comma 5 2 6 2 9 2" xfId="41567" xr:uid="{00000000-0005-0000-0000-000038120000}"/>
    <cellStyle name="Comma 5 2 6 3" xfId="343" xr:uid="{00000000-0005-0000-0000-000039120000}"/>
    <cellStyle name="Comma 5 2 6 3 2" xfId="2829" xr:uid="{00000000-0005-0000-0000-00003A120000}"/>
    <cellStyle name="Comma 5 2 6 3 2 2" xfId="12117" xr:uid="{00000000-0005-0000-0000-00003B120000}"/>
    <cellStyle name="Comma 5 2 6 3 2 2 2" xfId="22190" xr:uid="{00000000-0005-0000-0000-00003C120000}"/>
    <cellStyle name="Comma 5 2 6 3 2 2 2 2" xfId="47743" xr:uid="{00000000-0005-0000-0000-00003D120000}"/>
    <cellStyle name="Comma 5 2 6 3 2 2 3" xfId="37672" xr:uid="{00000000-0005-0000-0000-00003E120000}"/>
    <cellStyle name="Comma 5 2 6 3 2 3" xfId="8468" xr:uid="{00000000-0005-0000-0000-00003F120000}"/>
    <cellStyle name="Comma 5 2 6 3 2 3 2" xfId="34025" xr:uid="{00000000-0005-0000-0000-000040120000}"/>
    <cellStyle name="Comma 5 2 6 3 2 4" xfId="17183" xr:uid="{00000000-0005-0000-0000-000041120000}"/>
    <cellStyle name="Comma 5 2 6 3 2 4 2" xfId="42736" xr:uid="{00000000-0005-0000-0000-000042120000}"/>
    <cellStyle name="Comma 5 2 6 3 2 5" xfId="28673" xr:uid="{00000000-0005-0000-0000-000043120000}"/>
    <cellStyle name="Comma 5 2 6 3 3" xfId="4463" xr:uid="{00000000-0005-0000-0000-000044120000}"/>
    <cellStyle name="Comma 5 2 6 3 3 2" xfId="13301" xr:uid="{00000000-0005-0000-0000-000045120000}"/>
    <cellStyle name="Comma 5 2 6 3 3 2 2" xfId="23552" xr:uid="{00000000-0005-0000-0000-000046120000}"/>
    <cellStyle name="Comma 5 2 6 3 3 2 2 2" xfId="49105" xr:uid="{00000000-0005-0000-0000-000047120000}"/>
    <cellStyle name="Comma 5 2 6 3 3 2 3" xfId="38856" xr:uid="{00000000-0005-0000-0000-000048120000}"/>
    <cellStyle name="Comma 5 2 6 3 3 3" xfId="9722" xr:uid="{00000000-0005-0000-0000-000049120000}"/>
    <cellStyle name="Comma 5 2 6 3 3 3 2" xfId="35279" xr:uid="{00000000-0005-0000-0000-00004A120000}"/>
    <cellStyle name="Comma 5 2 6 3 3 4" xfId="18545" xr:uid="{00000000-0005-0000-0000-00004B120000}"/>
    <cellStyle name="Comma 5 2 6 3 3 4 2" xfId="44098" xr:uid="{00000000-0005-0000-0000-00004C120000}"/>
    <cellStyle name="Comma 5 2 6 3 3 5" xfId="30035" xr:uid="{00000000-0005-0000-0000-00004D120000}"/>
    <cellStyle name="Comma 5 2 6 3 4" xfId="1938" xr:uid="{00000000-0005-0000-0000-00004E120000}"/>
    <cellStyle name="Comma 5 2 6 3 4 2" xfId="11303" xr:uid="{00000000-0005-0000-0000-00004F120000}"/>
    <cellStyle name="Comma 5 2 6 3 4 2 2" xfId="36858" xr:uid="{00000000-0005-0000-0000-000050120000}"/>
    <cellStyle name="Comma 5 2 6 3 4 3" xfId="21307" xr:uid="{00000000-0005-0000-0000-000051120000}"/>
    <cellStyle name="Comma 5 2 6 3 4 3 2" xfId="46860" xr:uid="{00000000-0005-0000-0000-000052120000}"/>
    <cellStyle name="Comma 5 2 6 3 4 4" xfId="27790" xr:uid="{00000000-0005-0000-0000-000053120000}"/>
    <cellStyle name="Comma 5 2 6 3 5" xfId="5919" xr:uid="{00000000-0005-0000-0000-000054120000}"/>
    <cellStyle name="Comma 5 2 6 3 5 2" xfId="14746" xr:uid="{00000000-0005-0000-0000-000055120000}"/>
    <cellStyle name="Comma 5 2 6 3 5 2 2" xfId="40301" xr:uid="{00000000-0005-0000-0000-000056120000}"/>
    <cellStyle name="Comma 5 2 6 3 5 3" xfId="24997" xr:uid="{00000000-0005-0000-0000-000057120000}"/>
    <cellStyle name="Comma 5 2 6 3 5 3 2" xfId="50550" xr:uid="{00000000-0005-0000-0000-000058120000}"/>
    <cellStyle name="Comma 5 2 6 3 5 4" xfId="31480" xr:uid="{00000000-0005-0000-0000-000059120000}"/>
    <cellStyle name="Comma 5 2 6 3 6" xfId="7363" xr:uid="{00000000-0005-0000-0000-00005A120000}"/>
    <cellStyle name="Comma 5 2 6 3 6 2" xfId="19789" xr:uid="{00000000-0005-0000-0000-00005B120000}"/>
    <cellStyle name="Comma 5 2 6 3 6 2 2" xfId="45342" xr:uid="{00000000-0005-0000-0000-00005C120000}"/>
    <cellStyle name="Comma 5 2 6 3 6 3" xfId="32920" xr:uid="{00000000-0005-0000-0000-00005D120000}"/>
    <cellStyle name="Comma 5 2 6 3 7" xfId="16300" xr:uid="{00000000-0005-0000-0000-00005E120000}"/>
    <cellStyle name="Comma 5 2 6 3 7 2" xfId="41853" xr:uid="{00000000-0005-0000-0000-00005F120000}"/>
    <cellStyle name="Comma 5 2 6 3 8" xfId="26272" xr:uid="{00000000-0005-0000-0000-000060120000}"/>
    <cellStyle name="Comma 5 2 6 4" xfId="648" xr:uid="{00000000-0005-0000-0000-000061120000}"/>
    <cellStyle name="Comma 5 2 6 4 2" xfId="3134" xr:uid="{00000000-0005-0000-0000-000062120000}"/>
    <cellStyle name="Comma 5 2 6 4 2 2" xfId="12277" xr:uid="{00000000-0005-0000-0000-000063120000}"/>
    <cellStyle name="Comma 5 2 6 4 2 2 2" xfId="22495" xr:uid="{00000000-0005-0000-0000-000064120000}"/>
    <cellStyle name="Comma 5 2 6 4 2 2 2 2" xfId="48048" xr:uid="{00000000-0005-0000-0000-000065120000}"/>
    <cellStyle name="Comma 5 2 6 4 2 2 3" xfId="37832" xr:uid="{00000000-0005-0000-0000-000066120000}"/>
    <cellStyle name="Comma 5 2 6 4 2 3" xfId="8699" xr:uid="{00000000-0005-0000-0000-000067120000}"/>
    <cellStyle name="Comma 5 2 6 4 2 3 2" xfId="34256" xr:uid="{00000000-0005-0000-0000-000068120000}"/>
    <cellStyle name="Comma 5 2 6 4 2 4" xfId="17488" xr:uid="{00000000-0005-0000-0000-000069120000}"/>
    <cellStyle name="Comma 5 2 6 4 2 4 2" xfId="43041" xr:uid="{00000000-0005-0000-0000-00006A120000}"/>
    <cellStyle name="Comma 5 2 6 4 2 5" xfId="28978" xr:uid="{00000000-0005-0000-0000-00006B120000}"/>
    <cellStyle name="Comma 5 2 6 4 3" xfId="4812" xr:uid="{00000000-0005-0000-0000-00006C120000}"/>
    <cellStyle name="Comma 5 2 6 4 3 2" xfId="13649" xr:uid="{00000000-0005-0000-0000-00006D120000}"/>
    <cellStyle name="Comma 5 2 6 4 3 2 2" xfId="23900" xr:uid="{00000000-0005-0000-0000-00006E120000}"/>
    <cellStyle name="Comma 5 2 6 4 3 2 2 2" xfId="49453" xr:uid="{00000000-0005-0000-0000-00006F120000}"/>
    <cellStyle name="Comma 5 2 6 4 3 2 3" xfId="39204" xr:uid="{00000000-0005-0000-0000-000070120000}"/>
    <cellStyle name="Comma 5 2 6 4 3 3" xfId="10070" xr:uid="{00000000-0005-0000-0000-000071120000}"/>
    <cellStyle name="Comma 5 2 6 4 3 3 2" xfId="35627" xr:uid="{00000000-0005-0000-0000-000072120000}"/>
    <cellStyle name="Comma 5 2 6 4 3 4" xfId="18893" xr:uid="{00000000-0005-0000-0000-000073120000}"/>
    <cellStyle name="Comma 5 2 6 4 3 4 2" xfId="44446" xr:uid="{00000000-0005-0000-0000-000074120000}"/>
    <cellStyle name="Comma 5 2 6 4 3 5" xfId="30383" xr:uid="{00000000-0005-0000-0000-000075120000}"/>
    <cellStyle name="Comma 5 2 6 4 4" xfId="2243" xr:uid="{00000000-0005-0000-0000-000076120000}"/>
    <cellStyle name="Comma 5 2 6 4 4 2" xfId="11608" xr:uid="{00000000-0005-0000-0000-000077120000}"/>
    <cellStyle name="Comma 5 2 6 4 4 2 2" xfId="37163" xr:uid="{00000000-0005-0000-0000-000078120000}"/>
    <cellStyle name="Comma 5 2 6 4 4 3" xfId="21612" xr:uid="{00000000-0005-0000-0000-000079120000}"/>
    <cellStyle name="Comma 5 2 6 4 4 3 2" xfId="47165" xr:uid="{00000000-0005-0000-0000-00007A120000}"/>
    <cellStyle name="Comma 5 2 6 4 4 4" xfId="28095" xr:uid="{00000000-0005-0000-0000-00007B120000}"/>
    <cellStyle name="Comma 5 2 6 4 5" xfId="6267" xr:uid="{00000000-0005-0000-0000-00007C120000}"/>
    <cellStyle name="Comma 5 2 6 4 5 2" xfId="15094" xr:uid="{00000000-0005-0000-0000-00007D120000}"/>
    <cellStyle name="Comma 5 2 6 4 5 2 2" xfId="40649" xr:uid="{00000000-0005-0000-0000-00007E120000}"/>
    <cellStyle name="Comma 5 2 6 4 5 3" xfId="25345" xr:uid="{00000000-0005-0000-0000-00007F120000}"/>
    <cellStyle name="Comma 5 2 6 4 5 3 2" xfId="50898" xr:uid="{00000000-0005-0000-0000-000080120000}"/>
    <cellStyle name="Comma 5 2 6 4 5 4" xfId="31828" xr:uid="{00000000-0005-0000-0000-000081120000}"/>
    <cellStyle name="Comma 5 2 6 4 6" xfId="7713" xr:uid="{00000000-0005-0000-0000-000082120000}"/>
    <cellStyle name="Comma 5 2 6 4 6 2" xfId="20094" xr:uid="{00000000-0005-0000-0000-000083120000}"/>
    <cellStyle name="Comma 5 2 6 4 6 2 2" xfId="45647" xr:uid="{00000000-0005-0000-0000-000084120000}"/>
    <cellStyle name="Comma 5 2 6 4 6 3" xfId="33270" xr:uid="{00000000-0005-0000-0000-000085120000}"/>
    <cellStyle name="Comma 5 2 6 4 7" xfId="16605" xr:uid="{00000000-0005-0000-0000-000086120000}"/>
    <cellStyle name="Comma 5 2 6 4 7 2" xfId="42158" xr:uid="{00000000-0005-0000-0000-000087120000}"/>
    <cellStyle name="Comma 5 2 6 4 8" xfId="26577" xr:uid="{00000000-0005-0000-0000-000088120000}"/>
    <cellStyle name="Comma 5 2 6 5" xfId="1115" xr:uid="{00000000-0005-0000-0000-000089120000}"/>
    <cellStyle name="Comma 5 2 6 5 2" xfId="3544" xr:uid="{00000000-0005-0000-0000-00008A120000}"/>
    <cellStyle name="Comma 5 2 6 5 2 2" xfId="12680" xr:uid="{00000000-0005-0000-0000-00008B120000}"/>
    <cellStyle name="Comma 5 2 6 5 2 2 2" xfId="22899" xr:uid="{00000000-0005-0000-0000-00008C120000}"/>
    <cellStyle name="Comma 5 2 6 5 2 2 2 2" xfId="48452" xr:uid="{00000000-0005-0000-0000-00008D120000}"/>
    <cellStyle name="Comma 5 2 6 5 2 2 3" xfId="38235" xr:uid="{00000000-0005-0000-0000-00008E120000}"/>
    <cellStyle name="Comma 5 2 6 5 2 3" xfId="9101" xr:uid="{00000000-0005-0000-0000-00008F120000}"/>
    <cellStyle name="Comma 5 2 6 5 2 3 2" xfId="34658" xr:uid="{00000000-0005-0000-0000-000090120000}"/>
    <cellStyle name="Comma 5 2 6 5 2 4" xfId="17892" xr:uid="{00000000-0005-0000-0000-000091120000}"/>
    <cellStyle name="Comma 5 2 6 5 2 4 2" xfId="43445" xr:uid="{00000000-0005-0000-0000-000092120000}"/>
    <cellStyle name="Comma 5 2 6 5 2 5" xfId="29382" xr:uid="{00000000-0005-0000-0000-000093120000}"/>
    <cellStyle name="Comma 5 2 6 5 3" xfId="5207" xr:uid="{00000000-0005-0000-0000-000094120000}"/>
    <cellStyle name="Comma 5 2 6 5 3 2" xfId="14044" xr:uid="{00000000-0005-0000-0000-000095120000}"/>
    <cellStyle name="Comma 5 2 6 5 3 2 2" xfId="24295" xr:uid="{00000000-0005-0000-0000-000096120000}"/>
    <cellStyle name="Comma 5 2 6 5 3 2 2 2" xfId="49848" xr:uid="{00000000-0005-0000-0000-000097120000}"/>
    <cellStyle name="Comma 5 2 6 5 3 2 3" xfId="39599" xr:uid="{00000000-0005-0000-0000-000098120000}"/>
    <cellStyle name="Comma 5 2 6 5 3 3" xfId="10465" xr:uid="{00000000-0005-0000-0000-000099120000}"/>
    <cellStyle name="Comma 5 2 6 5 3 3 2" xfId="36022" xr:uid="{00000000-0005-0000-0000-00009A120000}"/>
    <cellStyle name="Comma 5 2 6 5 3 4" xfId="19288" xr:uid="{00000000-0005-0000-0000-00009B120000}"/>
    <cellStyle name="Comma 5 2 6 5 3 4 2" xfId="44841" xr:uid="{00000000-0005-0000-0000-00009C120000}"/>
    <cellStyle name="Comma 5 2 6 5 3 5" xfId="30778" xr:uid="{00000000-0005-0000-0000-00009D120000}"/>
    <cellStyle name="Comma 5 2 6 5 4" xfId="1823" xr:uid="{00000000-0005-0000-0000-00009E120000}"/>
    <cellStyle name="Comma 5 2 6 5 4 2" xfId="11191" xr:uid="{00000000-0005-0000-0000-00009F120000}"/>
    <cellStyle name="Comma 5 2 6 5 4 2 2" xfId="36746" xr:uid="{00000000-0005-0000-0000-0000A0120000}"/>
    <cellStyle name="Comma 5 2 6 5 4 3" xfId="21195" xr:uid="{00000000-0005-0000-0000-0000A1120000}"/>
    <cellStyle name="Comma 5 2 6 5 4 3 2" xfId="46748" xr:uid="{00000000-0005-0000-0000-0000A2120000}"/>
    <cellStyle name="Comma 5 2 6 5 4 4" xfId="27678" xr:uid="{00000000-0005-0000-0000-0000A3120000}"/>
    <cellStyle name="Comma 5 2 6 5 5" xfId="6662" xr:uid="{00000000-0005-0000-0000-0000A4120000}"/>
    <cellStyle name="Comma 5 2 6 5 5 2" xfId="15489" xr:uid="{00000000-0005-0000-0000-0000A5120000}"/>
    <cellStyle name="Comma 5 2 6 5 5 2 2" xfId="41044" xr:uid="{00000000-0005-0000-0000-0000A6120000}"/>
    <cellStyle name="Comma 5 2 6 5 5 3" xfId="25740" xr:uid="{00000000-0005-0000-0000-0000A7120000}"/>
    <cellStyle name="Comma 5 2 6 5 5 3 2" xfId="51293" xr:uid="{00000000-0005-0000-0000-0000A8120000}"/>
    <cellStyle name="Comma 5 2 6 5 5 4" xfId="32223" xr:uid="{00000000-0005-0000-0000-0000A9120000}"/>
    <cellStyle name="Comma 5 2 6 5 6" xfId="8108" xr:uid="{00000000-0005-0000-0000-0000AA120000}"/>
    <cellStyle name="Comma 5 2 6 5 6 2" xfId="20498" xr:uid="{00000000-0005-0000-0000-0000AB120000}"/>
    <cellStyle name="Comma 5 2 6 5 6 2 2" xfId="46051" xr:uid="{00000000-0005-0000-0000-0000AC120000}"/>
    <cellStyle name="Comma 5 2 6 5 6 3" xfId="33665" xr:uid="{00000000-0005-0000-0000-0000AD120000}"/>
    <cellStyle name="Comma 5 2 6 5 7" xfId="16188" xr:uid="{00000000-0005-0000-0000-0000AE120000}"/>
    <cellStyle name="Comma 5 2 6 5 7 2" xfId="41741" xr:uid="{00000000-0005-0000-0000-0000AF120000}"/>
    <cellStyle name="Comma 5 2 6 5 8" xfId="26981" xr:uid="{00000000-0005-0000-0000-0000B0120000}"/>
    <cellStyle name="Comma 5 2 6 6" xfId="2717" xr:uid="{00000000-0005-0000-0000-0000B1120000}"/>
    <cellStyle name="Comma 5 2 6 6 2" xfId="12034" xr:uid="{00000000-0005-0000-0000-0000B2120000}"/>
    <cellStyle name="Comma 5 2 6 6 2 2" xfId="22078" xr:uid="{00000000-0005-0000-0000-0000B3120000}"/>
    <cellStyle name="Comma 5 2 6 6 2 2 2" xfId="47631" xr:uid="{00000000-0005-0000-0000-0000B4120000}"/>
    <cellStyle name="Comma 5 2 6 6 2 3" xfId="37589" xr:uid="{00000000-0005-0000-0000-0000B5120000}"/>
    <cellStyle name="Comma 5 2 6 6 3" xfId="8414" xr:uid="{00000000-0005-0000-0000-0000B6120000}"/>
    <cellStyle name="Comma 5 2 6 6 3 2" xfId="33971" xr:uid="{00000000-0005-0000-0000-0000B7120000}"/>
    <cellStyle name="Comma 5 2 6 6 4" xfId="17071" xr:uid="{00000000-0005-0000-0000-0000B8120000}"/>
    <cellStyle name="Comma 5 2 6 6 4 2" xfId="42624" xr:uid="{00000000-0005-0000-0000-0000B9120000}"/>
    <cellStyle name="Comma 5 2 6 6 5" xfId="28561" xr:uid="{00000000-0005-0000-0000-0000BA120000}"/>
    <cellStyle name="Comma 5 2 6 7" xfId="4163" xr:uid="{00000000-0005-0000-0000-0000BB120000}"/>
    <cellStyle name="Comma 5 2 6 7 2" xfId="13001" xr:uid="{00000000-0005-0000-0000-0000BC120000}"/>
    <cellStyle name="Comma 5 2 6 7 2 2" xfId="23252" xr:uid="{00000000-0005-0000-0000-0000BD120000}"/>
    <cellStyle name="Comma 5 2 6 7 2 2 2" xfId="48805" xr:uid="{00000000-0005-0000-0000-0000BE120000}"/>
    <cellStyle name="Comma 5 2 6 7 2 3" xfId="38556" xr:uid="{00000000-0005-0000-0000-0000BF120000}"/>
    <cellStyle name="Comma 5 2 6 7 3" xfId="9422" xr:uid="{00000000-0005-0000-0000-0000C0120000}"/>
    <cellStyle name="Comma 5 2 6 7 3 2" xfId="34979" xr:uid="{00000000-0005-0000-0000-0000C1120000}"/>
    <cellStyle name="Comma 5 2 6 7 4" xfId="18245" xr:uid="{00000000-0005-0000-0000-0000C2120000}"/>
    <cellStyle name="Comma 5 2 6 7 4 2" xfId="43798" xr:uid="{00000000-0005-0000-0000-0000C3120000}"/>
    <cellStyle name="Comma 5 2 6 7 5" xfId="29735" xr:uid="{00000000-0005-0000-0000-0000C4120000}"/>
    <cellStyle name="Comma 5 2 6 8" xfId="1435" xr:uid="{00000000-0005-0000-0000-0000C5120000}"/>
    <cellStyle name="Comma 5 2 6 8 2" xfId="10812" xr:uid="{00000000-0005-0000-0000-0000C6120000}"/>
    <cellStyle name="Comma 5 2 6 8 2 2" xfId="36367" xr:uid="{00000000-0005-0000-0000-0000C7120000}"/>
    <cellStyle name="Comma 5 2 6 8 3" xfId="20816" xr:uid="{00000000-0005-0000-0000-0000C8120000}"/>
    <cellStyle name="Comma 5 2 6 8 3 2" xfId="46369" xr:uid="{00000000-0005-0000-0000-0000C9120000}"/>
    <cellStyle name="Comma 5 2 6 8 4" xfId="27299" xr:uid="{00000000-0005-0000-0000-0000CA120000}"/>
    <cellStyle name="Comma 5 2 6 9" xfId="5619" xr:uid="{00000000-0005-0000-0000-0000CB120000}"/>
    <cellStyle name="Comma 5 2 6 9 2" xfId="14446" xr:uid="{00000000-0005-0000-0000-0000CC120000}"/>
    <cellStyle name="Comma 5 2 6 9 2 2" xfId="40001" xr:uid="{00000000-0005-0000-0000-0000CD120000}"/>
    <cellStyle name="Comma 5 2 6 9 3" xfId="24697" xr:uid="{00000000-0005-0000-0000-0000CE120000}"/>
    <cellStyle name="Comma 5 2 6 9 3 2" xfId="50250" xr:uid="{00000000-0005-0000-0000-0000CF120000}"/>
    <cellStyle name="Comma 5 2 6 9 4" xfId="31180" xr:uid="{00000000-0005-0000-0000-0000D0120000}"/>
    <cellStyle name="Comma 5 2 7" xfId="282" xr:uid="{00000000-0005-0000-0000-0000D1120000}"/>
    <cellStyle name="Comma 5 2 7 10" xfId="16070" xr:uid="{00000000-0005-0000-0000-0000D2120000}"/>
    <cellStyle name="Comma 5 2 7 10 2" xfId="41623" xr:uid="{00000000-0005-0000-0000-0000D3120000}"/>
    <cellStyle name="Comma 5 2 7 11" xfId="26216" xr:uid="{00000000-0005-0000-0000-0000D4120000}"/>
    <cellStyle name="Comma 5 2 7 2" xfId="604" xr:uid="{00000000-0005-0000-0000-0000D5120000}"/>
    <cellStyle name="Comma 5 2 7 2 2" xfId="3090" xr:uid="{00000000-0005-0000-0000-0000D6120000}"/>
    <cellStyle name="Comma 5 2 7 2 2 2" xfId="12233" xr:uid="{00000000-0005-0000-0000-0000D7120000}"/>
    <cellStyle name="Comma 5 2 7 2 2 2 2" xfId="22451" xr:uid="{00000000-0005-0000-0000-0000D8120000}"/>
    <cellStyle name="Comma 5 2 7 2 2 2 2 2" xfId="48004" xr:uid="{00000000-0005-0000-0000-0000D9120000}"/>
    <cellStyle name="Comma 5 2 7 2 2 2 3" xfId="37788" xr:uid="{00000000-0005-0000-0000-0000DA120000}"/>
    <cellStyle name="Comma 5 2 7 2 2 3" xfId="8655" xr:uid="{00000000-0005-0000-0000-0000DB120000}"/>
    <cellStyle name="Comma 5 2 7 2 2 3 2" xfId="34212" xr:uid="{00000000-0005-0000-0000-0000DC120000}"/>
    <cellStyle name="Comma 5 2 7 2 2 4" xfId="17444" xr:uid="{00000000-0005-0000-0000-0000DD120000}"/>
    <cellStyle name="Comma 5 2 7 2 2 4 2" xfId="42997" xr:uid="{00000000-0005-0000-0000-0000DE120000}"/>
    <cellStyle name="Comma 5 2 7 2 2 5" xfId="28934" xr:uid="{00000000-0005-0000-0000-0000DF120000}"/>
    <cellStyle name="Comma 5 2 7 2 3" xfId="4465" xr:uid="{00000000-0005-0000-0000-0000E0120000}"/>
    <cellStyle name="Comma 5 2 7 2 3 2" xfId="13303" xr:uid="{00000000-0005-0000-0000-0000E1120000}"/>
    <cellStyle name="Comma 5 2 7 2 3 2 2" xfId="23554" xr:uid="{00000000-0005-0000-0000-0000E2120000}"/>
    <cellStyle name="Comma 5 2 7 2 3 2 2 2" xfId="49107" xr:uid="{00000000-0005-0000-0000-0000E3120000}"/>
    <cellStyle name="Comma 5 2 7 2 3 2 3" xfId="38858" xr:uid="{00000000-0005-0000-0000-0000E4120000}"/>
    <cellStyle name="Comma 5 2 7 2 3 3" xfId="9724" xr:uid="{00000000-0005-0000-0000-0000E5120000}"/>
    <cellStyle name="Comma 5 2 7 2 3 3 2" xfId="35281" xr:uid="{00000000-0005-0000-0000-0000E6120000}"/>
    <cellStyle name="Comma 5 2 7 2 3 4" xfId="18547" xr:uid="{00000000-0005-0000-0000-0000E7120000}"/>
    <cellStyle name="Comma 5 2 7 2 3 4 2" xfId="44100" xr:uid="{00000000-0005-0000-0000-0000E8120000}"/>
    <cellStyle name="Comma 5 2 7 2 3 5" xfId="30037" xr:uid="{00000000-0005-0000-0000-0000E9120000}"/>
    <cellStyle name="Comma 5 2 7 2 4" xfId="2199" xr:uid="{00000000-0005-0000-0000-0000EA120000}"/>
    <cellStyle name="Comma 5 2 7 2 4 2" xfId="11564" xr:uid="{00000000-0005-0000-0000-0000EB120000}"/>
    <cellStyle name="Comma 5 2 7 2 4 2 2" xfId="37119" xr:uid="{00000000-0005-0000-0000-0000EC120000}"/>
    <cellStyle name="Comma 5 2 7 2 4 3" xfId="21568" xr:uid="{00000000-0005-0000-0000-0000ED120000}"/>
    <cellStyle name="Comma 5 2 7 2 4 3 2" xfId="47121" xr:uid="{00000000-0005-0000-0000-0000EE120000}"/>
    <cellStyle name="Comma 5 2 7 2 4 4" xfId="28051" xr:uid="{00000000-0005-0000-0000-0000EF120000}"/>
    <cellStyle name="Comma 5 2 7 2 5" xfId="5921" xr:uid="{00000000-0005-0000-0000-0000F0120000}"/>
    <cellStyle name="Comma 5 2 7 2 5 2" xfId="14748" xr:uid="{00000000-0005-0000-0000-0000F1120000}"/>
    <cellStyle name="Comma 5 2 7 2 5 2 2" xfId="40303" xr:uid="{00000000-0005-0000-0000-0000F2120000}"/>
    <cellStyle name="Comma 5 2 7 2 5 3" xfId="24999" xr:uid="{00000000-0005-0000-0000-0000F3120000}"/>
    <cellStyle name="Comma 5 2 7 2 5 3 2" xfId="50552" xr:uid="{00000000-0005-0000-0000-0000F4120000}"/>
    <cellStyle name="Comma 5 2 7 2 5 4" xfId="31482" xr:uid="{00000000-0005-0000-0000-0000F5120000}"/>
    <cellStyle name="Comma 5 2 7 2 6" xfId="7365" xr:uid="{00000000-0005-0000-0000-0000F6120000}"/>
    <cellStyle name="Comma 5 2 7 2 6 2" xfId="20050" xr:uid="{00000000-0005-0000-0000-0000F7120000}"/>
    <cellStyle name="Comma 5 2 7 2 6 2 2" xfId="45603" xr:uid="{00000000-0005-0000-0000-0000F8120000}"/>
    <cellStyle name="Comma 5 2 7 2 6 3" xfId="32922" xr:uid="{00000000-0005-0000-0000-0000F9120000}"/>
    <cellStyle name="Comma 5 2 7 2 7" xfId="16561" xr:uid="{00000000-0005-0000-0000-0000FA120000}"/>
    <cellStyle name="Comma 5 2 7 2 7 2" xfId="42114" xr:uid="{00000000-0005-0000-0000-0000FB120000}"/>
    <cellStyle name="Comma 5 2 7 2 8" xfId="26533" xr:uid="{00000000-0005-0000-0000-0000FC120000}"/>
    <cellStyle name="Comma 5 2 7 3" xfId="650" xr:uid="{00000000-0005-0000-0000-0000FD120000}"/>
    <cellStyle name="Comma 5 2 7 3 2" xfId="3136" xr:uid="{00000000-0005-0000-0000-0000FE120000}"/>
    <cellStyle name="Comma 5 2 7 3 2 2" xfId="12279" xr:uid="{00000000-0005-0000-0000-0000FF120000}"/>
    <cellStyle name="Comma 5 2 7 3 2 2 2" xfId="22497" xr:uid="{00000000-0005-0000-0000-000000130000}"/>
    <cellStyle name="Comma 5 2 7 3 2 2 2 2" xfId="48050" xr:uid="{00000000-0005-0000-0000-000001130000}"/>
    <cellStyle name="Comma 5 2 7 3 2 2 3" xfId="37834" xr:uid="{00000000-0005-0000-0000-000002130000}"/>
    <cellStyle name="Comma 5 2 7 3 2 3" xfId="8701" xr:uid="{00000000-0005-0000-0000-000003130000}"/>
    <cellStyle name="Comma 5 2 7 3 2 3 2" xfId="34258" xr:uid="{00000000-0005-0000-0000-000004130000}"/>
    <cellStyle name="Comma 5 2 7 3 2 4" xfId="17490" xr:uid="{00000000-0005-0000-0000-000005130000}"/>
    <cellStyle name="Comma 5 2 7 3 2 4 2" xfId="43043" xr:uid="{00000000-0005-0000-0000-000006130000}"/>
    <cellStyle name="Comma 5 2 7 3 2 5" xfId="28980" xr:uid="{00000000-0005-0000-0000-000007130000}"/>
    <cellStyle name="Comma 5 2 7 3 3" xfId="4814" xr:uid="{00000000-0005-0000-0000-000008130000}"/>
    <cellStyle name="Comma 5 2 7 3 3 2" xfId="13651" xr:uid="{00000000-0005-0000-0000-000009130000}"/>
    <cellStyle name="Comma 5 2 7 3 3 2 2" xfId="23902" xr:uid="{00000000-0005-0000-0000-00000A130000}"/>
    <cellStyle name="Comma 5 2 7 3 3 2 2 2" xfId="49455" xr:uid="{00000000-0005-0000-0000-00000B130000}"/>
    <cellStyle name="Comma 5 2 7 3 3 2 3" xfId="39206" xr:uid="{00000000-0005-0000-0000-00000C130000}"/>
    <cellStyle name="Comma 5 2 7 3 3 3" xfId="10072" xr:uid="{00000000-0005-0000-0000-00000D130000}"/>
    <cellStyle name="Comma 5 2 7 3 3 3 2" xfId="35629" xr:uid="{00000000-0005-0000-0000-00000E130000}"/>
    <cellStyle name="Comma 5 2 7 3 3 4" xfId="18895" xr:uid="{00000000-0005-0000-0000-00000F130000}"/>
    <cellStyle name="Comma 5 2 7 3 3 4 2" xfId="44448" xr:uid="{00000000-0005-0000-0000-000010130000}"/>
    <cellStyle name="Comma 5 2 7 3 3 5" xfId="30385" xr:uid="{00000000-0005-0000-0000-000011130000}"/>
    <cellStyle name="Comma 5 2 7 3 4" xfId="2245" xr:uid="{00000000-0005-0000-0000-000012130000}"/>
    <cellStyle name="Comma 5 2 7 3 4 2" xfId="11610" xr:uid="{00000000-0005-0000-0000-000013130000}"/>
    <cellStyle name="Comma 5 2 7 3 4 2 2" xfId="37165" xr:uid="{00000000-0005-0000-0000-000014130000}"/>
    <cellStyle name="Comma 5 2 7 3 4 3" xfId="21614" xr:uid="{00000000-0005-0000-0000-000015130000}"/>
    <cellStyle name="Comma 5 2 7 3 4 3 2" xfId="47167" xr:uid="{00000000-0005-0000-0000-000016130000}"/>
    <cellStyle name="Comma 5 2 7 3 4 4" xfId="28097" xr:uid="{00000000-0005-0000-0000-000017130000}"/>
    <cellStyle name="Comma 5 2 7 3 5" xfId="6269" xr:uid="{00000000-0005-0000-0000-000018130000}"/>
    <cellStyle name="Comma 5 2 7 3 5 2" xfId="15096" xr:uid="{00000000-0005-0000-0000-000019130000}"/>
    <cellStyle name="Comma 5 2 7 3 5 2 2" xfId="40651" xr:uid="{00000000-0005-0000-0000-00001A130000}"/>
    <cellStyle name="Comma 5 2 7 3 5 3" xfId="25347" xr:uid="{00000000-0005-0000-0000-00001B130000}"/>
    <cellStyle name="Comma 5 2 7 3 5 3 2" xfId="50900" xr:uid="{00000000-0005-0000-0000-00001C130000}"/>
    <cellStyle name="Comma 5 2 7 3 5 4" xfId="31830" xr:uid="{00000000-0005-0000-0000-00001D130000}"/>
    <cellStyle name="Comma 5 2 7 3 6" xfId="7715" xr:uid="{00000000-0005-0000-0000-00001E130000}"/>
    <cellStyle name="Comma 5 2 7 3 6 2" xfId="20096" xr:uid="{00000000-0005-0000-0000-00001F130000}"/>
    <cellStyle name="Comma 5 2 7 3 6 2 2" xfId="45649" xr:uid="{00000000-0005-0000-0000-000020130000}"/>
    <cellStyle name="Comma 5 2 7 3 6 3" xfId="33272" xr:uid="{00000000-0005-0000-0000-000021130000}"/>
    <cellStyle name="Comma 5 2 7 3 7" xfId="16607" xr:uid="{00000000-0005-0000-0000-000022130000}"/>
    <cellStyle name="Comma 5 2 7 3 7 2" xfId="42160" xr:uid="{00000000-0005-0000-0000-000023130000}"/>
    <cellStyle name="Comma 5 2 7 3 8" xfId="26579" xr:uid="{00000000-0005-0000-0000-000024130000}"/>
    <cellStyle name="Comma 5 2 7 4" xfId="1376" xr:uid="{00000000-0005-0000-0000-000025130000}"/>
    <cellStyle name="Comma 5 2 7 4 2" xfId="3805" xr:uid="{00000000-0005-0000-0000-000026130000}"/>
    <cellStyle name="Comma 5 2 7 4 2 2" xfId="12941" xr:uid="{00000000-0005-0000-0000-000027130000}"/>
    <cellStyle name="Comma 5 2 7 4 2 2 2" xfId="23160" xr:uid="{00000000-0005-0000-0000-000028130000}"/>
    <cellStyle name="Comma 5 2 7 4 2 2 2 2" xfId="48713" xr:uid="{00000000-0005-0000-0000-000029130000}"/>
    <cellStyle name="Comma 5 2 7 4 2 2 3" xfId="38496" xr:uid="{00000000-0005-0000-0000-00002A130000}"/>
    <cellStyle name="Comma 5 2 7 4 2 3" xfId="9362" xr:uid="{00000000-0005-0000-0000-00002B130000}"/>
    <cellStyle name="Comma 5 2 7 4 2 3 2" xfId="34919" xr:uid="{00000000-0005-0000-0000-00002C130000}"/>
    <cellStyle name="Comma 5 2 7 4 2 4" xfId="18153" xr:uid="{00000000-0005-0000-0000-00002D130000}"/>
    <cellStyle name="Comma 5 2 7 4 2 4 2" xfId="43706" xr:uid="{00000000-0005-0000-0000-00002E130000}"/>
    <cellStyle name="Comma 5 2 7 4 2 5" xfId="29643" xr:uid="{00000000-0005-0000-0000-00002F130000}"/>
    <cellStyle name="Comma 5 2 7 4 3" xfId="5468" xr:uid="{00000000-0005-0000-0000-000030130000}"/>
    <cellStyle name="Comma 5 2 7 4 3 2" xfId="14305" xr:uid="{00000000-0005-0000-0000-000031130000}"/>
    <cellStyle name="Comma 5 2 7 4 3 2 2" xfId="24556" xr:uid="{00000000-0005-0000-0000-000032130000}"/>
    <cellStyle name="Comma 5 2 7 4 3 2 2 2" xfId="50109" xr:uid="{00000000-0005-0000-0000-000033130000}"/>
    <cellStyle name="Comma 5 2 7 4 3 2 3" xfId="39860" xr:uid="{00000000-0005-0000-0000-000034130000}"/>
    <cellStyle name="Comma 5 2 7 4 3 3" xfId="10726" xr:uid="{00000000-0005-0000-0000-000035130000}"/>
    <cellStyle name="Comma 5 2 7 4 3 3 2" xfId="36283" xr:uid="{00000000-0005-0000-0000-000036130000}"/>
    <cellStyle name="Comma 5 2 7 4 3 4" xfId="19549" xr:uid="{00000000-0005-0000-0000-000037130000}"/>
    <cellStyle name="Comma 5 2 7 4 3 4 2" xfId="45102" xr:uid="{00000000-0005-0000-0000-000038130000}"/>
    <cellStyle name="Comma 5 2 7 4 3 5" xfId="31039" xr:uid="{00000000-0005-0000-0000-000039130000}"/>
    <cellStyle name="Comma 5 2 7 4 4" xfId="1879" xr:uid="{00000000-0005-0000-0000-00003A130000}"/>
    <cellStyle name="Comma 5 2 7 4 4 2" xfId="11247" xr:uid="{00000000-0005-0000-0000-00003B130000}"/>
    <cellStyle name="Comma 5 2 7 4 4 2 2" xfId="36802" xr:uid="{00000000-0005-0000-0000-00003C130000}"/>
    <cellStyle name="Comma 5 2 7 4 4 3" xfId="21251" xr:uid="{00000000-0005-0000-0000-00003D130000}"/>
    <cellStyle name="Comma 5 2 7 4 4 3 2" xfId="46804" xr:uid="{00000000-0005-0000-0000-00003E130000}"/>
    <cellStyle name="Comma 5 2 7 4 4 4" xfId="27734" xr:uid="{00000000-0005-0000-0000-00003F130000}"/>
    <cellStyle name="Comma 5 2 7 4 5" xfId="6923" xr:uid="{00000000-0005-0000-0000-000040130000}"/>
    <cellStyle name="Comma 5 2 7 4 5 2" xfId="15750" xr:uid="{00000000-0005-0000-0000-000041130000}"/>
    <cellStyle name="Comma 5 2 7 4 5 2 2" xfId="41305" xr:uid="{00000000-0005-0000-0000-000042130000}"/>
    <cellStyle name="Comma 5 2 7 4 5 3" xfId="26001" xr:uid="{00000000-0005-0000-0000-000043130000}"/>
    <cellStyle name="Comma 5 2 7 4 5 3 2" xfId="51554" xr:uid="{00000000-0005-0000-0000-000044130000}"/>
    <cellStyle name="Comma 5 2 7 4 5 4" xfId="32484" xr:uid="{00000000-0005-0000-0000-000045130000}"/>
    <cellStyle name="Comma 5 2 7 4 6" xfId="8369" xr:uid="{00000000-0005-0000-0000-000046130000}"/>
    <cellStyle name="Comma 5 2 7 4 6 2" xfId="20759" xr:uid="{00000000-0005-0000-0000-000047130000}"/>
    <cellStyle name="Comma 5 2 7 4 6 2 2" xfId="46312" xr:uid="{00000000-0005-0000-0000-000048130000}"/>
    <cellStyle name="Comma 5 2 7 4 6 3" xfId="33926" xr:uid="{00000000-0005-0000-0000-000049130000}"/>
    <cellStyle name="Comma 5 2 7 4 7" xfId="16244" xr:uid="{00000000-0005-0000-0000-00004A130000}"/>
    <cellStyle name="Comma 5 2 7 4 7 2" xfId="41797" xr:uid="{00000000-0005-0000-0000-00004B130000}"/>
    <cellStyle name="Comma 5 2 7 4 8" xfId="27242" xr:uid="{00000000-0005-0000-0000-00004C130000}"/>
    <cellStyle name="Comma 5 2 7 5" xfId="2773" xr:uid="{00000000-0005-0000-0000-00004D130000}"/>
    <cellStyle name="Comma 5 2 7 5 2" xfId="12090" xr:uid="{00000000-0005-0000-0000-00004E130000}"/>
    <cellStyle name="Comma 5 2 7 5 2 2" xfId="22134" xr:uid="{00000000-0005-0000-0000-00004F130000}"/>
    <cellStyle name="Comma 5 2 7 5 2 2 2" xfId="47687" xr:uid="{00000000-0005-0000-0000-000050130000}"/>
    <cellStyle name="Comma 5 2 7 5 2 3" xfId="37645" xr:uid="{00000000-0005-0000-0000-000051130000}"/>
    <cellStyle name="Comma 5 2 7 5 3" xfId="8534" xr:uid="{00000000-0005-0000-0000-000052130000}"/>
    <cellStyle name="Comma 5 2 7 5 3 2" xfId="34091" xr:uid="{00000000-0005-0000-0000-000053130000}"/>
    <cellStyle name="Comma 5 2 7 5 4" xfId="17127" xr:uid="{00000000-0005-0000-0000-000054130000}"/>
    <cellStyle name="Comma 5 2 7 5 4 2" xfId="42680" xr:uid="{00000000-0005-0000-0000-000055130000}"/>
    <cellStyle name="Comma 5 2 7 5 5" xfId="28617" xr:uid="{00000000-0005-0000-0000-000056130000}"/>
    <cellStyle name="Comma 5 2 7 6" xfId="4424" xr:uid="{00000000-0005-0000-0000-000057130000}"/>
    <cellStyle name="Comma 5 2 7 6 2" xfId="13262" xr:uid="{00000000-0005-0000-0000-000058130000}"/>
    <cellStyle name="Comma 5 2 7 6 2 2" xfId="23513" xr:uid="{00000000-0005-0000-0000-000059130000}"/>
    <cellStyle name="Comma 5 2 7 6 2 2 2" xfId="49066" xr:uid="{00000000-0005-0000-0000-00005A130000}"/>
    <cellStyle name="Comma 5 2 7 6 2 3" xfId="38817" xr:uid="{00000000-0005-0000-0000-00005B130000}"/>
    <cellStyle name="Comma 5 2 7 6 3" xfId="9683" xr:uid="{00000000-0005-0000-0000-00005C130000}"/>
    <cellStyle name="Comma 5 2 7 6 3 2" xfId="35240" xr:uid="{00000000-0005-0000-0000-00005D130000}"/>
    <cellStyle name="Comma 5 2 7 6 4" xfId="18506" xr:uid="{00000000-0005-0000-0000-00005E130000}"/>
    <cellStyle name="Comma 5 2 7 6 4 2" xfId="44059" xr:uid="{00000000-0005-0000-0000-00005F130000}"/>
    <cellStyle name="Comma 5 2 7 6 5" xfId="29996" xr:uid="{00000000-0005-0000-0000-000060130000}"/>
    <cellStyle name="Comma 5 2 7 7" xfId="1696" xr:uid="{00000000-0005-0000-0000-000061130000}"/>
    <cellStyle name="Comma 5 2 7 7 2" xfId="11073" xr:uid="{00000000-0005-0000-0000-000062130000}"/>
    <cellStyle name="Comma 5 2 7 7 2 2" xfId="36628" xr:uid="{00000000-0005-0000-0000-000063130000}"/>
    <cellStyle name="Comma 5 2 7 7 3" xfId="21077" xr:uid="{00000000-0005-0000-0000-000064130000}"/>
    <cellStyle name="Comma 5 2 7 7 3 2" xfId="46630" xr:uid="{00000000-0005-0000-0000-000065130000}"/>
    <cellStyle name="Comma 5 2 7 7 4" xfId="27560" xr:uid="{00000000-0005-0000-0000-000066130000}"/>
    <cellStyle name="Comma 5 2 7 8" xfId="5880" xr:uid="{00000000-0005-0000-0000-000067130000}"/>
    <cellStyle name="Comma 5 2 7 8 2" xfId="14707" xr:uid="{00000000-0005-0000-0000-000068130000}"/>
    <cellStyle name="Comma 5 2 7 8 2 2" xfId="40262" xr:uid="{00000000-0005-0000-0000-000069130000}"/>
    <cellStyle name="Comma 5 2 7 8 3" xfId="24958" xr:uid="{00000000-0005-0000-0000-00006A130000}"/>
    <cellStyle name="Comma 5 2 7 8 3 2" xfId="50511" xr:uid="{00000000-0005-0000-0000-00006B130000}"/>
    <cellStyle name="Comma 5 2 7 8 4" xfId="31441" xr:uid="{00000000-0005-0000-0000-00006C130000}"/>
    <cellStyle name="Comma 5 2 7 9" xfId="7324" xr:uid="{00000000-0005-0000-0000-00006D130000}"/>
    <cellStyle name="Comma 5 2 7 9 2" xfId="19733" xr:uid="{00000000-0005-0000-0000-00006E130000}"/>
    <cellStyle name="Comma 5 2 7 9 2 2" xfId="45286" xr:uid="{00000000-0005-0000-0000-00006F130000}"/>
    <cellStyle name="Comma 5 2 7 9 3" xfId="32881" xr:uid="{00000000-0005-0000-0000-000070130000}"/>
    <cellStyle name="Comma 5 2 8" xfId="443" xr:uid="{00000000-0005-0000-0000-000071130000}"/>
    <cellStyle name="Comma 5 2 8 10" xfId="26372" xr:uid="{00000000-0005-0000-0000-000072130000}"/>
    <cellStyle name="Comma 5 2 8 2" xfId="651" xr:uid="{00000000-0005-0000-0000-000073130000}"/>
    <cellStyle name="Comma 5 2 8 2 2" xfId="3137" xr:uid="{00000000-0005-0000-0000-000074130000}"/>
    <cellStyle name="Comma 5 2 8 2 2 2" xfId="12280" xr:uid="{00000000-0005-0000-0000-000075130000}"/>
    <cellStyle name="Comma 5 2 8 2 2 2 2" xfId="22498" xr:uid="{00000000-0005-0000-0000-000076130000}"/>
    <cellStyle name="Comma 5 2 8 2 2 2 2 2" xfId="48051" xr:uid="{00000000-0005-0000-0000-000077130000}"/>
    <cellStyle name="Comma 5 2 8 2 2 2 3" xfId="37835" xr:uid="{00000000-0005-0000-0000-000078130000}"/>
    <cellStyle name="Comma 5 2 8 2 2 3" xfId="8702" xr:uid="{00000000-0005-0000-0000-000079130000}"/>
    <cellStyle name="Comma 5 2 8 2 2 3 2" xfId="34259" xr:uid="{00000000-0005-0000-0000-00007A130000}"/>
    <cellStyle name="Comma 5 2 8 2 2 4" xfId="17491" xr:uid="{00000000-0005-0000-0000-00007B130000}"/>
    <cellStyle name="Comma 5 2 8 2 2 4 2" xfId="43044" xr:uid="{00000000-0005-0000-0000-00007C130000}"/>
    <cellStyle name="Comma 5 2 8 2 2 5" xfId="28981" xr:uid="{00000000-0005-0000-0000-00007D130000}"/>
    <cellStyle name="Comma 5 2 8 2 3" xfId="4466" xr:uid="{00000000-0005-0000-0000-00007E130000}"/>
    <cellStyle name="Comma 5 2 8 2 3 2" xfId="13304" xr:uid="{00000000-0005-0000-0000-00007F130000}"/>
    <cellStyle name="Comma 5 2 8 2 3 2 2" xfId="23555" xr:uid="{00000000-0005-0000-0000-000080130000}"/>
    <cellStyle name="Comma 5 2 8 2 3 2 2 2" xfId="49108" xr:uid="{00000000-0005-0000-0000-000081130000}"/>
    <cellStyle name="Comma 5 2 8 2 3 2 3" xfId="38859" xr:uid="{00000000-0005-0000-0000-000082130000}"/>
    <cellStyle name="Comma 5 2 8 2 3 3" xfId="9725" xr:uid="{00000000-0005-0000-0000-000083130000}"/>
    <cellStyle name="Comma 5 2 8 2 3 3 2" xfId="35282" xr:uid="{00000000-0005-0000-0000-000084130000}"/>
    <cellStyle name="Comma 5 2 8 2 3 4" xfId="18548" xr:uid="{00000000-0005-0000-0000-000085130000}"/>
    <cellStyle name="Comma 5 2 8 2 3 4 2" xfId="44101" xr:uid="{00000000-0005-0000-0000-000086130000}"/>
    <cellStyle name="Comma 5 2 8 2 3 5" xfId="30038" xr:uid="{00000000-0005-0000-0000-000087130000}"/>
    <cellStyle name="Comma 5 2 8 2 4" xfId="2246" xr:uid="{00000000-0005-0000-0000-000088130000}"/>
    <cellStyle name="Comma 5 2 8 2 4 2" xfId="11611" xr:uid="{00000000-0005-0000-0000-000089130000}"/>
    <cellStyle name="Comma 5 2 8 2 4 2 2" xfId="37166" xr:uid="{00000000-0005-0000-0000-00008A130000}"/>
    <cellStyle name="Comma 5 2 8 2 4 3" xfId="21615" xr:uid="{00000000-0005-0000-0000-00008B130000}"/>
    <cellStyle name="Comma 5 2 8 2 4 3 2" xfId="47168" xr:uid="{00000000-0005-0000-0000-00008C130000}"/>
    <cellStyle name="Comma 5 2 8 2 4 4" xfId="28098" xr:uid="{00000000-0005-0000-0000-00008D130000}"/>
    <cellStyle name="Comma 5 2 8 2 5" xfId="5922" xr:uid="{00000000-0005-0000-0000-00008E130000}"/>
    <cellStyle name="Comma 5 2 8 2 5 2" xfId="14749" xr:uid="{00000000-0005-0000-0000-00008F130000}"/>
    <cellStyle name="Comma 5 2 8 2 5 2 2" xfId="40304" xr:uid="{00000000-0005-0000-0000-000090130000}"/>
    <cellStyle name="Comma 5 2 8 2 5 3" xfId="25000" xr:uid="{00000000-0005-0000-0000-000091130000}"/>
    <cellStyle name="Comma 5 2 8 2 5 3 2" xfId="50553" xr:uid="{00000000-0005-0000-0000-000092130000}"/>
    <cellStyle name="Comma 5 2 8 2 5 4" xfId="31483" xr:uid="{00000000-0005-0000-0000-000093130000}"/>
    <cellStyle name="Comma 5 2 8 2 6" xfId="7366" xr:uid="{00000000-0005-0000-0000-000094130000}"/>
    <cellStyle name="Comma 5 2 8 2 6 2" xfId="20097" xr:uid="{00000000-0005-0000-0000-000095130000}"/>
    <cellStyle name="Comma 5 2 8 2 6 2 2" xfId="45650" xr:uid="{00000000-0005-0000-0000-000096130000}"/>
    <cellStyle name="Comma 5 2 8 2 6 3" xfId="32923" xr:uid="{00000000-0005-0000-0000-000097130000}"/>
    <cellStyle name="Comma 5 2 8 2 7" xfId="16608" xr:uid="{00000000-0005-0000-0000-000098130000}"/>
    <cellStyle name="Comma 5 2 8 2 7 2" xfId="42161" xr:uid="{00000000-0005-0000-0000-000099130000}"/>
    <cellStyle name="Comma 5 2 8 2 8" xfId="26580" xr:uid="{00000000-0005-0000-0000-00009A130000}"/>
    <cellStyle name="Comma 5 2 8 3" xfId="1215" xr:uid="{00000000-0005-0000-0000-00009B130000}"/>
    <cellStyle name="Comma 5 2 8 3 2" xfId="3644" xr:uid="{00000000-0005-0000-0000-00009C130000}"/>
    <cellStyle name="Comma 5 2 8 3 2 2" xfId="12780" xr:uid="{00000000-0005-0000-0000-00009D130000}"/>
    <cellStyle name="Comma 5 2 8 3 2 2 2" xfId="22999" xr:uid="{00000000-0005-0000-0000-00009E130000}"/>
    <cellStyle name="Comma 5 2 8 3 2 2 2 2" xfId="48552" xr:uid="{00000000-0005-0000-0000-00009F130000}"/>
    <cellStyle name="Comma 5 2 8 3 2 2 3" xfId="38335" xr:uid="{00000000-0005-0000-0000-0000A0130000}"/>
    <cellStyle name="Comma 5 2 8 3 2 3" xfId="9201" xr:uid="{00000000-0005-0000-0000-0000A1130000}"/>
    <cellStyle name="Comma 5 2 8 3 2 3 2" xfId="34758" xr:uid="{00000000-0005-0000-0000-0000A2130000}"/>
    <cellStyle name="Comma 5 2 8 3 2 4" xfId="17992" xr:uid="{00000000-0005-0000-0000-0000A3130000}"/>
    <cellStyle name="Comma 5 2 8 3 2 4 2" xfId="43545" xr:uid="{00000000-0005-0000-0000-0000A4130000}"/>
    <cellStyle name="Comma 5 2 8 3 2 5" xfId="29482" xr:uid="{00000000-0005-0000-0000-0000A5130000}"/>
    <cellStyle name="Comma 5 2 8 3 3" xfId="4815" xr:uid="{00000000-0005-0000-0000-0000A6130000}"/>
    <cellStyle name="Comma 5 2 8 3 3 2" xfId="13652" xr:uid="{00000000-0005-0000-0000-0000A7130000}"/>
    <cellStyle name="Comma 5 2 8 3 3 2 2" xfId="23903" xr:uid="{00000000-0005-0000-0000-0000A8130000}"/>
    <cellStyle name="Comma 5 2 8 3 3 2 2 2" xfId="49456" xr:uid="{00000000-0005-0000-0000-0000A9130000}"/>
    <cellStyle name="Comma 5 2 8 3 3 2 3" xfId="39207" xr:uid="{00000000-0005-0000-0000-0000AA130000}"/>
    <cellStyle name="Comma 5 2 8 3 3 3" xfId="10073" xr:uid="{00000000-0005-0000-0000-0000AB130000}"/>
    <cellStyle name="Comma 5 2 8 3 3 3 2" xfId="35630" xr:uid="{00000000-0005-0000-0000-0000AC130000}"/>
    <cellStyle name="Comma 5 2 8 3 3 4" xfId="18896" xr:uid="{00000000-0005-0000-0000-0000AD130000}"/>
    <cellStyle name="Comma 5 2 8 3 3 4 2" xfId="44449" xr:uid="{00000000-0005-0000-0000-0000AE130000}"/>
    <cellStyle name="Comma 5 2 8 3 3 5" xfId="30386" xr:uid="{00000000-0005-0000-0000-0000AF130000}"/>
    <cellStyle name="Comma 5 2 8 3 4" xfId="2038" xr:uid="{00000000-0005-0000-0000-0000B0130000}"/>
    <cellStyle name="Comma 5 2 8 3 4 2" xfId="11403" xr:uid="{00000000-0005-0000-0000-0000B1130000}"/>
    <cellStyle name="Comma 5 2 8 3 4 2 2" xfId="36958" xr:uid="{00000000-0005-0000-0000-0000B2130000}"/>
    <cellStyle name="Comma 5 2 8 3 4 3" xfId="21407" xr:uid="{00000000-0005-0000-0000-0000B3130000}"/>
    <cellStyle name="Comma 5 2 8 3 4 3 2" xfId="46960" xr:uid="{00000000-0005-0000-0000-0000B4130000}"/>
    <cellStyle name="Comma 5 2 8 3 4 4" xfId="27890" xr:uid="{00000000-0005-0000-0000-0000B5130000}"/>
    <cellStyle name="Comma 5 2 8 3 5" xfId="6270" xr:uid="{00000000-0005-0000-0000-0000B6130000}"/>
    <cellStyle name="Comma 5 2 8 3 5 2" xfId="15097" xr:uid="{00000000-0005-0000-0000-0000B7130000}"/>
    <cellStyle name="Comma 5 2 8 3 5 2 2" xfId="40652" xr:uid="{00000000-0005-0000-0000-0000B8130000}"/>
    <cellStyle name="Comma 5 2 8 3 5 3" xfId="25348" xr:uid="{00000000-0005-0000-0000-0000B9130000}"/>
    <cellStyle name="Comma 5 2 8 3 5 3 2" xfId="50901" xr:uid="{00000000-0005-0000-0000-0000BA130000}"/>
    <cellStyle name="Comma 5 2 8 3 5 4" xfId="31831" xr:uid="{00000000-0005-0000-0000-0000BB130000}"/>
    <cellStyle name="Comma 5 2 8 3 6" xfId="7716" xr:uid="{00000000-0005-0000-0000-0000BC130000}"/>
    <cellStyle name="Comma 5 2 8 3 6 2" xfId="20598" xr:uid="{00000000-0005-0000-0000-0000BD130000}"/>
    <cellStyle name="Comma 5 2 8 3 6 2 2" xfId="46151" xr:uid="{00000000-0005-0000-0000-0000BE130000}"/>
    <cellStyle name="Comma 5 2 8 3 6 3" xfId="33273" xr:uid="{00000000-0005-0000-0000-0000BF130000}"/>
    <cellStyle name="Comma 5 2 8 3 7" xfId="16400" xr:uid="{00000000-0005-0000-0000-0000C0130000}"/>
    <cellStyle name="Comma 5 2 8 3 7 2" xfId="41953" xr:uid="{00000000-0005-0000-0000-0000C1130000}"/>
    <cellStyle name="Comma 5 2 8 3 8" xfId="27081" xr:uid="{00000000-0005-0000-0000-0000C2130000}"/>
    <cellStyle name="Comma 5 2 8 4" xfId="2929" xr:uid="{00000000-0005-0000-0000-0000C3130000}"/>
    <cellStyle name="Comma 5 2 8 4 2" xfId="5307" xr:uid="{00000000-0005-0000-0000-0000C4130000}"/>
    <cellStyle name="Comma 5 2 8 4 2 2" xfId="14144" xr:uid="{00000000-0005-0000-0000-0000C5130000}"/>
    <cellStyle name="Comma 5 2 8 4 2 2 2" xfId="24395" xr:uid="{00000000-0005-0000-0000-0000C6130000}"/>
    <cellStyle name="Comma 5 2 8 4 2 2 2 2" xfId="49948" xr:uid="{00000000-0005-0000-0000-0000C7130000}"/>
    <cellStyle name="Comma 5 2 8 4 2 2 3" xfId="39699" xr:uid="{00000000-0005-0000-0000-0000C8130000}"/>
    <cellStyle name="Comma 5 2 8 4 2 3" xfId="10565" xr:uid="{00000000-0005-0000-0000-0000C9130000}"/>
    <cellStyle name="Comma 5 2 8 4 2 3 2" xfId="36122" xr:uid="{00000000-0005-0000-0000-0000CA130000}"/>
    <cellStyle name="Comma 5 2 8 4 2 4" xfId="19388" xr:uid="{00000000-0005-0000-0000-0000CB130000}"/>
    <cellStyle name="Comma 5 2 8 4 2 4 2" xfId="44941" xr:uid="{00000000-0005-0000-0000-0000CC130000}"/>
    <cellStyle name="Comma 5 2 8 4 2 5" xfId="30878" xr:uid="{00000000-0005-0000-0000-0000CD130000}"/>
    <cellStyle name="Comma 5 2 8 4 3" xfId="6762" xr:uid="{00000000-0005-0000-0000-0000CE130000}"/>
    <cellStyle name="Comma 5 2 8 4 3 2" xfId="15589" xr:uid="{00000000-0005-0000-0000-0000CF130000}"/>
    <cellStyle name="Comma 5 2 8 4 3 2 2" xfId="41144" xr:uid="{00000000-0005-0000-0000-0000D0130000}"/>
    <cellStyle name="Comma 5 2 8 4 3 3" xfId="25840" xr:uid="{00000000-0005-0000-0000-0000D1130000}"/>
    <cellStyle name="Comma 5 2 8 4 3 3 2" xfId="51393" xr:uid="{00000000-0005-0000-0000-0000D2130000}"/>
    <cellStyle name="Comma 5 2 8 4 3 4" xfId="32323" xr:uid="{00000000-0005-0000-0000-0000D3130000}"/>
    <cellStyle name="Comma 5 2 8 4 4" xfId="8208" xr:uid="{00000000-0005-0000-0000-0000D4130000}"/>
    <cellStyle name="Comma 5 2 8 4 4 2" xfId="22290" xr:uid="{00000000-0005-0000-0000-0000D5130000}"/>
    <cellStyle name="Comma 5 2 8 4 4 2 2" xfId="47843" xr:uid="{00000000-0005-0000-0000-0000D6130000}"/>
    <cellStyle name="Comma 5 2 8 4 4 3" xfId="33765" xr:uid="{00000000-0005-0000-0000-0000D7130000}"/>
    <cellStyle name="Comma 5 2 8 4 5" xfId="17283" xr:uid="{00000000-0005-0000-0000-0000D8130000}"/>
    <cellStyle name="Comma 5 2 8 4 5 2" xfId="42836" xr:uid="{00000000-0005-0000-0000-0000D9130000}"/>
    <cellStyle name="Comma 5 2 8 4 6" xfId="28773" xr:uid="{00000000-0005-0000-0000-0000DA130000}"/>
    <cellStyle name="Comma 5 2 8 5" xfId="4263" xr:uid="{00000000-0005-0000-0000-0000DB130000}"/>
    <cellStyle name="Comma 5 2 8 5 2" xfId="13101" xr:uid="{00000000-0005-0000-0000-0000DC130000}"/>
    <cellStyle name="Comma 5 2 8 5 2 2" xfId="23352" xr:uid="{00000000-0005-0000-0000-0000DD130000}"/>
    <cellStyle name="Comma 5 2 8 5 2 2 2" xfId="48905" xr:uid="{00000000-0005-0000-0000-0000DE130000}"/>
    <cellStyle name="Comma 5 2 8 5 2 3" xfId="38656" xr:uid="{00000000-0005-0000-0000-0000DF130000}"/>
    <cellStyle name="Comma 5 2 8 5 3" xfId="9522" xr:uid="{00000000-0005-0000-0000-0000E0130000}"/>
    <cellStyle name="Comma 5 2 8 5 3 2" xfId="35079" xr:uid="{00000000-0005-0000-0000-0000E1130000}"/>
    <cellStyle name="Comma 5 2 8 5 4" xfId="18345" xr:uid="{00000000-0005-0000-0000-0000E2130000}"/>
    <cellStyle name="Comma 5 2 8 5 4 2" xfId="43898" xr:uid="{00000000-0005-0000-0000-0000E3130000}"/>
    <cellStyle name="Comma 5 2 8 5 5" xfId="29835" xr:uid="{00000000-0005-0000-0000-0000E4130000}"/>
    <cellStyle name="Comma 5 2 8 6" xfId="1535" xr:uid="{00000000-0005-0000-0000-0000E5130000}"/>
    <cellStyle name="Comma 5 2 8 6 2" xfId="10912" xr:uid="{00000000-0005-0000-0000-0000E6130000}"/>
    <cellStyle name="Comma 5 2 8 6 2 2" xfId="36467" xr:uid="{00000000-0005-0000-0000-0000E7130000}"/>
    <cellStyle name="Comma 5 2 8 6 3" xfId="20916" xr:uid="{00000000-0005-0000-0000-0000E8130000}"/>
    <cellStyle name="Comma 5 2 8 6 3 2" xfId="46469" xr:uid="{00000000-0005-0000-0000-0000E9130000}"/>
    <cellStyle name="Comma 5 2 8 6 4" xfId="27399" xr:uid="{00000000-0005-0000-0000-0000EA130000}"/>
    <cellStyle name="Comma 5 2 8 7" xfId="5719" xr:uid="{00000000-0005-0000-0000-0000EB130000}"/>
    <cellStyle name="Comma 5 2 8 7 2" xfId="14546" xr:uid="{00000000-0005-0000-0000-0000EC130000}"/>
    <cellStyle name="Comma 5 2 8 7 2 2" xfId="40101" xr:uid="{00000000-0005-0000-0000-0000ED130000}"/>
    <cellStyle name="Comma 5 2 8 7 3" xfId="24797" xr:uid="{00000000-0005-0000-0000-0000EE130000}"/>
    <cellStyle name="Comma 5 2 8 7 3 2" xfId="50350" xr:uid="{00000000-0005-0000-0000-0000EF130000}"/>
    <cellStyle name="Comma 5 2 8 7 4" xfId="31280" xr:uid="{00000000-0005-0000-0000-0000F0130000}"/>
    <cellStyle name="Comma 5 2 8 8" xfId="7163" xr:uid="{00000000-0005-0000-0000-0000F1130000}"/>
    <cellStyle name="Comma 5 2 8 8 2" xfId="19889" xr:uid="{00000000-0005-0000-0000-0000F2130000}"/>
    <cellStyle name="Comma 5 2 8 8 2 2" xfId="45442" xr:uid="{00000000-0005-0000-0000-0000F3130000}"/>
    <cellStyle name="Comma 5 2 8 8 3" xfId="32720" xr:uid="{00000000-0005-0000-0000-0000F4130000}"/>
    <cellStyle name="Comma 5 2 8 9" xfId="15909" xr:uid="{00000000-0005-0000-0000-0000F5130000}"/>
    <cellStyle name="Comma 5 2 8 9 2" xfId="41462" xr:uid="{00000000-0005-0000-0000-0000F6130000}"/>
    <cellStyle name="Comma 5 2 9" xfId="304" xr:uid="{00000000-0005-0000-0000-0000F7130000}"/>
    <cellStyle name="Comma 5 2 9 10" xfId="26233" xr:uid="{00000000-0005-0000-0000-0000F8130000}"/>
    <cellStyle name="Comma 5 2 9 2" xfId="652" xr:uid="{00000000-0005-0000-0000-0000F9130000}"/>
    <cellStyle name="Comma 5 2 9 2 2" xfId="3138" xr:uid="{00000000-0005-0000-0000-0000FA130000}"/>
    <cellStyle name="Comma 5 2 9 2 2 2" xfId="12281" xr:uid="{00000000-0005-0000-0000-0000FB130000}"/>
    <cellStyle name="Comma 5 2 9 2 2 2 2" xfId="22499" xr:uid="{00000000-0005-0000-0000-0000FC130000}"/>
    <cellStyle name="Comma 5 2 9 2 2 2 2 2" xfId="48052" xr:uid="{00000000-0005-0000-0000-0000FD130000}"/>
    <cellStyle name="Comma 5 2 9 2 2 2 3" xfId="37836" xr:uid="{00000000-0005-0000-0000-0000FE130000}"/>
    <cellStyle name="Comma 5 2 9 2 2 3" xfId="8703" xr:uid="{00000000-0005-0000-0000-0000FF130000}"/>
    <cellStyle name="Comma 5 2 9 2 2 3 2" xfId="34260" xr:uid="{00000000-0005-0000-0000-000000140000}"/>
    <cellStyle name="Comma 5 2 9 2 2 4" xfId="17492" xr:uid="{00000000-0005-0000-0000-000001140000}"/>
    <cellStyle name="Comma 5 2 9 2 2 4 2" xfId="43045" xr:uid="{00000000-0005-0000-0000-000002140000}"/>
    <cellStyle name="Comma 5 2 9 2 2 5" xfId="28982" xr:uid="{00000000-0005-0000-0000-000003140000}"/>
    <cellStyle name="Comma 5 2 9 2 3" xfId="4467" xr:uid="{00000000-0005-0000-0000-000004140000}"/>
    <cellStyle name="Comma 5 2 9 2 3 2" xfId="13305" xr:uid="{00000000-0005-0000-0000-000005140000}"/>
    <cellStyle name="Comma 5 2 9 2 3 2 2" xfId="23556" xr:uid="{00000000-0005-0000-0000-000006140000}"/>
    <cellStyle name="Comma 5 2 9 2 3 2 2 2" xfId="49109" xr:uid="{00000000-0005-0000-0000-000007140000}"/>
    <cellStyle name="Comma 5 2 9 2 3 2 3" xfId="38860" xr:uid="{00000000-0005-0000-0000-000008140000}"/>
    <cellStyle name="Comma 5 2 9 2 3 3" xfId="9726" xr:uid="{00000000-0005-0000-0000-000009140000}"/>
    <cellStyle name="Comma 5 2 9 2 3 3 2" xfId="35283" xr:uid="{00000000-0005-0000-0000-00000A140000}"/>
    <cellStyle name="Comma 5 2 9 2 3 4" xfId="18549" xr:uid="{00000000-0005-0000-0000-00000B140000}"/>
    <cellStyle name="Comma 5 2 9 2 3 4 2" xfId="44102" xr:uid="{00000000-0005-0000-0000-00000C140000}"/>
    <cellStyle name="Comma 5 2 9 2 3 5" xfId="30039" xr:uid="{00000000-0005-0000-0000-00000D140000}"/>
    <cellStyle name="Comma 5 2 9 2 4" xfId="2247" xr:uid="{00000000-0005-0000-0000-00000E140000}"/>
    <cellStyle name="Comma 5 2 9 2 4 2" xfId="11612" xr:uid="{00000000-0005-0000-0000-00000F140000}"/>
    <cellStyle name="Comma 5 2 9 2 4 2 2" xfId="37167" xr:uid="{00000000-0005-0000-0000-000010140000}"/>
    <cellStyle name="Comma 5 2 9 2 4 3" xfId="21616" xr:uid="{00000000-0005-0000-0000-000011140000}"/>
    <cellStyle name="Comma 5 2 9 2 4 3 2" xfId="47169" xr:uid="{00000000-0005-0000-0000-000012140000}"/>
    <cellStyle name="Comma 5 2 9 2 4 4" xfId="28099" xr:uid="{00000000-0005-0000-0000-000013140000}"/>
    <cellStyle name="Comma 5 2 9 2 5" xfId="5923" xr:uid="{00000000-0005-0000-0000-000014140000}"/>
    <cellStyle name="Comma 5 2 9 2 5 2" xfId="14750" xr:uid="{00000000-0005-0000-0000-000015140000}"/>
    <cellStyle name="Comma 5 2 9 2 5 2 2" xfId="40305" xr:uid="{00000000-0005-0000-0000-000016140000}"/>
    <cellStyle name="Comma 5 2 9 2 5 3" xfId="25001" xr:uid="{00000000-0005-0000-0000-000017140000}"/>
    <cellStyle name="Comma 5 2 9 2 5 3 2" xfId="50554" xr:uid="{00000000-0005-0000-0000-000018140000}"/>
    <cellStyle name="Comma 5 2 9 2 5 4" xfId="31484" xr:uid="{00000000-0005-0000-0000-000019140000}"/>
    <cellStyle name="Comma 5 2 9 2 6" xfId="7367" xr:uid="{00000000-0005-0000-0000-00001A140000}"/>
    <cellStyle name="Comma 5 2 9 2 6 2" xfId="20098" xr:uid="{00000000-0005-0000-0000-00001B140000}"/>
    <cellStyle name="Comma 5 2 9 2 6 2 2" xfId="45651" xr:uid="{00000000-0005-0000-0000-00001C140000}"/>
    <cellStyle name="Comma 5 2 9 2 6 3" xfId="32924" xr:uid="{00000000-0005-0000-0000-00001D140000}"/>
    <cellStyle name="Comma 5 2 9 2 7" xfId="16609" xr:uid="{00000000-0005-0000-0000-00001E140000}"/>
    <cellStyle name="Comma 5 2 9 2 7 2" xfId="42162" xr:uid="{00000000-0005-0000-0000-00001F140000}"/>
    <cellStyle name="Comma 5 2 9 2 8" xfId="26581" xr:uid="{00000000-0005-0000-0000-000020140000}"/>
    <cellStyle name="Comma 5 2 9 3" xfId="1076" xr:uid="{00000000-0005-0000-0000-000021140000}"/>
    <cellStyle name="Comma 5 2 9 3 2" xfId="3505" xr:uid="{00000000-0005-0000-0000-000022140000}"/>
    <cellStyle name="Comma 5 2 9 3 2 2" xfId="12641" xr:uid="{00000000-0005-0000-0000-000023140000}"/>
    <cellStyle name="Comma 5 2 9 3 2 2 2" xfId="22860" xr:uid="{00000000-0005-0000-0000-000024140000}"/>
    <cellStyle name="Comma 5 2 9 3 2 2 2 2" xfId="48413" xr:uid="{00000000-0005-0000-0000-000025140000}"/>
    <cellStyle name="Comma 5 2 9 3 2 2 3" xfId="38196" xr:uid="{00000000-0005-0000-0000-000026140000}"/>
    <cellStyle name="Comma 5 2 9 3 2 3" xfId="9063" xr:uid="{00000000-0005-0000-0000-000027140000}"/>
    <cellStyle name="Comma 5 2 9 3 2 3 2" xfId="34620" xr:uid="{00000000-0005-0000-0000-000028140000}"/>
    <cellStyle name="Comma 5 2 9 3 2 4" xfId="17853" xr:uid="{00000000-0005-0000-0000-000029140000}"/>
    <cellStyle name="Comma 5 2 9 3 2 4 2" xfId="43406" xr:uid="{00000000-0005-0000-0000-00002A140000}"/>
    <cellStyle name="Comma 5 2 9 3 2 5" xfId="29343" xr:uid="{00000000-0005-0000-0000-00002B140000}"/>
    <cellStyle name="Comma 5 2 9 3 3" xfId="4816" xr:uid="{00000000-0005-0000-0000-00002C140000}"/>
    <cellStyle name="Comma 5 2 9 3 3 2" xfId="13653" xr:uid="{00000000-0005-0000-0000-00002D140000}"/>
    <cellStyle name="Comma 5 2 9 3 3 2 2" xfId="23904" xr:uid="{00000000-0005-0000-0000-00002E140000}"/>
    <cellStyle name="Comma 5 2 9 3 3 2 2 2" xfId="49457" xr:uid="{00000000-0005-0000-0000-00002F140000}"/>
    <cellStyle name="Comma 5 2 9 3 3 2 3" xfId="39208" xr:uid="{00000000-0005-0000-0000-000030140000}"/>
    <cellStyle name="Comma 5 2 9 3 3 3" xfId="10074" xr:uid="{00000000-0005-0000-0000-000031140000}"/>
    <cellStyle name="Comma 5 2 9 3 3 3 2" xfId="35631" xr:uid="{00000000-0005-0000-0000-000032140000}"/>
    <cellStyle name="Comma 5 2 9 3 3 4" xfId="18897" xr:uid="{00000000-0005-0000-0000-000033140000}"/>
    <cellStyle name="Comma 5 2 9 3 3 4 2" xfId="44450" xr:uid="{00000000-0005-0000-0000-000034140000}"/>
    <cellStyle name="Comma 5 2 9 3 3 5" xfId="30387" xr:uid="{00000000-0005-0000-0000-000035140000}"/>
    <cellStyle name="Comma 5 2 9 3 4" xfId="2578" xr:uid="{00000000-0005-0000-0000-000036140000}"/>
    <cellStyle name="Comma 5 2 9 3 4 2" xfId="11942" xr:uid="{00000000-0005-0000-0000-000037140000}"/>
    <cellStyle name="Comma 5 2 9 3 4 2 2" xfId="37497" xr:uid="{00000000-0005-0000-0000-000038140000}"/>
    <cellStyle name="Comma 5 2 9 3 4 3" xfId="21946" xr:uid="{00000000-0005-0000-0000-000039140000}"/>
    <cellStyle name="Comma 5 2 9 3 4 3 2" xfId="47499" xr:uid="{00000000-0005-0000-0000-00003A140000}"/>
    <cellStyle name="Comma 5 2 9 3 4 4" xfId="28429" xr:uid="{00000000-0005-0000-0000-00003B140000}"/>
    <cellStyle name="Comma 5 2 9 3 5" xfId="6271" xr:uid="{00000000-0005-0000-0000-00003C140000}"/>
    <cellStyle name="Comma 5 2 9 3 5 2" xfId="15098" xr:uid="{00000000-0005-0000-0000-00003D140000}"/>
    <cellStyle name="Comma 5 2 9 3 5 2 2" xfId="40653" xr:uid="{00000000-0005-0000-0000-00003E140000}"/>
    <cellStyle name="Comma 5 2 9 3 5 3" xfId="25349" xr:uid="{00000000-0005-0000-0000-00003F140000}"/>
    <cellStyle name="Comma 5 2 9 3 5 3 2" xfId="50902" xr:uid="{00000000-0005-0000-0000-000040140000}"/>
    <cellStyle name="Comma 5 2 9 3 5 4" xfId="31832" xr:uid="{00000000-0005-0000-0000-000041140000}"/>
    <cellStyle name="Comma 5 2 9 3 6" xfId="7717" xr:uid="{00000000-0005-0000-0000-000042140000}"/>
    <cellStyle name="Comma 5 2 9 3 6 2" xfId="20459" xr:uid="{00000000-0005-0000-0000-000043140000}"/>
    <cellStyle name="Comma 5 2 9 3 6 2 2" xfId="46012" xr:uid="{00000000-0005-0000-0000-000044140000}"/>
    <cellStyle name="Comma 5 2 9 3 6 3" xfId="33274" xr:uid="{00000000-0005-0000-0000-000045140000}"/>
    <cellStyle name="Comma 5 2 9 3 7" xfId="16939" xr:uid="{00000000-0005-0000-0000-000046140000}"/>
    <cellStyle name="Comma 5 2 9 3 7 2" xfId="42492" xr:uid="{00000000-0005-0000-0000-000047140000}"/>
    <cellStyle name="Comma 5 2 9 3 8" xfId="26942" xr:uid="{00000000-0005-0000-0000-000048140000}"/>
    <cellStyle name="Comma 5 2 9 4" xfId="2790" xr:uid="{00000000-0005-0000-0000-000049140000}"/>
    <cellStyle name="Comma 5 2 9 4 2" xfId="5168" xr:uid="{00000000-0005-0000-0000-00004A140000}"/>
    <cellStyle name="Comma 5 2 9 4 2 2" xfId="14005" xr:uid="{00000000-0005-0000-0000-00004B140000}"/>
    <cellStyle name="Comma 5 2 9 4 2 2 2" xfId="24256" xr:uid="{00000000-0005-0000-0000-00004C140000}"/>
    <cellStyle name="Comma 5 2 9 4 2 2 2 2" xfId="49809" xr:uid="{00000000-0005-0000-0000-00004D140000}"/>
    <cellStyle name="Comma 5 2 9 4 2 2 3" xfId="39560" xr:uid="{00000000-0005-0000-0000-00004E140000}"/>
    <cellStyle name="Comma 5 2 9 4 2 3" xfId="10426" xr:uid="{00000000-0005-0000-0000-00004F140000}"/>
    <cellStyle name="Comma 5 2 9 4 2 3 2" xfId="35983" xr:uid="{00000000-0005-0000-0000-000050140000}"/>
    <cellStyle name="Comma 5 2 9 4 2 4" xfId="19249" xr:uid="{00000000-0005-0000-0000-000051140000}"/>
    <cellStyle name="Comma 5 2 9 4 2 4 2" xfId="44802" xr:uid="{00000000-0005-0000-0000-000052140000}"/>
    <cellStyle name="Comma 5 2 9 4 2 5" xfId="30739" xr:uid="{00000000-0005-0000-0000-000053140000}"/>
    <cellStyle name="Comma 5 2 9 4 3" xfId="6623" xr:uid="{00000000-0005-0000-0000-000054140000}"/>
    <cellStyle name="Comma 5 2 9 4 3 2" xfId="15450" xr:uid="{00000000-0005-0000-0000-000055140000}"/>
    <cellStyle name="Comma 5 2 9 4 3 2 2" xfId="41005" xr:uid="{00000000-0005-0000-0000-000056140000}"/>
    <cellStyle name="Comma 5 2 9 4 3 3" xfId="25701" xr:uid="{00000000-0005-0000-0000-000057140000}"/>
    <cellStyle name="Comma 5 2 9 4 3 3 2" xfId="51254" xr:uid="{00000000-0005-0000-0000-000058140000}"/>
    <cellStyle name="Comma 5 2 9 4 3 4" xfId="32184" xr:uid="{00000000-0005-0000-0000-000059140000}"/>
    <cellStyle name="Comma 5 2 9 4 4" xfId="8069" xr:uid="{00000000-0005-0000-0000-00005A140000}"/>
    <cellStyle name="Comma 5 2 9 4 4 2" xfId="22151" xr:uid="{00000000-0005-0000-0000-00005B140000}"/>
    <cellStyle name="Comma 5 2 9 4 4 2 2" xfId="47704" xr:uid="{00000000-0005-0000-0000-00005C140000}"/>
    <cellStyle name="Comma 5 2 9 4 4 3" xfId="33626" xr:uid="{00000000-0005-0000-0000-00005D140000}"/>
    <cellStyle name="Comma 5 2 9 4 5" xfId="17144" xr:uid="{00000000-0005-0000-0000-00005E140000}"/>
    <cellStyle name="Comma 5 2 9 4 5 2" xfId="42697" xr:uid="{00000000-0005-0000-0000-00005F140000}"/>
    <cellStyle name="Comma 5 2 9 4 6" xfId="28634" xr:uid="{00000000-0005-0000-0000-000060140000}"/>
    <cellStyle name="Comma 5 2 9 5" xfId="4122" xr:uid="{00000000-0005-0000-0000-000061140000}"/>
    <cellStyle name="Comma 5 2 9 5 2" xfId="12960" xr:uid="{00000000-0005-0000-0000-000062140000}"/>
    <cellStyle name="Comma 5 2 9 5 2 2" xfId="23211" xr:uid="{00000000-0005-0000-0000-000063140000}"/>
    <cellStyle name="Comma 5 2 9 5 2 2 2" xfId="48764" xr:uid="{00000000-0005-0000-0000-000064140000}"/>
    <cellStyle name="Comma 5 2 9 5 2 3" xfId="38515" xr:uid="{00000000-0005-0000-0000-000065140000}"/>
    <cellStyle name="Comma 5 2 9 5 3" xfId="9381" xr:uid="{00000000-0005-0000-0000-000066140000}"/>
    <cellStyle name="Comma 5 2 9 5 3 2" xfId="34938" xr:uid="{00000000-0005-0000-0000-000067140000}"/>
    <cellStyle name="Comma 5 2 9 5 4" xfId="18204" xr:uid="{00000000-0005-0000-0000-000068140000}"/>
    <cellStyle name="Comma 5 2 9 5 4 2" xfId="43757" xr:uid="{00000000-0005-0000-0000-000069140000}"/>
    <cellStyle name="Comma 5 2 9 5 5" xfId="29694" xr:uid="{00000000-0005-0000-0000-00006A140000}"/>
    <cellStyle name="Comma 5 2 9 6" xfId="1899" xr:uid="{00000000-0005-0000-0000-00006B140000}"/>
    <cellStyle name="Comma 5 2 9 6 2" xfId="11264" xr:uid="{00000000-0005-0000-0000-00006C140000}"/>
    <cellStyle name="Comma 5 2 9 6 2 2" xfId="36819" xr:uid="{00000000-0005-0000-0000-00006D140000}"/>
    <cellStyle name="Comma 5 2 9 6 3" xfId="21268" xr:uid="{00000000-0005-0000-0000-00006E140000}"/>
    <cellStyle name="Comma 5 2 9 6 3 2" xfId="46821" xr:uid="{00000000-0005-0000-0000-00006F140000}"/>
    <cellStyle name="Comma 5 2 9 6 4" xfId="27751" xr:uid="{00000000-0005-0000-0000-000070140000}"/>
    <cellStyle name="Comma 5 2 9 7" xfId="5580" xr:uid="{00000000-0005-0000-0000-000071140000}"/>
    <cellStyle name="Comma 5 2 9 7 2" xfId="14407" xr:uid="{00000000-0005-0000-0000-000072140000}"/>
    <cellStyle name="Comma 5 2 9 7 2 2" xfId="39962" xr:uid="{00000000-0005-0000-0000-000073140000}"/>
    <cellStyle name="Comma 5 2 9 7 3" xfId="24658" xr:uid="{00000000-0005-0000-0000-000074140000}"/>
    <cellStyle name="Comma 5 2 9 7 3 2" xfId="50211" xr:uid="{00000000-0005-0000-0000-000075140000}"/>
    <cellStyle name="Comma 5 2 9 7 4" xfId="31141" xr:uid="{00000000-0005-0000-0000-000076140000}"/>
    <cellStyle name="Comma 5 2 9 8" xfId="7024" xr:uid="{00000000-0005-0000-0000-000077140000}"/>
    <cellStyle name="Comma 5 2 9 8 2" xfId="19750" xr:uid="{00000000-0005-0000-0000-000078140000}"/>
    <cellStyle name="Comma 5 2 9 8 2 2" xfId="45303" xr:uid="{00000000-0005-0000-0000-000079140000}"/>
    <cellStyle name="Comma 5 2 9 8 3" xfId="32581" xr:uid="{00000000-0005-0000-0000-00007A140000}"/>
    <cellStyle name="Comma 5 2 9 9" xfId="16261" xr:uid="{00000000-0005-0000-0000-00007B140000}"/>
    <cellStyle name="Comma 5 2 9 9 2" xfId="41814" xr:uid="{00000000-0005-0000-0000-00007C140000}"/>
    <cellStyle name="Comma 5 3" xfId="111" xr:uid="{00000000-0005-0000-0000-00007D140000}"/>
    <cellStyle name="Comma 5 3 10" xfId="4101" xr:uid="{00000000-0005-0000-0000-00007E140000}"/>
    <cellStyle name="Comma 5 3 10 2" xfId="5559" xr:uid="{00000000-0005-0000-0000-00007F140000}"/>
    <cellStyle name="Comma 5 3 10 2 2" xfId="14386" xr:uid="{00000000-0005-0000-0000-000080140000}"/>
    <cellStyle name="Comma 5 3 10 2 2 2" xfId="39941" xr:uid="{00000000-0005-0000-0000-000081140000}"/>
    <cellStyle name="Comma 5 3 10 2 3" xfId="24637" xr:uid="{00000000-0005-0000-0000-000082140000}"/>
    <cellStyle name="Comma 5 3 10 2 3 2" xfId="50190" xr:uid="{00000000-0005-0000-0000-000083140000}"/>
    <cellStyle name="Comma 5 3 10 2 4" xfId="31120" xr:uid="{00000000-0005-0000-0000-000084140000}"/>
    <cellStyle name="Comma 5 3 10 3" xfId="7003" xr:uid="{00000000-0005-0000-0000-000085140000}"/>
    <cellStyle name="Comma 5 3 10 3 2" xfId="23190" xr:uid="{00000000-0005-0000-0000-000086140000}"/>
    <cellStyle name="Comma 5 3 10 3 2 2" xfId="48743" xr:uid="{00000000-0005-0000-0000-000087140000}"/>
    <cellStyle name="Comma 5 3 10 3 3" xfId="32560" xr:uid="{00000000-0005-0000-0000-000088140000}"/>
    <cellStyle name="Comma 5 3 10 4" xfId="18183" xr:uid="{00000000-0005-0000-0000-000089140000}"/>
    <cellStyle name="Comma 5 3 10 4 2" xfId="43736" xr:uid="{00000000-0005-0000-0000-00008A140000}"/>
    <cellStyle name="Comma 5 3 10 5" xfId="29673" xr:uid="{00000000-0005-0000-0000-00008B140000}"/>
    <cellStyle name="Comma 5 3 11" xfId="1420" xr:uid="{00000000-0005-0000-0000-00008C140000}"/>
    <cellStyle name="Comma 5 3 11 2" xfId="10797" xr:uid="{00000000-0005-0000-0000-00008D140000}"/>
    <cellStyle name="Comma 5 3 11 2 2" xfId="36352" xr:uid="{00000000-0005-0000-0000-00008E140000}"/>
    <cellStyle name="Comma 5 3 11 3" xfId="20801" xr:uid="{00000000-0005-0000-0000-00008F140000}"/>
    <cellStyle name="Comma 5 3 11 3 2" xfId="46354" xr:uid="{00000000-0005-0000-0000-000090140000}"/>
    <cellStyle name="Comma 5 3 11 4" xfId="27284" xr:uid="{00000000-0005-0000-0000-000091140000}"/>
    <cellStyle name="Comma 5 3 12" xfId="5529" xr:uid="{00000000-0005-0000-0000-000092140000}"/>
    <cellStyle name="Comma 5 3 12 2" xfId="14356" xr:uid="{00000000-0005-0000-0000-000093140000}"/>
    <cellStyle name="Comma 5 3 12 2 2" xfId="39911" xr:uid="{00000000-0005-0000-0000-000094140000}"/>
    <cellStyle name="Comma 5 3 12 3" xfId="24607" xr:uid="{00000000-0005-0000-0000-000095140000}"/>
    <cellStyle name="Comma 5 3 12 3 2" xfId="50160" xr:uid="{00000000-0005-0000-0000-000096140000}"/>
    <cellStyle name="Comma 5 3 12 4" xfId="31090" xr:uid="{00000000-0005-0000-0000-000097140000}"/>
    <cellStyle name="Comma 5 3 13" xfId="6973" xr:uid="{00000000-0005-0000-0000-000098140000}"/>
    <cellStyle name="Comma 5 3 13 2" xfId="19584" xr:uid="{00000000-0005-0000-0000-000099140000}"/>
    <cellStyle name="Comma 5 3 13 2 2" xfId="45137" xr:uid="{00000000-0005-0000-0000-00009A140000}"/>
    <cellStyle name="Comma 5 3 13 3" xfId="32530" xr:uid="{00000000-0005-0000-0000-00009B140000}"/>
    <cellStyle name="Comma 5 3 14" xfId="15794" xr:uid="{00000000-0005-0000-0000-00009C140000}"/>
    <cellStyle name="Comma 5 3 14 2" xfId="41347" xr:uid="{00000000-0005-0000-0000-00009D140000}"/>
    <cellStyle name="Comma 5 3 15" xfId="26067" xr:uid="{00000000-0005-0000-0000-00009E140000}"/>
    <cellStyle name="Comma 5 3 2" xfId="155" xr:uid="{00000000-0005-0000-0000-00009F140000}"/>
    <cellStyle name="Comma 5 3 2 10" xfId="5661" xr:uid="{00000000-0005-0000-0000-0000A0140000}"/>
    <cellStyle name="Comma 5 3 2 10 2" xfId="14488" xr:uid="{00000000-0005-0000-0000-0000A1140000}"/>
    <cellStyle name="Comma 5 3 2 10 2 2" xfId="40043" xr:uid="{00000000-0005-0000-0000-0000A2140000}"/>
    <cellStyle name="Comma 5 3 2 10 3" xfId="24739" xr:uid="{00000000-0005-0000-0000-0000A3140000}"/>
    <cellStyle name="Comma 5 3 2 10 3 2" xfId="50292" xr:uid="{00000000-0005-0000-0000-0000A4140000}"/>
    <cellStyle name="Comma 5 3 2 10 4" xfId="31222" xr:uid="{00000000-0005-0000-0000-0000A5140000}"/>
    <cellStyle name="Comma 5 3 2 11" xfId="7105" xr:uid="{00000000-0005-0000-0000-0000A6140000}"/>
    <cellStyle name="Comma 5 3 2 11 2" xfId="19614" xr:uid="{00000000-0005-0000-0000-0000A7140000}"/>
    <cellStyle name="Comma 5 3 2 11 2 2" xfId="45167" xr:uid="{00000000-0005-0000-0000-0000A8140000}"/>
    <cellStyle name="Comma 5 3 2 11 3" xfId="32662" xr:uid="{00000000-0005-0000-0000-0000A9140000}"/>
    <cellStyle name="Comma 5 3 2 12" xfId="15851" xr:uid="{00000000-0005-0000-0000-0000AA140000}"/>
    <cellStyle name="Comma 5 3 2 12 2" xfId="41404" xr:uid="{00000000-0005-0000-0000-0000AB140000}"/>
    <cellStyle name="Comma 5 3 2 13" xfId="26097" xr:uid="{00000000-0005-0000-0000-0000AC140000}"/>
    <cellStyle name="Comma 5 3 2 2" xfId="267" xr:uid="{00000000-0005-0000-0000-0000AD140000}"/>
    <cellStyle name="Comma 5 3 2 2 10" xfId="16055" xr:uid="{00000000-0005-0000-0000-0000AE140000}"/>
    <cellStyle name="Comma 5 3 2 2 10 2" xfId="41608" xr:uid="{00000000-0005-0000-0000-0000AF140000}"/>
    <cellStyle name="Comma 5 3 2 2 11" xfId="26201" xr:uid="{00000000-0005-0000-0000-0000B0140000}"/>
    <cellStyle name="Comma 5 3 2 2 2" xfId="589" xr:uid="{00000000-0005-0000-0000-0000B1140000}"/>
    <cellStyle name="Comma 5 3 2 2 2 2" xfId="3075" xr:uid="{00000000-0005-0000-0000-0000B2140000}"/>
    <cellStyle name="Comma 5 3 2 2 2 2 2" xfId="12222" xr:uid="{00000000-0005-0000-0000-0000B3140000}"/>
    <cellStyle name="Comma 5 3 2 2 2 2 2 2" xfId="22436" xr:uid="{00000000-0005-0000-0000-0000B4140000}"/>
    <cellStyle name="Comma 5 3 2 2 2 2 2 2 2" xfId="47989" xr:uid="{00000000-0005-0000-0000-0000B5140000}"/>
    <cellStyle name="Comma 5 3 2 2 2 2 2 3" xfId="37777" xr:uid="{00000000-0005-0000-0000-0000B6140000}"/>
    <cellStyle name="Comma 5 3 2 2 2 2 3" xfId="8644" xr:uid="{00000000-0005-0000-0000-0000B7140000}"/>
    <cellStyle name="Comma 5 3 2 2 2 2 3 2" xfId="34201" xr:uid="{00000000-0005-0000-0000-0000B8140000}"/>
    <cellStyle name="Comma 5 3 2 2 2 2 4" xfId="17429" xr:uid="{00000000-0005-0000-0000-0000B9140000}"/>
    <cellStyle name="Comma 5 3 2 2 2 2 4 2" xfId="42982" xr:uid="{00000000-0005-0000-0000-0000BA140000}"/>
    <cellStyle name="Comma 5 3 2 2 2 2 5" xfId="28919" xr:uid="{00000000-0005-0000-0000-0000BB140000}"/>
    <cellStyle name="Comma 5 3 2 2 2 3" xfId="4470" xr:uid="{00000000-0005-0000-0000-0000BC140000}"/>
    <cellStyle name="Comma 5 3 2 2 2 3 2" xfId="13308" xr:uid="{00000000-0005-0000-0000-0000BD140000}"/>
    <cellStyle name="Comma 5 3 2 2 2 3 2 2" xfId="23559" xr:uid="{00000000-0005-0000-0000-0000BE140000}"/>
    <cellStyle name="Comma 5 3 2 2 2 3 2 2 2" xfId="49112" xr:uid="{00000000-0005-0000-0000-0000BF140000}"/>
    <cellStyle name="Comma 5 3 2 2 2 3 2 3" xfId="38863" xr:uid="{00000000-0005-0000-0000-0000C0140000}"/>
    <cellStyle name="Comma 5 3 2 2 2 3 3" xfId="9729" xr:uid="{00000000-0005-0000-0000-0000C1140000}"/>
    <cellStyle name="Comma 5 3 2 2 2 3 3 2" xfId="35286" xr:uid="{00000000-0005-0000-0000-0000C2140000}"/>
    <cellStyle name="Comma 5 3 2 2 2 3 4" xfId="18552" xr:uid="{00000000-0005-0000-0000-0000C3140000}"/>
    <cellStyle name="Comma 5 3 2 2 2 3 4 2" xfId="44105" xr:uid="{00000000-0005-0000-0000-0000C4140000}"/>
    <cellStyle name="Comma 5 3 2 2 2 3 5" xfId="30042" xr:uid="{00000000-0005-0000-0000-0000C5140000}"/>
    <cellStyle name="Comma 5 3 2 2 2 4" xfId="2184" xr:uid="{00000000-0005-0000-0000-0000C6140000}"/>
    <cellStyle name="Comma 5 3 2 2 2 4 2" xfId="11549" xr:uid="{00000000-0005-0000-0000-0000C7140000}"/>
    <cellStyle name="Comma 5 3 2 2 2 4 2 2" xfId="37104" xr:uid="{00000000-0005-0000-0000-0000C8140000}"/>
    <cellStyle name="Comma 5 3 2 2 2 4 3" xfId="21553" xr:uid="{00000000-0005-0000-0000-0000C9140000}"/>
    <cellStyle name="Comma 5 3 2 2 2 4 3 2" xfId="47106" xr:uid="{00000000-0005-0000-0000-0000CA140000}"/>
    <cellStyle name="Comma 5 3 2 2 2 4 4" xfId="28036" xr:uid="{00000000-0005-0000-0000-0000CB140000}"/>
    <cellStyle name="Comma 5 3 2 2 2 5" xfId="5926" xr:uid="{00000000-0005-0000-0000-0000CC140000}"/>
    <cellStyle name="Comma 5 3 2 2 2 5 2" xfId="14753" xr:uid="{00000000-0005-0000-0000-0000CD140000}"/>
    <cellStyle name="Comma 5 3 2 2 2 5 2 2" xfId="40308" xr:uid="{00000000-0005-0000-0000-0000CE140000}"/>
    <cellStyle name="Comma 5 3 2 2 2 5 3" xfId="25004" xr:uid="{00000000-0005-0000-0000-0000CF140000}"/>
    <cellStyle name="Comma 5 3 2 2 2 5 3 2" xfId="50557" xr:uid="{00000000-0005-0000-0000-0000D0140000}"/>
    <cellStyle name="Comma 5 3 2 2 2 5 4" xfId="31487" xr:uid="{00000000-0005-0000-0000-0000D1140000}"/>
    <cellStyle name="Comma 5 3 2 2 2 6" xfId="7370" xr:uid="{00000000-0005-0000-0000-0000D2140000}"/>
    <cellStyle name="Comma 5 3 2 2 2 6 2" xfId="20035" xr:uid="{00000000-0005-0000-0000-0000D3140000}"/>
    <cellStyle name="Comma 5 3 2 2 2 6 2 2" xfId="45588" xr:uid="{00000000-0005-0000-0000-0000D4140000}"/>
    <cellStyle name="Comma 5 3 2 2 2 6 3" xfId="32927" xr:uid="{00000000-0005-0000-0000-0000D5140000}"/>
    <cellStyle name="Comma 5 3 2 2 2 7" xfId="16546" xr:uid="{00000000-0005-0000-0000-0000D6140000}"/>
    <cellStyle name="Comma 5 3 2 2 2 7 2" xfId="42099" xr:uid="{00000000-0005-0000-0000-0000D7140000}"/>
    <cellStyle name="Comma 5 3 2 2 2 8" xfId="26518" xr:uid="{00000000-0005-0000-0000-0000D8140000}"/>
    <cellStyle name="Comma 5 3 2 2 3" xfId="655" xr:uid="{00000000-0005-0000-0000-0000D9140000}"/>
    <cellStyle name="Comma 5 3 2 2 3 2" xfId="3141" xr:uid="{00000000-0005-0000-0000-0000DA140000}"/>
    <cellStyle name="Comma 5 3 2 2 3 2 2" xfId="12284" xr:uid="{00000000-0005-0000-0000-0000DB140000}"/>
    <cellStyle name="Comma 5 3 2 2 3 2 2 2" xfId="22502" xr:uid="{00000000-0005-0000-0000-0000DC140000}"/>
    <cellStyle name="Comma 5 3 2 2 3 2 2 2 2" xfId="48055" xr:uid="{00000000-0005-0000-0000-0000DD140000}"/>
    <cellStyle name="Comma 5 3 2 2 3 2 2 3" xfId="37839" xr:uid="{00000000-0005-0000-0000-0000DE140000}"/>
    <cellStyle name="Comma 5 3 2 2 3 2 3" xfId="8706" xr:uid="{00000000-0005-0000-0000-0000DF140000}"/>
    <cellStyle name="Comma 5 3 2 2 3 2 3 2" xfId="34263" xr:uid="{00000000-0005-0000-0000-0000E0140000}"/>
    <cellStyle name="Comma 5 3 2 2 3 2 4" xfId="17495" xr:uid="{00000000-0005-0000-0000-0000E1140000}"/>
    <cellStyle name="Comma 5 3 2 2 3 2 4 2" xfId="43048" xr:uid="{00000000-0005-0000-0000-0000E2140000}"/>
    <cellStyle name="Comma 5 3 2 2 3 2 5" xfId="28985" xr:uid="{00000000-0005-0000-0000-0000E3140000}"/>
    <cellStyle name="Comma 5 3 2 2 3 3" xfId="4819" xr:uid="{00000000-0005-0000-0000-0000E4140000}"/>
    <cellStyle name="Comma 5 3 2 2 3 3 2" xfId="13656" xr:uid="{00000000-0005-0000-0000-0000E5140000}"/>
    <cellStyle name="Comma 5 3 2 2 3 3 2 2" xfId="23907" xr:uid="{00000000-0005-0000-0000-0000E6140000}"/>
    <cellStyle name="Comma 5 3 2 2 3 3 2 2 2" xfId="49460" xr:uid="{00000000-0005-0000-0000-0000E7140000}"/>
    <cellStyle name="Comma 5 3 2 2 3 3 2 3" xfId="39211" xr:uid="{00000000-0005-0000-0000-0000E8140000}"/>
    <cellStyle name="Comma 5 3 2 2 3 3 3" xfId="10077" xr:uid="{00000000-0005-0000-0000-0000E9140000}"/>
    <cellStyle name="Comma 5 3 2 2 3 3 3 2" xfId="35634" xr:uid="{00000000-0005-0000-0000-0000EA140000}"/>
    <cellStyle name="Comma 5 3 2 2 3 3 4" xfId="18900" xr:uid="{00000000-0005-0000-0000-0000EB140000}"/>
    <cellStyle name="Comma 5 3 2 2 3 3 4 2" xfId="44453" xr:uid="{00000000-0005-0000-0000-0000EC140000}"/>
    <cellStyle name="Comma 5 3 2 2 3 3 5" xfId="30390" xr:uid="{00000000-0005-0000-0000-0000ED140000}"/>
    <cellStyle name="Comma 5 3 2 2 3 4" xfId="2250" xr:uid="{00000000-0005-0000-0000-0000EE140000}"/>
    <cellStyle name="Comma 5 3 2 2 3 4 2" xfId="11615" xr:uid="{00000000-0005-0000-0000-0000EF140000}"/>
    <cellStyle name="Comma 5 3 2 2 3 4 2 2" xfId="37170" xr:uid="{00000000-0005-0000-0000-0000F0140000}"/>
    <cellStyle name="Comma 5 3 2 2 3 4 3" xfId="21619" xr:uid="{00000000-0005-0000-0000-0000F1140000}"/>
    <cellStyle name="Comma 5 3 2 2 3 4 3 2" xfId="47172" xr:uid="{00000000-0005-0000-0000-0000F2140000}"/>
    <cellStyle name="Comma 5 3 2 2 3 4 4" xfId="28102" xr:uid="{00000000-0005-0000-0000-0000F3140000}"/>
    <cellStyle name="Comma 5 3 2 2 3 5" xfId="6274" xr:uid="{00000000-0005-0000-0000-0000F4140000}"/>
    <cellStyle name="Comma 5 3 2 2 3 5 2" xfId="15101" xr:uid="{00000000-0005-0000-0000-0000F5140000}"/>
    <cellStyle name="Comma 5 3 2 2 3 5 2 2" xfId="40656" xr:uid="{00000000-0005-0000-0000-0000F6140000}"/>
    <cellStyle name="Comma 5 3 2 2 3 5 3" xfId="25352" xr:uid="{00000000-0005-0000-0000-0000F7140000}"/>
    <cellStyle name="Comma 5 3 2 2 3 5 3 2" xfId="50905" xr:uid="{00000000-0005-0000-0000-0000F8140000}"/>
    <cellStyle name="Comma 5 3 2 2 3 5 4" xfId="31835" xr:uid="{00000000-0005-0000-0000-0000F9140000}"/>
    <cellStyle name="Comma 5 3 2 2 3 6" xfId="7720" xr:uid="{00000000-0005-0000-0000-0000FA140000}"/>
    <cellStyle name="Comma 5 3 2 2 3 6 2" xfId="20101" xr:uid="{00000000-0005-0000-0000-0000FB140000}"/>
    <cellStyle name="Comma 5 3 2 2 3 6 2 2" xfId="45654" xr:uid="{00000000-0005-0000-0000-0000FC140000}"/>
    <cellStyle name="Comma 5 3 2 2 3 6 3" xfId="33277" xr:uid="{00000000-0005-0000-0000-0000FD140000}"/>
    <cellStyle name="Comma 5 3 2 2 3 7" xfId="16612" xr:uid="{00000000-0005-0000-0000-0000FE140000}"/>
    <cellStyle name="Comma 5 3 2 2 3 7 2" xfId="42165" xr:uid="{00000000-0005-0000-0000-0000FF140000}"/>
    <cellStyle name="Comma 5 3 2 2 3 8" xfId="26584" xr:uid="{00000000-0005-0000-0000-000000150000}"/>
    <cellStyle name="Comma 5 3 2 2 4" xfId="1361" xr:uid="{00000000-0005-0000-0000-000001150000}"/>
    <cellStyle name="Comma 5 3 2 2 4 2" xfId="3790" xr:uid="{00000000-0005-0000-0000-000002150000}"/>
    <cellStyle name="Comma 5 3 2 2 4 2 2" xfId="12926" xr:uid="{00000000-0005-0000-0000-000003150000}"/>
    <cellStyle name="Comma 5 3 2 2 4 2 2 2" xfId="23145" xr:uid="{00000000-0005-0000-0000-000004150000}"/>
    <cellStyle name="Comma 5 3 2 2 4 2 2 2 2" xfId="48698" xr:uid="{00000000-0005-0000-0000-000005150000}"/>
    <cellStyle name="Comma 5 3 2 2 4 2 2 3" xfId="38481" xr:uid="{00000000-0005-0000-0000-000006150000}"/>
    <cellStyle name="Comma 5 3 2 2 4 2 3" xfId="9347" xr:uid="{00000000-0005-0000-0000-000007150000}"/>
    <cellStyle name="Comma 5 3 2 2 4 2 3 2" xfId="34904" xr:uid="{00000000-0005-0000-0000-000008150000}"/>
    <cellStyle name="Comma 5 3 2 2 4 2 4" xfId="18138" xr:uid="{00000000-0005-0000-0000-000009150000}"/>
    <cellStyle name="Comma 5 3 2 2 4 2 4 2" xfId="43691" xr:uid="{00000000-0005-0000-0000-00000A150000}"/>
    <cellStyle name="Comma 5 3 2 2 4 2 5" xfId="29628" xr:uid="{00000000-0005-0000-0000-00000B150000}"/>
    <cellStyle name="Comma 5 3 2 2 4 3" xfId="5453" xr:uid="{00000000-0005-0000-0000-00000C150000}"/>
    <cellStyle name="Comma 5 3 2 2 4 3 2" xfId="14290" xr:uid="{00000000-0005-0000-0000-00000D150000}"/>
    <cellStyle name="Comma 5 3 2 2 4 3 2 2" xfId="24541" xr:uid="{00000000-0005-0000-0000-00000E150000}"/>
    <cellStyle name="Comma 5 3 2 2 4 3 2 2 2" xfId="50094" xr:uid="{00000000-0005-0000-0000-00000F150000}"/>
    <cellStyle name="Comma 5 3 2 2 4 3 2 3" xfId="39845" xr:uid="{00000000-0005-0000-0000-000010150000}"/>
    <cellStyle name="Comma 5 3 2 2 4 3 3" xfId="10711" xr:uid="{00000000-0005-0000-0000-000011150000}"/>
    <cellStyle name="Comma 5 3 2 2 4 3 3 2" xfId="36268" xr:uid="{00000000-0005-0000-0000-000012150000}"/>
    <cellStyle name="Comma 5 3 2 2 4 3 4" xfId="19534" xr:uid="{00000000-0005-0000-0000-000013150000}"/>
    <cellStyle name="Comma 5 3 2 2 4 3 4 2" xfId="45087" xr:uid="{00000000-0005-0000-0000-000014150000}"/>
    <cellStyle name="Comma 5 3 2 2 4 3 5" xfId="31024" xr:uid="{00000000-0005-0000-0000-000015150000}"/>
    <cellStyle name="Comma 5 3 2 2 4 4" xfId="1864" xr:uid="{00000000-0005-0000-0000-000016150000}"/>
    <cellStyle name="Comma 5 3 2 2 4 4 2" xfId="11232" xr:uid="{00000000-0005-0000-0000-000017150000}"/>
    <cellStyle name="Comma 5 3 2 2 4 4 2 2" xfId="36787" xr:uid="{00000000-0005-0000-0000-000018150000}"/>
    <cellStyle name="Comma 5 3 2 2 4 4 3" xfId="21236" xr:uid="{00000000-0005-0000-0000-000019150000}"/>
    <cellStyle name="Comma 5 3 2 2 4 4 3 2" xfId="46789" xr:uid="{00000000-0005-0000-0000-00001A150000}"/>
    <cellStyle name="Comma 5 3 2 2 4 4 4" xfId="27719" xr:uid="{00000000-0005-0000-0000-00001B150000}"/>
    <cellStyle name="Comma 5 3 2 2 4 5" xfId="6908" xr:uid="{00000000-0005-0000-0000-00001C150000}"/>
    <cellStyle name="Comma 5 3 2 2 4 5 2" xfId="15735" xr:uid="{00000000-0005-0000-0000-00001D150000}"/>
    <cellStyle name="Comma 5 3 2 2 4 5 2 2" xfId="41290" xr:uid="{00000000-0005-0000-0000-00001E150000}"/>
    <cellStyle name="Comma 5 3 2 2 4 5 3" xfId="25986" xr:uid="{00000000-0005-0000-0000-00001F150000}"/>
    <cellStyle name="Comma 5 3 2 2 4 5 3 2" xfId="51539" xr:uid="{00000000-0005-0000-0000-000020150000}"/>
    <cellStyle name="Comma 5 3 2 2 4 5 4" xfId="32469" xr:uid="{00000000-0005-0000-0000-000021150000}"/>
    <cellStyle name="Comma 5 3 2 2 4 6" xfId="8354" xr:uid="{00000000-0005-0000-0000-000022150000}"/>
    <cellStyle name="Comma 5 3 2 2 4 6 2" xfId="20744" xr:uid="{00000000-0005-0000-0000-000023150000}"/>
    <cellStyle name="Comma 5 3 2 2 4 6 2 2" xfId="46297" xr:uid="{00000000-0005-0000-0000-000024150000}"/>
    <cellStyle name="Comma 5 3 2 2 4 6 3" xfId="33911" xr:uid="{00000000-0005-0000-0000-000025150000}"/>
    <cellStyle name="Comma 5 3 2 2 4 7" xfId="16229" xr:uid="{00000000-0005-0000-0000-000026150000}"/>
    <cellStyle name="Comma 5 3 2 2 4 7 2" xfId="41782" xr:uid="{00000000-0005-0000-0000-000027150000}"/>
    <cellStyle name="Comma 5 3 2 2 4 8" xfId="27227" xr:uid="{00000000-0005-0000-0000-000028150000}"/>
    <cellStyle name="Comma 5 3 2 2 5" xfId="2758" xr:uid="{00000000-0005-0000-0000-000029150000}"/>
    <cellStyle name="Comma 5 3 2 2 5 2" xfId="12075" xr:uid="{00000000-0005-0000-0000-00002A150000}"/>
    <cellStyle name="Comma 5 3 2 2 5 2 2" xfId="22119" xr:uid="{00000000-0005-0000-0000-00002B150000}"/>
    <cellStyle name="Comma 5 3 2 2 5 2 2 2" xfId="47672" xr:uid="{00000000-0005-0000-0000-00002C150000}"/>
    <cellStyle name="Comma 5 3 2 2 5 2 3" xfId="37630" xr:uid="{00000000-0005-0000-0000-00002D150000}"/>
    <cellStyle name="Comma 5 3 2 2 5 3" xfId="8478" xr:uid="{00000000-0005-0000-0000-00002E150000}"/>
    <cellStyle name="Comma 5 3 2 2 5 3 2" xfId="34035" xr:uid="{00000000-0005-0000-0000-00002F150000}"/>
    <cellStyle name="Comma 5 3 2 2 5 4" xfId="17112" xr:uid="{00000000-0005-0000-0000-000030150000}"/>
    <cellStyle name="Comma 5 3 2 2 5 4 2" xfId="42665" xr:uid="{00000000-0005-0000-0000-000031150000}"/>
    <cellStyle name="Comma 5 3 2 2 5 5" xfId="28602" xr:uid="{00000000-0005-0000-0000-000032150000}"/>
    <cellStyle name="Comma 5 3 2 2 6" xfId="4409" xr:uid="{00000000-0005-0000-0000-000033150000}"/>
    <cellStyle name="Comma 5 3 2 2 6 2" xfId="13247" xr:uid="{00000000-0005-0000-0000-000034150000}"/>
    <cellStyle name="Comma 5 3 2 2 6 2 2" xfId="23498" xr:uid="{00000000-0005-0000-0000-000035150000}"/>
    <cellStyle name="Comma 5 3 2 2 6 2 2 2" xfId="49051" xr:uid="{00000000-0005-0000-0000-000036150000}"/>
    <cellStyle name="Comma 5 3 2 2 6 2 3" xfId="38802" xr:uid="{00000000-0005-0000-0000-000037150000}"/>
    <cellStyle name="Comma 5 3 2 2 6 3" xfId="9668" xr:uid="{00000000-0005-0000-0000-000038150000}"/>
    <cellStyle name="Comma 5 3 2 2 6 3 2" xfId="35225" xr:uid="{00000000-0005-0000-0000-000039150000}"/>
    <cellStyle name="Comma 5 3 2 2 6 4" xfId="18491" xr:uid="{00000000-0005-0000-0000-00003A150000}"/>
    <cellStyle name="Comma 5 3 2 2 6 4 2" xfId="44044" xr:uid="{00000000-0005-0000-0000-00003B150000}"/>
    <cellStyle name="Comma 5 3 2 2 6 5" xfId="29981" xr:uid="{00000000-0005-0000-0000-00003C150000}"/>
    <cellStyle name="Comma 5 3 2 2 7" xfId="1681" xr:uid="{00000000-0005-0000-0000-00003D150000}"/>
    <cellStyle name="Comma 5 3 2 2 7 2" xfId="11058" xr:uid="{00000000-0005-0000-0000-00003E150000}"/>
    <cellStyle name="Comma 5 3 2 2 7 2 2" xfId="36613" xr:uid="{00000000-0005-0000-0000-00003F150000}"/>
    <cellStyle name="Comma 5 3 2 2 7 3" xfId="21062" xr:uid="{00000000-0005-0000-0000-000040150000}"/>
    <cellStyle name="Comma 5 3 2 2 7 3 2" xfId="46615" xr:uid="{00000000-0005-0000-0000-000041150000}"/>
    <cellStyle name="Comma 5 3 2 2 7 4" xfId="27545" xr:uid="{00000000-0005-0000-0000-000042150000}"/>
    <cellStyle name="Comma 5 3 2 2 8" xfId="5865" xr:uid="{00000000-0005-0000-0000-000043150000}"/>
    <cellStyle name="Comma 5 3 2 2 8 2" xfId="14692" xr:uid="{00000000-0005-0000-0000-000044150000}"/>
    <cellStyle name="Comma 5 3 2 2 8 2 2" xfId="40247" xr:uid="{00000000-0005-0000-0000-000045150000}"/>
    <cellStyle name="Comma 5 3 2 2 8 3" xfId="24943" xr:uid="{00000000-0005-0000-0000-000046150000}"/>
    <cellStyle name="Comma 5 3 2 2 8 3 2" xfId="50496" xr:uid="{00000000-0005-0000-0000-000047150000}"/>
    <cellStyle name="Comma 5 3 2 2 8 4" xfId="31426" xr:uid="{00000000-0005-0000-0000-000048150000}"/>
    <cellStyle name="Comma 5 3 2 2 9" xfId="7309" xr:uid="{00000000-0005-0000-0000-000049150000}"/>
    <cellStyle name="Comma 5 3 2 2 9 2" xfId="19718" xr:uid="{00000000-0005-0000-0000-00004A150000}"/>
    <cellStyle name="Comma 5 3 2 2 9 2 2" xfId="45271" xr:uid="{00000000-0005-0000-0000-00004B150000}"/>
    <cellStyle name="Comma 5 3 2 2 9 3" xfId="32866" xr:uid="{00000000-0005-0000-0000-00004C150000}"/>
    <cellStyle name="Comma 5 3 2 3" xfId="485" xr:uid="{00000000-0005-0000-0000-00004D150000}"/>
    <cellStyle name="Comma 5 3 2 3 10" xfId="26414" xr:uid="{00000000-0005-0000-0000-00004E150000}"/>
    <cellStyle name="Comma 5 3 2 3 2" xfId="656" xr:uid="{00000000-0005-0000-0000-00004F150000}"/>
    <cellStyle name="Comma 5 3 2 3 2 2" xfId="3142" xr:uid="{00000000-0005-0000-0000-000050150000}"/>
    <cellStyle name="Comma 5 3 2 3 2 2 2" xfId="12285" xr:uid="{00000000-0005-0000-0000-000051150000}"/>
    <cellStyle name="Comma 5 3 2 3 2 2 2 2" xfId="22503" xr:uid="{00000000-0005-0000-0000-000052150000}"/>
    <cellStyle name="Comma 5 3 2 3 2 2 2 2 2" xfId="48056" xr:uid="{00000000-0005-0000-0000-000053150000}"/>
    <cellStyle name="Comma 5 3 2 3 2 2 2 3" xfId="37840" xr:uid="{00000000-0005-0000-0000-000054150000}"/>
    <cellStyle name="Comma 5 3 2 3 2 2 3" xfId="8707" xr:uid="{00000000-0005-0000-0000-000055150000}"/>
    <cellStyle name="Comma 5 3 2 3 2 2 3 2" xfId="34264" xr:uid="{00000000-0005-0000-0000-000056150000}"/>
    <cellStyle name="Comma 5 3 2 3 2 2 4" xfId="17496" xr:uid="{00000000-0005-0000-0000-000057150000}"/>
    <cellStyle name="Comma 5 3 2 3 2 2 4 2" xfId="43049" xr:uid="{00000000-0005-0000-0000-000058150000}"/>
    <cellStyle name="Comma 5 3 2 3 2 2 5" xfId="28986" xr:uid="{00000000-0005-0000-0000-000059150000}"/>
    <cellStyle name="Comma 5 3 2 3 2 3" xfId="4471" xr:uid="{00000000-0005-0000-0000-00005A150000}"/>
    <cellStyle name="Comma 5 3 2 3 2 3 2" xfId="13309" xr:uid="{00000000-0005-0000-0000-00005B150000}"/>
    <cellStyle name="Comma 5 3 2 3 2 3 2 2" xfId="23560" xr:uid="{00000000-0005-0000-0000-00005C150000}"/>
    <cellStyle name="Comma 5 3 2 3 2 3 2 2 2" xfId="49113" xr:uid="{00000000-0005-0000-0000-00005D150000}"/>
    <cellStyle name="Comma 5 3 2 3 2 3 2 3" xfId="38864" xr:uid="{00000000-0005-0000-0000-00005E150000}"/>
    <cellStyle name="Comma 5 3 2 3 2 3 3" xfId="9730" xr:uid="{00000000-0005-0000-0000-00005F150000}"/>
    <cellStyle name="Comma 5 3 2 3 2 3 3 2" xfId="35287" xr:uid="{00000000-0005-0000-0000-000060150000}"/>
    <cellStyle name="Comma 5 3 2 3 2 3 4" xfId="18553" xr:uid="{00000000-0005-0000-0000-000061150000}"/>
    <cellStyle name="Comma 5 3 2 3 2 3 4 2" xfId="44106" xr:uid="{00000000-0005-0000-0000-000062150000}"/>
    <cellStyle name="Comma 5 3 2 3 2 3 5" xfId="30043" xr:uid="{00000000-0005-0000-0000-000063150000}"/>
    <cellStyle name="Comma 5 3 2 3 2 4" xfId="2251" xr:uid="{00000000-0005-0000-0000-000064150000}"/>
    <cellStyle name="Comma 5 3 2 3 2 4 2" xfId="11616" xr:uid="{00000000-0005-0000-0000-000065150000}"/>
    <cellStyle name="Comma 5 3 2 3 2 4 2 2" xfId="37171" xr:uid="{00000000-0005-0000-0000-000066150000}"/>
    <cellStyle name="Comma 5 3 2 3 2 4 3" xfId="21620" xr:uid="{00000000-0005-0000-0000-000067150000}"/>
    <cellStyle name="Comma 5 3 2 3 2 4 3 2" xfId="47173" xr:uid="{00000000-0005-0000-0000-000068150000}"/>
    <cellStyle name="Comma 5 3 2 3 2 4 4" xfId="28103" xr:uid="{00000000-0005-0000-0000-000069150000}"/>
    <cellStyle name="Comma 5 3 2 3 2 5" xfId="5927" xr:uid="{00000000-0005-0000-0000-00006A150000}"/>
    <cellStyle name="Comma 5 3 2 3 2 5 2" xfId="14754" xr:uid="{00000000-0005-0000-0000-00006B150000}"/>
    <cellStyle name="Comma 5 3 2 3 2 5 2 2" xfId="40309" xr:uid="{00000000-0005-0000-0000-00006C150000}"/>
    <cellStyle name="Comma 5 3 2 3 2 5 3" xfId="25005" xr:uid="{00000000-0005-0000-0000-00006D150000}"/>
    <cellStyle name="Comma 5 3 2 3 2 5 3 2" xfId="50558" xr:uid="{00000000-0005-0000-0000-00006E150000}"/>
    <cellStyle name="Comma 5 3 2 3 2 5 4" xfId="31488" xr:uid="{00000000-0005-0000-0000-00006F150000}"/>
    <cellStyle name="Comma 5 3 2 3 2 6" xfId="7371" xr:uid="{00000000-0005-0000-0000-000070150000}"/>
    <cellStyle name="Comma 5 3 2 3 2 6 2" xfId="20102" xr:uid="{00000000-0005-0000-0000-000071150000}"/>
    <cellStyle name="Comma 5 3 2 3 2 6 2 2" xfId="45655" xr:uid="{00000000-0005-0000-0000-000072150000}"/>
    <cellStyle name="Comma 5 3 2 3 2 6 3" xfId="32928" xr:uid="{00000000-0005-0000-0000-000073150000}"/>
    <cellStyle name="Comma 5 3 2 3 2 7" xfId="16613" xr:uid="{00000000-0005-0000-0000-000074150000}"/>
    <cellStyle name="Comma 5 3 2 3 2 7 2" xfId="42166" xr:uid="{00000000-0005-0000-0000-000075150000}"/>
    <cellStyle name="Comma 5 3 2 3 2 8" xfId="26585" xr:uid="{00000000-0005-0000-0000-000076150000}"/>
    <cellStyle name="Comma 5 3 2 3 3" xfId="1257" xr:uid="{00000000-0005-0000-0000-000077150000}"/>
    <cellStyle name="Comma 5 3 2 3 3 2" xfId="3686" xr:uid="{00000000-0005-0000-0000-000078150000}"/>
    <cellStyle name="Comma 5 3 2 3 3 2 2" xfId="12822" xr:uid="{00000000-0005-0000-0000-000079150000}"/>
    <cellStyle name="Comma 5 3 2 3 3 2 2 2" xfId="23041" xr:uid="{00000000-0005-0000-0000-00007A150000}"/>
    <cellStyle name="Comma 5 3 2 3 3 2 2 2 2" xfId="48594" xr:uid="{00000000-0005-0000-0000-00007B150000}"/>
    <cellStyle name="Comma 5 3 2 3 3 2 2 3" xfId="38377" xr:uid="{00000000-0005-0000-0000-00007C150000}"/>
    <cellStyle name="Comma 5 3 2 3 3 2 3" xfId="9243" xr:uid="{00000000-0005-0000-0000-00007D150000}"/>
    <cellStyle name="Comma 5 3 2 3 3 2 3 2" xfId="34800" xr:uid="{00000000-0005-0000-0000-00007E150000}"/>
    <cellStyle name="Comma 5 3 2 3 3 2 4" xfId="18034" xr:uid="{00000000-0005-0000-0000-00007F150000}"/>
    <cellStyle name="Comma 5 3 2 3 3 2 4 2" xfId="43587" xr:uid="{00000000-0005-0000-0000-000080150000}"/>
    <cellStyle name="Comma 5 3 2 3 3 2 5" xfId="29524" xr:uid="{00000000-0005-0000-0000-000081150000}"/>
    <cellStyle name="Comma 5 3 2 3 3 3" xfId="4820" xr:uid="{00000000-0005-0000-0000-000082150000}"/>
    <cellStyle name="Comma 5 3 2 3 3 3 2" xfId="13657" xr:uid="{00000000-0005-0000-0000-000083150000}"/>
    <cellStyle name="Comma 5 3 2 3 3 3 2 2" xfId="23908" xr:uid="{00000000-0005-0000-0000-000084150000}"/>
    <cellStyle name="Comma 5 3 2 3 3 3 2 2 2" xfId="49461" xr:uid="{00000000-0005-0000-0000-000085150000}"/>
    <cellStyle name="Comma 5 3 2 3 3 3 2 3" xfId="39212" xr:uid="{00000000-0005-0000-0000-000086150000}"/>
    <cellStyle name="Comma 5 3 2 3 3 3 3" xfId="10078" xr:uid="{00000000-0005-0000-0000-000087150000}"/>
    <cellStyle name="Comma 5 3 2 3 3 3 3 2" xfId="35635" xr:uid="{00000000-0005-0000-0000-000088150000}"/>
    <cellStyle name="Comma 5 3 2 3 3 3 4" xfId="18901" xr:uid="{00000000-0005-0000-0000-000089150000}"/>
    <cellStyle name="Comma 5 3 2 3 3 3 4 2" xfId="44454" xr:uid="{00000000-0005-0000-0000-00008A150000}"/>
    <cellStyle name="Comma 5 3 2 3 3 3 5" xfId="30391" xr:uid="{00000000-0005-0000-0000-00008B150000}"/>
    <cellStyle name="Comma 5 3 2 3 3 4" xfId="2080" xr:uid="{00000000-0005-0000-0000-00008C150000}"/>
    <cellStyle name="Comma 5 3 2 3 3 4 2" xfId="11445" xr:uid="{00000000-0005-0000-0000-00008D150000}"/>
    <cellStyle name="Comma 5 3 2 3 3 4 2 2" xfId="37000" xr:uid="{00000000-0005-0000-0000-00008E150000}"/>
    <cellStyle name="Comma 5 3 2 3 3 4 3" xfId="21449" xr:uid="{00000000-0005-0000-0000-00008F150000}"/>
    <cellStyle name="Comma 5 3 2 3 3 4 3 2" xfId="47002" xr:uid="{00000000-0005-0000-0000-000090150000}"/>
    <cellStyle name="Comma 5 3 2 3 3 4 4" xfId="27932" xr:uid="{00000000-0005-0000-0000-000091150000}"/>
    <cellStyle name="Comma 5 3 2 3 3 5" xfId="6275" xr:uid="{00000000-0005-0000-0000-000092150000}"/>
    <cellStyle name="Comma 5 3 2 3 3 5 2" xfId="15102" xr:uid="{00000000-0005-0000-0000-000093150000}"/>
    <cellStyle name="Comma 5 3 2 3 3 5 2 2" xfId="40657" xr:uid="{00000000-0005-0000-0000-000094150000}"/>
    <cellStyle name="Comma 5 3 2 3 3 5 3" xfId="25353" xr:uid="{00000000-0005-0000-0000-000095150000}"/>
    <cellStyle name="Comma 5 3 2 3 3 5 3 2" xfId="50906" xr:uid="{00000000-0005-0000-0000-000096150000}"/>
    <cellStyle name="Comma 5 3 2 3 3 5 4" xfId="31836" xr:uid="{00000000-0005-0000-0000-000097150000}"/>
    <cellStyle name="Comma 5 3 2 3 3 6" xfId="7721" xr:uid="{00000000-0005-0000-0000-000098150000}"/>
    <cellStyle name="Comma 5 3 2 3 3 6 2" xfId="20640" xr:uid="{00000000-0005-0000-0000-000099150000}"/>
    <cellStyle name="Comma 5 3 2 3 3 6 2 2" xfId="46193" xr:uid="{00000000-0005-0000-0000-00009A150000}"/>
    <cellStyle name="Comma 5 3 2 3 3 6 3" xfId="33278" xr:uid="{00000000-0005-0000-0000-00009B150000}"/>
    <cellStyle name="Comma 5 3 2 3 3 7" xfId="16442" xr:uid="{00000000-0005-0000-0000-00009C150000}"/>
    <cellStyle name="Comma 5 3 2 3 3 7 2" xfId="41995" xr:uid="{00000000-0005-0000-0000-00009D150000}"/>
    <cellStyle name="Comma 5 3 2 3 3 8" xfId="27123" xr:uid="{00000000-0005-0000-0000-00009E150000}"/>
    <cellStyle name="Comma 5 3 2 3 4" xfId="2971" xr:uid="{00000000-0005-0000-0000-00009F150000}"/>
    <cellStyle name="Comma 5 3 2 3 4 2" xfId="5349" xr:uid="{00000000-0005-0000-0000-0000A0150000}"/>
    <cellStyle name="Comma 5 3 2 3 4 2 2" xfId="14186" xr:uid="{00000000-0005-0000-0000-0000A1150000}"/>
    <cellStyle name="Comma 5 3 2 3 4 2 2 2" xfId="24437" xr:uid="{00000000-0005-0000-0000-0000A2150000}"/>
    <cellStyle name="Comma 5 3 2 3 4 2 2 2 2" xfId="49990" xr:uid="{00000000-0005-0000-0000-0000A3150000}"/>
    <cellStyle name="Comma 5 3 2 3 4 2 2 3" xfId="39741" xr:uid="{00000000-0005-0000-0000-0000A4150000}"/>
    <cellStyle name="Comma 5 3 2 3 4 2 3" xfId="10607" xr:uid="{00000000-0005-0000-0000-0000A5150000}"/>
    <cellStyle name="Comma 5 3 2 3 4 2 3 2" xfId="36164" xr:uid="{00000000-0005-0000-0000-0000A6150000}"/>
    <cellStyle name="Comma 5 3 2 3 4 2 4" xfId="19430" xr:uid="{00000000-0005-0000-0000-0000A7150000}"/>
    <cellStyle name="Comma 5 3 2 3 4 2 4 2" xfId="44983" xr:uid="{00000000-0005-0000-0000-0000A8150000}"/>
    <cellStyle name="Comma 5 3 2 3 4 2 5" xfId="30920" xr:uid="{00000000-0005-0000-0000-0000A9150000}"/>
    <cellStyle name="Comma 5 3 2 3 4 3" xfId="6804" xr:uid="{00000000-0005-0000-0000-0000AA150000}"/>
    <cellStyle name="Comma 5 3 2 3 4 3 2" xfId="15631" xr:uid="{00000000-0005-0000-0000-0000AB150000}"/>
    <cellStyle name="Comma 5 3 2 3 4 3 2 2" xfId="41186" xr:uid="{00000000-0005-0000-0000-0000AC150000}"/>
    <cellStyle name="Comma 5 3 2 3 4 3 3" xfId="25882" xr:uid="{00000000-0005-0000-0000-0000AD150000}"/>
    <cellStyle name="Comma 5 3 2 3 4 3 3 2" xfId="51435" xr:uid="{00000000-0005-0000-0000-0000AE150000}"/>
    <cellStyle name="Comma 5 3 2 3 4 3 4" xfId="32365" xr:uid="{00000000-0005-0000-0000-0000AF150000}"/>
    <cellStyle name="Comma 5 3 2 3 4 4" xfId="8250" xr:uid="{00000000-0005-0000-0000-0000B0150000}"/>
    <cellStyle name="Comma 5 3 2 3 4 4 2" xfId="22332" xr:uid="{00000000-0005-0000-0000-0000B1150000}"/>
    <cellStyle name="Comma 5 3 2 3 4 4 2 2" xfId="47885" xr:uid="{00000000-0005-0000-0000-0000B2150000}"/>
    <cellStyle name="Comma 5 3 2 3 4 4 3" xfId="33807" xr:uid="{00000000-0005-0000-0000-0000B3150000}"/>
    <cellStyle name="Comma 5 3 2 3 4 5" xfId="17325" xr:uid="{00000000-0005-0000-0000-0000B4150000}"/>
    <cellStyle name="Comma 5 3 2 3 4 5 2" xfId="42878" xr:uid="{00000000-0005-0000-0000-0000B5150000}"/>
    <cellStyle name="Comma 5 3 2 3 4 6" xfId="28815" xr:uid="{00000000-0005-0000-0000-0000B6150000}"/>
    <cellStyle name="Comma 5 3 2 3 5" xfId="4305" xr:uid="{00000000-0005-0000-0000-0000B7150000}"/>
    <cellStyle name="Comma 5 3 2 3 5 2" xfId="13143" xr:uid="{00000000-0005-0000-0000-0000B8150000}"/>
    <cellStyle name="Comma 5 3 2 3 5 2 2" xfId="23394" xr:uid="{00000000-0005-0000-0000-0000B9150000}"/>
    <cellStyle name="Comma 5 3 2 3 5 2 2 2" xfId="48947" xr:uid="{00000000-0005-0000-0000-0000BA150000}"/>
    <cellStyle name="Comma 5 3 2 3 5 2 3" xfId="38698" xr:uid="{00000000-0005-0000-0000-0000BB150000}"/>
    <cellStyle name="Comma 5 3 2 3 5 3" xfId="9564" xr:uid="{00000000-0005-0000-0000-0000BC150000}"/>
    <cellStyle name="Comma 5 3 2 3 5 3 2" xfId="35121" xr:uid="{00000000-0005-0000-0000-0000BD150000}"/>
    <cellStyle name="Comma 5 3 2 3 5 4" xfId="18387" xr:uid="{00000000-0005-0000-0000-0000BE150000}"/>
    <cellStyle name="Comma 5 3 2 3 5 4 2" xfId="43940" xr:uid="{00000000-0005-0000-0000-0000BF150000}"/>
    <cellStyle name="Comma 5 3 2 3 5 5" xfId="29877" xr:uid="{00000000-0005-0000-0000-0000C0150000}"/>
    <cellStyle name="Comma 5 3 2 3 6" xfId="1577" xr:uid="{00000000-0005-0000-0000-0000C1150000}"/>
    <cellStyle name="Comma 5 3 2 3 6 2" xfId="10954" xr:uid="{00000000-0005-0000-0000-0000C2150000}"/>
    <cellStyle name="Comma 5 3 2 3 6 2 2" xfId="36509" xr:uid="{00000000-0005-0000-0000-0000C3150000}"/>
    <cellStyle name="Comma 5 3 2 3 6 3" xfId="20958" xr:uid="{00000000-0005-0000-0000-0000C4150000}"/>
    <cellStyle name="Comma 5 3 2 3 6 3 2" xfId="46511" xr:uid="{00000000-0005-0000-0000-0000C5150000}"/>
    <cellStyle name="Comma 5 3 2 3 6 4" xfId="27441" xr:uid="{00000000-0005-0000-0000-0000C6150000}"/>
    <cellStyle name="Comma 5 3 2 3 7" xfId="5761" xr:uid="{00000000-0005-0000-0000-0000C7150000}"/>
    <cellStyle name="Comma 5 3 2 3 7 2" xfId="14588" xr:uid="{00000000-0005-0000-0000-0000C8150000}"/>
    <cellStyle name="Comma 5 3 2 3 7 2 2" xfId="40143" xr:uid="{00000000-0005-0000-0000-0000C9150000}"/>
    <cellStyle name="Comma 5 3 2 3 7 3" xfId="24839" xr:uid="{00000000-0005-0000-0000-0000CA150000}"/>
    <cellStyle name="Comma 5 3 2 3 7 3 2" xfId="50392" xr:uid="{00000000-0005-0000-0000-0000CB150000}"/>
    <cellStyle name="Comma 5 3 2 3 7 4" xfId="31322" xr:uid="{00000000-0005-0000-0000-0000CC150000}"/>
    <cellStyle name="Comma 5 3 2 3 8" xfId="7205" xr:uid="{00000000-0005-0000-0000-0000CD150000}"/>
    <cellStyle name="Comma 5 3 2 3 8 2" xfId="19931" xr:uid="{00000000-0005-0000-0000-0000CE150000}"/>
    <cellStyle name="Comma 5 3 2 3 8 2 2" xfId="45484" xr:uid="{00000000-0005-0000-0000-0000CF150000}"/>
    <cellStyle name="Comma 5 3 2 3 8 3" xfId="32762" xr:uid="{00000000-0005-0000-0000-0000D0150000}"/>
    <cellStyle name="Comma 5 3 2 3 9" xfId="15951" xr:uid="{00000000-0005-0000-0000-0000D1150000}"/>
    <cellStyle name="Comma 5 3 2 3 9 2" xfId="41504" xr:uid="{00000000-0005-0000-0000-0000D2150000}"/>
    <cellStyle name="Comma 5 3 2 4" xfId="385" xr:uid="{00000000-0005-0000-0000-0000D3150000}"/>
    <cellStyle name="Comma 5 3 2 4 2" xfId="2871" xr:uid="{00000000-0005-0000-0000-0000D4150000}"/>
    <cellStyle name="Comma 5 3 2 4 2 2" xfId="12159" xr:uid="{00000000-0005-0000-0000-0000D5150000}"/>
    <cellStyle name="Comma 5 3 2 4 2 2 2" xfId="22232" xr:uid="{00000000-0005-0000-0000-0000D6150000}"/>
    <cellStyle name="Comma 5 3 2 4 2 2 2 2" xfId="47785" xr:uid="{00000000-0005-0000-0000-0000D7150000}"/>
    <cellStyle name="Comma 5 3 2 4 2 2 3" xfId="37714" xr:uid="{00000000-0005-0000-0000-0000D8150000}"/>
    <cellStyle name="Comma 5 3 2 4 2 3" xfId="8425" xr:uid="{00000000-0005-0000-0000-0000D9150000}"/>
    <cellStyle name="Comma 5 3 2 4 2 3 2" xfId="33982" xr:uid="{00000000-0005-0000-0000-0000DA150000}"/>
    <cellStyle name="Comma 5 3 2 4 2 4" xfId="17225" xr:uid="{00000000-0005-0000-0000-0000DB150000}"/>
    <cellStyle name="Comma 5 3 2 4 2 4 2" xfId="42778" xr:uid="{00000000-0005-0000-0000-0000DC150000}"/>
    <cellStyle name="Comma 5 3 2 4 2 5" xfId="28715" xr:uid="{00000000-0005-0000-0000-0000DD150000}"/>
    <cellStyle name="Comma 5 3 2 4 3" xfId="4469" xr:uid="{00000000-0005-0000-0000-0000DE150000}"/>
    <cellStyle name="Comma 5 3 2 4 3 2" xfId="13307" xr:uid="{00000000-0005-0000-0000-0000DF150000}"/>
    <cellStyle name="Comma 5 3 2 4 3 2 2" xfId="23558" xr:uid="{00000000-0005-0000-0000-0000E0150000}"/>
    <cellStyle name="Comma 5 3 2 4 3 2 2 2" xfId="49111" xr:uid="{00000000-0005-0000-0000-0000E1150000}"/>
    <cellStyle name="Comma 5 3 2 4 3 2 3" xfId="38862" xr:uid="{00000000-0005-0000-0000-0000E2150000}"/>
    <cellStyle name="Comma 5 3 2 4 3 3" xfId="9728" xr:uid="{00000000-0005-0000-0000-0000E3150000}"/>
    <cellStyle name="Comma 5 3 2 4 3 3 2" xfId="35285" xr:uid="{00000000-0005-0000-0000-0000E4150000}"/>
    <cellStyle name="Comma 5 3 2 4 3 4" xfId="18551" xr:uid="{00000000-0005-0000-0000-0000E5150000}"/>
    <cellStyle name="Comma 5 3 2 4 3 4 2" xfId="44104" xr:uid="{00000000-0005-0000-0000-0000E6150000}"/>
    <cellStyle name="Comma 5 3 2 4 3 5" xfId="30041" xr:uid="{00000000-0005-0000-0000-0000E7150000}"/>
    <cellStyle name="Comma 5 3 2 4 4" xfId="1980" xr:uid="{00000000-0005-0000-0000-0000E8150000}"/>
    <cellStyle name="Comma 5 3 2 4 4 2" xfId="11345" xr:uid="{00000000-0005-0000-0000-0000E9150000}"/>
    <cellStyle name="Comma 5 3 2 4 4 2 2" xfId="36900" xr:uid="{00000000-0005-0000-0000-0000EA150000}"/>
    <cellStyle name="Comma 5 3 2 4 4 3" xfId="21349" xr:uid="{00000000-0005-0000-0000-0000EB150000}"/>
    <cellStyle name="Comma 5 3 2 4 4 3 2" xfId="46902" xr:uid="{00000000-0005-0000-0000-0000EC150000}"/>
    <cellStyle name="Comma 5 3 2 4 4 4" xfId="27832" xr:uid="{00000000-0005-0000-0000-0000ED150000}"/>
    <cellStyle name="Comma 5 3 2 4 5" xfId="5925" xr:uid="{00000000-0005-0000-0000-0000EE150000}"/>
    <cellStyle name="Comma 5 3 2 4 5 2" xfId="14752" xr:uid="{00000000-0005-0000-0000-0000EF150000}"/>
    <cellStyle name="Comma 5 3 2 4 5 2 2" xfId="40307" xr:uid="{00000000-0005-0000-0000-0000F0150000}"/>
    <cellStyle name="Comma 5 3 2 4 5 3" xfId="25003" xr:uid="{00000000-0005-0000-0000-0000F1150000}"/>
    <cellStyle name="Comma 5 3 2 4 5 3 2" xfId="50556" xr:uid="{00000000-0005-0000-0000-0000F2150000}"/>
    <cellStyle name="Comma 5 3 2 4 5 4" xfId="31486" xr:uid="{00000000-0005-0000-0000-0000F3150000}"/>
    <cellStyle name="Comma 5 3 2 4 6" xfId="7369" xr:uid="{00000000-0005-0000-0000-0000F4150000}"/>
    <cellStyle name="Comma 5 3 2 4 6 2" xfId="19831" xr:uid="{00000000-0005-0000-0000-0000F5150000}"/>
    <cellStyle name="Comma 5 3 2 4 6 2 2" xfId="45384" xr:uid="{00000000-0005-0000-0000-0000F6150000}"/>
    <cellStyle name="Comma 5 3 2 4 6 3" xfId="32926" xr:uid="{00000000-0005-0000-0000-0000F7150000}"/>
    <cellStyle name="Comma 5 3 2 4 7" xfId="16342" xr:uid="{00000000-0005-0000-0000-0000F8150000}"/>
    <cellStyle name="Comma 5 3 2 4 7 2" xfId="41895" xr:uid="{00000000-0005-0000-0000-0000F9150000}"/>
    <cellStyle name="Comma 5 3 2 4 8" xfId="26314" xr:uid="{00000000-0005-0000-0000-0000FA150000}"/>
    <cellStyle name="Comma 5 3 2 5" xfId="654" xr:uid="{00000000-0005-0000-0000-0000FB150000}"/>
    <cellStyle name="Comma 5 3 2 5 2" xfId="3140" xr:uid="{00000000-0005-0000-0000-0000FC150000}"/>
    <cellStyle name="Comma 5 3 2 5 2 2" xfId="12283" xr:uid="{00000000-0005-0000-0000-0000FD150000}"/>
    <cellStyle name="Comma 5 3 2 5 2 2 2" xfId="22501" xr:uid="{00000000-0005-0000-0000-0000FE150000}"/>
    <cellStyle name="Comma 5 3 2 5 2 2 2 2" xfId="48054" xr:uid="{00000000-0005-0000-0000-0000FF150000}"/>
    <cellStyle name="Comma 5 3 2 5 2 2 3" xfId="37838" xr:uid="{00000000-0005-0000-0000-000000160000}"/>
    <cellStyle name="Comma 5 3 2 5 2 3" xfId="8705" xr:uid="{00000000-0005-0000-0000-000001160000}"/>
    <cellStyle name="Comma 5 3 2 5 2 3 2" xfId="34262" xr:uid="{00000000-0005-0000-0000-000002160000}"/>
    <cellStyle name="Comma 5 3 2 5 2 4" xfId="17494" xr:uid="{00000000-0005-0000-0000-000003160000}"/>
    <cellStyle name="Comma 5 3 2 5 2 4 2" xfId="43047" xr:uid="{00000000-0005-0000-0000-000004160000}"/>
    <cellStyle name="Comma 5 3 2 5 2 5" xfId="28984" xr:uid="{00000000-0005-0000-0000-000005160000}"/>
    <cellStyle name="Comma 5 3 2 5 3" xfId="4818" xr:uid="{00000000-0005-0000-0000-000006160000}"/>
    <cellStyle name="Comma 5 3 2 5 3 2" xfId="13655" xr:uid="{00000000-0005-0000-0000-000007160000}"/>
    <cellStyle name="Comma 5 3 2 5 3 2 2" xfId="23906" xr:uid="{00000000-0005-0000-0000-000008160000}"/>
    <cellStyle name="Comma 5 3 2 5 3 2 2 2" xfId="49459" xr:uid="{00000000-0005-0000-0000-000009160000}"/>
    <cellStyle name="Comma 5 3 2 5 3 2 3" xfId="39210" xr:uid="{00000000-0005-0000-0000-00000A160000}"/>
    <cellStyle name="Comma 5 3 2 5 3 3" xfId="10076" xr:uid="{00000000-0005-0000-0000-00000B160000}"/>
    <cellStyle name="Comma 5 3 2 5 3 3 2" xfId="35633" xr:uid="{00000000-0005-0000-0000-00000C160000}"/>
    <cellStyle name="Comma 5 3 2 5 3 4" xfId="18899" xr:uid="{00000000-0005-0000-0000-00000D160000}"/>
    <cellStyle name="Comma 5 3 2 5 3 4 2" xfId="44452" xr:uid="{00000000-0005-0000-0000-00000E160000}"/>
    <cellStyle name="Comma 5 3 2 5 3 5" xfId="30389" xr:uid="{00000000-0005-0000-0000-00000F160000}"/>
    <cellStyle name="Comma 5 3 2 5 4" xfId="2249" xr:uid="{00000000-0005-0000-0000-000010160000}"/>
    <cellStyle name="Comma 5 3 2 5 4 2" xfId="11614" xr:uid="{00000000-0005-0000-0000-000011160000}"/>
    <cellStyle name="Comma 5 3 2 5 4 2 2" xfId="37169" xr:uid="{00000000-0005-0000-0000-000012160000}"/>
    <cellStyle name="Comma 5 3 2 5 4 3" xfId="21618" xr:uid="{00000000-0005-0000-0000-000013160000}"/>
    <cellStyle name="Comma 5 3 2 5 4 3 2" xfId="47171" xr:uid="{00000000-0005-0000-0000-000014160000}"/>
    <cellStyle name="Comma 5 3 2 5 4 4" xfId="28101" xr:uid="{00000000-0005-0000-0000-000015160000}"/>
    <cellStyle name="Comma 5 3 2 5 5" xfId="6273" xr:uid="{00000000-0005-0000-0000-000016160000}"/>
    <cellStyle name="Comma 5 3 2 5 5 2" xfId="15100" xr:uid="{00000000-0005-0000-0000-000017160000}"/>
    <cellStyle name="Comma 5 3 2 5 5 2 2" xfId="40655" xr:uid="{00000000-0005-0000-0000-000018160000}"/>
    <cellStyle name="Comma 5 3 2 5 5 3" xfId="25351" xr:uid="{00000000-0005-0000-0000-000019160000}"/>
    <cellStyle name="Comma 5 3 2 5 5 3 2" xfId="50904" xr:uid="{00000000-0005-0000-0000-00001A160000}"/>
    <cellStyle name="Comma 5 3 2 5 5 4" xfId="31834" xr:uid="{00000000-0005-0000-0000-00001B160000}"/>
    <cellStyle name="Comma 5 3 2 5 6" xfId="7719" xr:uid="{00000000-0005-0000-0000-00001C160000}"/>
    <cellStyle name="Comma 5 3 2 5 6 2" xfId="20100" xr:uid="{00000000-0005-0000-0000-00001D160000}"/>
    <cellStyle name="Comma 5 3 2 5 6 2 2" xfId="45653" xr:uid="{00000000-0005-0000-0000-00001E160000}"/>
    <cellStyle name="Comma 5 3 2 5 6 3" xfId="33276" xr:uid="{00000000-0005-0000-0000-00001F160000}"/>
    <cellStyle name="Comma 5 3 2 5 7" xfId="16611" xr:uid="{00000000-0005-0000-0000-000020160000}"/>
    <cellStyle name="Comma 5 3 2 5 7 2" xfId="42164" xr:uid="{00000000-0005-0000-0000-000021160000}"/>
    <cellStyle name="Comma 5 3 2 5 8" xfId="26583" xr:uid="{00000000-0005-0000-0000-000022160000}"/>
    <cellStyle name="Comma 5 3 2 6" xfId="1157" xr:uid="{00000000-0005-0000-0000-000023160000}"/>
    <cellStyle name="Comma 5 3 2 6 2" xfId="3586" xr:uid="{00000000-0005-0000-0000-000024160000}"/>
    <cellStyle name="Comma 5 3 2 6 2 2" xfId="12722" xr:uid="{00000000-0005-0000-0000-000025160000}"/>
    <cellStyle name="Comma 5 3 2 6 2 2 2" xfId="22941" xr:uid="{00000000-0005-0000-0000-000026160000}"/>
    <cellStyle name="Comma 5 3 2 6 2 2 2 2" xfId="48494" xr:uid="{00000000-0005-0000-0000-000027160000}"/>
    <cellStyle name="Comma 5 3 2 6 2 2 3" xfId="38277" xr:uid="{00000000-0005-0000-0000-000028160000}"/>
    <cellStyle name="Comma 5 3 2 6 2 3" xfId="9143" xr:uid="{00000000-0005-0000-0000-000029160000}"/>
    <cellStyle name="Comma 5 3 2 6 2 3 2" xfId="34700" xr:uid="{00000000-0005-0000-0000-00002A160000}"/>
    <cellStyle name="Comma 5 3 2 6 2 4" xfId="17934" xr:uid="{00000000-0005-0000-0000-00002B160000}"/>
    <cellStyle name="Comma 5 3 2 6 2 4 2" xfId="43487" xr:uid="{00000000-0005-0000-0000-00002C160000}"/>
    <cellStyle name="Comma 5 3 2 6 2 5" xfId="29424" xr:uid="{00000000-0005-0000-0000-00002D160000}"/>
    <cellStyle name="Comma 5 3 2 6 3" xfId="5249" xr:uid="{00000000-0005-0000-0000-00002E160000}"/>
    <cellStyle name="Comma 5 3 2 6 3 2" xfId="14086" xr:uid="{00000000-0005-0000-0000-00002F160000}"/>
    <cellStyle name="Comma 5 3 2 6 3 2 2" xfId="24337" xr:uid="{00000000-0005-0000-0000-000030160000}"/>
    <cellStyle name="Comma 5 3 2 6 3 2 2 2" xfId="49890" xr:uid="{00000000-0005-0000-0000-000031160000}"/>
    <cellStyle name="Comma 5 3 2 6 3 2 3" xfId="39641" xr:uid="{00000000-0005-0000-0000-000032160000}"/>
    <cellStyle name="Comma 5 3 2 6 3 3" xfId="10507" xr:uid="{00000000-0005-0000-0000-000033160000}"/>
    <cellStyle name="Comma 5 3 2 6 3 3 2" xfId="36064" xr:uid="{00000000-0005-0000-0000-000034160000}"/>
    <cellStyle name="Comma 5 3 2 6 3 4" xfId="19330" xr:uid="{00000000-0005-0000-0000-000035160000}"/>
    <cellStyle name="Comma 5 3 2 6 3 4 2" xfId="44883" xr:uid="{00000000-0005-0000-0000-000036160000}"/>
    <cellStyle name="Comma 5 3 2 6 3 5" xfId="30820" xr:uid="{00000000-0005-0000-0000-000037160000}"/>
    <cellStyle name="Comma 5 3 2 6 4" xfId="1757" xr:uid="{00000000-0005-0000-0000-000038160000}"/>
    <cellStyle name="Comma 5 3 2 6 4 2" xfId="11128" xr:uid="{00000000-0005-0000-0000-000039160000}"/>
    <cellStyle name="Comma 5 3 2 6 4 2 2" xfId="36683" xr:uid="{00000000-0005-0000-0000-00003A160000}"/>
    <cellStyle name="Comma 5 3 2 6 4 3" xfId="21132" xr:uid="{00000000-0005-0000-0000-00003B160000}"/>
    <cellStyle name="Comma 5 3 2 6 4 3 2" xfId="46685" xr:uid="{00000000-0005-0000-0000-00003C160000}"/>
    <cellStyle name="Comma 5 3 2 6 4 4" xfId="27615" xr:uid="{00000000-0005-0000-0000-00003D160000}"/>
    <cellStyle name="Comma 5 3 2 6 5" xfId="6704" xr:uid="{00000000-0005-0000-0000-00003E160000}"/>
    <cellStyle name="Comma 5 3 2 6 5 2" xfId="15531" xr:uid="{00000000-0005-0000-0000-00003F160000}"/>
    <cellStyle name="Comma 5 3 2 6 5 2 2" xfId="41086" xr:uid="{00000000-0005-0000-0000-000040160000}"/>
    <cellStyle name="Comma 5 3 2 6 5 3" xfId="25782" xr:uid="{00000000-0005-0000-0000-000041160000}"/>
    <cellStyle name="Comma 5 3 2 6 5 3 2" xfId="51335" xr:uid="{00000000-0005-0000-0000-000042160000}"/>
    <cellStyle name="Comma 5 3 2 6 5 4" xfId="32265" xr:uid="{00000000-0005-0000-0000-000043160000}"/>
    <cellStyle name="Comma 5 3 2 6 6" xfId="8150" xr:uid="{00000000-0005-0000-0000-000044160000}"/>
    <cellStyle name="Comma 5 3 2 6 6 2" xfId="20540" xr:uid="{00000000-0005-0000-0000-000045160000}"/>
    <cellStyle name="Comma 5 3 2 6 6 2 2" xfId="46093" xr:uid="{00000000-0005-0000-0000-000046160000}"/>
    <cellStyle name="Comma 5 3 2 6 6 3" xfId="33707" xr:uid="{00000000-0005-0000-0000-000047160000}"/>
    <cellStyle name="Comma 5 3 2 6 7" xfId="16125" xr:uid="{00000000-0005-0000-0000-000048160000}"/>
    <cellStyle name="Comma 5 3 2 6 7 2" xfId="41678" xr:uid="{00000000-0005-0000-0000-000049160000}"/>
    <cellStyle name="Comma 5 3 2 6 8" xfId="27023" xr:uid="{00000000-0005-0000-0000-00004A160000}"/>
    <cellStyle name="Comma 5 3 2 7" xfId="2654" xr:uid="{00000000-0005-0000-0000-00004B160000}"/>
    <cellStyle name="Comma 5 3 2 7 2" xfId="11974" xr:uid="{00000000-0005-0000-0000-00004C160000}"/>
    <cellStyle name="Comma 5 3 2 7 2 2" xfId="22015" xr:uid="{00000000-0005-0000-0000-00004D160000}"/>
    <cellStyle name="Comma 5 3 2 7 2 2 2" xfId="47568" xr:uid="{00000000-0005-0000-0000-00004E160000}"/>
    <cellStyle name="Comma 5 3 2 7 2 3" xfId="37529" xr:uid="{00000000-0005-0000-0000-00004F160000}"/>
    <cellStyle name="Comma 5 3 2 7 3" xfId="8560" xr:uid="{00000000-0005-0000-0000-000050160000}"/>
    <cellStyle name="Comma 5 3 2 7 3 2" xfId="34117" xr:uid="{00000000-0005-0000-0000-000051160000}"/>
    <cellStyle name="Comma 5 3 2 7 4" xfId="17008" xr:uid="{00000000-0005-0000-0000-000052160000}"/>
    <cellStyle name="Comma 5 3 2 7 4 2" xfId="42561" xr:uid="{00000000-0005-0000-0000-000053160000}"/>
    <cellStyle name="Comma 5 3 2 7 5" xfId="28498" xr:uid="{00000000-0005-0000-0000-000054160000}"/>
    <cellStyle name="Comma 5 3 2 8" xfId="4205" xr:uid="{00000000-0005-0000-0000-000055160000}"/>
    <cellStyle name="Comma 5 3 2 8 2" xfId="13043" xr:uid="{00000000-0005-0000-0000-000056160000}"/>
    <cellStyle name="Comma 5 3 2 8 2 2" xfId="23294" xr:uid="{00000000-0005-0000-0000-000057160000}"/>
    <cellStyle name="Comma 5 3 2 8 2 2 2" xfId="48847" xr:uid="{00000000-0005-0000-0000-000058160000}"/>
    <cellStyle name="Comma 5 3 2 8 2 3" xfId="38598" xr:uid="{00000000-0005-0000-0000-000059160000}"/>
    <cellStyle name="Comma 5 3 2 8 3" xfId="9464" xr:uid="{00000000-0005-0000-0000-00005A160000}"/>
    <cellStyle name="Comma 5 3 2 8 3 2" xfId="35021" xr:uid="{00000000-0005-0000-0000-00005B160000}"/>
    <cellStyle name="Comma 5 3 2 8 4" xfId="18287" xr:uid="{00000000-0005-0000-0000-00005C160000}"/>
    <cellStyle name="Comma 5 3 2 8 4 2" xfId="43840" xr:uid="{00000000-0005-0000-0000-00005D160000}"/>
    <cellStyle name="Comma 5 3 2 8 5" xfId="29777" xr:uid="{00000000-0005-0000-0000-00005E160000}"/>
    <cellStyle name="Comma 5 3 2 9" xfId="1477" xr:uid="{00000000-0005-0000-0000-00005F160000}"/>
    <cellStyle name="Comma 5 3 2 9 2" xfId="10854" xr:uid="{00000000-0005-0000-0000-000060160000}"/>
    <cellStyle name="Comma 5 3 2 9 2 2" xfId="36409" xr:uid="{00000000-0005-0000-0000-000061160000}"/>
    <cellStyle name="Comma 5 3 2 9 3" xfId="20858" xr:uid="{00000000-0005-0000-0000-000062160000}"/>
    <cellStyle name="Comma 5 3 2 9 3 2" xfId="46411" xr:uid="{00000000-0005-0000-0000-000063160000}"/>
    <cellStyle name="Comma 5 3 2 9 4" xfId="27341" xr:uid="{00000000-0005-0000-0000-000064160000}"/>
    <cellStyle name="Comma 5 3 3" xfId="202" xr:uid="{00000000-0005-0000-0000-000065160000}"/>
    <cellStyle name="Comma 5 3 3 10" xfId="7148" xr:uid="{00000000-0005-0000-0000-000066160000}"/>
    <cellStyle name="Comma 5 3 3 10 2" xfId="19657" xr:uid="{00000000-0005-0000-0000-000067160000}"/>
    <cellStyle name="Comma 5 3 3 10 2 2" xfId="45210" xr:uid="{00000000-0005-0000-0000-000068160000}"/>
    <cellStyle name="Comma 5 3 3 10 3" xfId="32705" xr:uid="{00000000-0005-0000-0000-000069160000}"/>
    <cellStyle name="Comma 5 3 3 11" xfId="15894" xr:uid="{00000000-0005-0000-0000-00006A160000}"/>
    <cellStyle name="Comma 5 3 3 11 2" xfId="41447" xr:uid="{00000000-0005-0000-0000-00006B160000}"/>
    <cellStyle name="Comma 5 3 3 12" xfId="26140" xr:uid="{00000000-0005-0000-0000-00006C160000}"/>
    <cellStyle name="Comma 5 3 3 2" xfId="528" xr:uid="{00000000-0005-0000-0000-00006D160000}"/>
    <cellStyle name="Comma 5 3 3 2 10" xfId="26457" xr:uid="{00000000-0005-0000-0000-00006E160000}"/>
    <cellStyle name="Comma 5 3 3 2 2" xfId="658" xr:uid="{00000000-0005-0000-0000-00006F160000}"/>
    <cellStyle name="Comma 5 3 3 2 2 2" xfId="3144" xr:uid="{00000000-0005-0000-0000-000070160000}"/>
    <cellStyle name="Comma 5 3 3 2 2 2 2" xfId="12287" xr:uid="{00000000-0005-0000-0000-000071160000}"/>
    <cellStyle name="Comma 5 3 3 2 2 2 2 2" xfId="22505" xr:uid="{00000000-0005-0000-0000-000072160000}"/>
    <cellStyle name="Comma 5 3 3 2 2 2 2 2 2" xfId="48058" xr:uid="{00000000-0005-0000-0000-000073160000}"/>
    <cellStyle name="Comma 5 3 3 2 2 2 2 3" xfId="37842" xr:uid="{00000000-0005-0000-0000-000074160000}"/>
    <cellStyle name="Comma 5 3 3 2 2 2 3" xfId="8709" xr:uid="{00000000-0005-0000-0000-000075160000}"/>
    <cellStyle name="Comma 5 3 3 2 2 2 3 2" xfId="34266" xr:uid="{00000000-0005-0000-0000-000076160000}"/>
    <cellStyle name="Comma 5 3 3 2 2 2 4" xfId="17498" xr:uid="{00000000-0005-0000-0000-000077160000}"/>
    <cellStyle name="Comma 5 3 3 2 2 2 4 2" xfId="43051" xr:uid="{00000000-0005-0000-0000-000078160000}"/>
    <cellStyle name="Comma 5 3 3 2 2 2 5" xfId="28988" xr:uid="{00000000-0005-0000-0000-000079160000}"/>
    <cellStyle name="Comma 5 3 3 2 2 3" xfId="4473" xr:uid="{00000000-0005-0000-0000-00007A160000}"/>
    <cellStyle name="Comma 5 3 3 2 2 3 2" xfId="13311" xr:uid="{00000000-0005-0000-0000-00007B160000}"/>
    <cellStyle name="Comma 5 3 3 2 2 3 2 2" xfId="23562" xr:uid="{00000000-0005-0000-0000-00007C160000}"/>
    <cellStyle name="Comma 5 3 3 2 2 3 2 2 2" xfId="49115" xr:uid="{00000000-0005-0000-0000-00007D160000}"/>
    <cellStyle name="Comma 5 3 3 2 2 3 2 3" xfId="38866" xr:uid="{00000000-0005-0000-0000-00007E160000}"/>
    <cellStyle name="Comma 5 3 3 2 2 3 3" xfId="9732" xr:uid="{00000000-0005-0000-0000-00007F160000}"/>
    <cellStyle name="Comma 5 3 3 2 2 3 3 2" xfId="35289" xr:uid="{00000000-0005-0000-0000-000080160000}"/>
    <cellStyle name="Comma 5 3 3 2 2 3 4" xfId="18555" xr:uid="{00000000-0005-0000-0000-000081160000}"/>
    <cellStyle name="Comma 5 3 3 2 2 3 4 2" xfId="44108" xr:uid="{00000000-0005-0000-0000-000082160000}"/>
    <cellStyle name="Comma 5 3 3 2 2 3 5" xfId="30045" xr:uid="{00000000-0005-0000-0000-000083160000}"/>
    <cellStyle name="Comma 5 3 3 2 2 4" xfId="2253" xr:uid="{00000000-0005-0000-0000-000084160000}"/>
    <cellStyle name="Comma 5 3 3 2 2 4 2" xfId="11618" xr:uid="{00000000-0005-0000-0000-000085160000}"/>
    <cellStyle name="Comma 5 3 3 2 2 4 2 2" xfId="37173" xr:uid="{00000000-0005-0000-0000-000086160000}"/>
    <cellStyle name="Comma 5 3 3 2 2 4 3" xfId="21622" xr:uid="{00000000-0005-0000-0000-000087160000}"/>
    <cellStyle name="Comma 5 3 3 2 2 4 3 2" xfId="47175" xr:uid="{00000000-0005-0000-0000-000088160000}"/>
    <cellStyle name="Comma 5 3 3 2 2 4 4" xfId="28105" xr:uid="{00000000-0005-0000-0000-000089160000}"/>
    <cellStyle name="Comma 5 3 3 2 2 5" xfId="5929" xr:uid="{00000000-0005-0000-0000-00008A160000}"/>
    <cellStyle name="Comma 5 3 3 2 2 5 2" xfId="14756" xr:uid="{00000000-0005-0000-0000-00008B160000}"/>
    <cellStyle name="Comma 5 3 3 2 2 5 2 2" xfId="40311" xr:uid="{00000000-0005-0000-0000-00008C160000}"/>
    <cellStyle name="Comma 5 3 3 2 2 5 3" xfId="25007" xr:uid="{00000000-0005-0000-0000-00008D160000}"/>
    <cellStyle name="Comma 5 3 3 2 2 5 3 2" xfId="50560" xr:uid="{00000000-0005-0000-0000-00008E160000}"/>
    <cellStyle name="Comma 5 3 3 2 2 5 4" xfId="31490" xr:uid="{00000000-0005-0000-0000-00008F160000}"/>
    <cellStyle name="Comma 5 3 3 2 2 6" xfId="7373" xr:uid="{00000000-0005-0000-0000-000090160000}"/>
    <cellStyle name="Comma 5 3 3 2 2 6 2" xfId="20104" xr:uid="{00000000-0005-0000-0000-000091160000}"/>
    <cellStyle name="Comma 5 3 3 2 2 6 2 2" xfId="45657" xr:uid="{00000000-0005-0000-0000-000092160000}"/>
    <cellStyle name="Comma 5 3 3 2 2 6 3" xfId="32930" xr:uid="{00000000-0005-0000-0000-000093160000}"/>
    <cellStyle name="Comma 5 3 3 2 2 7" xfId="16615" xr:uid="{00000000-0005-0000-0000-000094160000}"/>
    <cellStyle name="Comma 5 3 3 2 2 7 2" xfId="42168" xr:uid="{00000000-0005-0000-0000-000095160000}"/>
    <cellStyle name="Comma 5 3 3 2 2 8" xfId="26587" xr:uid="{00000000-0005-0000-0000-000096160000}"/>
    <cellStyle name="Comma 5 3 3 2 3" xfId="1300" xr:uid="{00000000-0005-0000-0000-000097160000}"/>
    <cellStyle name="Comma 5 3 3 2 3 2" xfId="3729" xr:uid="{00000000-0005-0000-0000-000098160000}"/>
    <cellStyle name="Comma 5 3 3 2 3 2 2" xfId="12865" xr:uid="{00000000-0005-0000-0000-000099160000}"/>
    <cellStyle name="Comma 5 3 3 2 3 2 2 2" xfId="23084" xr:uid="{00000000-0005-0000-0000-00009A160000}"/>
    <cellStyle name="Comma 5 3 3 2 3 2 2 2 2" xfId="48637" xr:uid="{00000000-0005-0000-0000-00009B160000}"/>
    <cellStyle name="Comma 5 3 3 2 3 2 2 3" xfId="38420" xr:uid="{00000000-0005-0000-0000-00009C160000}"/>
    <cellStyle name="Comma 5 3 3 2 3 2 3" xfId="9286" xr:uid="{00000000-0005-0000-0000-00009D160000}"/>
    <cellStyle name="Comma 5 3 3 2 3 2 3 2" xfId="34843" xr:uid="{00000000-0005-0000-0000-00009E160000}"/>
    <cellStyle name="Comma 5 3 3 2 3 2 4" xfId="18077" xr:uid="{00000000-0005-0000-0000-00009F160000}"/>
    <cellStyle name="Comma 5 3 3 2 3 2 4 2" xfId="43630" xr:uid="{00000000-0005-0000-0000-0000A0160000}"/>
    <cellStyle name="Comma 5 3 3 2 3 2 5" xfId="29567" xr:uid="{00000000-0005-0000-0000-0000A1160000}"/>
    <cellStyle name="Comma 5 3 3 2 3 3" xfId="4822" xr:uid="{00000000-0005-0000-0000-0000A2160000}"/>
    <cellStyle name="Comma 5 3 3 2 3 3 2" xfId="13659" xr:uid="{00000000-0005-0000-0000-0000A3160000}"/>
    <cellStyle name="Comma 5 3 3 2 3 3 2 2" xfId="23910" xr:uid="{00000000-0005-0000-0000-0000A4160000}"/>
    <cellStyle name="Comma 5 3 3 2 3 3 2 2 2" xfId="49463" xr:uid="{00000000-0005-0000-0000-0000A5160000}"/>
    <cellStyle name="Comma 5 3 3 2 3 3 2 3" xfId="39214" xr:uid="{00000000-0005-0000-0000-0000A6160000}"/>
    <cellStyle name="Comma 5 3 3 2 3 3 3" xfId="10080" xr:uid="{00000000-0005-0000-0000-0000A7160000}"/>
    <cellStyle name="Comma 5 3 3 2 3 3 3 2" xfId="35637" xr:uid="{00000000-0005-0000-0000-0000A8160000}"/>
    <cellStyle name="Comma 5 3 3 2 3 3 4" xfId="18903" xr:uid="{00000000-0005-0000-0000-0000A9160000}"/>
    <cellStyle name="Comma 5 3 3 2 3 3 4 2" xfId="44456" xr:uid="{00000000-0005-0000-0000-0000AA160000}"/>
    <cellStyle name="Comma 5 3 3 2 3 3 5" xfId="30393" xr:uid="{00000000-0005-0000-0000-0000AB160000}"/>
    <cellStyle name="Comma 5 3 3 2 3 4" xfId="2123" xr:uid="{00000000-0005-0000-0000-0000AC160000}"/>
    <cellStyle name="Comma 5 3 3 2 3 4 2" xfId="11488" xr:uid="{00000000-0005-0000-0000-0000AD160000}"/>
    <cellStyle name="Comma 5 3 3 2 3 4 2 2" xfId="37043" xr:uid="{00000000-0005-0000-0000-0000AE160000}"/>
    <cellStyle name="Comma 5 3 3 2 3 4 3" xfId="21492" xr:uid="{00000000-0005-0000-0000-0000AF160000}"/>
    <cellStyle name="Comma 5 3 3 2 3 4 3 2" xfId="47045" xr:uid="{00000000-0005-0000-0000-0000B0160000}"/>
    <cellStyle name="Comma 5 3 3 2 3 4 4" xfId="27975" xr:uid="{00000000-0005-0000-0000-0000B1160000}"/>
    <cellStyle name="Comma 5 3 3 2 3 5" xfId="6277" xr:uid="{00000000-0005-0000-0000-0000B2160000}"/>
    <cellStyle name="Comma 5 3 3 2 3 5 2" xfId="15104" xr:uid="{00000000-0005-0000-0000-0000B3160000}"/>
    <cellStyle name="Comma 5 3 3 2 3 5 2 2" xfId="40659" xr:uid="{00000000-0005-0000-0000-0000B4160000}"/>
    <cellStyle name="Comma 5 3 3 2 3 5 3" xfId="25355" xr:uid="{00000000-0005-0000-0000-0000B5160000}"/>
    <cellStyle name="Comma 5 3 3 2 3 5 3 2" xfId="50908" xr:uid="{00000000-0005-0000-0000-0000B6160000}"/>
    <cellStyle name="Comma 5 3 3 2 3 5 4" xfId="31838" xr:uid="{00000000-0005-0000-0000-0000B7160000}"/>
    <cellStyle name="Comma 5 3 3 2 3 6" xfId="7723" xr:uid="{00000000-0005-0000-0000-0000B8160000}"/>
    <cellStyle name="Comma 5 3 3 2 3 6 2" xfId="20683" xr:uid="{00000000-0005-0000-0000-0000B9160000}"/>
    <cellStyle name="Comma 5 3 3 2 3 6 2 2" xfId="46236" xr:uid="{00000000-0005-0000-0000-0000BA160000}"/>
    <cellStyle name="Comma 5 3 3 2 3 6 3" xfId="33280" xr:uid="{00000000-0005-0000-0000-0000BB160000}"/>
    <cellStyle name="Comma 5 3 3 2 3 7" xfId="16485" xr:uid="{00000000-0005-0000-0000-0000BC160000}"/>
    <cellStyle name="Comma 5 3 3 2 3 7 2" xfId="42038" xr:uid="{00000000-0005-0000-0000-0000BD160000}"/>
    <cellStyle name="Comma 5 3 3 2 3 8" xfId="27166" xr:uid="{00000000-0005-0000-0000-0000BE160000}"/>
    <cellStyle name="Comma 5 3 3 2 4" xfId="3014" xr:uid="{00000000-0005-0000-0000-0000BF160000}"/>
    <cellStyle name="Comma 5 3 3 2 4 2" xfId="5392" xr:uid="{00000000-0005-0000-0000-0000C0160000}"/>
    <cellStyle name="Comma 5 3 3 2 4 2 2" xfId="14229" xr:uid="{00000000-0005-0000-0000-0000C1160000}"/>
    <cellStyle name="Comma 5 3 3 2 4 2 2 2" xfId="24480" xr:uid="{00000000-0005-0000-0000-0000C2160000}"/>
    <cellStyle name="Comma 5 3 3 2 4 2 2 2 2" xfId="50033" xr:uid="{00000000-0005-0000-0000-0000C3160000}"/>
    <cellStyle name="Comma 5 3 3 2 4 2 2 3" xfId="39784" xr:uid="{00000000-0005-0000-0000-0000C4160000}"/>
    <cellStyle name="Comma 5 3 3 2 4 2 3" xfId="10650" xr:uid="{00000000-0005-0000-0000-0000C5160000}"/>
    <cellStyle name="Comma 5 3 3 2 4 2 3 2" xfId="36207" xr:uid="{00000000-0005-0000-0000-0000C6160000}"/>
    <cellStyle name="Comma 5 3 3 2 4 2 4" xfId="19473" xr:uid="{00000000-0005-0000-0000-0000C7160000}"/>
    <cellStyle name="Comma 5 3 3 2 4 2 4 2" xfId="45026" xr:uid="{00000000-0005-0000-0000-0000C8160000}"/>
    <cellStyle name="Comma 5 3 3 2 4 2 5" xfId="30963" xr:uid="{00000000-0005-0000-0000-0000C9160000}"/>
    <cellStyle name="Comma 5 3 3 2 4 3" xfId="6847" xr:uid="{00000000-0005-0000-0000-0000CA160000}"/>
    <cellStyle name="Comma 5 3 3 2 4 3 2" xfId="15674" xr:uid="{00000000-0005-0000-0000-0000CB160000}"/>
    <cellStyle name="Comma 5 3 3 2 4 3 2 2" xfId="41229" xr:uid="{00000000-0005-0000-0000-0000CC160000}"/>
    <cellStyle name="Comma 5 3 3 2 4 3 3" xfId="25925" xr:uid="{00000000-0005-0000-0000-0000CD160000}"/>
    <cellStyle name="Comma 5 3 3 2 4 3 3 2" xfId="51478" xr:uid="{00000000-0005-0000-0000-0000CE160000}"/>
    <cellStyle name="Comma 5 3 3 2 4 3 4" xfId="32408" xr:uid="{00000000-0005-0000-0000-0000CF160000}"/>
    <cellStyle name="Comma 5 3 3 2 4 4" xfId="8293" xr:uid="{00000000-0005-0000-0000-0000D0160000}"/>
    <cellStyle name="Comma 5 3 3 2 4 4 2" xfId="22375" xr:uid="{00000000-0005-0000-0000-0000D1160000}"/>
    <cellStyle name="Comma 5 3 3 2 4 4 2 2" xfId="47928" xr:uid="{00000000-0005-0000-0000-0000D2160000}"/>
    <cellStyle name="Comma 5 3 3 2 4 4 3" xfId="33850" xr:uid="{00000000-0005-0000-0000-0000D3160000}"/>
    <cellStyle name="Comma 5 3 3 2 4 5" xfId="17368" xr:uid="{00000000-0005-0000-0000-0000D4160000}"/>
    <cellStyle name="Comma 5 3 3 2 4 5 2" xfId="42921" xr:uid="{00000000-0005-0000-0000-0000D5160000}"/>
    <cellStyle name="Comma 5 3 3 2 4 6" xfId="28858" xr:uid="{00000000-0005-0000-0000-0000D6160000}"/>
    <cellStyle name="Comma 5 3 3 2 5" xfId="4348" xr:uid="{00000000-0005-0000-0000-0000D7160000}"/>
    <cellStyle name="Comma 5 3 3 2 5 2" xfId="13186" xr:uid="{00000000-0005-0000-0000-0000D8160000}"/>
    <cellStyle name="Comma 5 3 3 2 5 2 2" xfId="23437" xr:uid="{00000000-0005-0000-0000-0000D9160000}"/>
    <cellStyle name="Comma 5 3 3 2 5 2 2 2" xfId="48990" xr:uid="{00000000-0005-0000-0000-0000DA160000}"/>
    <cellStyle name="Comma 5 3 3 2 5 2 3" xfId="38741" xr:uid="{00000000-0005-0000-0000-0000DB160000}"/>
    <cellStyle name="Comma 5 3 3 2 5 3" xfId="9607" xr:uid="{00000000-0005-0000-0000-0000DC160000}"/>
    <cellStyle name="Comma 5 3 3 2 5 3 2" xfId="35164" xr:uid="{00000000-0005-0000-0000-0000DD160000}"/>
    <cellStyle name="Comma 5 3 3 2 5 4" xfId="18430" xr:uid="{00000000-0005-0000-0000-0000DE160000}"/>
    <cellStyle name="Comma 5 3 3 2 5 4 2" xfId="43983" xr:uid="{00000000-0005-0000-0000-0000DF160000}"/>
    <cellStyle name="Comma 5 3 3 2 5 5" xfId="29920" xr:uid="{00000000-0005-0000-0000-0000E0160000}"/>
    <cellStyle name="Comma 5 3 3 2 6" xfId="1620" xr:uid="{00000000-0005-0000-0000-0000E1160000}"/>
    <cellStyle name="Comma 5 3 3 2 6 2" xfId="10997" xr:uid="{00000000-0005-0000-0000-0000E2160000}"/>
    <cellStyle name="Comma 5 3 3 2 6 2 2" xfId="36552" xr:uid="{00000000-0005-0000-0000-0000E3160000}"/>
    <cellStyle name="Comma 5 3 3 2 6 3" xfId="21001" xr:uid="{00000000-0005-0000-0000-0000E4160000}"/>
    <cellStyle name="Comma 5 3 3 2 6 3 2" xfId="46554" xr:uid="{00000000-0005-0000-0000-0000E5160000}"/>
    <cellStyle name="Comma 5 3 3 2 6 4" xfId="27484" xr:uid="{00000000-0005-0000-0000-0000E6160000}"/>
    <cellStyle name="Comma 5 3 3 2 7" xfId="5804" xr:uid="{00000000-0005-0000-0000-0000E7160000}"/>
    <cellStyle name="Comma 5 3 3 2 7 2" xfId="14631" xr:uid="{00000000-0005-0000-0000-0000E8160000}"/>
    <cellStyle name="Comma 5 3 3 2 7 2 2" xfId="40186" xr:uid="{00000000-0005-0000-0000-0000E9160000}"/>
    <cellStyle name="Comma 5 3 3 2 7 3" xfId="24882" xr:uid="{00000000-0005-0000-0000-0000EA160000}"/>
    <cellStyle name="Comma 5 3 3 2 7 3 2" xfId="50435" xr:uid="{00000000-0005-0000-0000-0000EB160000}"/>
    <cellStyle name="Comma 5 3 3 2 7 4" xfId="31365" xr:uid="{00000000-0005-0000-0000-0000EC160000}"/>
    <cellStyle name="Comma 5 3 3 2 8" xfId="7248" xr:uid="{00000000-0005-0000-0000-0000ED160000}"/>
    <cellStyle name="Comma 5 3 3 2 8 2" xfId="19974" xr:uid="{00000000-0005-0000-0000-0000EE160000}"/>
    <cellStyle name="Comma 5 3 3 2 8 2 2" xfId="45527" xr:uid="{00000000-0005-0000-0000-0000EF160000}"/>
    <cellStyle name="Comma 5 3 3 2 8 3" xfId="32805" xr:uid="{00000000-0005-0000-0000-0000F0160000}"/>
    <cellStyle name="Comma 5 3 3 2 9" xfId="15994" xr:uid="{00000000-0005-0000-0000-0000F1160000}"/>
    <cellStyle name="Comma 5 3 3 2 9 2" xfId="41547" xr:uid="{00000000-0005-0000-0000-0000F2160000}"/>
    <cellStyle name="Comma 5 3 3 3" xfId="428" xr:uid="{00000000-0005-0000-0000-0000F3160000}"/>
    <cellStyle name="Comma 5 3 3 3 2" xfId="2914" xr:uid="{00000000-0005-0000-0000-0000F4160000}"/>
    <cellStyle name="Comma 5 3 3 3 2 2" xfId="12202" xr:uid="{00000000-0005-0000-0000-0000F5160000}"/>
    <cellStyle name="Comma 5 3 3 3 2 2 2" xfId="22275" xr:uid="{00000000-0005-0000-0000-0000F6160000}"/>
    <cellStyle name="Comma 5 3 3 3 2 2 2 2" xfId="47828" xr:uid="{00000000-0005-0000-0000-0000F7160000}"/>
    <cellStyle name="Comma 5 3 3 3 2 2 3" xfId="37757" xr:uid="{00000000-0005-0000-0000-0000F8160000}"/>
    <cellStyle name="Comma 5 3 3 3 2 3" xfId="8403" xr:uid="{00000000-0005-0000-0000-0000F9160000}"/>
    <cellStyle name="Comma 5 3 3 3 2 3 2" xfId="33960" xr:uid="{00000000-0005-0000-0000-0000FA160000}"/>
    <cellStyle name="Comma 5 3 3 3 2 4" xfId="17268" xr:uid="{00000000-0005-0000-0000-0000FB160000}"/>
    <cellStyle name="Comma 5 3 3 3 2 4 2" xfId="42821" xr:uid="{00000000-0005-0000-0000-0000FC160000}"/>
    <cellStyle name="Comma 5 3 3 3 2 5" xfId="28758" xr:uid="{00000000-0005-0000-0000-0000FD160000}"/>
    <cellStyle name="Comma 5 3 3 3 3" xfId="4472" xr:uid="{00000000-0005-0000-0000-0000FE160000}"/>
    <cellStyle name="Comma 5 3 3 3 3 2" xfId="13310" xr:uid="{00000000-0005-0000-0000-0000FF160000}"/>
    <cellStyle name="Comma 5 3 3 3 3 2 2" xfId="23561" xr:uid="{00000000-0005-0000-0000-000000170000}"/>
    <cellStyle name="Comma 5 3 3 3 3 2 2 2" xfId="49114" xr:uid="{00000000-0005-0000-0000-000001170000}"/>
    <cellStyle name="Comma 5 3 3 3 3 2 3" xfId="38865" xr:uid="{00000000-0005-0000-0000-000002170000}"/>
    <cellStyle name="Comma 5 3 3 3 3 3" xfId="9731" xr:uid="{00000000-0005-0000-0000-000003170000}"/>
    <cellStyle name="Comma 5 3 3 3 3 3 2" xfId="35288" xr:uid="{00000000-0005-0000-0000-000004170000}"/>
    <cellStyle name="Comma 5 3 3 3 3 4" xfId="18554" xr:uid="{00000000-0005-0000-0000-000005170000}"/>
    <cellStyle name="Comma 5 3 3 3 3 4 2" xfId="44107" xr:uid="{00000000-0005-0000-0000-000006170000}"/>
    <cellStyle name="Comma 5 3 3 3 3 5" xfId="30044" xr:uid="{00000000-0005-0000-0000-000007170000}"/>
    <cellStyle name="Comma 5 3 3 3 4" xfId="2023" xr:uid="{00000000-0005-0000-0000-000008170000}"/>
    <cellStyle name="Comma 5 3 3 3 4 2" xfId="11388" xr:uid="{00000000-0005-0000-0000-000009170000}"/>
    <cellStyle name="Comma 5 3 3 3 4 2 2" xfId="36943" xr:uid="{00000000-0005-0000-0000-00000A170000}"/>
    <cellStyle name="Comma 5 3 3 3 4 3" xfId="21392" xr:uid="{00000000-0005-0000-0000-00000B170000}"/>
    <cellStyle name="Comma 5 3 3 3 4 3 2" xfId="46945" xr:uid="{00000000-0005-0000-0000-00000C170000}"/>
    <cellStyle name="Comma 5 3 3 3 4 4" xfId="27875" xr:uid="{00000000-0005-0000-0000-00000D170000}"/>
    <cellStyle name="Comma 5 3 3 3 5" xfId="5928" xr:uid="{00000000-0005-0000-0000-00000E170000}"/>
    <cellStyle name="Comma 5 3 3 3 5 2" xfId="14755" xr:uid="{00000000-0005-0000-0000-00000F170000}"/>
    <cellStyle name="Comma 5 3 3 3 5 2 2" xfId="40310" xr:uid="{00000000-0005-0000-0000-000010170000}"/>
    <cellStyle name="Comma 5 3 3 3 5 3" xfId="25006" xr:uid="{00000000-0005-0000-0000-000011170000}"/>
    <cellStyle name="Comma 5 3 3 3 5 3 2" xfId="50559" xr:uid="{00000000-0005-0000-0000-000012170000}"/>
    <cellStyle name="Comma 5 3 3 3 5 4" xfId="31489" xr:uid="{00000000-0005-0000-0000-000013170000}"/>
    <cellStyle name="Comma 5 3 3 3 6" xfId="7372" xr:uid="{00000000-0005-0000-0000-000014170000}"/>
    <cellStyle name="Comma 5 3 3 3 6 2" xfId="19874" xr:uid="{00000000-0005-0000-0000-000015170000}"/>
    <cellStyle name="Comma 5 3 3 3 6 2 2" xfId="45427" xr:uid="{00000000-0005-0000-0000-000016170000}"/>
    <cellStyle name="Comma 5 3 3 3 6 3" xfId="32929" xr:uid="{00000000-0005-0000-0000-000017170000}"/>
    <cellStyle name="Comma 5 3 3 3 7" xfId="16385" xr:uid="{00000000-0005-0000-0000-000018170000}"/>
    <cellStyle name="Comma 5 3 3 3 7 2" xfId="41938" xr:uid="{00000000-0005-0000-0000-000019170000}"/>
    <cellStyle name="Comma 5 3 3 3 8" xfId="26357" xr:uid="{00000000-0005-0000-0000-00001A170000}"/>
    <cellStyle name="Comma 5 3 3 4" xfId="657" xr:uid="{00000000-0005-0000-0000-00001B170000}"/>
    <cellStyle name="Comma 5 3 3 4 2" xfId="3143" xr:uid="{00000000-0005-0000-0000-00001C170000}"/>
    <cellStyle name="Comma 5 3 3 4 2 2" xfId="12286" xr:uid="{00000000-0005-0000-0000-00001D170000}"/>
    <cellStyle name="Comma 5 3 3 4 2 2 2" xfId="22504" xr:uid="{00000000-0005-0000-0000-00001E170000}"/>
    <cellStyle name="Comma 5 3 3 4 2 2 2 2" xfId="48057" xr:uid="{00000000-0005-0000-0000-00001F170000}"/>
    <cellStyle name="Comma 5 3 3 4 2 2 3" xfId="37841" xr:uid="{00000000-0005-0000-0000-000020170000}"/>
    <cellStyle name="Comma 5 3 3 4 2 3" xfId="8708" xr:uid="{00000000-0005-0000-0000-000021170000}"/>
    <cellStyle name="Comma 5 3 3 4 2 3 2" xfId="34265" xr:uid="{00000000-0005-0000-0000-000022170000}"/>
    <cellStyle name="Comma 5 3 3 4 2 4" xfId="17497" xr:uid="{00000000-0005-0000-0000-000023170000}"/>
    <cellStyle name="Comma 5 3 3 4 2 4 2" xfId="43050" xr:uid="{00000000-0005-0000-0000-000024170000}"/>
    <cellStyle name="Comma 5 3 3 4 2 5" xfId="28987" xr:uid="{00000000-0005-0000-0000-000025170000}"/>
    <cellStyle name="Comma 5 3 3 4 3" xfId="4821" xr:uid="{00000000-0005-0000-0000-000026170000}"/>
    <cellStyle name="Comma 5 3 3 4 3 2" xfId="13658" xr:uid="{00000000-0005-0000-0000-000027170000}"/>
    <cellStyle name="Comma 5 3 3 4 3 2 2" xfId="23909" xr:uid="{00000000-0005-0000-0000-000028170000}"/>
    <cellStyle name="Comma 5 3 3 4 3 2 2 2" xfId="49462" xr:uid="{00000000-0005-0000-0000-000029170000}"/>
    <cellStyle name="Comma 5 3 3 4 3 2 3" xfId="39213" xr:uid="{00000000-0005-0000-0000-00002A170000}"/>
    <cellStyle name="Comma 5 3 3 4 3 3" xfId="10079" xr:uid="{00000000-0005-0000-0000-00002B170000}"/>
    <cellStyle name="Comma 5 3 3 4 3 3 2" xfId="35636" xr:uid="{00000000-0005-0000-0000-00002C170000}"/>
    <cellStyle name="Comma 5 3 3 4 3 4" xfId="18902" xr:uid="{00000000-0005-0000-0000-00002D170000}"/>
    <cellStyle name="Comma 5 3 3 4 3 4 2" xfId="44455" xr:uid="{00000000-0005-0000-0000-00002E170000}"/>
    <cellStyle name="Comma 5 3 3 4 3 5" xfId="30392" xr:uid="{00000000-0005-0000-0000-00002F170000}"/>
    <cellStyle name="Comma 5 3 3 4 4" xfId="2252" xr:uid="{00000000-0005-0000-0000-000030170000}"/>
    <cellStyle name="Comma 5 3 3 4 4 2" xfId="11617" xr:uid="{00000000-0005-0000-0000-000031170000}"/>
    <cellStyle name="Comma 5 3 3 4 4 2 2" xfId="37172" xr:uid="{00000000-0005-0000-0000-000032170000}"/>
    <cellStyle name="Comma 5 3 3 4 4 3" xfId="21621" xr:uid="{00000000-0005-0000-0000-000033170000}"/>
    <cellStyle name="Comma 5 3 3 4 4 3 2" xfId="47174" xr:uid="{00000000-0005-0000-0000-000034170000}"/>
    <cellStyle name="Comma 5 3 3 4 4 4" xfId="28104" xr:uid="{00000000-0005-0000-0000-000035170000}"/>
    <cellStyle name="Comma 5 3 3 4 5" xfId="6276" xr:uid="{00000000-0005-0000-0000-000036170000}"/>
    <cellStyle name="Comma 5 3 3 4 5 2" xfId="15103" xr:uid="{00000000-0005-0000-0000-000037170000}"/>
    <cellStyle name="Comma 5 3 3 4 5 2 2" xfId="40658" xr:uid="{00000000-0005-0000-0000-000038170000}"/>
    <cellStyle name="Comma 5 3 3 4 5 3" xfId="25354" xr:uid="{00000000-0005-0000-0000-000039170000}"/>
    <cellStyle name="Comma 5 3 3 4 5 3 2" xfId="50907" xr:uid="{00000000-0005-0000-0000-00003A170000}"/>
    <cellStyle name="Comma 5 3 3 4 5 4" xfId="31837" xr:uid="{00000000-0005-0000-0000-00003B170000}"/>
    <cellStyle name="Comma 5 3 3 4 6" xfId="7722" xr:uid="{00000000-0005-0000-0000-00003C170000}"/>
    <cellStyle name="Comma 5 3 3 4 6 2" xfId="20103" xr:uid="{00000000-0005-0000-0000-00003D170000}"/>
    <cellStyle name="Comma 5 3 3 4 6 2 2" xfId="45656" xr:uid="{00000000-0005-0000-0000-00003E170000}"/>
    <cellStyle name="Comma 5 3 3 4 6 3" xfId="33279" xr:uid="{00000000-0005-0000-0000-00003F170000}"/>
    <cellStyle name="Comma 5 3 3 4 7" xfId="16614" xr:uid="{00000000-0005-0000-0000-000040170000}"/>
    <cellStyle name="Comma 5 3 3 4 7 2" xfId="42167" xr:uid="{00000000-0005-0000-0000-000041170000}"/>
    <cellStyle name="Comma 5 3 3 4 8" xfId="26586" xr:uid="{00000000-0005-0000-0000-000042170000}"/>
    <cellStyle name="Comma 5 3 3 5" xfId="1200" xr:uid="{00000000-0005-0000-0000-000043170000}"/>
    <cellStyle name="Comma 5 3 3 5 2" xfId="3629" xr:uid="{00000000-0005-0000-0000-000044170000}"/>
    <cellStyle name="Comma 5 3 3 5 2 2" xfId="12765" xr:uid="{00000000-0005-0000-0000-000045170000}"/>
    <cellStyle name="Comma 5 3 3 5 2 2 2" xfId="22984" xr:uid="{00000000-0005-0000-0000-000046170000}"/>
    <cellStyle name="Comma 5 3 3 5 2 2 2 2" xfId="48537" xr:uid="{00000000-0005-0000-0000-000047170000}"/>
    <cellStyle name="Comma 5 3 3 5 2 2 3" xfId="38320" xr:uid="{00000000-0005-0000-0000-000048170000}"/>
    <cellStyle name="Comma 5 3 3 5 2 3" xfId="9186" xr:uid="{00000000-0005-0000-0000-000049170000}"/>
    <cellStyle name="Comma 5 3 3 5 2 3 2" xfId="34743" xr:uid="{00000000-0005-0000-0000-00004A170000}"/>
    <cellStyle name="Comma 5 3 3 5 2 4" xfId="17977" xr:uid="{00000000-0005-0000-0000-00004B170000}"/>
    <cellStyle name="Comma 5 3 3 5 2 4 2" xfId="43530" xr:uid="{00000000-0005-0000-0000-00004C170000}"/>
    <cellStyle name="Comma 5 3 3 5 2 5" xfId="29467" xr:uid="{00000000-0005-0000-0000-00004D170000}"/>
    <cellStyle name="Comma 5 3 3 5 3" xfId="5292" xr:uid="{00000000-0005-0000-0000-00004E170000}"/>
    <cellStyle name="Comma 5 3 3 5 3 2" xfId="14129" xr:uid="{00000000-0005-0000-0000-00004F170000}"/>
    <cellStyle name="Comma 5 3 3 5 3 2 2" xfId="24380" xr:uid="{00000000-0005-0000-0000-000050170000}"/>
    <cellStyle name="Comma 5 3 3 5 3 2 2 2" xfId="49933" xr:uid="{00000000-0005-0000-0000-000051170000}"/>
    <cellStyle name="Comma 5 3 3 5 3 2 3" xfId="39684" xr:uid="{00000000-0005-0000-0000-000052170000}"/>
    <cellStyle name="Comma 5 3 3 5 3 3" xfId="10550" xr:uid="{00000000-0005-0000-0000-000053170000}"/>
    <cellStyle name="Comma 5 3 3 5 3 3 2" xfId="36107" xr:uid="{00000000-0005-0000-0000-000054170000}"/>
    <cellStyle name="Comma 5 3 3 5 3 4" xfId="19373" xr:uid="{00000000-0005-0000-0000-000055170000}"/>
    <cellStyle name="Comma 5 3 3 5 3 4 2" xfId="44926" xr:uid="{00000000-0005-0000-0000-000056170000}"/>
    <cellStyle name="Comma 5 3 3 5 3 5" xfId="30863" xr:uid="{00000000-0005-0000-0000-000057170000}"/>
    <cellStyle name="Comma 5 3 3 5 4" xfId="1803" xr:uid="{00000000-0005-0000-0000-000058170000}"/>
    <cellStyle name="Comma 5 3 3 5 4 2" xfId="11171" xr:uid="{00000000-0005-0000-0000-000059170000}"/>
    <cellStyle name="Comma 5 3 3 5 4 2 2" xfId="36726" xr:uid="{00000000-0005-0000-0000-00005A170000}"/>
    <cellStyle name="Comma 5 3 3 5 4 3" xfId="21175" xr:uid="{00000000-0005-0000-0000-00005B170000}"/>
    <cellStyle name="Comma 5 3 3 5 4 3 2" xfId="46728" xr:uid="{00000000-0005-0000-0000-00005C170000}"/>
    <cellStyle name="Comma 5 3 3 5 4 4" xfId="27658" xr:uid="{00000000-0005-0000-0000-00005D170000}"/>
    <cellStyle name="Comma 5 3 3 5 5" xfId="6747" xr:uid="{00000000-0005-0000-0000-00005E170000}"/>
    <cellStyle name="Comma 5 3 3 5 5 2" xfId="15574" xr:uid="{00000000-0005-0000-0000-00005F170000}"/>
    <cellStyle name="Comma 5 3 3 5 5 2 2" xfId="41129" xr:uid="{00000000-0005-0000-0000-000060170000}"/>
    <cellStyle name="Comma 5 3 3 5 5 3" xfId="25825" xr:uid="{00000000-0005-0000-0000-000061170000}"/>
    <cellStyle name="Comma 5 3 3 5 5 3 2" xfId="51378" xr:uid="{00000000-0005-0000-0000-000062170000}"/>
    <cellStyle name="Comma 5 3 3 5 5 4" xfId="32308" xr:uid="{00000000-0005-0000-0000-000063170000}"/>
    <cellStyle name="Comma 5 3 3 5 6" xfId="8193" xr:uid="{00000000-0005-0000-0000-000064170000}"/>
    <cellStyle name="Comma 5 3 3 5 6 2" xfId="20583" xr:uid="{00000000-0005-0000-0000-000065170000}"/>
    <cellStyle name="Comma 5 3 3 5 6 2 2" xfId="46136" xr:uid="{00000000-0005-0000-0000-000066170000}"/>
    <cellStyle name="Comma 5 3 3 5 6 3" xfId="33750" xr:uid="{00000000-0005-0000-0000-000067170000}"/>
    <cellStyle name="Comma 5 3 3 5 7" xfId="16168" xr:uid="{00000000-0005-0000-0000-000068170000}"/>
    <cellStyle name="Comma 5 3 3 5 7 2" xfId="41721" xr:uid="{00000000-0005-0000-0000-000069170000}"/>
    <cellStyle name="Comma 5 3 3 5 8" xfId="27066" xr:uid="{00000000-0005-0000-0000-00006A170000}"/>
    <cellStyle name="Comma 5 3 3 6" xfId="2697" xr:uid="{00000000-0005-0000-0000-00006B170000}"/>
    <cellStyle name="Comma 5 3 3 6 2" xfId="12014" xr:uid="{00000000-0005-0000-0000-00006C170000}"/>
    <cellStyle name="Comma 5 3 3 6 2 2" xfId="22058" xr:uid="{00000000-0005-0000-0000-00006D170000}"/>
    <cellStyle name="Comma 5 3 3 6 2 2 2" xfId="47611" xr:uid="{00000000-0005-0000-0000-00006E170000}"/>
    <cellStyle name="Comma 5 3 3 6 2 3" xfId="37569" xr:uid="{00000000-0005-0000-0000-00006F170000}"/>
    <cellStyle name="Comma 5 3 3 6 3" xfId="8626" xr:uid="{00000000-0005-0000-0000-000070170000}"/>
    <cellStyle name="Comma 5 3 3 6 3 2" xfId="34183" xr:uid="{00000000-0005-0000-0000-000071170000}"/>
    <cellStyle name="Comma 5 3 3 6 4" xfId="17051" xr:uid="{00000000-0005-0000-0000-000072170000}"/>
    <cellStyle name="Comma 5 3 3 6 4 2" xfId="42604" xr:uid="{00000000-0005-0000-0000-000073170000}"/>
    <cellStyle name="Comma 5 3 3 6 5" xfId="28541" xr:uid="{00000000-0005-0000-0000-000074170000}"/>
    <cellStyle name="Comma 5 3 3 7" xfId="4248" xr:uid="{00000000-0005-0000-0000-000075170000}"/>
    <cellStyle name="Comma 5 3 3 7 2" xfId="13086" xr:uid="{00000000-0005-0000-0000-000076170000}"/>
    <cellStyle name="Comma 5 3 3 7 2 2" xfId="23337" xr:uid="{00000000-0005-0000-0000-000077170000}"/>
    <cellStyle name="Comma 5 3 3 7 2 2 2" xfId="48890" xr:uid="{00000000-0005-0000-0000-000078170000}"/>
    <cellStyle name="Comma 5 3 3 7 2 3" xfId="38641" xr:uid="{00000000-0005-0000-0000-000079170000}"/>
    <cellStyle name="Comma 5 3 3 7 3" xfId="9507" xr:uid="{00000000-0005-0000-0000-00007A170000}"/>
    <cellStyle name="Comma 5 3 3 7 3 2" xfId="35064" xr:uid="{00000000-0005-0000-0000-00007B170000}"/>
    <cellStyle name="Comma 5 3 3 7 4" xfId="18330" xr:uid="{00000000-0005-0000-0000-00007C170000}"/>
    <cellStyle name="Comma 5 3 3 7 4 2" xfId="43883" xr:uid="{00000000-0005-0000-0000-00007D170000}"/>
    <cellStyle name="Comma 5 3 3 7 5" xfId="29820" xr:uid="{00000000-0005-0000-0000-00007E170000}"/>
    <cellStyle name="Comma 5 3 3 8" xfId="1520" xr:uid="{00000000-0005-0000-0000-00007F170000}"/>
    <cellStyle name="Comma 5 3 3 8 2" xfId="10897" xr:uid="{00000000-0005-0000-0000-000080170000}"/>
    <cellStyle name="Comma 5 3 3 8 2 2" xfId="36452" xr:uid="{00000000-0005-0000-0000-000081170000}"/>
    <cellStyle name="Comma 5 3 3 8 3" xfId="20901" xr:uid="{00000000-0005-0000-0000-000082170000}"/>
    <cellStyle name="Comma 5 3 3 8 3 2" xfId="46454" xr:uid="{00000000-0005-0000-0000-000083170000}"/>
    <cellStyle name="Comma 5 3 3 8 4" xfId="27384" xr:uid="{00000000-0005-0000-0000-000084170000}"/>
    <cellStyle name="Comma 5 3 3 9" xfId="5704" xr:uid="{00000000-0005-0000-0000-000085170000}"/>
    <cellStyle name="Comma 5 3 3 9 2" xfId="14531" xr:uid="{00000000-0005-0000-0000-000086170000}"/>
    <cellStyle name="Comma 5 3 3 9 2 2" xfId="40086" xr:uid="{00000000-0005-0000-0000-000087170000}"/>
    <cellStyle name="Comma 5 3 3 9 3" xfId="24782" xr:uid="{00000000-0005-0000-0000-000088170000}"/>
    <cellStyle name="Comma 5 3 3 9 3 2" xfId="50335" xr:uid="{00000000-0005-0000-0000-000089170000}"/>
    <cellStyle name="Comma 5 3 3 9 4" xfId="31265" xr:uid="{00000000-0005-0000-0000-00008A170000}"/>
    <cellStyle name="Comma 5 3 4" xfId="237" xr:uid="{00000000-0005-0000-0000-00008B170000}"/>
    <cellStyle name="Comma 5 3 4 10" xfId="7075" xr:uid="{00000000-0005-0000-0000-00008C170000}"/>
    <cellStyle name="Comma 5 3 4 10 2" xfId="19689" xr:uid="{00000000-0005-0000-0000-00008D170000}"/>
    <cellStyle name="Comma 5 3 4 10 2 2" xfId="45242" xr:uid="{00000000-0005-0000-0000-00008E170000}"/>
    <cellStyle name="Comma 5 3 4 10 3" xfId="32632" xr:uid="{00000000-0005-0000-0000-00008F170000}"/>
    <cellStyle name="Comma 5 3 4 11" xfId="15821" xr:uid="{00000000-0005-0000-0000-000090170000}"/>
    <cellStyle name="Comma 5 3 4 11 2" xfId="41374" xr:uid="{00000000-0005-0000-0000-000091170000}"/>
    <cellStyle name="Comma 5 3 4 12" xfId="26172" xr:uid="{00000000-0005-0000-0000-000092170000}"/>
    <cellStyle name="Comma 5 3 4 2" xfId="560" xr:uid="{00000000-0005-0000-0000-000093170000}"/>
    <cellStyle name="Comma 5 3 4 2 10" xfId="26489" xr:uid="{00000000-0005-0000-0000-000094170000}"/>
    <cellStyle name="Comma 5 3 4 2 2" xfId="660" xr:uid="{00000000-0005-0000-0000-000095170000}"/>
    <cellStyle name="Comma 5 3 4 2 2 2" xfId="3146" xr:uid="{00000000-0005-0000-0000-000096170000}"/>
    <cellStyle name="Comma 5 3 4 2 2 2 2" xfId="12289" xr:uid="{00000000-0005-0000-0000-000097170000}"/>
    <cellStyle name="Comma 5 3 4 2 2 2 2 2" xfId="22507" xr:uid="{00000000-0005-0000-0000-000098170000}"/>
    <cellStyle name="Comma 5 3 4 2 2 2 2 2 2" xfId="48060" xr:uid="{00000000-0005-0000-0000-000099170000}"/>
    <cellStyle name="Comma 5 3 4 2 2 2 2 3" xfId="37844" xr:uid="{00000000-0005-0000-0000-00009A170000}"/>
    <cellStyle name="Comma 5 3 4 2 2 2 3" xfId="8711" xr:uid="{00000000-0005-0000-0000-00009B170000}"/>
    <cellStyle name="Comma 5 3 4 2 2 2 3 2" xfId="34268" xr:uid="{00000000-0005-0000-0000-00009C170000}"/>
    <cellStyle name="Comma 5 3 4 2 2 2 4" xfId="17500" xr:uid="{00000000-0005-0000-0000-00009D170000}"/>
    <cellStyle name="Comma 5 3 4 2 2 2 4 2" xfId="43053" xr:uid="{00000000-0005-0000-0000-00009E170000}"/>
    <cellStyle name="Comma 5 3 4 2 2 2 5" xfId="28990" xr:uid="{00000000-0005-0000-0000-00009F170000}"/>
    <cellStyle name="Comma 5 3 4 2 2 3" xfId="4475" xr:uid="{00000000-0005-0000-0000-0000A0170000}"/>
    <cellStyle name="Comma 5 3 4 2 2 3 2" xfId="13313" xr:uid="{00000000-0005-0000-0000-0000A1170000}"/>
    <cellStyle name="Comma 5 3 4 2 2 3 2 2" xfId="23564" xr:uid="{00000000-0005-0000-0000-0000A2170000}"/>
    <cellStyle name="Comma 5 3 4 2 2 3 2 2 2" xfId="49117" xr:uid="{00000000-0005-0000-0000-0000A3170000}"/>
    <cellStyle name="Comma 5 3 4 2 2 3 2 3" xfId="38868" xr:uid="{00000000-0005-0000-0000-0000A4170000}"/>
    <cellStyle name="Comma 5 3 4 2 2 3 3" xfId="9734" xr:uid="{00000000-0005-0000-0000-0000A5170000}"/>
    <cellStyle name="Comma 5 3 4 2 2 3 3 2" xfId="35291" xr:uid="{00000000-0005-0000-0000-0000A6170000}"/>
    <cellStyle name="Comma 5 3 4 2 2 3 4" xfId="18557" xr:uid="{00000000-0005-0000-0000-0000A7170000}"/>
    <cellStyle name="Comma 5 3 4 2 2 3 4 2" xfId="44110" xr:uid="{00000000-0005-0000-0000-0000A8170000}"/>
    <cellStyle name="Comma 5 3 4 2 2 3 5" xfId="30047" xr:uid="{00000000-0005-0000-0000-0000A9170000}"/>
    <cellStyle name="Comma 5 3 4 2 2 4" xfId="2255" xr:uid="{00000000-0005-0000-0000-0000AA170000}"/>
    <cellStyle name="Comma 5 3 4 2 2 4 2" xfId="11620" xr:uid="{00000000-0005-0000-0000-0000AB170000}"/>
    <cellStyle name="Comma 5 3 4 2 2 4 2 2" xfId="37175" xr:uid="{00000000-0005-0000-0000-0000AC170000}"/>
    <cellStyle name="Comma 5 3 4 2 2 4 3" xfId="21624" xr:uid="{00000000-0005-0000-0000-0000AD170000}"/>
    <cellStyle name="Comma 5 3 4 2 2 4 3 2" xfId="47177" xr:uid="{00000000-0005-0000-0000-0000AE170000}"/>
    <cellStyle name="Comma 5 3 4 2 2 4 4" xfId="28107" xr:uid="{00000000-0005-0000-0000-0000AF170000}"/>
    <cellStyle name="Comma 5 3 4 2 2 5" xfId="5931" xr:uid="{00000000-0005-0000-0000-0000B0170000}"/>
    <cellStyle name="Comma 5 3 4 2 2 5 2" xfId="14758" xr:uid="{00000000-0005-0000-0000-0000B1170000}"/>
    <cellStyle name="Comma 5 3 4 2 2 5 2 2" xfId="40313" xr:uid="{00000000-0005-0000-0000-0000B2170000}"/>
    <cellStyle name="Comma 5 3 4 2 2 5 3" xfId="25009" xr:uid="{00000000-0005-0000-0000-0000B3170000}"/>
    <cellStyle name="Comma 5 3 4 2 2 5 3 2" xfId="50562" xr:uid="{00000000-0005-0000-0000-0000B4170000}"/>
    <cellStyle name="Comma 5 3 4 2 2 5 4" xfId="31492" xr:uid="{00000000-0005-0000-0000-0000B5170000}"/>
    <cellStyle name="Comma 5 3 4 2 2 6" xfId="7375" xr:uid="{00000000-0005-0000-0000-0000B6170000}"/>
    <cellStyle name="Comma 5 3 4 2 2 6 2" xfId="20106" xr:uid="{00000000-0005-0000-0000-0000B7170000}"/>
    <cellStyle name="Comma 5 3 4 2 2 6 2 2" xfId="45659" xr:uid="{00000000-0005-0000-0000-0000B8170000}"/>
    <cellStyle name="Comma 5 3 4 2 2 6 3" xfId="32932" xr:uid="{00000000-0005-0000-0000-0000B9170000}"/>
    <cellStyle name="Comma 5 3 4 2 2 7" xfId="16617" xr:uid="{00000000-0005-0000-0000-0000BA170000}"/>
    <cellStyle name="Comma 5 3 4 2 2 7 2" xfId="42170" xr:uid="{00000000-0005-0000-0000-0000BB170000}"/>
    <cellStyle name="Comma 5 3 4 2 2 8" xfId="26589" xr:uid="{00000000-0005-0000-0000-0000BC170000}"/>
    <cellStyle name="Comma 5 3 4 2 3" xfId="1332" xr:uid="{00000000-0005-0000-0000-0000BD170000}"/>
    <cellStyle name="Comma 5 3 4 2 3 2" xfId="3761" xr:uid="{00000000-0005-0000-0000-0000BE170000}"/>
    <cellStyle name="Comma 5 3 4 2 3 2 2" xfId="12897" xr:uid="{00000000-0005-0000-0000-0000BF170000}"/>
    <cellStyle name="Comma 5 3 4 2 3 2 2 2" xfId="23116" xr:uid="{00000000-0005-0000-0000-0000C0170000}"/>
    <cellStyle name="Comma 5 3 4 2 3 2 2 2 2" xfId="48669" xr:uid="{00000000-0005-0000-0000-0000C1170000}"/>
    <cellStyle name="Comma 5 3 4 2 3 2 2 3" xfId="38452" xr:uid="{00000000-0005-0000-0000-0000C2170000}"/>
    <cellStyle name="Comma 5 3 4 2 3 2 3" xfId="9318" xr:uid="{00000000-0005-0000-0000-0000C3170000}"/>
    <cellStyle name="Comma 5 3 4 2 3 2 3 2" xfId="34875" xr:uid="{00000000-0005-0000-0000-0000C4170000}"/>
    <cellStyle name="Comma 5 3 4 2 3 2 4" xfId="18109" xr:uid="{00000000-0005-0000-0000-0000C5170000}"/>
    <cellStyle name="Comma 5 3 4 2 3 2 4 2" xfId="43662" xr:uid="{00000000-0005-0000-0000-0000C6170000}"/>
    <cellStyle name="Comma 5 3 4 2 3 2 5" xfId="29599" xr:uid="{00000000-0005-0000-0000-0000C7170000}"/>
    <cellStyle name="Comma 5 3 4 2 3 3" xfId="4824" xr:uid="{00000000-0005-0000-0000-0000C8170000}"/>
    <cellStyle name="Comma 5 3 4 2 3 3 2" xfId="13661" xr:uid="{00000000-0005-0000-0000-0000C9170000}"/>
    <cellStyle name="Comma 5 3 4 2 3 3 2 2" xfId="23912" xr:uid="{00000000-0005-0000-0000-0000CA170000}"/>
    <cellStyle name="Comma 5 3 4 2 3 3 2 2 2" xfId="49465" xr:uid="{00000000-0005-0000-0000-0000CB170000}"/>
    <cellStyle name="Comma 5 3 4 2 3 3 2 3" xfId="39216" xr:uid="{00000000-0005-0000-0000-0000CC170000}"/>
    <cellStyle name="Comma 5 3 4 2 3 3 3" xfId="10082" xr:uid="{00000000-0005-0000-0000-0000CD170000}"/>
    <cellStyle name="Comma 5 3 4 2 3 3 3 2" xfId="35639" xr:uid="{00000000-0005-0000-0000-0000CE170000}"/>
    <cellStyle name="Comma 5 3 4 2 3 3 4" xfId="18905" xr:uid="{00000000-0005-0000-0000-0000CF170000}"/>
    <cellStyle name="Comma 5 3 4 2 3 3 4 2" xfId="44458" xr:uid="{00000000-0005-0000-0000-0000D0170000}"/>
    <cellStyle name="Comma 5 3 4 2 3 3 5" xfId="30395" xr:uid="{00000000-0005-0000-0000-0000D1170000}"/>
    <cellStyle name="Comma 5 3 4 2 3 4" xfId="2155" xr:uid="{00000000-0005-0000-0000-0000D2170000}"/>
    <cellStyle name="Comma 5 3 4 2 3 4 2" xfId="11520" xr:uid="{00000000-0005-0000-0000-0000D3170000}"/>
    <cellStyle name="Comma 5 3 4 2 3 4 2 2" xfId="37075" xr:uid="{00000000-0005-0000-0000-0000D4170000}"/>
    <cellStyle name="Comma 5 3 4 2 3 4 3" xfId="21524" xr:uid="{00000000-0005-0000-0000-0000D5170000}"/>
    <cellStyle name="Comma 5 3 4 2 3 4 3 2" xfId="47077" xr:uid="{00000000-0005-0000-0000-0000D6170000}"/>
    <cellStyle name="Comma 5 3 4 2 3 4 4" xfId="28007" xr:uid="{00000000-0005-0000-0000-0000D7170000}"/>
    <cellStyle name="Comma 5 3 4 2 3 5" xfId="6279" xr:uid="{00000000-0005-0000-0000-0000D8170000}"/>
    <cellStyle name="Comma 5 3 4 2 3 5 2" xfId="15106" xr:uid="{00000000-0005-0000-0000-0000D9170000}"/>
    <cellStyle name="Comma 5 3 4 2 3 5 2 2" xfId="40661" xr:uid="{00000000-0005-0000-0000-0000DA170000}"/>
    <cellStyle name="Comma 5 3 4 2 3 5 3" xfId="25357" xr:uid="{00000000-0005-0000-0000-0000DB170000}"/>
    <cellStyle name="Comma 5 3 4 2 3 5 3 2" xfId="50910" xr:uid="{00000000-0005-0000-0000-0000DC170000}"/>
    <cellStyle name="Comma 5 3 4 2 3 5 4" xfId="31840" xr:uid="{00000000-0005-0000-0000-0000DD170000}"/>
    <cellStyle name="Comma 5 3 4 2 3 6" xfId="7725" xr:uid="{00000000-0005-0000-0000-0000DE170000}"/>
    <cellStyle name="Comma 5 3 4 2 3 6 2" xfId="20715" xr:uid="{00000000-0005-0000-0000-0000DF170000}"/>
    <cellStyle name="Comma 5 3 4 2 3 6 2 2" xfId="46268" xr:uid="{00000000-0005-0000-0000-0000E0170000}"/>
    <cellStyle name="Comma 5 3 4 2 3 6 3" xfId="33282" xr:uid="{00000000-0005-0000-0000-0000E1170000}"/>
    <cellStyle name="Comma 5 3 4 2 3 7" xfId="16517" xr:uid="{00000000-0005-0000-0000-0000E2170000}"/>
    <cellStyle name="Comma 5 3 4 2 3 7 2" xfId="42070" xr:uid="{00000000-0005-0000-0000-0000E3170000}"/>
    <cellStyle name="Comma 5 3 4 2 3 8" xfId="27198" xr:uid="{00000000-0005-0000-0000-0000E4170000}"/>
    <cellStyle name="Comma 5 3 4 2 4" xfId="3046" xr:uid="{00000000-0005-0000-0000-0000E5170000}"/>
    <cellStyle name="Comma 5 3 4 2 4 2" xfId="5424" xr:uid="{00000000-0005-0000-0000-0000E6170000}"/>
    <cellStyle name="Comma 5 3 4 2 4 2 2" xfId="14261" xr:uid="{00000000-0005-0000-0000-0000E7170000}"/>
    <cellStyle name="Comma 5 3 4 2 4 2 2 2" xfId="24512" xr:uid="{00000000-0005-0000-0000-0000E8170000}"/>
    <cellStyle name="Comma 5 3 4 2 4 2 2 2 2" xfId="50065" xr:uid="{00000000-0005-0000-0000-0000E9170000}"/>
    <cellStyle name="Comma 5 3 4 2 4 2 2 3" xfId="39816" xr:uid="{00000000-0005-0000-0000-0000EA170000}"/>
    <cellStyle name="Comma 5 3 4 2 4 2 3" xfId="10682" xr:uid="{00000000-0005-0000-0000-0000EB170000}"/>
    <cellStyle name="Comma 5 3 4 2 4 2 3 2" xfId="36239" xr:uid="{00000000-0005-0000-0000-0000EC170000}"/>
    <cellStyle name="Comma 5 3 4 2 4 2 4" xfId="19505" xr:uid="{00000000-0005-0000-0000-0000ED170000}"/>
    <cellStyle name="Comma 5 3 4 2 4 2 4 2" xfId="45058" xr:uid="{00000000-0005-0000-0000-0000EE170000}"/>
    <cellStyle name="Comma 5 3 4 2 4 2 5" xfId="30995" xr:uid="{00000000-0005-0000-0000-0000EF170000}"/>
    <cellStyle name="Comma 5 3 4 2 4 3" xfId="6879" xr:uid="{00000000-0005-0000-0000-0000F0170000}"/>
    <cellStyle name="Comma 5 3 4 2 4 3 2" xfId="15706" xr:uid="{00000000-0005-0000-0000-0000F1170000}"/>
    <cellStyle name="Comma 5 3 4 2 4 3 2 2" xfId="41261" xr:uid="{00000000-0005-0000-0000-0000F2170000}"/>
    <cellStyle name="Comma 5 3 4 2 4 3 3" xfId="25957" xr:uid="{00000000-0005-0000-0000-0000F3170000}"/>
    <cellStyle name="Comma 5 3 4 2 4 3 3 2" xfId="51510" xr:uid="{00000000-0005-0000-0000-0000F4170000}"/>
    <cellStyle name="Comma 5 3 4 2 4 3 4" xfId="32440" xr:uid="{00000000-0005-0000-0000-0000F5170000}"/>
    <cellStyle name="Comma 5 3 4 2 4 4" xfId="8325" xr:uid="{00000000-0005-0000-0000-0000F6170000}"/>
    <cellStyle name="Comma 5 3 4 2 4 4 2" xfId="22407" xr:uid="{00000000-0005-0000-0000-0000F7170000}"/>
    <cellStyle name="Comma 5 3 4 2 4 4 2 2" xfId="47960" xr:uid="{00000000-0005-0000-0000-0000F8170000}"/>
    <cellStyle name="Comma 5 3 4 2 4 4 3" xfId="33882" xr:uid="{00000000-0005-0000-0000-0000F9170000}"/>
    <cellStyle name="Comma 5 3 4 2 4 5" xfId="17400" xr:uid="{00000000-0005-0000-0000-0000FA170000}"/>
    <cellStyle name="Comma 5 3 4 2 4 5 2" xfId="42953" xr:uid="{00000000-0005-0000-0000-0000FB170000}"/>
    <cellStyle name="Comma 5 3 4 2 4 6" xfId="28890" xr:uid="{00000000-0005-0000-0000-0000FC170000}"/>
    <cellStyle name="Comma 5 3 4 2 5" xfId="4380" xr:uid="{00000000-0005-0000-0000-0000FD170000}"/>
    <cellStyle name="Comma 5 3 4 2 5 2" xfId="13218" xr:uid="{00000000-0005-0000-0000-0000FE170000}"/>
    <cellStyle name="Comma 5 3 4 2 5 2 2" xfId="23469" xr:uid="{00000000-0005-0000-0000-0000FF170000}"/>
    <cellStyle name="Comma 5 3 4 2 5 2 2 2" xfId="49022" xr:uid="{00000000-0005-0000-0000-000000180000}"/>
    <cellStyle name="Comma 5 3 4 2 5 2 3" xfId="38773" xr:uid="{00000000-0005-0000-0000-000001180000}"/>
    <cellStyle name="Comma 5 3 4 2 5 3" xfId="9639" xr:uid="{00000000-0005-0000-0000-000002180000}"/>
    <cellStyle name="Comma 5 3 4 2 5 3 2" xfId="35196" xr:uid="{00000000-0005-0000-0000-000003180000}"/>
    <cellStyle name="Comma 5 3 4 2 5 4" xfId="18462" xr:uid="{00000000-0005-0000-0000-000004180000}"/>
    <cellStyle name="Comma 5 3 4 2 5 4 2" xfId="44015" xr:uid="{00000000-0005-0000-0000-000005180000}"/>
    <cellStyle name="Comma 5 3 4 2 5 5" xfId="29952" xr:uid="{00000000-0005-0000-0000-000006180000}"/>
    <cellStyle name="Comma 5 3 4 2 6" xfId="1652" xr:uid="{00000000-0005-0000-0000-000007180000}"/>
    <cellStyle name="Comma 5 3 4 2 6 2" xfId="11029" xr:uid="{00000000-0005-0000-0000-000008180000}"/>
    <cellStyle name="Comma 5 3 4 2 6 2 2" xfId="36584" xr:uid="{00000000-0005-0000-0000-000009180000}"/>
    <cellStyle name="Comma 5 3 4 2 6 3" xfId="21033" xr:uid="{00000000-0005-0000-0000-00000A180000}"/>
    <cellStyle name="Comma 5 3 4 2 6 3 2" xfId="46586" xr:uid="{00000000-0005-0000-0000-00000B180000}"/>
    <cellStyle name="Comma 5 3 4 2 6 4" xfId="27516" xr:uid="{00000000-0005-0000-0000-00000C180000}"/>
    <cellStyle name="Comma 5 3 4 2 7" xfId="5836" xr:uid="{00000000-0005-0000-0000-00000D180000}"/>
    <cellStyle name="Comma 5 3 4 2 7 2" xfId="14663" xr:uid="{00000000-0005-0000-0000-00000E180000}"/>
    <cellStyle name="Comma 5 3 4 2 7 2 2" xfId="40218" xr:uid="{00000000-0005-0000-0000-00000F180000}"/>
    <cellStyle name="Comma 5 3 4 2 7 3" xfId="24914" xr:uid="{00000000-0005-0000-0000-000010180000}"/>
    <cellStyle name="Comma 5 3 4 2 7 3 2" xfId="50467" xr:uid="{00000000-0005-0000-0000-000011180000}"/>
    <cellStyle name="Comma 5 3 4 2 7 4" xfId="31397" xr:uid="{00000000-0005-0000-0000-000012180000}"/>
    <cellStyle name="Comma 5 3 4 2 8" xfId="7280" xr:uid="{00000000-0005-0000-0000-000013180000}"/>
    <cellStyle name="Comma 5 3 4 2 8 2" xfId="20006" xr:uid="{00000000-0005-0000-0000-000014180000}"/>
    <cellStyle name="Comma 5 3 4 2 8 2 2" xfId="45559" xr:uid="{00000000-0005-0000-0000-000015180000}"/>
    <cellStyle name="Comma 5 3 4 2 8 3" xfId="32837" xr:uid="{00000000-0005-0000-0000-000016180000}"/>
    <cellStyle name="Comma 5 3 4 2 9" xfId="16026" xr:uid="{00000000-0005-0000-0000-000017180000}"/>
    <cellStyle name="Comma 5 3 4 2 9 2" xfId="41579" xr:uid="{00000000-0005-0000-0000-000018180000}"/>
    <cellStyle name="Comma 5 3 4 3" xfId="355" xr:uid="{00000000-0005-0000-0000-000019180000}"/>
    <cellStyle name="Comma 5 3 4 3 2" xfId="2841" xr:uid="{00000000-0005-0000-0000-00001A180000}"/>
    <cellStyle name="Comma 5 3 4 3 2 2" xfId="12129" xr:uid="{00000000-0005-0000-0000-00001B180000}"/>
    <cellStyle name="Comma 5 3 4 3 2 2 2" xfId="22202" xr:uid="{00000000-0005-0000-0000-00001C180000}"/>
    <cellStyle name="Comma 5 3 4 3 2 2 2 2" xfId="47755" xr:uid="{00000000-0005-0000-0000-00001D180000}"/>
    <cellStyle name="Comma 5 3 4 3 2 2 3" xfId="37684" xr:uid="{00000000-0005-0000-0000-00001E180000}"/>
    <cellStyle name="Comma 5 3 4 3 2 3" xfId="8465" xr:uid="{00000000-0005-0000-0000-00001F180000}"/>
    <cellStyle name="Comma 5 3 4 3 2 3 2" xfId="34022" xr:uid="{00000000-0005-0000-0000-000020180000}"/>
    <cellStyle name="Comma 5 3 4 3 2 4" xfId="17195" xr:uid="{00000000-0005-0000-0000-000021180000}"/>
    <cellStyle name="Comma 5 3 4 3 2 4 2" xfId="42748" xr:uid="{00000000-0005-0000-0000-000022180000}"/>
    <cellStyle name="Comma 5 3 4 3 2 5" xfId="28685" xr:uid="{00000000-0005-0000-0000-000023180000}"/>
    <cellStyle name="Comma 5 3 4 3 3" xfId="4474" xr:uid="{00000000-0005-0000-0000-000024180000}"/>
    <cellStyle name="Comma 5 3 4 3 3 2" xfId="13312" xr:uid="{00000000-0005-0000-0000-000025180000}"/>
    <cellStyle name="Comma 5 3 4 3 3 2 2" xfId="23563" xr:uid="{00000000-0005-0000-0000-000026180000}"/>
    <cellStyle name="Comma 5 3 4 3 3 2 2 2" xfId="49116" xr:uid="{00000000-0005-0000-0000-000027180000}"/>
    <cellStyle name="Comma 5 3 4 3 3 2 3" xfId="38867" xr:uid="{00000000-0005-0000-0000-000028180000}"/>
    <cellStyle name="Comma 5 3 4 3 3 3" xfId="9733" xr:uid="{00000000-0005-0000-0000-000029180000}"/>
    <cellStyle name="Comma 5 3 4 3 3 3 2" xfId="35290" xr:uid="{00000000-0005-0000-0000-00002A180000}"/>
    <cellStyle name="Comma 5 3 4 3 3 4" xfId="18556" xr:uid="{00000000-0005-0000-0000-00002B180000}"/>
    <cellStyle name="Comma 5 3 4 3 3 4 2" xfId="44109" xr:uid="{00000000-0005-0000-0000-00002C180000}"/>
    <cellStyle name="Comma 5 3 4 3 3 5" xfId="30046" xr:uid="{00000000-0005-0000-0000-00002D180000}"/>
    <cellStyle name="Comma 5 3 4 3 4" xfId="1950" xr:uid="{00000000-0005-0000-0000-00002E180000}"/>
    <cellStyle name="Comma 5 3 4 3 4 2" xfId="11315" xr:uid="{00000000-0005-0000-0000-00002F180000}"/>
    <cellStyle name="Comma 5 3 4 3 4 2 2" xfId="36870" xr:uid="{00000000-0005-0000-0000-000030180000}"/>
    <cellStyle name="Comma 5 3 4 3 4 3" xfId="21319" xr:uid="{00000000-0005-0000-0000-000031180000}"/>
    <cellStyle name="Comma 5 3 4 3 4 3 2" xfId="46872" xr:uid="{00000000-0005-0000-0000-000032180000}"/>
    <cellStyle name="Comma 5 3 4 3 4 4" xfId="27802" xr:uid="{00000000-0005-0000-0000-000033180000}"/>
    <cellStyle name="Comma 5 3 4 3 5" xfId="5930" xr:uid="{00000000-0005-0000-0000-000034180000}"/>
    <cellStyle name="Comma 5 3 4 3 5 2" xfId="14757" xr:uid="{00000000-0005-0000-0000-000035180000}"/>
    <cellStyle name="Comma 5 3 4 3 5 2 2" xfId="40312" xr:uid="{00000000-0005-0000-0000-000036180000}"/>
    <cellStyle name="Comma 5 3 4 3 5 3" xfId="25008" xr:uid="{00000000-0005-0000-0000-000037180000}"/>
    <cellStyle name="Comma 5 3 4 3 5 3 2" xfId="50561" xr:uid="{00000000-0005-0000-0000-000038180000}"/>
    <cellStyle name="Comma 5 3 4 3 5 4" xfId="31491" xr:uid="{00000000-0005-0000-0000-000039180000}"/>
    <cellStyle name="Comma 5 3 4 3 6" xfId="7374" xr:uid="{00000000-0005-0000-0000-00003A180000}"/>
    <cellStyle name="Comma 5 3 4 3 6 2" xfId="19801" xr:uid="{00000000-0005-0000-0000-00003B180000}"/>
    <cellStyle name="Comma 5 3 4 3 6 2 2" xfId="45354" xr:uid="{00000000-0005-0000-0000-00003C180000}"/>
    <cellStyle name="Comma 5 3 4 3 6 3" xfId="32931" xr:uid="{00000000-0005-0000-0000-00003D180000}"/>
    <cellStyle name="Comma 5 3 4 3 7" xfId="16312" xr:uid="{00000000-0005-0000-0000-00003E180000}"/>
    <cellStyle name="Comma 5 3 4 3 7 2" xfId="41865" xr:uid="{00000000-0005-0000-0000-00003F180000}"/>
    <cellStyle name="Comma 5 3 4 3 8" xfId="26284" xr:uid="{00000000-0005-0000-0000-000040180000}"/>
    <cellStyle name="Comma 5 3 4 4" xfId="659" xr:uid="{00000000-0005-0000-0000-000041180000}"/>
    <cellStyle name="Comma 5 3 4 4 2" xfId="3145" xr:uid="{00000000-0005-0000-0000-000042180000}"/>
    <cellStyle name="Comma 5 3 4 4 2 2" xfId="12288" xr:uid="{00000000-0005-0000-0000-000043180000}"/>
    <cellStyle name="Comma 5 3 4 4 2 2 2" xfId="22506" xr:uid="{00000000-0005-0000-0000-000044180000}"/>
    <cellStyle name="Comma 5 3 4 4 2 2 2 2" xfId="48059" xr:uid="{00000000-0005-0000-0000-000045180000}"/>
    <cellStyle name="Comma 5 3 4 4 2 2 3" xfId="37843" xr:uid="{00000000-0005-0000-0000-000046180000}"/>
    <cellStyle name="Comma 5 3 4 4 2 3" xfId="8710" xr:uid="{00000000-0005-0000-0000-000047180000}"/>
    <cellStyle name="Comma 5 3 4 4 2 3 2" xfId="34267" xr:uid="{00000000-0005-0000-0000-000048180000}"/>
    <cellStyle name="Comma 5 3 4 4 2 4" xfId="17499" xr:uid="{00000000-0005-0000-0000-000049180000}"/>
    <cellStyle name="Comma 5 3 4 4 2 4 2" xfId="43052" xr:uid="{00000000-0005-0000-0000-00004A180000}"/>
    <cellStyle name="Comma 5 3 4 4 2 5" xfId="28989" xr:uid="{00000000-0005-0000-0000-00004B180000}"/>
    <cellStyle name="Comma 5 3 4 4 3" xfId="4823" xr:uid="{00000000-0005-0000-0000-00004C180000}"/>
    <cellStyle name="Comma 5 3 4 4 3 2" xfId="13660" xr:uid="{00000000-0005-0000-0000-00004D180000}"/>
    <cellStyle name="Comma 5 3 4 4 3 2 2" xfId="23911" xr:uid="{00000000-0005-0000-0000-00004E180000}"/>
    <cellStyle name="Comma 5 3 4 4 3 2 2 2" xfId="49464" xr:uid="{00000000-0005-0000-0000-00004F180000}"/>
    <cellStyle name="Comma 5 3 4 4 3 2 3" xfId="39215" xr:uid="{00000000-0005-0000-0000-000050180000}"/>
    <cellStyle name="Comma 5 3 4 4 3 3" xfId="10081" xr:uid="{00000000-0005-0000-0000-000051180000}"/>
    <cellStyle name="Comma 5 3 4 4 3 3 2" xfId="35638" xr:uid="{00000000-0005-0000-0000-000052180000}"/>
    <cellStyle name="Comma 5 3 4 4 3 4" xfId="18904" xr:uid="{00000000-0005-0000-0000-000053180000}"/>
    <cellStyle name="Comma 5 3 4 4 3 4 2" xfId="44457" xr:uid="{00000000-0005-0000-0000-000054180000}"/>
    <cellStyle name="Comma 5 3 4 4 3 5" xfId="30394" xr:uid="{00000000-0005-0000-0000-000055180000}"/>
    <cellStyle name="Comma 5 3 4 4 4" xfId="2254" xr:uid="{00000000-0005-0000-0000-000056180000}"/>
    <cellStyle name="Comma 5 3 4 4 4 2" xfId="11619" xr:uid="{00000000-0005-0000-0000-000057180000}"/>
    <cellStyle name="Comma 5 3 4 4 4 2 2" xfId="37174" xr:uid="{00000000-0005-0000-0000-000058180000}"/>
    <cellStyle name="Comma 5 3 4 4 4 3" xfId="21623" xr:uid="{00000000-0005-0000-0000-000059180000}"/>
    <cellStyle name="Comma 5 3 4 4 4 3 2" xfId="47176" xr:uid="{00000000-0005-0000-0000-00005A180000}"/>
    <cellStyle name="Comma 5 3 4 4 4 4" xfId="28106" xr:uid="{00000000-0005-0000-0000-00005B180000}"/>
    <cellStyle name="Comma 5 3 4 4 5" xfId="6278" xr:uid="{00000000-0005-0000-0000-00005C180000}"/>
    <cellStyle name="Comma 5 3 4 4 5 2" xfId="15105" xr:uid="{00000000-0005-0000-0000-00005D180000}"/>
    <cellStyle name="Comma 5 3 4 4 5 2 2" xfId="40660" xr:uid="{00000000-0005-0000-0000-00005E180000}"/>
    <cellStyle name="Comma 5 3 4 4 5 3" xfId="25356" xr:uid="{00000000-0005-0000-0000-00005F180000}"/>
    <cellStyle name="Comma 5 3 4 4 5 3 2" xfId="50909" xr:uid="{00000000-0005-0000-0000-000060180000}"/>
    <cellStyle name="Comma 5 3 4 4 5 4" xfId="31839" xr:uid="{00000000-0005-0000-0000-000061180000}"/>
    <cellStyle name="Comma 5 3 4 4 6" xfId="7724" xr:uid="{00000000-0005-0000-0000-000062180000}"/>
    <cellStyle name="Comma 5 3 4 4 6 2" xfId="20105" xr:uid="{00000000-0005-0000-0000-000063180000}"/>
    <cellStyle name="Comma 5 3 4 4 6 2 2" xfId="45658" xr:uid="{00000000-0005-0000-0000-000064180000}"/>
    <cellStyle name="Comma 5 3 4 4 6 3" xfId="33281" xr:uid="{00000000-0005-0000-0000-000065180000}"/>
    <cellStyle name="Comma 5 3 4 4 7" xfId="16616" xr:uid="{00000000-0005-0000-0000-000066180000}"/>
    <cellStyle name="Comma 5 3 4 4 7 2" xfId="42169" xr:uid="{00000000-0005-0000-0000-000067180000}"/>
    <cellStyle name="Comma 5 3 4 4 8" xfId="26588" xr:uid="{00000000-0005-0000-0000-000068180000}"/>
    <cellStyle name="Comma 5 3 4 5" xfId="1127" xr:uid="{00000000-0005-0000-0000-000069180000}"/>
    <cellStyle name="Comma 5 3 4 5 2" xfId="3556" xr:uid="{00000000-0005-0000-0000-00006A180000}"/>
    <cellStyle name="Comma 5 3 4 5 2 2" xfId="12692" xr:uid="{00000000-0005-0000-0000-00006B180000}"/>
    <cellStyle name="Comma 5 3 4 5 2 2 2" xfId="22911" xr:uid="{00000000-0005-0000-0000-00006C180000}"/>
    <cellStyle name="Comma 5 3 4 5 2 2 2 2" xfId="48464" xr:uid="{00000000-0005-0000-0000-00006D180000}"/>
    <cellStyle name="Comma 5 3 4 5 2 2 3" xfId="38247" xr:uid="{00000000-0005-0000-0000-00006E180000}"/>
    <cellStyle name="Comma 5 3 4 5 2 3" xfId="9113" xr:uid="{00000000-0005-0000-0000-00006F180000}"/>
    <cellStyle name="Comma 5 3 4 5 2 3 2" xfId="34670" xr:uid="{00000000-0005-0000-0000-000070180000}"/>
    <cellStyle name="Comma 5 3 4 5 2 4" xfId="17904" xr:uid="{00000000-0005-0000-0000-000071180000}"/>
    <cellStyle name="Comma 5 3 4 5 2 4 2" xfId="43457" xr:uid="{00000000-0005-0000-0000-000072180000}"/>
    <cellStyle name="Comma 5 3 4 5 2 5" xfId="29394" xr:uid="{00000000-0005-0000-0000-000073180000}"/>
    <cellStyle name="Comma 5 3 4 5 3" xfId="5219" xr:uid="{00000000-0005-0000-0000-000074180000}"/>
    <cellStyle name="Comma 5 3 4 5 3 2" xfId="14056" xr:uid="{00000000-0005-0000-0000-000075180000}"/>
    <cellStyle name="Comma 5 3 4 5 3 2 2" xfId="24307" xr:uid="{00000000-0005-0000-0000-000076180000}"/>
    <cellStyle name="Comma 5 3 4 5 3 2 2 2" xfId="49860" xr:uid="{00000000-0005-0000-0000-000077180000}"/>
    <cellStyle name="Comma 5 3 4 5 3 2 3" xfId="39611" xr:uid="{00000000-0005-0000-0000-000078180000}"/>
    <cellStyle name="Comma 5 3 4 5 3 3" xfId="10477" xr:uid="{00000000-0005-0000-0000-000079180000}"/>
    <cellStyle name="Comma 5 3 4 5 3 3 2" xfId="36034" xr:uid="{00000000-0005-0000-0000-00007A180000}"/>
    <cellStyle name="Comma 5 3 4 5 3 4" xfId="19300" xr:uid="{00000000-0005-0000-0000-00007B180000}"/>
    <cellStyle name="Comma 5 3 4 5 3 4 2" xfId="44853" xr:uid="{00000000-0005-0000-0000-00007C180000}"/>
    <cellStyle name="Comma 5 3 4 5 3 5" xfId="30790" xr:uid="{00000000-0005-0000-0000-00007D180000}"/>
    <cellStyle name="Comma 5 3 4 5 4" xfId="1835" xr:uid="{00000000-0005-0000-0000-00007E180000}"/>
    <cellStyle name="Comma 5 3 4 5 4 2" xfId="11203" xr:uid="{00000000-0005-0000-0000-00007F180000}"/>
    <cellStyle name="Comma 5 3 4 5 4 2 2" xfId="36758" xr:uid="{00000000-0005-0000-0000-000080180000}"/>
    <cellStyle name="Comma 5 3 4 5 4 3" xfId="21207" xr:uid="{00000000-0005-0000-0000-000081180000}"/>
    <cellStyle name="Comma 5 3 4 5 4 3 2" xfId="46760" xr:uid="{00000000-0005-0000-0000-000082180000}"/>
    <cellStyle name="Comma 5 3 4 5 4 4" xfId="27690" xr:uid="{00000000-0005-0000-0000-000083180000}"/>
    <cellStyle name="Comma 5 3 4 5 5" xfId="6674" xr:uid="{00000000-0005-0000-0000-000084180000}"/>
    <cellStyle name="Comma 5 3 4 5 5 2" xfId="15501" xr:uid="{00000000-0005-0000-0000-000085180000}"/>
    <cellStyle name="Comma 5 3 4 5 5 2 2" xfId="41056" xr:uid="{00000000-0005-0000-0000-000086180000}"/>
    <cellStyle name="Comma 5 3 4 5 5 3" xfId="25752" xr:uid="{00000000-0005-0000-0000-000087180000}"/>
    <cellStyle name="Comma 5 3 4 5 5 3 2" xfId="51305" xr:uid="{00000000-0005-0000-0000-000088180000}"/>
    <cellStyle name="Comma 5 3 4 5 5 4" xfId="32235" xr:uid="{00000000-0005-0000-0000-000089180000}"/>
    <cellStyle name="Comma 5 3 4 5 6" xfId="8120" xr:uid="{00000000-0005-0000-0000-00008A180000}"/>
    <cellStyle name="Comma 5 3 4 5 6 2" xfId="20510" xr:uid="{00000000-0005-0000-0000-00008B180000}"/>
    <cellStyle name="Comma 5 3 4 5 6 2 2" xfId="46063" xr:uid="{00000000-0005-0000-0000-00008C180000}"/>
    <cellStyle name="Comma 5 3 4 5 6 3" xfId="33677" xr:uid="{00000000-0005-0000-0000-00008D180000}"/>
    <cellStyle name="Comma 5 3 4 5 7" xfId="16200" xr:uid="{00000000-0005-0000-0000-00008E180000}"/>
    <cellStyle name="Comma 5 3 4 5 7 2" xfId="41753" xr:uid="{00000000-0005-0000-0000-00008F180000}"/>
    <cellStyle name="Comma 5 3 4 5 8" xfId="26993" xr:uid="{00000000-0005-0000-0000-000090180000}"/>
    <cellStyle name="Comma 5 3 4 6" xfId="2729" xr:uid="{00000000-0005-0000-0000-000091180000}"/>
    <cellStyle name="Comma 5 3 4 6 2" xfId="12046" xr:uid="{00000000-0005-0000-0000-000092180000}"/>
    <cellStyle name="Comma 5 3 4 6 2 2" xfId="22090" xr:uid="{00000000-0005-0000-0000-000093180000}"/>
    <cellStyle name="Comma 5 3 4 6 2 2 2" xfId="47643" xr:uid="{00000000-0005-0000-0000-000094180000}"/>
    <cellStyle name="Comma 5 3 4 6 2 3" xfId="37601" xr:uid="{00000000-0005-0000-0000-000095180000}"/>
    <cellStyle name="Comma 5 3 4 6 3" xfId="8623" xr:uid="{00000000-0005-0000-0000-000096180000}"/>
    <cellStyle name="Comma 5 3 4 6 3 2" xfId="34180" xr:uid="{00000000-0005-0000-0000-000097180000}"/>
    <cellStyle name="Comma 5 3 4 6 4" xfId="17083" xr:uid="{00000000-0005-0000-0000-000098180000}"/>
    <cellStyle name="Comma 5 3 4 6 4 2" xfId="42636" xr:uid="{00000000-0005-0000-0000-000099180000}"/>
    <cellStyle name="Comma 5 3 4 6 5" xfId="28573" xr:uid="{00000000-0005-0000-0000-00009A180000}"/>
    <cellStyle name="Comma 5 3 4 7" xfId="4175" xr:uid="{00000000-0005-0000-0000-00009B180000}"/>
    <cellStyle name="Comma 5 3 4 7 2" xfId="13013" xr:uid="{00000000-0005-0000-0000-00009C180000}"/>
    <cellStyle name="Comma 5 3 4 7 2 2" xfId="23264" xr:uid="{00000000-0005-0000-0000-00009D180000}"/>
    <cellStyle name="Comma 5 3 4 7 2 2 2" xfId="48817" xr:uid="{00000000-0005-0000-0000-00009E180000}"/>
    <cellStyle name="Comma 5 3 4 7 2 3" xfId="38568" xr:uid="{00000000-0005-0000-0000-00009F180000}"/>
    <cellStyle name="Comma 5 3 4 7 3" xfId="9434" xr:uid="{00000000-0005-0000-0000-0000A0180000}"/>
    <cellStyle name="Comma 5 3 4 7 3 2" xfId="34991" xr:uid="{00000000-0005-0000-0000-0000A1180000}"/>
    <cellStyle name="Comma 5 3 4 7 4" xfId="18257" xr:uid="{00000000-0005-0000-0000-0000A2180000}"/>
    <cellStyle name="Comma 5 3 4 7 4 2" xfId="43810" xr:uid="{00000000-0005-0000-0000-0000A3180000}"/>
    <cellStyle name="Comma 5 3 4 7 5" xfId="29747" xr:uid="{00000000-0005-0000-0000-0000A4180000}"/>
    <cellStyle name="Comma 5 3 4 8" xfId="1447" xr:uid="{00000000-0005-0000-0000-0000A5180000}"/>
    <cellStyle name="Comma 5 3 4 8 2" xfId="10824" xr:uid="{00000000-0005-0000-0000-0000A6180000}"/>
    <cellStyle name="Comma 5 3 4 8 2 2" xfId="36379" xr:uid="{00000000-0005-0000-0000-0000A7180000}"/>
    <cellStyle name="Comma 5 3 4 8 3" xfId="20828" xr:uid="{00000000-0005-0000-0000-0000A8180000}"/>
    <cellStyle name="Comma 5 3 4 8 3 2" xfId="46381" xr:uid="{00000000-0005-0000-0000-0000A9180000}"/>
    <cellStyle name="Comma 5 3 4 8 4" xfId="27311" xr:uid="{00000000-0005-0000-0000-0000AA180000}"/>
    <cellStyle name="Comma 5 3 4 9" xfId="5631" xr:uid="{00000000-0005-0000-0000-0000AB180000}"/>
    <cellStyle name="Comma 5 3 4 9 2" xfId="14458" xr:uid="{00000000-0005-0000-0000-0000AC180000}"/>
    <cellStyle name="Comma 5 3 4 9 2 2" xfId="40013" xr:uid="{00000000-0005-0000-0000-0000AD180000}"/>
    <cellStyle name="Comma 5 3 4 9 3" xfId="24709" xr:uid="{00000000-0005-0000-0000-0000AE180000}"/>
    <cellStyle name="Comma 5 3 4 9 3 2" xfId="50262" xr:uid="{00000000-0005-0000-0000-0000AF180000}"/>
    <cellStyle name="Comma 5 3 4 9 4" xfId="31192" xr:uid="{00000000-0005-0000-0000-0000B0180000}"/>
    <cellStyle name="Comma 5 3 5" xfId="455" xr:uid="{00000000-0005-0000-0000-0000B1180000}"/>
    <cellStyle name="Comma 5 3 5 10" xfId="26384" xr:uid="{00000000-0005-0000-0000-0000B2180000}"/>
    <cellStyle name="Comma 5 3 5 2" xfId="661" xr:uid="{00000000-0005-0000-0000-0000B3180000}"/>
    <cellStyle name="Comma 5 3 5 2 2" xfId="3147" xr:uid="{00000000-0005-0000-0000-0000B4180000}"/>
    <cellStyle name="Comma 5 3 5 2 2 2" xfId="12290" xr:uid="{00000000-0005-0000-0000-0000B5180000}"/>
    <cellStyle name="Comma 5 3 5 2 2 2 2" xfId="22508" xr:uid="{00000000-0005-0000-0000-0000B6180000}"/>
    <cellStyle name="Comma 5 3 5 2 2 2 2 2" xfId="48061" xr:uid="{00000000-0005-0000-0000-0000B7180000}"/>
    <cellStyle name="Comma 5 3 5 2 2 2 3" xfId="37845" xr:uid="{00000000-0005-0000-0000-0000B8180000}"/>
    <cellStyle name="Comma 5 3 5 2 2 3" xfId="8712" xr:uid="{00000000-0005-0000-0000-0000B9180000}"/>
    <cellStyle name="Comma 5 3 5 2 2 3 2" xfId="34269" xr:uid="{00000000-0005-0000-0000-0000BA180000}"/>
    <cellStyle name="Comma 5 3 5 2 2 4" xfId="17501" xr:uid="{00000000-0005-0000-0000-0000BB180000}"/>
    <cellStyle name="Comma 5 3 5 2 2 4 2" xfId="43054" xr:uid="{00000000-0005-0000-0000-0000BC180000}"/>
    <cellStyle name="Comma 5 3 5 2 2 5" xfId="28991" xr:uid="{00000000-0005-0000-0000-0000BD180000}"/>
    <cellStyle name="Comma 5 3 5 2 3" xfId="4476" xr:uid="{00000000-0005-0000-0000-0000BE180000}"/>
    <cellStyle name="Comma 5 3 5 2 3 2" xfId="13314" xr:uid="{00000000-0005-0000-0000-0000BF180000}"/>
    <cellStyle name="Comma 5 3 5 2 3 2 2" xfId="23565" xr:uid="{00000000-0005-0000-0000-0000C0180000}"/>
    <cellStyle name="Comma 5 3 5 2 3 2 2 2" xfId="49118" xr:uid="{00000000-0005-0000-0000-0000C1180000}"/>
    <cellStyle name="Comma 5 3 5 2 3 2 3" xfId="38869" xr:uid="{00000000-0005-0000-0000-0000C2180000}"/>
    <cellStyle name="Comma 5 3 5 2 3 3" xfId="9735" xr:uid="{00000000-0005-0000-0000-0000C3180000}"/>
    <cellStyle name="Comma 5 3 5 2 3 3 2" xfId="35292" xr:uid="{00000000-0005-0000-0000-0000C4180000}"/>
    <cellStyle name="Comma 5 3 5 2 3 4" xfId="18558" xr:uid="{00000000-0005-0000-0000-0000C5180000}"/>
    <cellStyle name="Comma 5 3 5 2 3 4 2" xfId="44111" xr:uid="{00000000-0005-0000-0000-0000C6180000}"/>
    <cellStyle name="Comma 5 3 5 2 3 5" xfId="30048" xr:uid="{00000000-0005-0000-0000-0000C7180000}"/>
    <cellStyle name="Comma 5 3 5 2 4" xfId="2256" xr:uid="{00000000-0005-0000-0000-0000C8180000}"/>
    <cellStyle name="Comma 5 3 5 2 4 2" xfId="11621" xr:uid="{00000000-0005-0000-0000-0000C9180000}"/>
    <cellStyle name="Comma 5 3 5 2 4 2 2" xfId="37176" xr:uid="{00000000-0005-0000-0000-0000CA180000}"/>
    <cellStyle name="Comma 5 3 5 2 4 3" xfId="21625" xr:uid="{00000000-0005-0000-0000-0000CB180000}"/>
    <cellStyle name="Comma 5 3 5 2 4 3 2" xfId="47178" xr:uid="{00000000-0005-0000-0000-0000CC180000}"/>
    <cellStyle name="Comma 5 3 5 2 4 4" xfId="28108" xr:uid="{00000000-0005-0000-0000-0000CD180000}"/>
    <cellStyle name="Comma 5 3 5 2 5" xfId="5932" xr:uid="{00000000-0005-0000-0000-0000CE180000}"/>
    <cellStyle name="Comma 5 3 5 2 5 2" xfId="14759" xr:uid="{00000000-0005-0000-0000-0000CF180000}"/>
    <cellStyle name="Comma 5 3 5 2 5 2 2" xfId="40314" xr:uid="{00000000-0005-0000-0000-0000D0180000}"/>
    <cellStyle name="Comma 5 3 5 2 5 3" xfId="25010" xr:uid="{00000000-0005-0000-0000-0000D1180000}"/>
    <cellStyle name="Comma 5 3 5 2 5 3 2" xfId="50563" xr:uid="{00000000-0005-0000-0000-0000D2180000}"/>
    <cellStyle name="Comma 5 3 5 2 5 4" xfId="31493" xr:uid="{00000000-0005-0000-0000-0000D3180000}"/>
    <cellStyle name="Comma 5 3 5 2 6" xfId="7376" xr:uid="{00000000-0005-0000-0000-0000D4180000}"/>
    <cellStyle name="Comma 5 3 5 2 6 2" xfId="20107" xr:uid="{00000000-0005-0000-0000-0000D5180000}"/>
    <cellStyle name="Comma 5 3 5 2 6 2 2" xfId="45660" xr:uid="{00000000-0005-0000-0000-0000D6180000}"/>
    <cellStyle name="Comma 5 3 5 2 6 3" xfId="32933" xr:uid="{00000000-0005-0000-0000-0000D7180000}"/>
    <cellStyle name="Comma 5 3 5 2 7" xfId="16618" xr:uid="{00000000-0005-0000-0000-0000D8180000}"/>
    <cellStyle name="Comma 5 3 5 2 7 2" xfId="42171" xr:uid="{00000000-0005-0000-0000-0000D9180000}"/>
    <cellStyle name="Comma 5 3 5 2 8" xfId="26590" xr:uid="{00000000-0005-0000-0000-0000DA180000}"/>
    <cellStyle name="Comma 5 3 5 3" xfId="1227" xr:uid="{00000000-0005-0000-0000-0000DB180000}"/>
    <cellStyle name="Comma 5 3 5 3 2" xfId="3656" xr:uid="{00000000-0005-0000-0000-0000DC180000}"/>
    <cellStyle name="Comma 5 3 5 3 2 2" xfId="12792" xr:uid="{00000000-0005-0000-0000-0000DD180000}"/>
    <cellStyle name="Comma 5 3 5 3 2 2 2" xfId="23011" xr:uid="{00000000-0005-0000-0000-0000DE180000}"/>
    <cellStyle name="Comma 5 3 5 3 2 2 2 2" xfId="48564" xr:uid="{00000000-0005-0000-0000-0000DF180000}"/>
    <cellStyle name="Comma 5 3 5 3 2 2 3" xfId="38347" xr:uid="{00000000-0005-0000-0000-0000E0180000}"/>
    <cellStyle name="Comma 5 3 5 3 2 3" xfId="9213" xr:uid="{00000000-0005-0000-0000-0000E1180000}"/>
    <cellStyle name="Comma 5 3 5 3 2 3 2" xfId="34770" xr:uid="{00000000-0005-0000-0000-0000E2180000}"/>
    <cellStyle name="Comma 5 3 5 3 2 4" xfId="18004" xr:uid="{00000000-0005-0000-0000-0000E3180000}"/>
    <cellStyle name="Comma 5 3 5 3 2 4 2" xfId="43557" xr:uid="{00000000-0005-0000-0000-0000E4180000}"/>
    <cellStyle name="Comma 5 3 5 3 2 5" xfId="29494" xr:uid="{00000000-0005-0000-0000-0000E5180000}"/>
    <cellStyle name="Comma 5 3 5 3 3" xfId="4825" xr:uid="{00000000-0005-0000-0000-0000E6180000}"/>
    <cellStyle name="Comma 5 3 5 3 3 2" xfId="13662" xr:uid="{00000000-0005-0000-0000-0000E7180000}"/>
    <cellStyle name="Comma 5 3 5 3 3 2 2" xfId="23913" xr:uid="{00000000-0005-0000-0000-0000E8180000}"/>
    <cellStyle name="Comma 5 3 5 3 3 2 2 2" xfId="49466" xr:uid="{00000000-0005-0000-0000-0000E9180000}"/>
    <cellStyle name="Comma 5 3 5 3 3 2 3" xfId="39217" xr:uid="{00000000-0005-0000-0000-0000EA180000}"/>
    <cellStyle name="Comma 5 3 5 3 3 3" xfId="10083" xr:uid="{00000000-0005-0000-0000-0000EB180000}"/>
    <cellStyle name="Comma 5 3 5 3 3 3 2" xfId="35640" xr:uid="{00000000-0005-0000-0000-0000EC180000}"/>
    <cellStyle name="Comma 5 3 5 3 3 4" xfId="18906" xr:uid="{00000000-0005-0000-0000-0000ED180000}"/>
    <cellStyle name="Comma 5 3 5 3 3 4 2" xfId="44459" xr:uid="{00000000-0005-0000-0000-0000EE180000}"/>
    <cellStyle name="Comma 5 3 5 3 3 5" xfId="30396" xr:uid="{00000000-0005-0000-0000-0000EF180000}"/>
    <cellStyle name="Comma 5 3 5 3 4" xfId="2050" xr:uid="{00000000-0005-0000-0000-0000F0180000}"/>
    <cellStyle name="Comma 5 3 5 3 4 2" xfId="11415" xr:uid="{00000000-0005-0000-0000-0000F1180000}"/>
    <cellStyle name="Comma 5 3 5 3 4 2 2" xfId="36970" xr:uid="{00000000-0005-0000-0000-0000F2180000}"/>
    <cellStyle name="Comma 5 3 5 3 4 3" xfId="21419" xr:uid="{00000000-0005-0000-0000-0000F3180000}"/>
    <cellStyle name="Comma 5 3 5 3 4 3 2" xfId="46972" xr:uid="{00000000-0005-0000-0000-0000F4180000}"/>
    <cellStyle name="Comma 5 3 5 3 4 4" xfId="27902" xr:uid="{00000000-0005-0000-0000-0000F5180000}"/>
    <cellStyle name="Comma 5 3 5 3 5" xfId="6280" xr:uid="{00000000-0005-0000-0000-0000F6180000}"/>
    <cellStyle name="Comma 5 3 5 3 5 2" xfId="15107" xr:uid="{00000000-0005-0000-0000-0000F7180000}"/>
    <cellStyle name="Comma 5 3 5 3 5 2 2" xfId="40662" xr:uid="{00000000-0005-0000-0000-0000F8180000}"/>
    <cellStyle name="Comma 5 3 5 3 5 3" xfId="25358" xr:uid="{00000000-0005-0000-0000-0000F9180000}"/>
    <cellStyle name="Comma 5 3 5 3 5 3 2" xfId="50911" xr:uid="{00000000-0005-0000-0000-0000FA180000}"/>
    <cellStyle name="Comma 5 3 5 3 5 4" xfId="31841" xr:uid="{00000000-0005-0000-0000-0000FB180000}"/>
    <cellStyle name="Comma 5 3 5 3 6" xfId="7726" xr:uid="{00000000-0005-0000-0000-0000FC180000}"/>
    <cellStyle name="Comma 5 3 5 3 6 2" xfId="20610" xr:uid="{00000000-0005-0000-0000-0000FD180000}"/>
    <cellStyle name="Comma 5 3 5 3 6 2 2" xfId="46163" xr:uid="{00000000-0005-0000-0000-0000FE180000}"/>
    <cellStyle name="Comma 5 3 5 3 6 3" xfId="33283" xr:uid="{00000000-0005-0000-0000-0000FF180000}"/>
    <cellStyle name="Comma 5 3 5 3 7" xfId="16412" xr:uid="{00000000-0005-0000-0000-000000190000}"/>
    <cellStyle name="Comma 5 3 5 3 7 2" xfId="41965" xr:uid="{00000000-0005-0000-0000-000001190000}"/>
    <cellStyle name="Comma 5 3 5 3 8" xfId="27093" xr:uid="{00000000-0005-0000-0000-000002190000}"/>
    <cellStyle name="Comma 5 3 5 4" xfId="2941" xr:uid="{00000000-0005-0000-0000-000003190000}"/>
    <cellStyle name="Comma 5 3 5 4 2" xfId="5319" xr:uid="{00000000-0005-0000-0000-000004190000}"/>
    <cellStyle name="Comma 5 3 5 4 2 2" xfId="14156" xr:uid="{00000000-0005-0000-0000-000005190000}"/>
    <cellStyle name="Comma 5 3 5 4 2 2 2" xfId="24407" xr:uid="{00000000-0005-0000-0000-000006190000}"/>
    <cellStyle name="Comma 5 3 5 4 2 2 2 2" xfId="49960" xr:uid="{00000000-0005-0000-0000-000007190000}"/>
    <cellStyle name="Comma 5 3 5 4 2 2 3" xfId="39711" xr:uid="{00000000-0005-0000-0000-000008190000}"/>
    <cellStyle name="Comma 5 3 5 4 2 3" xfId="10577" xr:uid="{00000000-0005-0000-0000-000009190000}"/>
    <cellStyle name="Comma 5 3 5 4 2 3 2" xfId="36134" xr:uid="{00000000-0005-0000-0000-00000A190000}"/>
    <cellStyle name="Comma 5 3 5 4 2 4" xfId="19400" xr:uid="{00000000-0005-0000-0000-00000B190000}"/>
    <cellStyle name="Comma 5 3 5 4 2 4 2" xfId="44953" xr:uid="{00000000-0005-0000-0000-00000C190000}"/>
    <cellStyle name="Comma 5 3 5 4 2 5" xfId="30890" xr:uid="{00000000-0005-0000-0000-00000D190000}"/>
    <cellStyle name="Comma 5 3 5 4 3" xfId="6774" xr:uid="{00000000-0005-0000-0000-00000E190000}"/>
    <cellStyle name="Comma 5 3 5 4 3 2" xfId="15601" xr:uid="{00000000-0005-0000-0000-00000F190000}"/>
    <cellStyle name="Comma 5 3 5 4 3 2 2" xfId="41156" xr:uid="{00000000-0005-0000-0000-000010190000}"/>
    <cellStyle name="Comma 5 3 5 4 3 3" xfId="25852" xr:uid="{00000000-0005-0000-0000-000011190000}"/>
    <cellStyle name="Comma 5 3 5 4 3 3 2" xfId="51405" xr:uid="{00000000-0005-0000-0000-000012190000}"/>
    <cellStyle name="Comma 5 3 5 4 3 4" xfId="32335" xr:uid="{00000000-0005-0000-0000-000013190000}"/>
    <cellStyle name="Comma 5 3 5 4 4" xfId="8220" xr:uid="{00000000-0005-0000-0000-000014190000}"/>
    <cellStyle name="Comma 5 3 5 4 4 2" xfId="22302" xr:uid="{00000000-0005-0000-0000-000015190000}"/>
    <cellStyle name="Comma 5 3 5 4 4 2 2" xfId="47855" xr:uid="{00000000-0005-0000-0000-000016190000}"/>
    <cellStyle name="Comma 5 3 5 4 4 3" xfId="33777" xr:uid="{00000000-0005-0000-0000-000017190000}"/>
    <cellStyle name="Comma 5 3 5 4 5" xfId="17295" xr:uid="{00000000-0005-0000-0000-000018190000}"/>
    <cellStyle name="Comma 5 3 5 4 5 2" xfId="42848" xr:uid="{00000000-0005-0000-0000-000019190000}"/>
    <cellStyle name="Comma 5 3 5 4 6" xfId="28785" xr:uid="{00000000-0005-0000-0000-00001A190000}"/>
    <cellStyle name="Comma 5 3 5 5" xfId="4275" xr:uid="{00000000-0005-0000-0000-00001B190000}"/>
    <cellStyle name="Comma 5 3 5 5 2" xfId="13113" xr:uid="{00000000-0005-0000-0000-00001C190000}"/>
    <cellStyle name="Comma 5 3 5 5 2 2" xfId="23364" xr:uid="{00000000-0005-0000-0000-00001D190000}"/>
    <cellStyle name="Comma 5 3 5 5 2 2 2" xfId="48917" xr:uid="{00000000-0005-0000-0000-00001E190000}"/>
    <cellStyle name="Comma 5 3 5 5 2 3" xfId="38668" xr:uid="{00000000-0005-0000-0000-00001F190000}"/>
    <cellStyle name="Comma 5 3 5 5 3" xfId="9534" xr:uid="{00000000-0005-0000-0000-000020190000}"/>
    <cellStyle name="Comma 5 3 5 5 3 2" xfId="35091" xr:uid="{00000000-0005-0000-0000-000021190000}"/>
    <cellStyle name="Comma 5 3 5 5 4" xfId="18357" xr:uid="{00000000-0005-0000-0000-000022190000}"/>
    <cellStyle name="Comma 5 3 5 5 4 2" xfId="43910" xr:uid="{00000000-0005-0000-0000-000023190000}"/>
    <cellStyle name="Comma 5 3 5 5 5" xfId="29847" xr:uid="{00000000-0005-0000-0000-000024190000}"/>
    <cellStyle name="Comma 5 3 5 6" xfId="1547" xr:uid="{00000000-0005-0000-0000-000025190000}"/>
    <cellStyle name="Comma 5 3 5 6 2" xfId="10924" xr:uid="{00000000-0005-0000-0000-000026190000}"/>
    <cellStyle name="Comma 5 3 5 6 2 2" xfId="36479" xr:uid="{00000000-0005-0000-0000-000027190000}"/>
    <cellStyle name="Comma 5 3 5 6 3" xfId="20928" xr:uid="{00000000-0005-0000-0000-000028190000}"/>
    <cellStyle name="Comma 5 3 5 6 3 2" xfId="46481" xr:uid="{00000000-0005-0000-0000-000029190000}"/>
    <cellStyle name="Comma 5 3 5 6 4" xfId="27411" xr:uid="{00000000-0005-0000-0000-00002A190000}"/>
    <cellStyle name="Comma 5 3 5 7" xfId="5731" xr:uid="{00000000-0005-0000-0000-00002B190000}"/>
    <cellStyle name="Comma 5 3 5 7 2" xfId="14558" xr:uid="{00000000-0005-0000-0000-00002C190000}"/>
    <cellStyle name="Comma 5 3 5 7 2 2" xfId="40113" xr:uid="{00000000-0005-0000-0000-00002D190000}"/>
    <cellStyle name="Comma 5 3 5 7 3" xfId="24809" xr:uid="{00000000-0005-0000-0000-00002E190000}"/>
    <cellStyle name="Comma 5 3 5 7 3 2" xfId="50362" xr:uid="{00000000-0005-0000-0000-00002F190000}"/>
    <cellStyle name="Comma 5 3 5 7 4" xfId="31292" xr:uid="{00000000-0005-0000-0000-000030190000}"/>
    <cellStyle name="Comma 5 3 5 8" xfId="7175" xr:uid="{00000000-0005-0000-0000-000031190000}"/>
    <cellStyle name="Comma 5 3 5 8 2" xfId="19901" xr:uid="{00000000-0005-0000-0000-000032190000}"/>
    <cellStyle name="Comma 5 3 5 8 2 2" xfId="45454" xr:uid="{00000000-0005-0000-0000-000033190000}"/>
    <cellStyle name="Comma 5 3 5 8 3" xfId="32732" xr:uid="{00000000-0005-0000-0000-000034190000}"/>
    <cellStyle name="Comma 5 3 5 9" xfId="15921" xr:uid="{00000000-0005-0000-0000-000035190000}"/>
    <cellStyle name="Comma 5 3 5 9 2" xfId="41474" xr:uid="{00000000-0005-0000-0000-000036190000}"/>
    <cellStyle name="Comma 5 3 6" xfId="328" xr:uid="{00000000-0005-0000-0000-000037190000}"/>
    <cellStyle name="Comma 5 3 6 10" xfId="26257" xr:uid="{00000000-0005-0000-0000-000038190000}"/>
    <cellStyle name="Comma 5 3 6 2" xfId="662" xr:uid="{00000000-0005-0000-0000-000039190000}"/>
    <cellStyle name="Comma 5 3 6 2 2" xfId="3148" xr:uid="{00000000-0005-0000-0000-00003A190000}"/>
    <cellStyle name="Comma 5 3 6 2 2 2" xfId="12291" xr:uid="{00000000-0005-0000-0000-00003B190000}"/>
    <cellStyle name="Comma 5 3 6 2 2 2 2" xfId="22509" xr:uid="{00000000-0005-0000-0000-00003C190000}"/>
    <cellStyle name="Comma 5 3 6 2 2 2 2 2" xfId="48062" xr:uid="{00000000-0005-0000-0000-00003D190000}"/>
    <cellStyle name="Comma 5 3 6 2 2 2 3" xfId="37846" xr:uid="{00000000-0005-0000-0000-00003E190000}"/>
    <cellStyle name="Comma 5 3 6 2 2 3" xfId="8713" xr:uid="{00000000-0005-0000-0000-00003F190000}"/>
    <cellStyle name="Comma 5 3 6 2 2 3 2" xfId="34270" xr:uid="{00000000-0005-0000-0000-000040190000}"/>
    <cellStyle name="Comma 5 3 6 2 2 4" xfId="17502" xr:uid="{00000000-0005-0000-0000-000041190000}"/>
    <cellStyle name="Comma 5 3 6 2 2 4 2" xfId="43055" xr:uid="{00000000-0005-0000-0000-000042190000}"/>
    <cellStyle name="Comma 5 3 6 2 2 5" xfId="28992" xr:uid="{00000000-0005-0000-0000-000043190000}"/>
    <cellStyle name="Comma 5 3 6 2 3" xfId="4477" xr:uid="{00000000-0005-0000-0000-000044190000}"/>
    <cellStyle name="Comma 5 3 6 2 3 2" xfId="13315" xr:uid="{00000000-0005-0000-0000-000045190000}"/>
    <cellStyle name="Comma 5 3 6 2 3 2 2" xfId="23566" xr:uid="{00000000-0005-0000-0000-000046190000}"/>
    <cellStyle name="Comma 5 3 6 2 3 2 2 2" xfId="49119" xr:uid="{00000000-0005-0000-0000-000047190000}"/>
    <cellStyle name="Comma 5 3 6 2 3 2 3" xfId="38870" xr:uid="{00000000-0005-0000-0000-000048190000}"/>
    <cellStyle name="Comma 5 3 6 2 3 3" xfId="9736" xr:uid="{00000000-0005-0000-0000-000049190000}"/>
    <cellStyle name="Comma 5 3 6 2 3 3 2" xfId="35293" xr:uid="{00000000-0005-0000-0000-00004A190000}"/>
    <cellStyle name="Comma 5 3 6 2 3 4" xfId="18559" xr:uid="{00000000-0005-0000-0000-00004B190000}"/>
    <cellStyle name="Comma 5 3 6 2 3 4 2" xfId="44112" xr:uid="{00000000-0005-0000-0000-00004C190000}"/>
    <cellStyle name="Comma 5 3 6 2 3 5" xfId="30049" xr:uid="{00000000-0005-0000-0000-00004D190000}"/>
    <cellStyle name="Comma 5 3 6 2 4" xfId="2257" xr:uid="{00000000-0005-0000-0000-00004E190000}"/>
    <cellStyle name="Comma 5 3 6 2 4 2" xfId="11622" xr:uid="{00000000-0005-0000-0000-00004F190000}"/>
    <cellStyle name="Comma 5 3 6 2 4 2 2" xfId="37177" xr:uid="{00000000-0005-0000-0000-000050190000}"/>
    <cellStyle name="Comma 5 3 6 2 4 3" xfId="21626" xr:uid="{00000000-0005-0000-0000-000051190000}"/>
    <cellStyle name="Comma 5 3 6 2 4 3 2" xfId="47179" xr:uid="{00000000-0005-0000-0000-000052190000}"/>
    <cellStyle name="Comma 5 3 6 2 4 4" xfId="28109" xr:uid="{00000000-0005-0000-0000-000053190000}"/>
    <cellStyle name="Comma 5 3 6 2 5" xfId="5933" xr:uid="{00000000-0005-0000-0000-000054190000}"/>
    <cellStyle name="Comma 5 3 6 2 5 2" xfId="14760" xr:uid="{00000000-0005-0000-0000-000055190000}"/>
    <cellStyle name="Comma 5 3 6 2 5 2 2" xfId="40315" xr:uid="{00000000-0005-0000-0000-000056190000}"/>
    <cellStyle name="Comma 5 3 6 2 5 3" xfId="25011" xr:uid="{00000000-0005-0000-0000-000057190000}"/>
    <cellStyle name="Comma 5 3 6 2 5 3 2" xfId="50564" xr:uid="{00000000-0005-0000-0000-000058190000}"/>
    <cellStyle name="Comma 5 3 6 2 5 4" xfId="31494" xr:uid="{00000000-0005-0000-0000-000059190000}"/>
    <cellStyle name="Comma 5 3 6 2 6" xfId="7377" xr:uid="{00000000-0005-0000-0000-00005A190000}"/>
    <cellStyle name="Comma 5 3 6 2 6 2" xfId="20108" xr:uid="{00000000-0005-0000-0000-00005B190000}"/>
    <cellStyle name="Comma 5 3 6 2 6 2 2" xfId="45661" xr:uid="{00000000-0005-0000-0000-00005C190000}"/>
    <cellStyle name="Comma 5 3 6 2 6 3" xfId="32934" xr:uid="{00000000-0005-0000-0000-00005D190000}"/>
    <cellStyle name="Comma 5 3 6 2 7" xfId="16619" xr:uid="{00000000-0005-0000-0000-00005E190000}"/>
    <cellStyle name="Comma 5 3 6 2 7 2" xfId="42172" xr:uid="{00000000-0005-0000-0000-00005F190000}"/>
    <cellStyle name="Comma 5 3 6 2 8" xfId="26591" xr:uid="{00000000-0005-0000-0000-000060190000}"/>
    <cellStyle name="Comma 5 3 6 3" xfId="1100" xr:uid="{00000000-0005-0000-0000-000061190000}"/>
    <cellStyle name="Comma 5 3 6 3 2" xfId="3529" xr:uid="{00000000-0005-0000-0000-000062190000}"/>
    <cellStyle name="Comma 5 3 6 3 2 2" xfId="12665" xr:uid="{00000000-0005-0000-0000-000063190000}"/>
    <cellStyle name="Comma 5 3 6 3 2 2 2" xfId="22884" xr:uid="{00000000-0005-0000-0000-000064190000}"/>
    <cellStyle name="Comma 5 3 6 3 2 2 2 2" xfId="48437" xr:uid="{00000000-0005-0000-0000-000065190000}"/>
    <cellStyle name="Comma 5 3 6 3 2 2 3" xfId="38220" xr:uid="{00000000-0005-0000-0000-000066190000}"/>
    <cellStyle name="Comma 5 3 6 3 2 3" xfId="9086" xr:uid="{00000000-0005-0000-0000-000067190000}"/>
    <cellStyle name="Comma 5 3 6 3 2 3 2" xfId="34643" xr:uid="{00000000-0005-0000-0000-000068190000}"/>
    <cellStyle name="Comma 5 3 6 3 2 4" xfId="17877" xr:uid="{00000000-0005-0000-0000-000069190000}"/>
    <cellStyle name="Comma 5 3 6 3 2 4 2" xfId="43430" xr:uid="{00000000-0005-0000-0000-00006A190000}"/>
    <cellStyle name="Comma 5 3 6 3 2 5" xfId="29367" xr:uid="{00000000-0005-0000-0000-00006B190000}"/>
    <cellStyle name="Comma 5 3 6 3 3" xfId="4826" xr:uid="{00000000-0005-0000-0000-00006C190000}"/>
    <cellStyle name="Comma 5 3 6 3 3 2" xfId="13663" xr:uid="{00000000-0005-0000-0000-00006D190000}"/>
    <cellStyle name="Comma 5 3 6 3 3 2 2" xfId="23914" xr:uid="{00000000-0005-0000-0000-00006E190000}"/>
    <cellStyle name="Comma 5 3 6 3 3 2 2 2" xfId="49467" xr:uid="{00000000-0005-0000-0000-00006F190000}"/>
    <cellStyle name="Comma 5 3 6 3 3 2 3" xfId="39218" xr:uid="{00000000-0005-0000-0000-000070190000}"/>
    <cellStyle name="Comma 5 3 6 3 3 3" xfId="10084" xr:uid="{00000000-0005-0000-0000-000071190000}"/>
    <cellStyle name="Comma 5 3 6 3 3 3 2" xfId="35641" xr:uid="{00000000-0005-0000-0000-000072190000}"/>
    <cellStyle name="Comma 5 3 6 3 3 4" xfId="18907" xr:uid="{00000000-0005-0000-0000-000073190000}"/>
    <cellStyle name="Comma 5 3 6 3 3 4 2" xfId="44460" xr:uid="{00000000-0005-0000-0000-000074190000}"/>
    <cellStyle name="Comma 5 3 6 3 3 5" xfId="30397" xr:uid="{00000000-0005-0000-0000-000075190000}"/>
    <cellStyle name="Comma 5 3 6 3 4" xfId="2587" xr:uid="{00000000-0005-0000-0000-000076190000}"/>
    <cellStyle name="Comma 5 3 6 3 4 2" xfId="11951" xr:uid="{00000000-0005-0000-0000-000077190000}"/>
    <cellStyle name="Comma 5 3 6 3 4 2 2" xfId="37506" xr:uid="{00000000-0005-0000-0000-000078190000}"/>
    <cellStyle name="Comma 5 3 6 3 4 3" xfId="21955" xr:uid="{00000000-0005-0000-0000-000079190000}"/>
    <cellStyle name="Comma 5 3 6 3 4 3 2" xfId="47508" xr:uid="{00000000-0005-0000-0000-00007A190000}"/>
    <cellStyle name="Comma 5 3 6 3 4 4" xfId="28438" xr:uid="{00000000-0005-0000-0000-00007B190000}"/>
    <cellStyle name="Comma 5 3 6 3 5" xfId="6281" xr:uid="{00000000-0005-0000-0000-00007C190000}"/>
    <cellStyle name="Comma 5 3 6 3 5 2" xfId="15108" xr:uid="{00000000-0005-0000-0000-00007D190000}"/>
    <cellStyle name="Comma 5 3 6 3 5 2 2" xfId="40663" xr:uid="{00000000-0005-0000-0000-00007E190000}"/>
    <cellStyle name="Comma 5 3 6 3 5 3" xfId="25359" xr:uid="{00000000-0005-0000-0000-00007F190000}"/>
    <cellStyle name="Comma 5 3 6 3 5 3 2" xfId="50912" xr:uid="{00000000-0005-0000-0000-000080190000}"/>
    <cellStyle name="Comma 5 3 6 3 5 4" xfId="31842" xr:uid="{00000000-0005-0000-0000-000081190000}"/>
    <cellStyle name="Comma 5 3 6 3 6" xfId="7727" xr:uid="{00000000-0005-0000-0000-000082190000}"/>
    <cellStyle name="Comma 5 3 6 3 6 2" xfId="20483" xr:uid="{00000000-0005-0000-0000-000083190000}"/>
    <cellStyle name="Comma 5 3 6 3 6 2 2" xfId="46036" xr:uid="{00000000-0005-0000-0000-000084190000}"/>
    <cellStyle name="Comma 5 3 6 3 6 3" xfId="33284" xr:uid="{00000000-0005-0000-0000-000085190000}"/>
    <cellStyle name="Comma 5 3 6 3 7" xfId="16948" xr:uid="{00000000-0005-0000-0000-000086190000}"/>
    <cellStyle name="Comma 5 3 6 3 7 2" xfId="42501" xr:uid="{00000000-0005-0000-0000-000087190000}"/>
    <cellStyle name="Comma 5 3 6 3 8" xfId="26966" xr:uid="{00000000-0005-0000-0000-000088190000}"/>
    <cellStyle name="Comma 5 3 6 4" xfId="2814" xr:uid="{00000000-0005-0000-0000-000089190000}"/>
    <cellStyle name="Comma 5 3 6 4 2" xfId="5192" xr:uid="{00000000-0005-0000-0000-00008A190000}"/>
    <cellStyle name="Comma 5 3 6 4 2 2" xfId="14029" xr:uid="{00000000-0005-0000-0000-00008B190000}"/>
    <cellStyle name="Comma 5 3 6 4 2 2 2" xfId="24280" xr:uid="{00000000-0005-0000-0000-00008C190000}"/>
    <cellStyle name="Comma 5 3 6 4 2 2 2 2" xfId="49833" xr:uid="{00000000-0005-0000-0000-00008D190000}"/>
    <cellStyle name="Comma 5 3 6 4 2 2 3" xfId="39584" xr:uid="{00000000-0005-0000-0000-00008E190000}"/>
    <cellStyle name="Comma 5 3 6 4 2 3" xfId="10450" xr:uid="{00000000-0005-0000-0000-00008F190000}"/>
    <cellStyle name="Comma 5 3 6 4 2 3 2" xfId="36007" xr:uid="{00000000-0005-0000-0000-000090190000}"/>
    <cellStyle name="Comma 5 3 6 4 2 4" xfId="19273" xr:uid="{00000000-0005-0000-0000-000091190000}"/>
    <cellStyle name="Comma 5 3 6 4 2 4 2" xfId="44826" xr:uid="{00000000-0005-0000-0000-000092190000}"/>
    <cellStyle name="Comma 5 3 6 4 2 5" xfId="30763" xr:uid="{00000000-0005-0000-0000-000093190000}"/>
    <cellStyle name="Comma 5 3 6 4 3" xfId="6647" xr:uid="{00000000-0005-0000-0000-000094190000}"/>
    <cellStyle name="Comma 5 3 6 4 3 2" xfId="15474" xr:uid="{00000000-0005-0000-0000-000095190000}"/>
    <cellStyle name="Comma 5 3 6 4 3 2 2" xfId="41029" xr:uid="{00000000-0005-0000-0000-000096190000}"/>
    <cellStyle name="Comma 5 3 6 4 3 3" xfId="25725" xr:uid="{00000000-0005-0000-0000-000097190000}"/>
    <cellStyle name="Comma 5 3 6 4 3 3 2" xfId="51278" xr:uid="{00000000-0005-0000-0000-000098190000}"/>
    <cellStyle name="Comma 5 3 6 4 3 4" xfId="32208" xr:uid="{00000000-0005-0000-0000-000099190000}"/>
    <cellStyle name="Comma 5 3 6 4 4" xfId="8093" xr:uid="{00000000-0005-0000-0000-00009A190000}"/>
    <cellStyle name="Comma 5 3 6 4 4 2" xfId="22175" xr:uid="{00000000-0005-0000-0000-00009B190000}"/>
    <cellStyle name="Comma 5 3 6 4 4 2 2" xfId="47728" xr:uid="{00000000-0005-0000-0000-00009C190000}"/>
    <cellStyle name="Comma 5 3 6 4 4 3" xfId="33650" xr:uid="{00000000-0005-0000-0000-00009D190000}"/>
    <cellStyle name="Comma 5 3 6 4 5" xfId="17168" xr:uid="{00000000-0005-0000-0000-00009E190000}"/>
    <cellStyle name="Comma 5 3 6 4 5 2" xfId="42721" xr:uid="{00000000-0005-0000-0000-00009F190000}"/>
    <cellStyle name="Comma 5 3 6 4 6" xfId="28658" xr:uid="{00000000-0005-0000-0000-0000A0190000}"/>
    <cellStyle name="Comma 5 3 6 5" xfId="4146" xr:uid="{00000000-0005-0000-0000-0000A1190000}"/>
    <cellStyle name="Comma 5 3 6 5 2" xfId="12984" xr:uid="{00000000-0005-0000-0000-0000A2190000}"/>
    <cellStyle name="Comma 5 3 6 5 2 2" xfId="23235" xr:uid="{00000000-0005-0000-0000-0000A3190000}"/>
    <cellStyle name="Comma 5 3 6 5 2 2 2" xfId="48788" xr:uid="{00000000-0005-0000-0000-0000A4190000}"/>
    <cellStyle name="Comma 5 3 6 5 2 3" xfId="38539" xr:uid="{00000000-0005-0000-0000-0000A5190000}"/>
    <cellStyle name="Comma 5 3 6 5 3" xfId="9405" xr:uid="{00000000-0005-0000-0000-0000A6190000}"/>
    <cellStyle name="Comma 5 3 6 5 3 2" xfId="34962" xr:uid="{00000000-0005-0000-0000-0000A7190000}"/>
    <cellStyle name="Comma 5 3 6 5 4" xfId="18228" xr:uid="{00000000-0005-0000-0000-0000A8190000}"/>
    <cellStyle name="Comma 5 3 6 5 4 2" xfId="43781" xr:uid="{00000000-0005-0000-0000-0000A9190000}"/>
    <cellStyle name="Comma 5 3 6 5 5" xfId="29718" xr:uid="{00000000-0005-0000-0000-0000AA190000}"/>
    <cellStyle name="Comma 5 3 6 6" xfId="1923" xr:uid="{00000000-0005-0000-0000-0000AB190000}"/>
    <cellStyle name="Comma 5 3 6 6 2" xfId="11288" xr:uid="{00000000-0005-0000-0000-0000AC190000}"/>
    <cellStyle name="Comma 5 3 6 6 2 2" xfId="36843" xr:uid="{00000000-0005-0000-0000-0000AD190000}"/>
    <cellStyle name="Comma 5 3 6 6 3" xfId="21292" xr:uid="{00000000-0005-0000-0000-0000AE190000}"/>
    <cellStyle name="Comma 5 3 6 6 3 2" xfId="46845" xr:uid="{00000000-0005-0000-0000-0000AF190000}"/>
    <cellStyle name="Comma 5 3 6 6 4" xfId="27775" xr:uid="{00000000-0005-0000-0000-0000B0190000}"/>
    <cellStyle name="Comma 5 3 6 7" xfId="5604" xr:uid="{00000000-0005-0000-0000-0000B1190000}"/>
    <cellStyle name="Comma 5 3 6 7 2" xfId="14431" xr:uid="{00000000-0005-0000-0000-0000B2190000}"/>
    <cellStyle name="Comma 5 3 6 7 2 2" xfId="39986" xr:uid="{00000000-0005-0000-0000-0000B3190000}"/>
    <cellStyle name="Comma 5 3 6 7 3" xfId="24682" xr:uid="{00000000-0005-0000-0000-0000B4190000}"/>
    <cellStyle name="Comma 5 3 6 7 3 2" xfId="50235" xr:uid="{00000000-0005-0000-0000-0000B5190000}"/>
    <cellStyle name="Comma 5 3 6 7 4" xfId="31165" xr:uid="{00000000-0005-0000-0000-0000B6190000}"/>
    <cellStyle name="Comma 5 3 6 8" xfId="7048" xr:uid="{00000000-0005-0000-0000-0000B7190000}"/>
    <cellStyle name="Comma 5 3 6 8 2" xfId="19774" xr:uid="{00000000-0005-0000-0000-0000B8190000}"/>
    <cellStyle name="Comma 5 3 6 8 2 2" xfId="45327" xr:uid="{00000000-0005-0000-0000-0000B9190000}"/>
    <cellStyle name="Comma 5 3 6 8 3" xfId="32605" xr:uid="{00000000-0005-0000-0000-0000BA190000}"/>
    <cellStyle name="Comma 5 3 6 9" xfId="16285" xr:uid="{00000000-0005-0000-0000-0000BB190000}"/>
    <cellStyle name="Comma 5 3 6 9 2" xfId="41838" xr:uid="{00000000-0005-0000-0000-0000BC190000}"/>
    <cellStyle name="Comma 5 3 7" xfId="653" xr:uid="{00000000-0005-0000-0000-0000BD190000}"/>
    <cellStyle name="Comma 5 3 7 2" xfId="3139" xr:uid="{00000000-0005-0000-0000-0000BE190000}"/>
    <cellStyle name="Comma 5 3 7 2 2" xfId="12282" xr:uid="{00000000-0005-0000-0000-0000BF190000}"/>
    <cellStyle name="Comma 5 3 7 2 2 2" xfId="22500" xr:uid="{00000000-0005-0000-0000-0000C0190000}"/>
    <cellStyle name="Comma 5 3 7 2 2 2 2" xfId="48053" xr:uid="{00000000-0005-0000-0000-0000C1190000}"/>
    <cellStyle name="Comma 5 3 7 2 2 3" xfId="37837" xr:uid="{00000000-0005-0000-0000-0000C2190000}"/>
    <cellStyle name="Comma 5 3 7 2 3" xfId="8704" xr:uid="{00000000-0005-0000-0000-0000C3190000}"/>
    <cellStyle name="Comma 5 3 7 2 3 2" xfId="34261" xr:uid="{00000000-0005-0000-0000-0000C4190000}"/>
    <cellStyle name="Comma 5 3 7 2 4" xfId="17493" xr:uid="{00000000-0005-0000-0000-0000C5190000}"/>
    <cellStyle name="Comma 5 3 7 2 4 2" xfId="43046" xr:uid="{00000000-0005-0000-0000-0000C6190000}"/>
    <cellStyle name="Comma 5 3 7 2 5" xfId="28983" xr:uid="{00000000-0005-0000-0000-0000C7190000}"/>
    <cellStyle name="Comma 5 3 7 3" xfId="4468" xr:uid="{00000000-0005-0000-0000-0000C8190000}"/>
    <cellStyle name="Comma 5 3 7 3 2" xfId="13306" xr:uid="{00000000-0005-0000-0000-0000C9190000}"/>
    <cellStyle name="Comma 5 3 7 3 2 2" xfId="23557" xr:uid="{00000000-0005-0000-0000-0000CA190000}"/>
    <cellStyle name="Comma 5 3 7 3 2 2 2" xfId="49110" xr:uid="{00000000-0005-0000-0000-0000CB190000}"/>
    <cellStyle name="Comma 5 3 7 3 2 3" xfId="38861" xr:uid="{00000000-0005-0000-0000-0000CC190000}"/>
    <cellStyle name="Comma 5 3 7 3 3" xfId="9727" xr:uid="{00000000-0005-0000-0000-0000CD190000}"/>
    <cellStyle name="Comma 5 3 7 3 3 2" xfId="35284" xr:uid="{00000000-0005-0000-0000-0000CE190000}"/>
    <cellStyle name="Comma 5 3 7 3 4" xfId="18550" xr:uid="{00000000-0005-0000-0000-0000CF190000}"/>
    <cellStyle name="Comma 5 3 7 3 4 2" xfId="44103" xr:uid="{00000000-0005-0000-0000-0000D0190000}"/>
    <cellStyle name="Comma 5 3 7 3 5" xfId="30040" xr:uid="{00000000-0005-0000-0000-0000D1190000}"/>
    <cellStyle name="Comma 5 3 7 4" xfId="2248" xr:uid="{00000000-0005-0000-0000-0000D2190000}"/>
    <cellStyle name="Comma 5 3 7 4 2" xfId="11613" xr:uid="{00000000-0005-0000-0000-0000D3190000}"/>
    <cellStyle name="Comma 5 3 7 4 2 2" xfId="37168" xr:uid="{00000000-0005-0000-0000-0000D4190000}"/>
    <cellStyle name="Comma 5 3 7 4 3" xfId="21617" xr:uid="{00000000-0005-0000-0000-0000D5190000}"/>
    <cellStyle name="Comma 5 3 7 4 3 2" xfId="47170" xr:uid="{00000000-0005-0000-0000-0000D6190000}"/>
    <cellStyle name="Comma 5 3 7 4 4" xfId="28100" xr:uid="{00000000-0005-0000-0000-0000D7190000}"/>
    <cellStyle name="Comma 5 3 7 5" xfId="5924" xr:uid="{00000000-0005-0000-0000-0000D8190000}"/>
    <cellStyle name="Comma 5 3 7 5 2" xfId="14751" xr:uid="{00000000-0005-0000-0000-0000D9190000}"/>
    <cellStyle name="Comma 5 3 7 5 2 2" xfId="40306" xr:uid="{00000000-0005-0000-0000-0000DA190000}"/>
    <cellStyle name="Comma 5 3 7 5 3" xfId="25002" xr:uid="{00000000-0005-0000-0000-0000DB190000}"/>
    <cellStyle name="Comma 5 3 7 5 3 2" xfId="50555" xr:uid="{00000000-0005-0000-0000-0000DC190000}"/>
    <cellStyle name="Comma 5 3 7 5 4" xfId="31485" xr:uid="{00000000-0005-0000-0000-0000DD190000}"/>
    <cellStyle name="Comma 5 3 7 6" xfId="7368" xr:uid="{00000000-0005-0000-0000-0000DE190000}"/>
    <cellStyle name="Comma 5 3 7 6 2" xfId="20099" xr:uid="{00000000-0005-0000-0000-0000DF190000}"/>
    <cellStyle name="Comma 5 3 7 6 2 2" xfId="45652" xr:uid="{00000000-0005-0000-0000-0000E0190000}"/>
    <cellStyle name="Comma 5 3 7 6 3" xfId="32925" xr:uid="{00000000-0005-0000-0000-0000E1190000}"/>
    <cellStyle name="Comma 5 3 7 7" xfId="16610" xr:uid="{00000000-0005-0000-0000-0000E2190000}"/>
    <cellStyle name="Comma 5 3 7 7 2" xfId="42163" xr:uid="{00000000-0005-0000-0000-0000E3190000}"/>
    <cellStyle name="Comma 5 3 7 8" xfId="26582" xr:uid="{00000000-0005-0000-0000-0000E4190000}"/>
    <cellStyle name="Comma 5 3 8" xfId="1055" xr:uid="{00000000-0005-0000-0000-0000E5190000}"/>
    <cellStyle name="Comma 5 3 8 2" xfId="3484" xr:uid="{00000000-0005-0000-0000-0000E6190000}"/>
    <cellStyle name="Comma 5 3 8 2 2" xfId="12620" xr:uid="{00000000-0005-0000-0000-0000E7190000}"/>
    <cellStyle name="Comma 5 3 8 2 2 2" xfId="22839" xr:uid="{00000000-0005-0000-0000-0000E8190000}"/>
    <cellStyle name="Comma 5 3 8 2 2 2 2" xfId="48392" xr:uid="{00000000-0005-0000-0000-0000E9190000}"/>
    <cellStyle name="Comma 5 3 8 2 2 3" xfId="38175" xr:uid="{00000000-0005-0000-0000-0000EA190000}"/>
    <cellStyle name="Comma 5 3 8 2 3" xfId="9042" xr:uid="{00000000-0005-0000-0000-0000EB190000}"/>
    <cellStyle name="Comma 5 3 8 2 3 2" xfId="34599" xr:uid="{00000000-0005-0000-0000-0000EC190000}"/>
    <cellStyle name="Comma 5 3 8 2 4" xfId="17832" xr:uid="{00000000-0005-0000-0000-0000ED190000}"/>
    <cellStyle name="Comma 5 3 8 2 4 2" xfId="43385" xr:uid="{00000000-0005-0000-0000-0000EE190000}"/>
    <cellStyle name="Comma 5 3 8 2 5" xfId="29322" xr:uid="{00000000-0005-0000-0000-0000EF190000}"/>
    <cellStyle name="Comma 5 3 8 3" xfId="4817" xr:uid="{00000000-0005-0000-0000-0000F0190000}"/>
    <cellStyle name="Comma 5 3 8 3 2" xfId="13654" xr:uid="{00000000-0005-0000-0000-0000F1190000}"/>
    <cellStyle name="Comma 5 3 8 3 2 2" xfId="23905" xr:uid="{00000000-0005-0000-0000-0000F2190000}"/>
    <cellStyle name="Comma 5 3 8 3 2 2 2" xfId="49458" xr:uid="{00000000-0005-0000-0000-0000F3190000}"/>
    <cellStyle name="Comma 5 3 8 3 2 3" xfId="39209" xr:uid="{00000000-0005-0000-0000-0000F4190000}"/>
    <cellStyle name="Comma 5 3 8 3 3" xfId="10075" xr:uid="{00000000-0005-0000-0000-0000F5190000}"/>
    <cellStyle name="Comma 5 3 8 3 3 2" xfId="35632" xr:uid="{00000000-0005-0000-0000-0000F6190000}"/>
    <cellStyle name="Comma 5 3 8 3 4" xfId="18898" xr:uid="{00000000-0005-0000-0000-0000F7190000}"/>
    <cellStyle name="Comma 5 3 8 3 4 2" xfId="44451" xr:uid="{00000000-0005-0000-0000-0000F8190000}"/>
    <cellStyle name="Comma 5 3 8 3 5" xfId="30388" xr:uid="{00000000-0005-0000-0000-0000F9190000}"/>
    <cellStyle name="Comma 5 3 8 4" xfId="1723" xr:uid="{00000000-0005-0000-0000-0000FA190000}"/>
    <cellStyle name="Comma 5 3 8 4 2" xfId="11097" xr:uid="{00000000-0005-0000-0000-0000FB190000}"/>
    <cellStyle name="Comma 5 3 8 4 2 2" xfId="36652" xr:uid="{00000000-0005-0000-0000-0000FC190000}"/>
    <cellStyle name="Comma 5 3 8 4 3" xfId="21101" xr:uid="{00000000-0005-0000-0000-0000FD190000}"/>
    <cellStyle name="Comma 5 3 8 4 3 2" xfId="46654" xr:uid="{00000000-0005-0000-0000-0000FE190000}"/>
    <cellStyle name="Comma 5 3 8 4 4" xfId="27584" xr:uid="{00000000-0005-0000-0000-0000FF190000}"/>
    <cellStyle name="Comma 5 3 8 5" xfId="6272" xr:uid="{00000000-0005-0000-0000-0000001A0000}"/>
    <cellStyle name="Comma 5 3 8 5 2" xfId="15099" xr:uid="{00000000-0005-0000-0000-0000011A0000}"/>
    <cellStyle name="Comma 5 3 8 5 2 2" xfId="40654" xr:uid="{00000000-0005-0000-0000-0000021A0000}"/>
    <cellStyle name="Comma 5 3 8 5 3" xfId="25350" xr:uid="{00000000-0005-0000-0000-0000031A0000}"/>
    <cellStyle name="Comma 5 3 8 5 3 2" xfId="50903" xr:uid="{00000000-0005-0000-0000-0000041A0000}"/>
    <cellStyle name="Comma 5 3 8 5 4" xfId="31833" xr:uid="{00000000-0005-0000-0000-0000051A0000}"/>
    <cellStyle name="Comma 5 3 8 6" xfId="7718" xr:uid="{00000000-0005-0000-0000-0000061A0000}"/>
    <cellStyle name="Comma 5 3 8 6 2" xfId="20438" xr:uid="{00000000-0005-0000-0000-0000071A0000}"/>
    <cellStyle name="Comma 5 3 8 6 2 2" xfId="45991" xr:uid="{00000000-0005-0000-0000-0000081A0000}"/>
    <cellStyle name="Comma 5 3 8 6 3" xfId="33275" xr:uid="{00000000-0005-0000-0000-0000091A0000}"/>
    <cellStyle name="Comma 5 3 8 7" xfId="16094" xr:uid="{00000000-0005-0000-0000-00000A1A0000}"/>
    <cellStyle name="Comma 5 3 8 7 2" xfId="41647" xr:uid="{00000000-0005-0000-0000-00000B1A0000}"/>
    <cellStyle name="Comma 5 3 8 8" xfId="26921" xr:uid="{00000000-0005-0000-0000-00000C1A0000}"/>
    <cellStyle name="Comma 5 3 9" xfId="2621" xr:uid="{00000000-0005-0000-0000-00000D1A0000}"/>
    <cellStyle name="Comma 5 3 9 2" xfId="5147" xr:uid="{00000000-0005-0000-0000-00000E1A0000}"/>
    <cellStyle name="Comma 5 3 9 2 2" xfId="13984" xr:uid="{00000000-0005-0000-0000-00000F1A0000}"/>
    <cellStyle name="Comma 5 3 9 2 2 2" xfId="24235" xr:uid="{00000000-0005-0000-0000-0000101A0000}"/>
    <cellStyle name="Comma 5 3 9 2 2 2 2" xfId="49788" xr:uid="{00000000-0005-0000-0000-0000111A0000}"/>
    <cellStyle name="Comma 5 3 9 2 2 3" xfId="39539" xr:uid="{00000000-0005-0000-0000-0000121A0000}"/>
    <cellStyle name="Comma 5 3 9 2 3" xfId="10405" xr:uid="{00000000-0005-0000-0000-0000131A0000}"/>
    <cellStyle name="Comma 5 3 9 2 3 2" xfId="35962" xr:uid="{00000000-0005-0000-0000-0000141A0000}"/>
    <cellStyle name="Comma 5 3 9 2 4" xfId="19228" xr:uid="{00000000-0005-0000-0000-0000151A0000}"/>
    <cellStyle name="Comma 5 3 9 2 4 2" xfId="44781" xr:uid="{00000000-0005-0000-0000-0000161A0000}"/>
    <cellStyle name="Comma 5 3 9 2 5" xfId="30718" xr:uid="{00000000-0005-0000-0000-0000171A0000}"/>
    <cellStyle name="Comma 5 3 9 3" xfId="6602" xr:uid="{00000000-0005-0000-0000-0000181A0000}"/>
    <cellStyle name="Comma 5 3 9 3 2" xfId="15429" xr:uid="{00000000-0005-0000-0000-0000191A0000}"/>
    <cellStyle name="Comma 5 3 9 3 2 2" xfId="40984" xr:uid="{00000000-0005-0000-0000-00001A1A0000}"/>
    <cellStyle name="Comma 5 3 9 3 3" xfId="25680" xr:uid="{00000000-0005-0000-0000-00001B1A0000}"/>
    <cellStyle name="Comma 5 3 9 3 3 2" xfId="51233" xr:uid="{00000000-0005-0000-0000-00001C1A0000}"/>
    <cellStyle name="Comma 5 3 9 3 4" xfId="32163" xr:uid="{00000000-0005-0000-0000-00001D1A0000}"/>
    <cellStyle name="Comma 5 3 9 4" xfId="8048" xr:uid="{00000000-0005-0000-0000-00001E1A0000}"/>
    <cellStyle name="Comma 5 3 9 4 2" xfId="21984" xr:uid="{00000000-0005-0000-0000-00001F1A0000}"/>
    <cellStyle name="Comma 5 3 9 4 2 2" xfId="47537" xr:uid="{00000000-0005-0000-0000-0000201A0000}"/>
    <cellStyle name="Comma 5 3 9 4 3" xfId="33605" xr:uid="{00000000-0005-0000-0000-0000211A0000}"/>
    <cellStyle name="Comma 5 3 9 5" xfId="16977" xr:uid="{00000000-0005-0000-0000-0000221A0000}"/>
    <cellStyle name="Comma 5 3 9 5 2" xfId="42530" xr:uid="{00000000-0005-0000-0000-0000231A0000}"/>
    <cellStyle name="Comma 5 3 9 6" xfId="28467" xr:uid="{00000000-0005-0000-0000-0000241A0000}"/>
    <cellStyle name="Comma 5 4" xfId="123" xr:uid="{00000000-0005-0000-0000-0000251A0000}"/>
    <cellStyle name="Comma 5 4 10" xfId="4109" xr:uid="{00000000-0005-0000-0000-0000261A0000}"/>
    <cellStyle name="Comma 5 4 10 2" xfId="5567" xr:uid="{00000000-0005-0000-0000-0000271A0000}"/>
    <cellStyle name="Comma 5 4 10 2 2" xfId="14394" xr:uid="{00000000-0005-0000-0000-0000281A0000}"/>
    <cellStyle name="Comma 5 4 10 2 2 2" xfId="39949" xr:uid="{00000000-0005-0000-0000-0000291A0000}"/>
    <cellStyle name="Comma 5 4 10 2 3" xfId="24645" xr:uid="{00000000-0005-0000-0000-00002A1A0000}"/>
    <cellStyle name="Comma 5 4 10 2 3 2" xfId="50198" xr:uid="{00000000-0005-0000-0000-00002B1A0000}"/>
    <cellStyle name="Comma 5 4 10 2 4" xfId="31128" xr:uid="{00000000-0005-0000-0000-00002C1A0000}"/>
    <cellStyle name="Comma 5 4 10 3" xfId="7011" xr:uid="{00000000-0005-0000-0000-00002D1A0000}"/>
    <cellStyle name="Comma 5 4 10 3 2" xfId="23198" xr:uid="{00000000-0005-0000-0000-00002E1A0000}"/>
    <cellStyle name="Comma 5 4 10 3 2 2" xfId="48751" xr:uid="{00000000-0005-0000-0000-00002F1A0000}"/>
    <cellStyle name="Comma 5 4 10 3 3" xfId="32568" xr:uid="{00000000-0005-0000-0000-0000301A0000}"/>
    <cellStyle name="Comma 5 4 10 4" xfId="18191" xr:uid="{00000000-0005-0000-0000-0000311A0000}"/>
    <cellStyle name="Comma 5 4 10 4 2" xfId="43744" xr:uid="{00000000-0005-0000-0000-0000321A0000}"/>
    <cellStyle name="Comma 5 4 10 5" xfId="29681" xr:uid="{00000000-0005-0000-0000-0000331A0000}"/>
    <cellStyle name="Comma 5 4 11" xfId="1428" xr:uid="{00000000-0005-0000-0000-0000341A0000}"/>
    <cellStyle name="Comma 5 4 11 2" xfId="10805" xr:uid="{00000000-0005-0000-0000-0000351A0000}"/>
    <cellStyle name="Comma 5 4 11 2 2" xfId="36360" xr:uid="{00000000-0005-0000-0000-0000361A0000}"/>
    <cellStyle name="Comma 5 4 11 3" xfId="20809" xr:uid="{00000000-0005-0000-0000-0000371A0000}"/>
    <cellStyle name="Comma 5 4 11 3 2" xfId="46362" xr:uid="{00000000-0005-0000-0000-0000381A0000}"/>
    <cellStyle name="Comma 5 4 11 4" xfId="27292" xr:uid="{00000000-0005-0000-0000-0000391A0000}"/>
    <cellStyle name="Comma 5 4 12" xfId="5537" xr:uid="{00000000-0005-0000-0000-00003A1A0000}"/>
    <cellStyle name="Comma 5 4 12 2" xfId="14364" xr:uid="{00000000-0005-0000-0000-00003B1A0000}"/>
    <cellStyle name="Comma 5 4 12 2 2" xfId="39919" xr:uid="{00000000-0005-0000-0000-00003C1A0000}"/>
    <cellStyle name="Comma 5 4 12 3" xfId="24615" xr:uid="{00000000-0005-0000-0000-00003D1A0000}"/>
    <cellStyle name="Comma 5 4 12 3 2" xfId="50168" xr:uid="{00000000-0005-0000-0000-00003E1A0000}"/>
    <cellStyle name="Comma 5 4 12 4" xfId="31098" xr:uid="{00000000-0005-0000-0000-00003F1A0000}"/>
    <cellStyle name="Comma 5 4 13" xfId="6981" xr:uid="{00000000-0005-0000-0000-0000401A0000}"/>
    <cellStyle name="Comma 5 4 13 2" xfId="19590" xr:uid="{00000000-0005-0000-0000-0000411A0000}"/>
    <cellStyle name="Comma 5 4 13 2 2" xfId="45143" xr:uid="{00000000-0005-0000-0000-0000421A0000}"/>
    <cellStyle name="Comma 5 4 13 3" xfId="32538" xr:uid="{00000000-0005-0000-0000-0000431A0000}"/>
    <cellStyle name="Comma 5 4 14" xfId="15802" xr:uid="{00000000-0005-0000-0000-0000441A0000}"/>
    <cellStyle name="Comma 5 4 14 2" xfId="41355" xr:uid="{00000000-0005-0000-0000-0000451A0000}"/>
    <cellStyle name="Comma 5 4 15" xfId="26073" xr:uid="{00000000-0005-0000-0000-0000461A0000}"/>
    <cellStyle name="Comma 5 4 2" xfId="163" xr:uid="{00000000-0005-0000-0000-0000471A0000}"/>
    <cellStyle name="Comma 5 4 2 10" xfId="5669" xr:uid="{00000000-0005-0000-0000-0000481A0000}"/>
    <cellStyle name="Comma 5 4 2 10 2" xfId="14496" xr:uid="{00000000-0005-0000-0000-0000491A0000}"/>
    <cellStyle name="Comma 5 4 2 10 2 2" xfId="40051" xr:uid="{00000000-0005-0000-0000-00004A1A0000}"/>
    <cellStyle name="Comma 5 4 2 10 3" xfId="24747" xr:uid="{00000000-0005-0000-0000-00004B1A0000}"/>
    <cellStyle name="Comma 5 4 2 10 3 2" xfId="50300" xr:uid="{00000000-0005-0000-0000-00004C1A0000}"/>
    <cellStyle name="Comma 5 4 2 10 4" xfId="31230" xr:uid="{00000000-0005-0000-0000-00004D1A0000}"/>
    <cellStyle name="Comma 5 4 2 11" xfId="7113" xr:uid="{00000000-0005-0000-0000-00004E1A0000}"/>
    <cellStyle name="Comma 5 4 2 11 2" xfId="19622" xr:uid="{00000000-0005-0000-0000-00004F1A0000}"/>
    <cellStyle name="Comma 5 4 2 11 2 2" xfId="45175" xr:uid="{00000000-0005-0000-0000-0000501A0000}"/>
    <cellStyle name="Comma 5 4 2 11 3" xfId="32670" xr:uid="{00000000-0005-0000-0000-0000511A0000}"/>
    <cellStyle name="Comma 5 4 2 12" xfId="15859" xr:uid="{00000000-0005-0000-0000-0000521A0000}"/>
    <cellStyle name="Comma 5 4 2 12 2" xfId="41412" xr:uid="{00000000-0005-0000-0000-0000531A0000}"/>
    <cellStyle name="Comma 5 4 2 13" xfId="26105" xr:uid="{00000000-0005-0000-0000-0000541A0000}"/>
    <cellStyle name="Comma 5 4 2 2" xfId="275" xr:uid="{00000000-0005-0000-0000-0000551A0000}"/>
    <cellStyle name="Comma 5 4 2 2 10" xfId="16063" xr:uid="{00000000-0005-0000-0000-0000561A0000}"/>
    <cellStyle name="Comma 5 4 2 2 10 2" xfId="41616" xr:uid="{00000000-0005-0000-0000-0000571A0000}"/>
    <cellStyle name="Comma 5 4 2 2 11" xfId="26209" xr:uid="{00000000-0005-0000-0000-0000581A0000}"/>
    <cellStyle name="Comma 5 4 2 2 2" xfId="597" xr:uid="{00000000-0005-0000-0000-0000591A0000}"/>
    <cellStyle name="Comma 5 4 2 2 2 2" xfId="3083" xr:uid="{00000000-0005-0000-0000-00005A1A0000}"/>
    <cellStyle name="Comma 5 4 2 2 2 2 2" xfId="12226" xr:uid="{00000000-0005-0000-0000-00005B1A0000}"/>
    <cellStyle name="Comma 5 4 2 2 2 2 2 2" xfId="22444" xr:uid="{00000000-0005-0000-0000-00005C1A0000}"/>
    <cellStyle name="Comma 5 4 2 2 2 2 2 2 2" xfId="47997" xr:uid="{00000000-0005-0000-0000-00005D1A0000}"/>
    <cellStyle name="Comma 5 4 2 2 2 2 2 3" xfId="37781" xr:uid="{00000000-0005-0000-0000-00005E1A0000}"/>
    <cellStyle name="Comma 5 4 2 2 2 2 3" xfId="8648" xr:uid="{00000000-0005-0000-0000-00005F1A0000}"/>
    <cellStyle name="Comma 5 4 2 2 2 2 3 2" xfId="34205" xr:uid="{00000000-0005-0000-0000-0000601A0000}"/>
    <cellStyle name="Comma 5 4 2 2 2 2 4" xfId="17437" xr:uid="{00000000-0005-0000-0000-0000611A0000}"/>
    <cellStyle name="Comma 5 4 2 2 2 2 4 2" xfId="42990" xr:uid="{00000000-0005-0000-0000-0000621A0000}"/>
    <cellStyle name="Comma 5 4 2 2 2 2 5" xfId="28927" xr:uid="{00000000-0005-0000-0000-0000631A0000}"/>
    <cellStyle name="Comma 5 4 2 2 2 3" xfId="4480" xr:uid="{00000000-0005-0000-0000-0000641A0000}"/>
    <cellStyle name="Comma 5 4 2 2 2 3 2" xfId="13318" xr:uid="{00000000-0005-0000-0000-0000651A0000}"/>
    <cellStyle name="Comma 5 4 2 2 2 3 2 2" xfId="23569" xr:uid="{00000000-0005-0000-0000-0000661A0000}"/>
    <cellStyle name="Comma 5 4 2 2 2 3 2 2 2" xfId="49122" xr:uid="{00000000-0005-0000-0000-0000671A0000}"/>
    <cellStyle name="Comma 5 4 2 2 2 3 2 3" xfId="38873" xr:uid="{00000000-0005-0000-0000-0000681A0000}"/>
    <cellStyle name="Comma 5 4 2 2 2 3 3" xfId="9739" xr:uid="{00000000-0005-0000-0000-0000691A0000}"/>
    <cellStyle name="Comma 5 4 2 2 2 3 3 2" xfId="35296" xr:uid="{00000000-0005-0000-0000-00006A1A0000}"/>
    <cellStyle name="Comma 5 4 2 2 2 3 4" xfId="18562" xr:uid="{00000000-0005-0000-0000-00006B1A0000}"/>
    <cellStyle name="Comma 5 4 2 2 2 3 4 2" xfId="44115" xr:uid="{00000000-0005-0000-0000-00006C1A0000}"/>
    <cellStyle name="Comma 5 4 2 2 2 3 5" xfId="30052" xr:uid="{00000000-0005-0000-0000-00006D1A0000}"/>
    <cellStyle name="Comma 5 4 2 2 2 4" xfId="2192" xr:uid="{00000000-0005-0000-0000-00006E1A0000}"/>
    <cellStyle name="Comma 5 4 2 2 2 4 2" xfId="11557" xr:uid="{00000000-0005-0000-0000-00006F1A0000}"/>
    <cellStyle name="Comma 5 4 2 2 2 4 2 2" xfId="37112" xr:uid="{00000000-0005-0000-0000-0000701A0000}"/>
    <cellStyle name="Comma 5 4 2 2 2 4 3" xfId="21561" xr:uid="{00000000-0005-0000-0000-0000711A0000}"/>
    <cellStyle name="Comma 5 4 2 2 2 4 3 2" xfId="47114" xr:uid="{00000000-0005-0000-0000-0000721A0000}"/>
    <cellStyle name="Comma 5 4 2 2 2 4 4" xfId="28044" xr:uid="{00000000-0005-0000-0000-0000731A0000}"/>
    <cellStyle name="Comma 5 4 2 2 2 5" xfId="5936" xr:uid="{00000000-0005-0000-0000-0000741A0000}"/>
    <cellStyle name="Comma 5 4 2 2 2 5 2" xfId="14763" xr:uid="{00000000-0005-0000-0000-0000751A0000}"/>
    <cellStyle name="Comma 5 4 2 2 2 5 2 2" xfId="40318" xr:uid="{00000000-0005-0000-0000-0000761A0000}"/>
    <cellStyle name="Comma 5 4 2 2 2 5 3" xfId="25014" xr:uid="{00000000-0005-0000-0000-0000771A0000}"/>
    <cellStyle name="Comma 5 4 2 2 2 5 3 2" xfId="50567" xr:uid="{00000000-0005-0000-0000-0000781A0000}"/>
    <cellStyle name="Comma 5 4 2 2 2 5 4" xfId="31497" xr:uid="{00000000-0005-0000-0000-0000791A0000}"/>
    <cellStyle name="Comma 5 4 2 2 2 6" xfId="7380" xr:uid="{00000000-0005-0000-0000-00007A1A0000}"/>
    <cellStyle name="Comma 5 4 2 2 2 6 2" xfId="20043" xr:uid="{00000000-0005-0000-0000-00007B1A0000}"/>
    <cellStyle name="Comma 5 4 2 2 2 6 2 2" xfId="45596" xr:uid="{00000000-0005-0000-0000-00007C1A0000}"/>
    <cellStyle name="Comma 5 4 2 2 2 6 3" xfId="32937" xr:uid="{00000000-0005-0000-0000-00007D1A0000}"/>
    <cellStyle name="Comma 5 4 2 2 2 7" xfId="16554" xr:uid="{00000000-0005-0000-0000-00007E1A0000}"/>
    <cellStyle name="Comma 5 4 2 2 2 7 2" xfId="42107" xr:uid="{00000000-0005-0000-0000-00007F1A0000}"/>
    <cellStyle name="Comma 5 4 2 2 2 8" xfId="26526" xr:uid="{00000000-0005-0000-0000-0000801A0000}"/>
    <cellStyle name="Comma 5 4 2 2 3" xfId="665" xr:uid="{00000000-0005-0000-0000-0000811A0000}"/>
    <cellStyle name="Comma 5 4 2 2 3 2" xfId="3151" xr:uid="{00000000-0005-0000-0000-0000821A0000}"/>
    <cellStyle name="Comma 5 4 2 2 3 2 2" xfId="12294" xr:uid="{00000000-0005-0000-0000-0000831A0000}"/>
    <cellStyle name="Comma 5 4 2 2 3 2 2 2" xfId="22512" xr:uid="{00000000-0005-0000-0000-0000841A0000}"/>
    <cellStyle name="Comma 5 4 2 2 3 2 2 2 2" xfId="48065" xr:uid="{00000000-0005-0000-0000-0000851A0000}"/>
    <cellStyle name="Comma 5 4 2 2 3 2 2 3" xfId="37849" xr:uid="{00000000-0005-0000-0000-0000861A0000}"/>
    <cellStyle name="Comma 5 4 2 2 3 2 3" xfId="8716" xr:uid="{00000000-0005-0000-0000-0000871A0000}"/>
    <cellStyle name="Comma 5 4 2 2 3 2 3 2" xfId="34273" xr:uid="{00000000-0005-0000-0000-0000881A0000}"/>
    <cellStyle name="Comma 5 4 2 2 3 2 4" xfId="17505" xr:uid="{00000000-0005-0000-0000-0000891A0000}"/>
    <cellStyle name="Comma 5 4 2 2 3 2 4 2" xfId="43058" xr:uid="{00000000-0005-0000-0000-00008A1A0000}"/>
    <cellStyle name="Comma 5 4 2 2 3 2 5" xfId="28995" xr:uid="{00000000-0005-0000-0000-00008B1A0000}"/>
    <cellStyle name="Comma 5 4 2 2 3 3" xfId="4829" xr:uid="{00000000-0005-0000-0000-00008C1A0000}"/>
    <cellStyle name="Comma 5 4 2 2 3 3 2" xfId="13666" xr:uid="{00000000-0005-0000-0000-00008D1A0000}"/>
    <cellStyle name="Comma 5 4 2 2 3 3 2 2" xfId="23917" xr:uid="{00000000-0005-0000-0000-00008E1A0000}"/>
    <cellStyle name="Comma 5 4 2 2 3 3 2 2 2" xfId="49470" xr:uid="{00000000-0005-0000-0000-00008F1A0000}"/>
    <cellStyle name="Comma 5 4 2 2 3 3 2 3" xfId="39221" xr:uid="{00000000-0005-0000-0000-0000901A0000}"/>
    <cellStyle name="Comma 5 4 2 2 3 3 3" xfId="10087" xr:uid="{00000000-0005-0000-0000-0000911A0000}"/>
    <cellStyle name="Comma 5 4 2 2 3 3 3 2" xfId="35644" xr:uid="{00000000-0005-0000-0000-0000921A0000}"/>
    <cellStyle name="Comma 5 4 2 2 3 3 4" xfId="18910" xr:uid="{00000000-0005-0000-0000-0000931A0000}"/>
    <cellStyle name="Comma 5 4 2 2 3 3 4 2" xfId="44463" xr:uid="{00000000-0005-0000-0000-0000941A0000}"/>
    <cellStyle name="Comma 5 4 2 2 3 3 5" xfId="30400" xr:uid="{00000000-0005-0000-0000-0000951A0000}"/>
    <cellStyle name="Comma 5 4 2 2 3 4" xfId="2260" xr:uid="{00000000-0005-0000-0000-0000961A0000}"/>
    <cellStyle name="Comma 5 4 2 2 3 4 2" xfId="11625" xr:uid="{00000000-0005-0000-0000-0000971A0000}"/>
    <cellStyle name="Comma 5 4 2 2 3 4 2 2" xfId="37180" xr:uid="{00000000-0005-0000-0000-0000981A0000}"/>
    <cellStyle name="Comma 5 4 2 2 3 4 3" xfId="21629" xr:uid="{00000000-0005-0000-0000-0000991A0000}"/>
    <cellStyle name="Comma 5 4 2 2 3 4 3 2" xfId="47182" xr:uid="{00000000-0005-0000-0000-00009A1A0000}"/>
    <cellStyle name="Comma 5 4 2 2 3 4 4" xfId="28112" xr:uid="{00000000-0005-0000-0000-00009B1A0000}"/>
    <cellStyle name="Comma 5 4 2 2 3 5" xfId="6284" xr:uid="{00000000-0005-0000-0000-00009C1A0000}"/>
    <cellStyle name="Comma 5 4 2 2 3 5 2" xfId="15111" xr:uid="{00000000-0005-0000-0000-00009D1A0000}"/>
    <cellStyle name="Comma 5 4 2 2 3 5 2 2" xfId="40666" xr:uid="{00000000-0005-0000-0000-00009E1A0000}"/>
    <cellStyle name="Comma 5 4 2 2 3 5 3" xfId="25362" xr:uid="{00000000-0005-0000-0000-00009F1A0000}"/>
    <cellStyle name="Comma 5 4 2 2 3 5 3 2" xfId="50915" xr:uid="{00000000-0005-0000-0000-0000A01A0000}"/>
    <cellStyle name="Comma 5 4 2 2 3 5 4" xfId="31845" xr:uid="{00000000-0005-0000-0000-0000A11A0000}"/>
    <cellStyle name="Comma 5 4 2 2 3 6" xfId="7730" xr:uid="{00000000-0005-0000-0000-0000A21A0000}"/>
    <cellStyle name="Comma 5 4 2 2 3 6 2" xfId="20111" xr:uid="{00000000-0005-0000-0000-0000A31A0000}"/>
    <cellStyle name="Comma 5 4 2 2 3 6 2 2" xfId="45664" xr:uid="{00000000-0005-0000-0000-0000A41A0000}"/>
    <cellStyle name="Comma 5 4 2 2 3 6 3" xfId="33287" xr:uid="{00000000-0005-0000-0000-0000A51A0000}"/>
    <cellStyle name="Comma 5 4 2 2 3 7" xfId="16622" xr:uid="{00000000-0005-0000-0000-0000A61A0000}"/>
    <cellStyle name="Comma 5 4 2 2 3 7 2" xfId="42175" xr:uid="{00000000-0005-0000-0000-0000A71A0000}"/>
    <cellStyle name="Comma 5 4 2 2 3 8" xfId="26594" xr:uid="{00000000-0005-0000-0000-0000A81A0000}"/>
    <cellStyle name="Comma 5 4 2 2 4" xfId="1369" xr:uid="{00000000-0005-0000-0000-0000A91A0000}"/>
    <cellStyle name="Comma 5 4 2 2 4 2" xfId="3798" xr:uid="{00000000-0005-0000-0000-0000AA1A0000}"/>
    <cellStyle name="Comma 5 4 2 2 4 2 2" xfId="12934" xr:uid="{00000000-0005-0000-0000-0000AB1A0000}"/>
    <cellStyle name="Comma 5 4 2 2 4 2 2 2" xfId="23153" xr:uid="{00000000-0005-0000-0000-0000AC1A0000}"/>
    <cellStyle name="Comma 5 4 2 2 4 2 2 2 2" xfId="48706" xr:uid="{00000000-0005-0000-0000-0000AD1A0000}"/>
    <cellStyle name="Comma 5 4 2 2 4 2 2 3" xfId="38489" xr:uid="{00000000-0005-0000-0000-0000AE1A0000}"/>
    <cellStyle name="Comma 5 4 2 2 4 2 3" xfId="9355" xr:uid="{00000000-0005-0000-0000-0000AF1A0000}"/>
    <cellStyle name="Comma 5 4 2 2 4 2 3 2" xfId="34912" xr:uid="{00000000-0005-0000-0000-0000B01A0000}"/>
    <cellStyle name="Comma 5 4 2 2 4 2 4" xfId="18146" xr:uid="{00000000-0005-0000-0000-0000B11A0000}"/>
    <cellStyle name="Comma 5 4 2 2 4 2 4 2" xfId="43699" xr:uid="{00000000-0005-0000-0000-0000B21A0000}"/>
    <cellStyle name="Comma 5 4 2 2 4 2 5" xfId="29636" xr:uid="{00000000-0005-0000-0000-0000B31A0000}"/>
    <cellStyle name="Comma 5 4 2 2 4 3" xfId="5461" xr:uid="{00000000-0005-0000-0000-0000B41A0000}"/>
    <cellStyle name="Comma 5 4 2 2 4 3 2" xfId="14298" xr:uid="{00000000-0005-0000-0000-0000B51A0000}"/>
    <cellStyle name="Comma 5 4 2 2 4 3 2 2" xfId="24549" xr:uid="{00000000-0005-0000-0000-0000B61A0000}"/>
    <cellStyle name="Comma 5 4 2 2 4 3 2 2 2" xfId="50102" xr:uid="{00000000-0005-0000-0000-0000B71A0000}"/>
    <cellStyle name="Comma 5 4 2 2 4 3 2 3" xfId="39853" xr:uid="{00000000-0005-0000-0000-0000B81A0000}"/>
    <cellStyle name="Comma 5 4 2 2 4 3 3" xfId="10719" xr:uid="{00000000-0005-0000-0000-0000B91A0000}"/>
    <cellStyle name="Comma 5 4 2 2 4 3 3 2" xfId="36276" xr:uid="{00000000-0005-0000-0000-0000BA1A0000}"/>
    <cellStyle name="Comma 5 4 2 2 4 3 4" xfId="19542" xr:uid="{00000000-0005-0000-0000-0000BB1A0000}"/>
    <cellStyle name="Comma 5 4 2 2 4 3 4 2" xfId="45095" xr:uid="{00000000-0005-0000-0000-0000BC1A0000}"/>
    <cellStyle name="Comma 5 4 2 2 4 3 5" xfId="31032" xr:uid="{00000000-0005-0000-0000-0000BD1A0000}"/>
    <cellStyle name="Comma 5 4 2 2 4 4" xfId="1872" xr:uid="{00000000-0005-0000-0000-0000BE1A0000}"/>
    <cellStyle name="Comma 5 4 2 2 4 4 2" xfId="11240" xr:uid="{00000000-0005-0000-0000-0000BF1A0000}"/>
    <cellStyle name="Comma 5 4 2 2 4 4 2 2" xfId="36795" xr:uid="{00000000-0005-0000-0000-0000C01A0000}"/>
    <cellStyle name="Comma 5 4 2 2 4 4 3" xfId="21244" xr:uid="{00000000-0005-0000-0000-0000C11A0000}"/>
    <cellStyle name="Comma 5 4 2 2 4 4 3 2" xfId="46797" xr:uid="{00000000-0005-0000-0000-0000C21A0000}"/>
    <cellStyle name="Comma 5 4 2 2 4 4 4" xfId="27727" xr:uid="{00000000-0005-0000-0000-0000C31A0000}"/>
    <cellStyle name="Comma 5 4 2 2 4 5" xfId="6916" xr:uid="{00000000-0005-0000-0000-0000C41A0000}"/>
    <cellStyle name="Comma 5 4 2 2 4 5 2" xfId="15743" xr:uid="{00000000-0005-0000-0000-0000C51A0000}"/>
    <cellStyle name="Comma 5 4 2 2 4 5 2 2" xfId="41298" xr:uid="{00000000-0005-0000-0000-0000C61A0000}"/>
    <cellStyle name="Comma 5 4 2 2 4 5 3" xfId="25994" xr:uid="{00000000-0005-0000-0000-0000C71A0000}"/>
    <cellStyle name="Comma 5 4 2 2 4 5 3 2" xfId="51547" xr:uid="{00000000-0005-0000-0000-0000C81A0000}"/>
    <cellStyle name="Comma 5 4 2 2 4 5 4" xfId="32477" xr:uid="{00000000-0005-0000-0000-0000C91A0000}"/>
    <cellStyle name="Comma 5 4 2 2 4 6" xfId="8362" xr:uid="{00000000-0005-0000-0000-0000CA1A0000}"/>
    <cellStyle name="Comma 5 4 2 2 4 6 2" xfId="20752" xr:uid="{00000000-0005-0000-0000-0000CB1A0000}"/>
    <cellStyle name="Comma 5 4 2 2 4 6 2 2" xfId="46305" xr:uid="{00000000-0005-0000-0000-0000CC1A0000}"/>
    <cellStyle name="Comma 5 4 2 2 4 6 3" xfId="33919" xr:uid="{00000000-0005-0000-0000-0000CD1A0000}"/>
    <cellStyle name="Comma 5 4 2 2 4 7" xfId="16237" xr:uid="{00000000-0005-0000-0000-0000CE1A0000}"/>
    <cellStyle name="Comma 5 4 2 2 4 7 2" xfId="41790" xr:uid="{00000000-0005-0000-0000-0000CF1A0000}"/>
    <cellStyle name="Comma 5 4 2 2 4 8" xfId="27235" xr:uid="{00000000-0005-0000-0000-0000D01A0000}"/>
    <cellStyle name="Comma 5 4 2 2 5" xfId="2766" xr:uid="{00000000-0005-0000-0000-0000D11A0000}"/>
    <cellStyle name="Comma 5 4 2 2 5 2" xfId="12083" xr:uid="{00000000-0005-0000-0000-0000D21A0000}"/>
    <cellStyle name="Comma 5 4 2 2 5 2 2" xfId="22127" xr:uid="{00000000-0005-0000-0000-0000D31A0000}"/>
    <cellStyle name="Comma 5 4 2 2 5 2 2 2" xfId="47680" xr:uid="{00000000-0005-0000-0000-0000D41A0000}"/>
    <cellStyle name="Comma 5 4 2 2 5 2 3" xfId="37638" xr:uid="{00000000-0005-0000-0000-0000D51A0000}"/>
    <cellStyle name="Comma 5 4 2 2 5 3" xfId="8475" xr:uid="{00000000-0005-0000-0000-0000D61A0000}"/>
    <cellStyle name="Comma 5 4 2 2 5 3 2" xfId="34032" xr:uid="{00000000-0005-0000-0000-0000D71A0000}"/>
    <cellStyle name="Comma 5 4 2 2 5 4" xfId="17120" xr:uid="{00000000-0005-0000-0000-0000D81A0000}"/>
    <cellStyle name="Comma 5 4 2 2 5 4 2" xfId="42673" xr:uid="{00000000-0005-0000-0000-0000D91A0000}"/>
    <cellStyle name="Comma 5 4 2 2 5 5" xfId="28610" xr:uid="{00000000-0005-0000-0000-0000DA1A0000}"/>
    <cellStyle name="Comma 5 4 2 2 6" xfId="4417" xr:uid="{00000000-0005-0000-0000-0000DB1A0000}"/>
    <cellStyle name="Comma 5 4 2 2 6 2" xfId="13255" xr:uid="{00000000-0005-0000-0000-0000DC1A0000}"/>
    <cellStyle name="Comma 5 4 2 2 6 2 2" xfId="23506" xr:uid="{00000000-0005-0000-0000-0000DD1A0000}"/>
    <cellStyle name="Comma 5 4 2 2 6 2 2 2" xfId="49059" xr:uid="{00000000-0005-0000-0000-0000DE1A0000}"/>
    <cellStyle name="Comma 5 4 2 2 6 2 3" xfId="38810" xr:uid="{00000000-0005-0000-0000-0000DF1A0000}"/>
    <cellStyle name="Comma 5 4 2 2 6 3" xfId="9676" xr:uid="{00000000-0005-0000-0000-0000E01A0000}"/>
    <cellStyle name="Comma 5 4 2 2 6 3 2" xfId="35233" xr:uid="{00000000-0005-0000-0000-0000E11A0000}"/>
    <cellStyle name="Comma 5 4 2 2 6 4" xfId="18499" xr:uid="{00000000-0005-0000-0000-0000E21A0000}"/>
    <cellStyle name="Comma 5 4 2 2 6 4 2" xfId="44052" xr:uid="{00000000-0005-0000-0000-0000E31A0000}"/>
    <cellStyle name="Comma 5 4 2 2 6 5" xfId="29989" xr:uid="{00000000-0005-0000-0000-0000E41A0000}"/>
    <cellStyle name="Comma 5 4 2 2 7" xfId="1689" xr:uid="{00000000-0005-0000-0000-0000E51A0000}"/>
    <cellStyle name="Comma 5 4 2 2 7 2" xfId="11066" xr:uid="{00000000-0005-0000-0000-0000E61A0000}"/>
    <cellStyle name="Comma 5 4 2 2 7 2 2" xfId="36621" xr:uid="{00000000-0005-0000-0000-0000E71A0000}"/>
    <cellStyle name="Comma 5 4 2 2 7 3" xfId="21070" xr:uid="{00000000-0005-0000-0000-0000E81A0000}"/>
    <cellStyle name="Comma 5 4 2 2 7 3 2" xfId="46623" xr:uid="{00000000-0005-0000-0000-0000E91A0000}"/>
    <cellStyle name="Comma 5 4 2 2 7 4" xfId="27553" xr:uid="{00000000-0005-0000-0000-0000EA1A0000}"/>
    <cellStyle name="Comma 5 4 2 2 8" xfId="5873" xr:uid="{00000000-0005-0000-0000-0000EB1A0000}"/>
    <cellStyle name="Comma 5 4 2 2 8 2" xfId="14700" xr:uid="{00000000-0005-0000-0000-0000EC1A0000}"/>
    <cellStyle name="Comma 5 4 2 2 8 2 2" xfId="40255" xr:uid="{00000000-0005-0000-0000-0000ED1A0000}"/>
    <cellStyle name="Comma 5 4 2 2 8 3" xfId="24951" xr:uid="{00000000-0005-0000-0000-0000EE1A0000}"/>
    <cellStyle name="Comma 5 4 2 2 8 3 2" xfId="50504" xr:uid="{00000000-0005-0000-0000-0000EF1A0000}"/>
    <cellStyle name="Comma 5 4 2 2 8 4" xfId="31434" xr:uid="{00000000-0005-0000-0000-0000F01A0000}"/>
    <cellStyle name="Comma 5 4 2 2 9" xfId="7317" xr:uid="{00000000-0005-0000-0000-0000F11A0000}"/>
    <cellStyle name="Comma 5 4 2 2 9 2" xfId="19726" xr:uid="{00000000-0005-0000-0000-0000F21A0000}"/>
    <cellStyle name="Comma 5 4 2 2 9 2 2" xfId="45279" xr:uid="{00000000-0005-0000-0000-0000F31A0000}"/>
    <cellStyle name="Comma 5 4 2 2 9 3" xfId="32874" xr:uid="{00000000-0005-0000-0000-0000F41A0000}"/>
    <cellStyle name="Comma 5 4 2 3" xfId="493" xr:uid="{00000000-0005-0000-0000-0000F51A0000}"/>
    <cellStyle name="Comma 5 4 2 3 10" xfId="26422" xr:uid="{00000000-0005-0000-0000-0000F61A0000}"/>
    <cellStyle name="Comma 5 4 2 3 2" xfId="666" xr:uid="{00000000-0005-0000-0000-0000F71A0000}"/>
    <cellStyle name="Comma 5 4 2 3 2 2" xfId="3152" xr:uid="{00000000-0005-0000-0000-0000F81A0000}"/>
    <cellStyle name="Comma 5 4 2 3 2 2 2" xfId="12295" xr:uid="{00000000-0005-0000-0000-0000F91A0000}"/>
    <cellStyle name="Comma 5 4 2 3 2 2 2 2" xfId="22513" xr:uid="{00000000-0005-0000-0000-0000FA1A0000}"/>
    <cellStyle name="Comma 5 4 2 3 2 2 2 2 2" xfId="48066" xr:uid="{00000000-0005-0000-0000-0000FB1A0000}"/>
    <cellStyle name="Comma 5 4 2 3 2 2 2 3" xfId="37850" xr:uid="{00000000-0005-0000-0000-0000FC1A0000}"/>
    <cellStyle name="Comma 5 4 2 3 2 2 3" xfId="8717" xr:uid="{00000000-0005-0000-0000-0000FD1A0000}"/>
    <cellStyle name="Comma 5 4 2 3 2 2 3 2" xfId="34274" xr:uid="{00000000-0005-0000-0000-0000FE1A0000}"/>
    <cellStyle name="Comma 5 4 2 3 2 2 4" xfId="17506" xr:uid="{00000000-0005-0000-0000-0000FF1A0000}"/>
    <cellStyle name="Comma 5 4 2 3 2 2 4 2" xfId="43059" xr:uid="{00000000-0005-0000-0000-0000001B0000}"/>
    <cellStyle name="Comma 5 4 2 3 2 2 5" xfId="28996" xr:uid="{00000000-0005-0000-0000-0000011B0000}"/>
    <cellStyle name="Comma 5 4 2 3 2 3" xfId="4481" xr:uid="{00000000-0005-0000-0000-0000021B0000}"/>
    <cellStyle name="Comma 5 4 2 3 2 3 2" xfId="13319" xr:uid="{00000000-0005-0000-0000-0000031B0000}"/>
    <cellStyle name="Comma 5 4 2 3 2 3 2 2" xfId="23570" xr:uid="{00000000-0005-0000-0000-0000041B0000}"/>
    <cellStyle name="Comma 5 4 2 3 2 3 2 2 2" xfId="49123" xr:uid="{00000000-0005-0000-0000-0000051B0000}"/>
    <cellStyle name="Comma 5 4 2 3 2 3 2 3" xfId="38874" xr:uid="{00000000-0005-0000-0000-0000061B0000}"/>
    <cellStyle name="Comma 5 4 2 3 2 3 3" xfId="9740" xr:uid="{00000000-0005-0000-0000-0000071B0000}"/>
    <cellStyle name="Comma 5 4 2 3 2 3 3 2" xfId="35297" xr:uid="{00000000-0005-0000-0000-0000081B0000}"/>
    <cellStyle name="Comma 5 4 2 3 2 3 4" xfId="18563" xr:uid="{00000000-0005-0000-0000-0000091B0000}"/>
    <cellStyle name="Comma 5 4 2 3 2 3 4 2" xfId="44116" xr:uid="{00000000-0005-0000-0000-00000A1B0000}"/>
    <cellStyle name="Comma 5 4 2 3 2 3 5" xfId="30053" xr:uid="{00000000-0005-0000-0000-00000B1B0000}"/>
    <cellStyle name="Comma 5 4 2 3 2 4" xfId="2261" xr:uid="{00000000-0005-0000-0000-00000C1B0000}"/>
    <cellStyle name="Comma 5 4 2 3 2 4 2" xfId="11626" xr:uid="{00000000-0005-0000-0000-00000D1B0000}"/>
    <cellStyle name="Comma 5 4 2 3 2 4 2 2" xfId="37181" xr:uid="{00000000-0005-0000-0000-00000E1B0000}"/>
    <cellStyle name="Comma 5 4 2 3 2 4 3" xfId="21630" xr:uid="{00000000-0005-0000-0000-00000F1B0000}"/>
    <cellStyle name="Comma 5 4 2 3 2 4 3 2" xfId="47183" xr:uid="{00000000-0005-0000-0000-0000101B0000}"/>
    <cellStyle name="Comma 5 4 2 3 2 4 4" xfId="28113" xr:uid="{00000000-0005-0000-0000-0000111B0000}"/>
    <cellStyle name="Comma 5 4 2 3 2 5" xfId="5937" xr:uid="{00000000-0005-0000-0000-0000121B0000}"/>
    <cellStyle name="Comma 5 4 2 3 2 5 2" xfId="14764" xr:uid="{00000000-0005-0000-0000-0000131B0000}"/>
    <cellStyle name="Comma 5 4 2 3 2 5 2 2" xfId="40319" xr:uid="{00000000-0005-0000-0000-0000141B0000}"/>
    <cellStyle name="Comma 5 4 2 3 2 5 3" xfId="25015" xr:uid="{00000000-0005-0000-0000-0000151B0000}"/>
    <cellStyle name="Comma 5 4 2 3 2 5 3 2" xfId="50568" xr:uid="{00000000-0005-0000-0000-0000161B0000}"/>
    <cellStyle name="Comma 5 4 2 3 2 5 4" xfId="31498" xr:uid="{00000000-0005-0000-0000-0000171B0000}"/>
    <cellStyle name="Comma 5 4 2 3 2 6" xfId="7381" xr:uid="{00000000-0005-0000-0000-0000181B0000}"/>
    <cellStyle name="Comma 5 4 2 3 2 6 2" xfId="20112" xr:uid="{00000000-0005-0000-0000-0000191B0000}"/>
    <cellStyle name="Comma 5 4 2 3 2 6 2 2" xfId="45665" xr:uid="{00000000-0005-0000-0000-00001A1B0000}"/>
    <cellStyle name="Comma 5 4 2 3 2 6 3" xfId="32938" xr:uid="{00000000-0005-0000-0000-00001B1B0000}"/>
    <cellStyle name="Comma 5 4 2 3 2 7" xfId="16623" xr:uid="{00000000-0005-0000-0000-00001C1B0000}"/>
    <cellStyle name="Comma 5 4 2 3 2 7 2" xfId="42176" xr:uid="{00000000-0005-0000-0000-00001D1B0000}"/>
    <cellStyle name="Comma 5 4 2 3 2 8" xfId="26595" xr:uid="{00000000-0005-0000-0000-00001E1B0000}"/>
    <cellStyle name="Comma 5 4 2 3 3" xfId="1265" xr:uid="{00000000-0005-0000-0000-00001F1B0000}"/>
    <cellStyle name="Comma 5 4 2 3 3 2" xfId="3694" xr:uid="{00000000-0005-0000-0000-0000201B0000}"/>
    <cellStyle name="Comma 5 4 2 3 3 2 2" xfId="12830" xr:uid="{00000000-0005-0000-0000-0000211B0000}"/>
    <cellStyle name="Comma 5 4 2 3 3 2 2 2" xfId="23049" xr:uid="{00000000-0005-0000-0000-0000221B0000}"/>
    <cellStyle name="Comma 5 4 2 3 3 2 2 2 2" xfId="48602" xr:uid="{00000000-0005-0000-0000-0000231B0000}"/>
    <cellStyle name="Comma 5 4 2 3 3 2 2 3" xfId="38385" xr:uid="{00000000-0005-0000-0000-0000241B0000}"/>
    <cellStyle name="Comma 5 4 2 3 3 2 3" xfId="9251" xr:uid="{00000000-0005-0000-0000-0000251B0000}"/>
    <cellStyle name="Comma 5 4 2 3 3 2 3 2" xfId="34808" xr:uid="{00000000-0005-0000-0000-0000261B0000}"/>
    <cellStyle name="Comma 5 4 2 3 3 2 4" xfId="18042" xr:uid="{00000000-0005-0000-0000-0000271B0000}"/>
    <cellStyle name="Comma 5 4 2 3 3 2 4 2" xfId="43595" xr:uid="{00000000-0005-0000-0000-0000281B0000}"/>
    <cellStyle name="Comma 5 4 2 3 3 2 5" xfId="29532" xr:uid="{00000000-0005-0000-0000-0000291B0000}"/>
    <cellStyle name="Comma 5 4 2 3 3 3" xfId="4830" xr:uid="{00000000-0005-0000-0000-00002A1B0000}"/>
    <cellStyle name="Comma 5 4 2 3 3 3 2" xfId="13667" xr:uid="{00000000-0005-0000-0000-00002B1B0000}"/>
    <cellStyle name="Comma 5 4 2 3 3 3 2 2" xfId="23918" xr:uid="{00000000-0005-0000-0000-00002C1B0000}"/>
    <cellStyle name="Comma 5 4 2 3 3 3 2 2 2" xfId="49471" xr:uid="{00000000-0005-0000-0000-00002D1B0000}"/>
    <cellStyle name="Comma 5 4 2 3 3 3 2 3" xfId="39222" xr:uid="{00000000-0005-0000-0000-00002E1B0000}"/>
    <cellStyle name="Comma 5 4 2 3 3 3 3" xfId="10088" xr:uid="{00000000-0005-0000-0000-00002F1B0000}"/>
    <cellStyle name="Comma 5 4 2 3 3 3 3 2" xfId="35645" xr:uid="{00000000-0005-0000-0000-0000301B0000}"/>
    <cellStyle name="Comma 5 4 2 3 3 3 4" xfId="18911" xr:uid="{00000000-0005-0000-0000-0000311B0000}"/>
    <cellStyle name="Comma 5 4 2 3 3 3 4 2" xfId="44464" xr:uid="{00000000-0005-0000-0000-0000321B0000}"/>
    <cellStyle name="Comma 5 4 2 3 3 3 5" xfId="30401" xr:uid="{00000000-0005-0000-0000-0000331B0000}"/>
    <cellStyle name="Comma 5 4 2 3 3 4" xfId="2088" xr:uid="{00000000-0005-0000-0000-0000341B0000}"/>
    <cellStyle name="Comma 5 4 2 3 3 4 2" xfId="11453" xr:uid="{00000000-0005-0000-0000-0000351B0000}"/>
    <cellStyle name="Comma 5 4 2 3 3 4 2 2" xfId="37008" xr:uid="{00000000-0005-0000-0000-0000361B0000}"/>
    <cellStyle name="Comma 5 4 2 3 3 4 3" xfId="21457" xr:uid="{00000000-0005-0000-0000-0000371B0000}"/>
    <cellStyle name="Comma 5 4 2 3 3 4 3 2" xfId="47010" xr:uid="{00000000-0005-0000-0000-0000381B0000}"/>
    <cellStyle name="Comma 5 4 2 3 3 4 4" xfId="27940" xr:uid="{00000000-0005-0000-0000-0000391B0000}"/>
    <cellStyle name="Comma 5 4 2 3 3 5" xfId="6285" xr:uid="{00000000-0005-0000-0000-00003A1B0000}"/>
    <cellStyle name="Comma 5 4 2 3 3 5 2" xfId="15112" xr:uid="{00000000-0005-0000-0000-00003B1B0000}"/>
    <cellStyle name="Comma 5 4 2 3 3 5 2 2" xfId="40667" xr:uid="{00000000-0005-0000-0000-00003C1B0000}"/>
    <cellStyle name="Comma 5 4 2 3 3 5 3" xfId="25363" xr:uid="{00000000-0005-0000-0000-00003D1B0000}"/>
    <cellStyle name="Comma 5 4 2 3 3 5 3 2" xfId="50916" xr:uid="{00000000-0005-0000-0000-00003E1B0000}"/>
    <cellStyle name="Comma 5 4 2 3 3 5 4" xfId="31846" xr:uid="{00000000-0005-0000-0000-00003F1B0000}"/>
    <cellStyle name="Comma 5 4 2 3 3 6" xfId="7731" xr:uid="{00000000-0005-0000-0000-0000401B0000}"/>
    <cellStyle name="Comma 5 4 2 3 3 6 2" xfId="20648" xr:uid="{00000000-0005-0000-0000-0000411B0000}"/>
    <cellStyle name="Comma 5 4 2 3 3 6 2 2" xfId="46201" xr:uid="{00000000-0005-0000-0000-0000421B0000}"/>
    <cellStyle name="Comma 5 4 2 3 3 6 3" xfId="33288" xr:uid="{00000000-0005-0000-0000-0000431B0000}"/>
    <cellStyle name="Comma 5 4 2 3 3 7" xfId="16450" xr:uid="{00000000-0005-0000-0000-0000441B0000}"/>
    <cellStyle name="Comma 5 4 2 3 3 7 2" xfId="42003" xr:uid="{00000000-0005-0000-0000-0000451B0000}"/>
    <cellStyle name="Comma 5 4 2 3 3 8" xfId="27131" xr:uid="{00000000-0005-0000-0000-0000461B0000}"/>
    <cellStyle name="Comma 5 4 2 3 4" xfId="2979" xr:uid="{00000000-0005-0000-0000-0000471B0000}"/>
    <cellStyle name="Comma 5 4 2 3 4 2" xfId="5357" xr:uid="{00000000-0005-0000-0000-0000481B0000}"/>
    <cellStyle name="Comma 5 4 2 3 4 2 2" xfId="14194" xr:uid="{00000000-0005-0000-0000-0000491B0000}"/>
    <cellStyle name="Comma 5 4 2 3 4 2 2 2" xfId="24445" xr:uid="{00000000-0005-0000-0000-00004A1B0000}"/>
    <cellStyle name="Comma 5 4 2 3 4 2 2 2 2" xfId="49998" xr:uid="{00000000-0005-0000-0000-00004B1B0000}"/>
    <cellStyle name="Comma 5 4 2 3 4 2 2 3" xfId="39749" xr:uid="{00000000-0005-0000-0000-00004C1B0000}"/>
    <cellStyle name="Comma 5 4 2 3 4 2 3" xfId="10615" xr:uid="{00000000-0005-0000-0000-00004D1B0000}"/>
    <cellStyle name="Comma 5 4 2 3 4 2 3 2" xfId="36172" xr:uid="{00000000-0005-0000-0000-00004E1B0000}"/>
    <cellStyle name="Comma 5 4 2 3 4 2 4" xfId="19438" xr:uid="{00000000-0005-0000-0000-00004F1B0000}"/>
    <cellStyle name="Comma 5 4 2 3 4 2 4 2" xfId="44991" xr:uid="{00000000-0005-0000-0000-0000501B0000}"/>
    <cellStyle name="Comma 5 4 2 3 4 2 5" xfId="30928" xr:uid="{00000000-0005-0000-0000-0000511B0000}"/>
    <cellStyle name="Comma 5 4 2 3 4 3" xfId="6812" xr:uid="{00000000-0005-0000-0000-0000521B0000}"/>
    <cellStyle name="Comma 5 4 2 3 4 3 2" xfId="15639" xr:uid="{00000000-0005-0000-0000-0000531B0000}"/>
    <cellStyle name="Comma 5 4 2 3 4 3 2 2" xfId="41194" xr:uid="{00000000-0005-0000-0000-0000541B0000}"/>
    <cellStyle name="Comma 5 4 2 3 4 3 3" xfId="25890" xr:uid="{00000000-0005-0000-0000-0000551B0000}"/>
    <cellStyle name="Comma 5 4 2 3 4 3 3 2" xfId="51443" xr:uid="{00000000-0005-0000-0000-0000561B0000}"/>
    <cellStyle name="Comma 5 4 2 3 4 3 4" xfId="32373" xr:uid="{00000000-0005-0000-0000-0000571B0000}"/>
    <cellStyle name="Comma 5 4 2 3 4 4" xfId="8258" xr:uid="{00000000-0005-0000-0000-0000581B0000}"/>
    <cellStyle name="Comma 5 4 2 3 4 4 2" xfId="22340" xr:uid="{00000000-0005-0000-0000-0000591B0000}"/>
    <cellStyle name="Comma 5 4 2 3 4 4 2 2" xfId="47893" xr:uid="{00000000-0005-0000-0000-00005A1B0000}"/>
    <cellStyle name="Comma 5 4 2 3 4 4 3" xfId="33815" xr:uid="{00000000-0005-0000-0000-00005B1B0000}"/>
    <cellStyle name="Comma 5 4 2 3 4 5" xfId="17333" xr:uid="{00000000-0005-0000-0000-00005C1B0000}"/>
    <cellStyle name="Comma 5 4 2 3 4 5 2" xfId="42886" xr:uid="{00000000-0005-0000-0000-00005D1B0000}"/>
    <cellStyle name="Comma 5 4 2 3 4 6" xfId="28823" xr:uid="{00000000-0005-0000-0000-00005E1B0000}"/>
    <cellStyle name="Comma 5 4 2 3 5" xfId="4313" xr:uid="{00000000-0005-0000-0000-00005F1B0000}"/>
    <cellStyle name="Comma 5 4 2 3 5 2" xfId="13151" xr:uid="{00000000-0005-0000-0000-0000601B0000}"/>
    <cellStyle name="Comma 5 4 2 3 5 2 2" xfId="23402" xr:uid="{00000000-0005-0000-0000-0000611B0000}"/>
    <cellStyle name="Comma 5 4 2 3 5 2 2 2" xfId="48955" xr:uid="{00000000-0005-0000-0000-0000621B0000}"/>
    <cellStyle name="Comma 5 4 2 3 5 2 3" xfId="38706" xr:uid="{00000000-0005-0000-0000-0000631B0000}"/>
    <cellStyle name="Comma 5 4 2 3 5 3" xfId="9572" xr:uid="{00000000-0005-0000-0000-0000641B0000}"/>
    <cellStyle name="Comma 5 4 2 3 5 3 2" xfId="35129" xr:uid="{00000000-0005-0000-0000-0000651B0000}"/>
    <cellStyle name="Comma 5 4 2 3 5 4" xfId="18395" xr:uid="{00000000-0005-0000-0000-0000661B0000}"/>
    <cellStyle name="Comma 5 4 2 3 5 4 2" xfId="43948" xr:uid="{00000000-0005-0000-0000-0000671B0000}"/>
    <cellStyle name="Comma 5 4 2 3 5 5" xfId="29885" xr:uid="{00000000-0005-0000-0000-0000681B0000}"/>
    <cellStyle name="Comma 5 4 2 3 6" xfId="1585" xr:uid="{00000000-0005-0000-0000-0000691B0000}"/>
    <cellStyle name="Comma 5 4 2 3 6 2" xfId="10962" xr:uid="{00000000-0005-0000-0000-00006A1B0000}"/>
    <cellStyle name="Comma 5 4 2 3 6 2 2" xfId="36517" xr:uid="{00000000-0005-0000-0000-00006B1B0000}"/>
    <cellStyle name="Comma 5 4 2 3 6 3" xfId="20966" xr:uid="{00000000-0005-0000-0000-00006C1B0000}"/>
    <cellStyle name="Comma 5 4 2 3 6 3 2" xfId="46519" xr:uid="{00000000-0005-0000-0000-00006D1B0000}"/>
    <cellStyle name="Comma 5 4 2 3 6 4" xfId="27449" xr:uid="{00000000-0005-0000-0000-00006E1B0000}"/>
    <cellStyle name="Comma 5 4 2 3 7" xfId="5769" xr:uid="{00000000-0005-0000-0000-00006F1B0000}"/>
    <cellStyle name="Comma 5 4 2 3 7 2" xfId="14596" xr:uid="{00000000-0005-0000-0000-0000701B0000}"/>
    <cellStyle name="Comma 5 4 2 3 7 2 2" xfId="40151" xr:uid="{00000000-0005-0000-0000-0000711B0000}"/>
    <cellStyle name="Comma 5 4 2 3 7 3" xfId="24847" xr:uid="{00000000-0005-0000-0000-0000721B0000}"/>
    <cellStyle name="Comma 5 4 2 3 7 3 2" xfId="50400" xr:uid="{00000000-0005-0000-0000-0000731B0000}"/>
    <cellStyle name="Comma 5 4 2 3 7 4" xfId="31330" xr:uid="{00000000-0005-0000-0000-0000741B0000}"/>
    <cellStyle name="Comma 5 4 2 3 8" xfId="7213" xr:uid="{00000000-0005-0000-0000-0000751B0000}"/>
    <cellStyle name="Comma 5 4 2 3 8 2" xfId="19939" xr:uid="{00000000-0005-0000-0000-0000761B0000}"/>
    <cellStyle name="Comma 5 4 2 3 8 2 2" xfId="45492" xr:uid="{00000000-0005-0000-0000-0000771B0000}"/>
    <cellStyle name="Comma 5 4 2 3 8 3" xfId="32770" xr:uid="{00000000-0005-0000-0000-0000781B0000}"/>
    <cellStyle name="Comma 5 4 2 3 9" xfId="15959" xr:uid="{00000000-0005-0000-0000-0000791B0000}"/>
    <cellStyle name="Comma 5 4 2 3 9 2" xfId="41512" xr:uid="{00000000-0005-0000-0000-00007A1B0000}"/>
    <cellStyle name="Comma 5 4 2 4" xfId="393" xr:uid="{00000000-0005-0000-0000-00007B1B0000}"/>
    <cellStyle name="Comma 5 4 2 4 2" xfId="2879" xr:uid="{00000000-0005-0000-0000-00007C1B0000}"/>
    <cellStyle name="Comma 5 4 2 4 2 2" xfId="12167" xr:uid="{00000000-0005-0000-0000-00007D1B0000}"/>
    <cellStyle name="Comma 5 4 2 4 2 2 2" xfId="22240" xr:uid="{00000000-0005-0000-0000-00007E1B0000}"/>
    <cellStyle name="Comma 5 4 2 4 2 2 2 2" xfId="47793" xr:uid="{00000000-0005-0000-0000-00007F1B0000}"/>
    <cellStyle name="Comma 5 4 2 4 2 2 3" xfId="37722" xr:uid="{00000000-0005-0000-0000-0000801B0000}"/>
    <cellStyle name="Comma 5 4 2 4 2 3" xfId="8417" xr:uid="{00000000-0005-0000-0000-0000811B0000}"/>
    <cellStyle name="Comma 5 4 2 4 2 3 2" xfId="33974" xr:uid="{00000000-0005-0000-0000-0000821B0000}"/>
    <cellStyle name="Comma 5 4 2 4 2 4" xfId="17233" xr:uid="{00000000-0005-0000-0000-0000831B0000}"/>
    <cellStyle name="Comma 5 4 2 4 2 4 2" xfId="42786" xr:uid="{00000000-0005-0000-0000-0000841B0000}"/>
    <cellStyle name="Comma 5 4 2 4 2 5" xfId="28723" xr:uid="{00000000-0005-0000-0000-0000851B0000}"/>
    <cellStyle name="Comma 5 4 2 4 3" xfId="4479" xr:uid="{00000000-0005-0000-0000-0000861B0000}"/>
    <cellStyle name="Comma 5 4 2 4 3 2" xfId="13317" xr:uid="{00000000-0005-0000-0000-0000871B0000}"/>
    <cellStyle name="Comma 5 4 2 4 3 2 2" xfId="23568" xr:uid="{00000000-0005-0000-0000-0000881B0000}"/>
    <cellStyle name="Comma 5 4 2 4 3 2 2 2" xfId="49121" xr:uid="{00000000-0005-0000-0000-0000891B0000}"/>
    <cellStyle name="Comma 5 4 2 4 3 2 3" xfId="38872" xr:uid="{00000000-0005-0000-0000-00008A1B0000}"/>
    <cellStyle name="Comma 5 4 2 4 3 3" xfId="9738" xr:uid="{00000000-0005-0000-0000-00008B1B0000}"/>
    <cellStyle name="Comma 5 4 2 4 3 3 2" xfId="35295" xr:uid="{00000000-0005-0000-0000-00008C1B0000}"/>
    <cellStyle name="Comma 5 4 2 4 3 4" xfId="18561" xr:uid="{00000000-0005-0000-0000-00008D1B0000}"/>
    <cellStyle name="Comma 5 4 2 4 3 4 2" xfId="44114" xr:uid="{00000000-0005-0000-0000-00008E1B0000}"/>
    <cellStyle name="Comma 5 4 2 4 3 5" xfId="30051" xr:uid="{00000000-0005-0000-0000-00008F1B0000}"/>
    <cellStyle name="Comma 5 4 2 4 4" xfId="1988" xr:uid="{00000000-0005-0000-0000-0000901B0000}"/>
    <cellStyle name="Comma 5 4 2 4 4 2" xfId="11353" xr:uid="{00000000-0005-0000-0000-0000911B0000}"/>
    <cellStyle name="Comma 5 4 2 4 4 2 2" xfId="36908" xr:uid="{00000000-0005-0000-0000-0000921B0000}"/>
    <cellStyle name="Comma 5 4 2 4 4 3" xfId="21357" xr:uid="{00000000-0005-0000-0000-0000931B0000}"/>
    <cellStyle name="Comma 5 4 2 4 4 3 2" xfId="46910" xr:uid="{00000000-0005-0000-0000-0000941B0000}"/>
    <cellStyle name="Comma 5 4 2 4 4 4" xfId="27840" xr:uid="{00000000-0005-0000-0000-0000951B0000}"/>
    <cellStyle name="Comma 5 4 2 4 5" xfId="5935" xr:uid="{00000000-0005-0000-0000-0000961B0000}"/>
    <cellStyle name="Comma 5 4 2 4 5 2" xfId="14762" xr:uid="{00000000-0005-0000-0000-0000971B0000}"/>
    <cellStyle name="Comma 5 4 2 4 5 2 2" xfId="40317" xr:uid="{00000000-0005-0000-0000-0000981B0000}"/>
    <cellStyle name="Comma 5 4 2 4 5 3" xfId="25013" xr:uid="{00000000-0005-0000-0000-0000991B0000}"/>
    <cellStyle name="Comma 5 4 2 4 5 3 2" xfId="50566" xr:uid="{00000000-0005-0000-0000-00009A1B0000}"/>
    <cellStyle name="Comma 5 4 2 4 5 4" xfId="31496" xr:uid="{00000000-0005-0000-0000-00009B1B0000}"/>
    <cellStyle name="Comma 5 4 2 4 6" xfId="7379" xr:uid="{00000000-0005-0000-0000-00009C1B0000}"/>
    <cellStyle name="Comma 5 4 2 4 6 2" xfId="19839" xr:uid="{00000000-0005-0000-0000-00009D1B0000}"/>
    <cellStyle name="Comma 5 4 2 4 6 2 2" xfId="45392" xr:uid="{00000000-0005-0000-0000-00009E1B0000}"/>
    <cellStyle name="Comma 5 4 2 4 6 3" xfId="32936" xr:uid="{00000000-0005-0000-0000-00009F1B0000}"/>
    <cellStyle name="Comma 5 4 2 4 7" xfId="16350" xr:uid="{00000000-0005-0000-0000-0000A01B0000}"/>
    <cellStyle name="Comma 5 4 2 4 7 2" xfId="41903" xr:uid="{00000000-0005-0000-0000-0000A11B0000}"/>
    <cellStyle name="Comma 5 4 2 4 8" xfId="26322" xr:uid="{00000000-0005-0000-0000-0000A21B0000}"/>
    <cellStyle name="Comma 5 4 2 5" xfId="664" xr:uid="{00000000-0005-0000-0000-0000A31B0000}"/>
    <cellStyle name="Comma 5 4 2 5 2" xfId="3150" xr:uid="{00000000-0005-0000-0000-0000A41B0000}"/>
    <cellStyle name="Comma 5 4 2 5 2 2" xfId="12293" xr:uid="{00000000-0005-0000-0000-0000A51B0000}"/>
    <cellStyle name="Comma 5 4 2 5 2 2 2" xfId="22511" xr:uid="{00000000-0005-0000-0000-0000A61B0000}"/>
    <cellStyle name="Comma 5 4 2 5 2 2 2 2" xfId="48064" xr:uid="{00000000-0005-0000-0000-0000A71B0000}"/>
    <cellStyle name="Comma 5 4 2 5 2 2 3" xfId="37848" xr:uid="{00000000-0005-0000-0000-0000A81B0000}"/>
    <cellStyle name="Comma 5 4 2 5 2 3" xfId="8715" xr:uid="{00000000-0005-0000-0000-0000A91B0000}"/>
    <cellStyle name="Comma 5 4 2 5 2 3 2" xfId="34272" xr:uid="{00000000-0005-0000-0000-0000AA1B0000}"/>
    <cellStyle name="Comma 5 4 2 5 2 4" xfId="17504" xr:uid="{00000000-0005-0000-0000-0000AB1B0000}"/>
    <cellStyle name="Comma 5 4 2 5 2 4 2" xfId="43057" xr:uid="{00000000-0005-0000-0000-0000AC1B0000}"/>
    <cellStyle name="Comma 5 4 2 5 2 5" xfId="28994" xr:uid="{00000000-0005-0000-0000-0000AD1B0000}"/>
    <cellStyle name="Comma 5 4 2 5 3" xfId="4828" xr:uid="{00000000-0005-0000-0000-0000AE1B0000}"/>
    <cellStyle name="Comma 5 4 2 5 3 2" xfId="13665" xr:uid="{00000000-0005-0000-0000-0000AF1B0000}"/>
    <cellStyle name="Comma 5 4 2 5 3 2 2" xfId="23916" xr:uid="{00000000-0005-0000-0000-0000B01B0000}"/>
    <cellStyle name="Comma 5 4 2 5 3 2 2 2" xfId="49469" xr:uid="{00000000-0005-0000-0000-0000B11B0000}"/>
    <cellStyle name="Comma 5 4 2 5 3 2 3" xfId="39220" xr:uid="{00000000-0005-0000-0000-0000B21B0000}"/>
    <cellStyle name="Comma 5 4 2 5 3 3" xfId="10086" xr:uid="{00000000-0005-0000-0000-0000B31B0000}"/>
    <cellStyle name="Comma 5 4 2 5 3 3 2" xfId="35643" xr:uid="{00000000-0005-0000-0000-0000B41B0000}"/>
    <cellStyle name="Comma 5 4 2 5 3 4" xfId="18909" xr:uid="{00000000-0005-0000-0000-0000B51B0000}"/>
    <cellStyle name="Comma 5 4 2 5 3 4 2" xfId="44462" xr:uid="{00000000-0005-0000-0000-0000B61B0000}"/>
    <cellStyle name="Comma 5 4 2 5 3 5" xfId="30399" xr:uid="{00000000-0005-0000-0000-0000B71B0000}"/>
    <cellStyle name="Comma 5 4 2 5 4" xfId="2259" xr:uid="{00000000-0005-0000-0000-0000B81B0000}"/>
    <cellStyle name="Comma 5 4 2 5 4 2" xfId="11624" xr:uid="{00000000-0005-0000-0000-0000B91B0000}"/>
    <cellStyle name="Comma 5 4 2 5 4 2 2" xfId="37179" xr:uid="{00000000-0005-0000-0000-0000BA1B0000}"/>
    <cellStyle name="Comma 5 4 2 5 4 3" xfId="21628" xr:uid="{00000000-0005-0000-0000-0000BB1B0000}"/>
    <cellStyle name="Comma 5 4 2 5 4 3 2" xfId="47181" xr:uid="{00000000-0005-0000-0000-0000BC1B0000}"/>
    <cellStyle name="Comma 5 4 2 5 4 4" xfId="28111" xr:uid="{00000000-0005-0000-0000-0000BD1B0000}"/>
    <cellStyle name="Comma 5 4 2 5 5" xfId="6283" xr:uid="{00000000-0005-0000-0000-0000BE1B0000}"/>
    <cellStyle name="Comma 5 4 2 5 5 2" xfId="15110" xr:uid="{00000000-0005-0000-0000-0000BF1B0000}"/>
    <cellStyle name="Comma 5 4 2 5 5 2 2" xfId="40665" xr:uid="{00000000-0005-0000-0000-0000C01B0000}"/>
    <cellStyle name="Comma 5 4 2 5 5 3" xfId="25361" xr:uid="{00000000-0005-0000-0000-0000C11B0000}"/>
    <cellStyle name="Comma 5 4 2 5 5 3 2" xfId="50914" xr:uid="{00000000-0005-0000-0000-0000C21B0000}"/>
    <cellStyle name="Comma 5 4 2 5 5 4" xfId="31844" xr:uid="{00000000-0005-0000-0000-0000C31B0000}"/>
    <cellStyle name="Comma 5 4 2 5 6" xfId="7729" xr:uid="{00000000-0005-0000-0000-0000C41B0000}"/>
    <cellStyle name="Comma 5 4 2 5 6 2" xfId="20110" xr:uid="{00000000-0005-0000-0000-0000C51B0000}"/>
    <cellStyle name="Comma 5 4 2 5 6 2 2" xfId="45663" xr:uid="{00000000-0005-0000-0000-0000C61B0000}"/>
    <cellStyle name="Comma 5 4 2 5 6 3" xfId="33286" xr:uid="{00000000-0005-0000-0000-0000C71B0000}"/>
    <cellStyle name="Comma 5 4 2 5 7" xfId="16621" xr:uid="{00000000-0005-0000-0000-0000C81B0000}"/>
    <cellStyle name="Comma 5 4 2 5 7 2" xfId="42174" xr:uid="{00000000-0005-0000-0000-0000C91B0000}"/>
    <cellStyle name="Comma 5 4 2 5 8" xfId="26593" xr:uid="{00000000-0005-0000-0000-0000CA1B0000}"/>
    <cellStyle name="Comma 5 4 2 6" xfId="1165" xr:uid="{00000000-0005-0000-0000-0000CB1B0000}"/>
    <cellStyle name="Comma 5 4 2 6 2" xfId="3594" xr:uid="{00000000-0005-0000-0000-0000CC1B0000}"/>
    <cellStyle name="Comma 5 4 2 6 2 2" xfId="12730" xr:uid="{00000000-0005-0000-0000-0000CD1B0000}"/>
    <cellStyle name="Comma 5 4 2 6 2 2 2" xfId="22949" xr:uid="{00000000-0005-0000-0000-0000CE1B0000}"/>
    <cellStyle name="Comma 5 4 2 6 2 2 2 2" xfId="48502" xr:uid="{00000000-0005-0000-0000-0000CF1B0000}"/>
    <cellStyle name="Comma 5 4 2 6 2 2 3" xfId="38285" xr:uid="{00000000-0005-0000-0000-0000D01B0000}"/>
    <cellStyle name="Comma 5 4 2 6 2 3" xfId="9151" xr:uid="{00000000-0005-0000-0000-0000D11B0000}"/>
    <cellStyle name="Comma 5 4 2 6 2 3 2" xfId="34708" xr:uid="{00000000-0005-0000-0000-0000D21B0000}"/>
    <cellStyle name="Comma 5 4 2 6 2 4" xfId="17942" xr:uid="{00000000-0005-0000-0000-0000D31B0000}"/>
    <cellStyle name="Comma 5 4 2 6 2 4 2" xfId="43495" xr:uid="{00000000-0005-0000-0000-0000D41B0000}"/>
    <cellStyle name="Comma 5 4 2 6 2 5" xfId="29432" xr:uid="{00000000-0005-0000-0000-0000D51B0000}"/>
    <cellStyle name="Comma 5 4 2 6 3" xfId="5257" xr:uid="{00000000-0005-0000-0000-0000D61B0000}"/>
    <cellStyle name="Comma 5 4 2 6 3 2" xfId="14094" xr:uid="{00000000-0005-0000-0000-0000D71B0000}"/>
    <cellStyle name="Comma 5 4 2 6 3 2 2" xfId="24345" xr:uid="{00000000-0005-0000-0000-0000D81B0000}"/>
    <cellStyle name="Comma 5 4 2 6 3 2 2 2" xfId="49898" xr:uid="{00000000-0005-0000-0000-0000D91B0000}"/>
    <cellStyle name="Comma 5 4 2 6 3 2 3" xfId="39649" xr:uid="{00000000-0005-0000-0000-0000DA1B0000}"/>
    <cellStyle name="Comma 5 4 2 6 3 3" xfId="10515" xr:uid="{00000000-0005-0000-0000-0000DB1B0000}"/>
    <cellStyle name="Comma 5 4 2 6 3 3 2" xfId="36072" xr:uid="{00000000-0005-0000-0000-0000DC1B0000}"/>
    <cellStyle name="Comma 5 4 2 6 3 4" xfId="19338" xr:uid="{00000000-0005-0000-0000-0000DD1B0000}"/>
    <cellStyle name="Comma 5 4 2 6 3 4 2" xfId="44891" xr:uid="{00000000-0005-0000-0000-0000DE1B0000}"/>
    <cellStyle name="Comma 5 4 2 6 3 5" xfId="30828" xr:uid="{00000000-0005-0000-0000-0000DF1B0000}"/>
    <cellStyle name="Comma 5 4 2 6 4" xfId="1765" xr:uid="{00000000-0005-0000-0000-0000E01B0000}"/>
    <cellStyle name="Comma 5 4 2 6 4 2" xfId="11136" xr:uid="{00000000-0005-0000-0000-0000E11B0000}"/>
    <cellStyle name="Comma 5 4 2 6 4 2 2" xfId="36691" xr:uid="{00000000-0005-0000-0000-0000E21B0000}"/>
    <cellStyle name="Comma 5 4 2 6 4 3" xfId="21140" xr:uid="{00000000-0005-0000-0000-0000E31B0000}"/>
    <cellStyle name="Comma 5 4 2 6 4 3 2" xfId="46693" xr:uid="{00000000-0005-0000-0000-0000E41B0000}"/>
    <cellStyle name="Comma 5 4 2 6 4 4" xfId="27623" xr:uid="{00000000-0005-0000-0000-0000E51B0000}"/>
    <cellStyle name="Comma 5 4 2 6 5" xfId="6712" xr:uid="{00000000-0005-0000-0000-0000E61B0000}"/>
    <cellStyle name="Comma 5 4 2 6 5 2" xfId="15539" xr:uid="{00000000-0005-0000-0000-0000E71B0000}"/>
    <cellStyle name="Comma 5 4 2 6 5 2 2" xfId="41094" xr:uid="{00000000-0005-0000-0000-0000E81B0000}"/>
    <cellStyle name="Comma 5 4 2 6 5 3" xfId="25790" xr:uid="{00000000-0005-0000-0000-0000E91B0000}"/>
    <cellStyle name="Comma 5 4 2 6 5 3 2" xfId="51343" xr:uid="{00000000-0005-0000-0000-0000EA1B0000}"/>
    <cellStyle name="Comma 5 4 2 6 5 4" xfId="32273" xr:uid="{00000000-0005-0000-0000-0000EB1B0000}"/>
    <cellStyle name="Comma 5 4 2 6 6" xfId="8158" xr:uid="{00000000-0005-0000-0000-0000EC1B0000}"/>
    <cellStyle name="Comma 5 4 2 6 6 2" xfId="20548" xr:uid="{00000000-0005-0000-0000-0000ED1B0000}"/>
    <cellStyle name="Comma 5 4 2 6 6 2 2" xfId="46101" xr:uid="{00000000-0005-0000-0000-0000EE1B0000}"/>
    <cellStyle name="Comma 5 4 2 6 6 3" xfId="33715" xr:uid="{00000000-0005-0000-0000-0000EF1B0000}"/>
    <cellStyle name="Comma 5 4 2 6 7" xfId="16133" xr:uid="{00000000-0005-0000-0000-0000F01B0000}"/>
    <cellStyle name="Comma 5 4 2 6 7 2" xfId="41686" xr:uid="{00000000-0005-0000-0000-0000F11B0000}"/>
    <cellStyle name="Comma 5 4 2 6 8" xfId="27031" xr:uid="{00000000-0005-0000-0000-0000F21B0000}"/>
    <cellStyle name="Comma 5 4 2 7" xfId="2662" xr:uid="{00000000-0005-0000-0000-0000F31B0000}"/>
    <cellStyle name="Comma 5 4 2 7 2" xfId="11979" xr:uid="{00000000-0005-0000-0000-0000F41B0000}"/>
    <cellStyle name="Comma 5 4 2 7 2 2" xfId="22023" xr:uid="{00000000-0005-0000-0000-0000F51B0000}"/>
    <cellStyle name="Comma 5 4 2 7 2 2 2" xfId="47576" xr:uid="{00000000-0005-0000-0000-0000F61B0000}"/>
    <cellStyle name="Comma 5 4 2 7 2 3" xfId="37534" xr:uid="{00000000-0005-0000-0000-0000F71B0000}"/>
    <cellStyle name="Comma 5 4 2 7 3" xfId="8576" xr:uid="{00000000-0005-0000-0000-0000F81B0000}"/>
    <cellStyle name="Comma 5 4 2 7 3 2" xfId="34133" xr:uid="{00000000-0005-0000-0000-0000F91B0000}"/>
    <cellStyle name="Comma 5 4 2 7 4" xfId="17016" xr:uid="{00000000-0005-0000-0000-0000FA1B0000}"/>
    <cellStyle name="Comma 5 4 2 7 4 2" xfId="42569" xr:uid="{00000000-0005-0000-0000-0000FB1B0000}"/>
    <cellStyle name="Comma 5 4 2 7 5" xfId="28506" xr:uid="{00000000-0005-0000-0000-0000FC1B0000}"/>
    <cellStyle name="Comma 5 4 2 8" xfId="4213" xr:uid="{00000000-0005-0000-0000-0000FD1B0000}"/>
    <cellStyle name="Comma 5 4 2 8 2" xfId="13051" xr:uid="{00000000-0005-0000-0000-0000FE1B0000}"/>
    <cellStyle name="Comma 5 4 2 8 2 2" xfId="23302" xr:uid="{00000000-0005-0000-0000-0000FF1B0000}"/>
    <cellStyle name="Comma 5 4 2 8 2 2 2" xfId="48855" xr:uid="{00000000-0005-0000-0000-0000001C0000}"/>
    <cellStyle name="Comma 5 4 2 8 2 3" xfId="38606" xr:uid="{00000000-0005-0000-0000-0000011C0000}"/>
    <cellStyle name="Comma 5 4 2 8 3" xfId="9472" xr:uid="{00000000-0005-0000-0000-0000021C0000}"/>
    <cellStyle name="Comma 5 4 2 8 3 2" xfId="35029" xr:uid="{00000000-0005-0000-0000-0000031C0000}"/>
    <cellStyle name="Comma 5 4 2 8 4" xfId="18295" xr:uid="{00000000-0005-0000-0000-0000041C0000}"/>
    <cellStyle name="Comma 5 4 2 8 4 2" xfId="43848" xr:uid="{00000000-0005-0000-0000-0000051C0000}"/>
    <cellStyle name="Comma 5 4 2 8 5" xfId="29785" xr:uid="{00000000-0005-0000-0000-0000061C0000}"/>
    <cellStyle name="Comma 5 4 2 9" xfId="1485" xr:uid="{00000000-0005-0000-0000-0000071C0000}"/>
    <cellStyle name="Comma 5 4 2 9 2" xfId="10862" xr:uid="{00000000-0005-0000-0000-0000081C0000}"/>
    <cellStyle name="Comma 5 4 2 9 2 2" xfId="36417" xr:uid="{00000000-0005-0000-0000-0000091C0000}"/>
    <cellStyle name="Comma 5 4 2 9 3" xfId="20866" xr:uid="{00000000-0005-0000-0000-00000A1C0000}"/>
    <cellStyle name="Comma 5 4 2 9 3 2" xfId="46419" xr:uid="{00000000-0005-0000-0000-00000B1C0000}"/>
    <cellStyle name="Comma 5 4 2 9 4" xfId="27349" xr:uid="{00000000-0005-0000-0000-00000C1C0000}"/>
    <cellStyle name="Comma 5 4 3" xfId="210" xr:uid="{00000000-0005-0000-0000-00000D1C0000}"/>
    <cellStyle name="Comma 5 4 3 10" xfId="7156" xr:uid="{00000000-0005-0000-0000-00000E1C0000}"/>
    <cellStyle name="Comma 5 4 3 10 2" xfId="19665" xr:uid="{00000000-0005-0000-0000-00000F1C0000}"/>
    <cellStyle name="Comma 5 4 3 10 2 2" xfId="45218" xr:uid="{00000000-0005-0000-0000-0000101C0000}"/>
    <cellStyle name="Comma 5 4 3 10 3" xfId="32713" xr:uid="{00000000-0005-0000-0000-0000111C0000}"/>
    <cellStyle name="Comma 5 4 3 11" xfId="15902" xr:uid="{00000000-0005-0000-0000-0000121C0000}"/>
    <cellStyle name="Comma 5 4 3 11 2" xfId="41455" xr:uid="{00000000-0005-0000-0000-0000131C0000}"/>
    <cellStyle name="Comma 5 4 3 12" xfId="26148" xr:uid="{00000000-0005-0000-0000-0000141C0000}"/>
    <cellStyle name="Comma 5 4 3 2" xfId="536" xr:uid="{00000000-0005-0000-0000-0000151C0000}"/>
    <cellStyle name="Comma 5 4 3 2 10" xfId="26465" xr:uid="{00000000-0005-0000-0000-0000161C0000}"/>
    <cellStyle name="Comma 5 4 3 2 2" xfId="668" xr:uid="{00000000-0005-0000-0000-0000171C0000}"/>
    <cellStyle name="Comma 5 4 3 2 2 2" xfId="3154" xr:uid="{00000000-0005-0000-0000-0000181C0000}"/>
    <cellStyle name="Comma 5 4 3 2 2 2 2" xfId="12297" xr:uid="{00000000-0005-0000-0000-0000191C0000}"/>
    <cellStyle name="Comma 5 4 3 2 2 2 2 2" xfId="22515" xr:uid="{00000000-0005-0000-0000-00001A1C0000}"/>
    <cellStyle name="Comma 5 4 3 2 2 2 2 2 2" xfId="48068" xr:uid="{00000000-0005-0000-0000-00001B1C0000}"/>
    <cellStyle name="Comma 5 4 3 2 2 2 2 3" xfId="37852" xr:uid="{00000000-0005-0000-0000-00001C1C0000}"/>
    <cellStyle name="Comma 5 4 3 2 2 2 3" xfId="8719" xr:uid="{00000000-0005-0000-0000-00001D1C0000}"/>
    <cellStyle name="Comma 5 4 3 2 2 2 3 2" xfId="34276" xr:uid="{00000000-0005-0000-0000-00001E1C0000}"/>
    <cellStyle name="Comma 5 4 3 2 2 2 4" xfId="17508" xr:uid="{00000000-0005-0000-0000-00001F1C0000}"/>
    <cellStyle name="Comma 5 4 3 2 2 2 4 2" xfId="43061" xr:uid="{00000000-0005-0000-0000-0000201C0000}"/>
    <cellStyle name="Comma 5 4 3 2 2 2 5" xfId="28998" xr:uid="{00000000-0005-0000-0000-0000211C0000}"/>
    <cellStyle name="Comma 5 4 3 2 2 3" xfId="4483" xr:uid="{00000000-0005-0000-0000-0000221C0000}"/>
    <cellStyle name="Comma 5 4 3 2 2 3 2" xfId="13321" xr:uid="{00000000-0005-0000-0000-0000231C0000}"/>
    <cellStyle name="Comma 5 4 3 2 2 3 2 2" xfId="23572" xr:uid="{00000000-0005-0000-0000-0000241C0000}"/>
    <cellStyle name="Comma 5 4 3 2 2 3 2 2 2" xfId="49125" xr:uid="{00000000-0005-0000-0000-0000251C0000}"/>
    <cellStyle name="Comma 5 4 3 2 2 3 2 3" xfId="38876" xr:uid="{00000000-0005-0000-0000-0000261C0000}"/>
    <cellStyle name="Comma 5 4 3 2 2 3 3" xfId="9742" xr:uid="{00000000-0005-0000-0000-0000271C0000}"/>
    <cellStyle name="Comma 5 4 3 2 2 3 3 2" xfId="35299" xr:uid="{00000000-0005-0000-0000-0000281C0000}"/>
    <cellStyle name="Comma 5 4 3 2 2 3 4" xfId="18565" xr:uid="{00000000-0005-0000-0000-0000291C0000}"/>
    <cellStyle name="Comma 5 4 3 2 2 3 4 2" xfId="44118" xr:uid="{00000000-0005-0000-0000-00002A1C0000}"/>
    <cellStyle name="Comma 5 4 3 2 2 3 5" xfId="30055" xr:uid="{00000000-0005-0000-0000-00002B1C0000}"/>
    <cellStyle name="Comma 5 4 3 2 2 4" xfId="2263" xr:uid="{00000000-0005-0000-0000-00002C1C0000}"/>
    <cellStyle name="Comma 5 4 3 2 2 4 2" xfId="11628" xr:uid="{00000000-0005-0000-0000-00002D1C0000}"/>
    <cellStyle name="Comma 5 4 3 2 2 4 2 2" xfId="37183" xr:uid="{00000000-0005-0000-0000-00002E1C0000}"/>
    <cellStyle name="Comma 5 4 3 2 2 4 3" xfId="21632" xr:uid="{00000000-0005-0000-0000-00002F1C0000}"/>
    <cellStyle name="Comma 5 4 3 2 2 4 3 2" xfId="47185" xr:uid="{00000000-0005-0000-0000-0000301C0000}"/>
    <cellStyle name="Comma 5 4 3 2 2 4 4" xfId="28115" xr:uid="{00000000-0005-0000-0000-0000311C0000}"/>
    <cellStyle name="Comma 5 4 3 2 2 5" xfId="5939" xr:uid="{00000000-0005-0000-0000-0000321C0000}"/>
    <cellStyle name="Comma 5 4 3 2 2 5 2" xfId="14766" xr:uid="{00000000-0005-0000-0000-0000331C0000}"/>
    <cellStyle name="Comma 5 4 3 2 2 5 2 2" xfId="40321" xr:uid="{00000000-0005-0000-0000-0000341C0000}"/>
    <cellStyle name="Comma 5 4 3 2 2 5 3" xfId="25017" xr:uid="{00000000-0005-0000-0000-0000351C0000}"/>
    <cellStyle name="Comma 5 4 3 2 2 5 3 2" xfId="50570" xr:uid="{00000000-0005-0000-0000-0000361C0000}"/>
    <cellStyle name="Comma 5 4 3 2 2 5 4" xfId="31500" xr:uid="{00000000-0005-0000-0000-0000371C0000}"/>
    <cellStyle name="Comma 5 4 3 2 2 6" xfId="7383" xr:uid="{00000000-0005-0000-0000-0000381C0000}"/>
    <cellStyle name="Comma 5 4 3 2 2 6 2" xfId="20114" xr:uid="{00000000-0005-0000-0000-0000391C0000}"/>
    <cellStyle name="Comma 5 4 3 2 2 6 2 2" xfId="45667" xr:uid="{00000000-0005-0000-0000-00003A1C0000}"/>
    <cellStyle name="Comma 5 4 3 2 2 6 3" xfId="32940" xr:uid="{00000000-0005-0000-0000-00003B1C0000}"/>
    <cellStyle name="Comma 5 4 3 2 2 7" xfId="16625" xr:uid="{00000000-0005-0000-0000-00003C1C0000}"/>
    <cellStyle name="Comma 5 4 3 2 2 7 2" xfId="42178" xr:uid="{00000000-0005-0000-0000-00003D1C0000}"/>
    <cellStyle name="Comma 5 4 3 2 2 8" xfId="26597" xr:uid="{00000000-0005-0000-0000-00003E1C0000}"/>
    <cellStyle name="Comma 5 4 3 2 3" xfId="1308" xr:uid="{00000000-0005-0000-0000-00003F1C0000}"/>
    <cellStyle name="Comma 5 4 3 2 3 2" xfId="3737" xr:uid="{00000000-0005-0000-0000-0000401C0000}"/>
    <cellStyle name="Comma 5 4 3 2 3 2 2" xfId="12873" xr:uid="{00000000-0005-0000-0000-0000411C0000}"/>
    <cellStyle name="Comma 5 4 3 2 3 2 2 2" xfId="23092" xr:uid="{00000000-0005-0000-0000-0000421C0000}"/>
    <cellStyle name="Comma 5 4 3 2 3 2 2 2 2" xfId="48645" xr:uid="{00000000-0005-0000-0000-0000431C0000}"/>
    <cellStyle name="Comma 5 4 3 2 3 2 2 3" xfId="38428" xr:uid="{00000000-0005-0000-0000-0000441C0000}"/>
    <cellStyle name="Comma 5 4 3 2 3 2 3" xfId="9294" xr:uid="{00000000-0005-0000-0000-0000451C0000}"/>
    <cellStyle name="Comma 5 4 3 2 3 2 3 2" xfId="34851" xr:uid="{00000000-0005-0000-0000-0000461C0000}"/>
    <cellStyle name="Comma 5 4 3 2 3 2 4" xfId="18085" xr:uid="{00000000-0005-0000-0000-0000471C0000}"/>
    <cellStyle name="Comma 5 4 3 2 3 2 4 2" xfId="43638" xr:uid="{00000000-0005-0000-0000-0000481C0000}"/>
    <cellStyle name="Comma 5 4 3 2 3 2 5" xfId="29575" xr:uid="{00000000-0005-0000-0000-0000491C0000}"/>
    <cellStyle name="Comma 5 4 3 2 3 3" xfId="4832" xr:uid="{00000000-0005-0000-0000-00004A1C0000}"/>
    <cellStyle name="Comma 5 4 3 2 3 3 2" xfId="13669" xr:uid="{00000000-0005-0000-0000-00004B1C0000}"/>
    <cellStyle name="Comma 5 4 3 2 3 3 2 2" xfId="23920" xr:uid="{00000000-0005-0000-0000-00004C1C0000}"/>
    <cellStyle name="Comma 5 4 3 2 3 3 2 2 2" xfId="49473" xr:uid="{00000000-0005-0000-0000-00004D1C0000}"/>
    <cellStyle name="Comma 5 4 3 2 3 3 2 3" xfId="39224" xr:uid="{00000000-0005-0000-0000-00004E1C0000}"/>
    <cellStyle name="Comma 5 4 3 2 3 3 3" xfId="10090" xr:uid="{00000000-0005-0000-0000-00004F1C0000}"/>
    <cellStyle name="Comma 5 4 3 2 3 3 3 2" xfId="35647" xr:uid="{00000000-0005-0000-0000-0000501C0000}"/>
    <cellStyle name="Comma 5 4 3 2 3 3 4" xfId="18913" xr:uid="{00000000-0005-0000-0000-0000511C0000}"/>
    <cellStyle name="Comma 5 4 3 2 3 3 4 2" xfId="44466" xr:uid="{00000000-0005-0000-0000-0000521C0000}"/>
    <cellStyle name="Comma 5 4 3 2 3 3 5" xfId="30403" xr:uid="{00000000-0005-0000-0000-0000531C0000}"/>
    <cellStyle name="Comma 5 4 3 2 3 4" xfId="2131" xr:uid="{00000000-0005-0000-0000-0000541C0000}"/>
    <cellStyle name="Comma 5 4 3 2 3 4 2" xfId="11496" xr:uid="{00000000-0005-0000-0000-0000551C0000}"/>
    <cellStyle name="Comma 5 4 3 2 3 4 2 2" xfId="37051" xr:uid="{00000000-0005-0000-0000-0000561C0000}"/>
    <cellStyle name="Comma 5 4 3 2 3 4 3" xfId="21500" xr:uid="{00000000-0005-0000-0000-0000571C0000}"/>
    <cellStyle name="Comma 5 4 3 2 3 4 3 2" xfId="47053" xr:uid="{00000000-0005-0000-0000-0000581C0000}"/>
    <cellStyle name="Comma 5 4 3 2 3 4 4" xfId="27983" xr:uid="{00000000-0005-0000-0000-0000591C0000}"/>
    <cellStyle name="Comma 5 4 3 2 3 5" xfId="6287" xr:uid="{00000000-0005-0000-0000-00005A1C0000}"/>
    <cellStyle name="Comma 5 4 3 2 3 5 2" xfId="15114" xr:uid="{00000000-0005-0000-0000-00005B1C0000}"/>
    <cellStyle name="Comma 5 4 3 2 3 5 2 2" xfId="40669" xr:uid="{00000000-0005-0000-0000-00005C1C0000}"/>
    <cellStyle name="Comma 5 4 3 2 3 5 3" xfId="25365" xr:uid="{00000000-0005-0000-0000-00005D1C0000}"/>
    <cellStyle name="Comma 5 4 3 2 3 5 3 2" xfId="50918" xr:uid="{00000000-0005-0000-0000-00005E1C0000}"/>
    <cellStyle name="Comma 5 4 3 2 3 5 4" xfId="31848" xr:uid="{00000000-0005-0000-0000-00005F1C0000}"/>
    <cellStyle name="Comma 5 4 3 2 3 6" xfId="7733" xr:uid="{00000000-0005-0000-0000-0000601C0000}"/>
    <cellStyle name="Comma 5 4 3 2 3 6 2" xfId="20691" xr:uid="{00000000-0005-0000-0000-0000611C0000}"/>
    <cellStyle name="Comma 5 4 3 2 3 6 2 2" xfId="46244" xr:uid="{00000000-0005-0000-0000-0000621C0000}"/>
    <cellStyle name="Comma 5 4 3 2 3 6 3" xfId="33290" xr:uid="{00000000-0005-0000-0000-0000631C0000}"/>
    <cellStyle name="Comma 5 4 3 2 3 7" xfId="16493" xr:uid="{00000000-0005-0000-0000-0000641C0000}"/>
    <cellStyle name="Comma 5 4 3 2 3 7 2" xfId="42046" xr:uid="{00000000-0005-0000-0000-0000651C0000}"/>
    <cellStyle name="Comma 5 4 3 2 3 8" xfId="27174" xr:uid="{00000000-0005-0000-0000-0000661C0000}"/>
    <cellStyle name="Comma 5 4 3 2 4" xfId="3022" xr:uid="{00000000-0005-0000-0000-0000671C0000}"/>
    <cellStyle name="Comma 5 4 3 2 4 2" xfId="5400" xr:uid="{00000000-0005-0000-0000-0000681C0000}"/>
    <cellStyle name="Comma 5 4 3 2 4 2 2" xfId="14237" xr:uid="{00000000-0005-0000-0000-0000691C0000}"/>
    <cellStyle name="Comma 5 4 3 2 4 2 2 2" xfId="24488" xr:uid="{00000000-0005-0000-0000-00006A1C0000}"/>
    <cellStyle name="Comma 5 4 3 2 4 2 2 2 2" xfId="50041" xr:uid="{00000000-0005-0000-0000-00006B1C0000}"/>
    <cellStyle name="Comma 5 4 3 2 4 2 2 3" xfId="39792" xr:uid="{00000000-0005-0000-0000-00006C1C0000}"/>
    <cellStyle name="Comma 5 4 3 2 4 2 3" xfId="10658" xr:uid="{00000000-0005-0000-0000-00006D1C0000}"/>
    <cellStyle name="Comma 5 4 3 2 4 2 3 2" xfId="36215" xr:uid="{00000000-0005-0000-0000-00006E1C0000}"/>
    <cellStyle name="Comma 5 4 3 2 4 2 4" xfId="19481" xr:uid="{00000000-0005-0000-0000-00006F1C0000}"/>
    <cellStyle name="Comma 5 4 3 2 4 2 4 2" xfId="45034" xr:uid="{00000000-0005-0000-0000-0000701C0000}"/>
    <cellStyle name="Comma 5 4 3 2 4 2 5" xfId="30971" xr:uid="{00000000-0005-0000-0000-0000711C0000}"/>
    <cellStyle name="Comma 5 4 3 2 4 3" xfId="6855" xr:uid="{00000000-0005-0000-0000-0000721C0000}"/>
    <cellStyle name="Comma 5 4 3 2 4 3 2" xfId="15682" xr:uid="{00000000-0005-0000-0000-0000731C0000}"/>
    <cellStyle name="Comma 5 4 3 2 4 3 2 2" xfId="41237" xr:uid="{00000000-0005-0000-0000-0000741C0000}"/>
    <cellStyle name="Comma 5 4 3 2 4 3 3" xfId="25933" xr:uid="{00000000-0005-0000-0000-0000751C0000}"/>
    <cellStyle name="Comma 5 4 3 2 4 3 3 2" xfId="51486" xr:uid="{00000000-0005-0000-0000-0000761C0000}"/>
    <cellStyle name="Comma 5 4 3 2 4 3 4" xfId="32416" xr:uid="{00000000-0005-0000-0000-0000771C0000}"/>
    <cellStyle name="Comma 5 4 3 2 4 4" xfId="8301" xr:uid="{00000000-0005-0000-0000-0000781C0000}"/>
    <cellStyle name="Comma 5 4 3 2 4 4 2" xfId="22383" xr:uid="{00000000-0005-0000-0000-0000791C0000}"/>
    <cellStyle name="Comma 5 4 3 2 4 4 2 2" xfId="47936" xr:uid="{00000000-0005-0000-0000-00007A1C0000}"/>
    <cellStyle name="Comma 5 4 3 2 4 4 3" xfId="33858" xr:uid="{00000000-0005-0000-0000-00007B1C0000}"/>
    <cellStyle name="Comma 5 4 3 2 4 5" xfId="17376" xr:uid="{00000000-0005-0000-0000-00007C1C0000}"/>
    <cellStyle name="Comma 5 4 3 2 4 5 2" xfId="42929" xr:uid="{00000000-0005-0000-0000-00007D1C0000}"/>
    <cellStyle name="Comma 5 4 3 2 4 6" xfId="28866" xr:uid="{00000000-0005-0000-0000-00007E1C0000}"/>
    <cellStyle name="Comma 5 4 3 2 5" xfId="4356" xr:uid="{00000000-0005-0000-0000-00007F1C0000}"/>
    <cellStyle name="Comma 5 4 3 2 5 2" xfId="13194" xr:uid="{00000000-0005-0000-0000-0000801C0000}"/>
    <cellStyle name="Comma 5 4 3 2 5 2 2" xfId="23445" xr:uid="{00000000-0005-0000-0000-0000811C0000}"/>
    <cellStyle name="Comma 5 4 3 2 5 2 2 2" xfId="48998" xr:uid="{00000000-0005-0000-0000-0000821C0000}"/>
    <cellStyle name="Comma 5 4 3 2 5 2 3" xfId="38749" xr:uid="{00000000-0005-0000-0000-0000831C0000}"/>
    <cellStyle name="Comma 5 4 3 2 5 3" xfId="9615" xr:uid="{00000000-0005-0000-0000-0000841C0000}"/>
    <cellStyle name="Comma 5 4 3 2 5 3 2" xfId="35172" xr:uid="{00000000-0005-0000-0000-0000851C0000}"/>
    <cellStyle name="Comma 5 4 3 2 5 4" xfId="18438" xr:uid="{00000000-0005-0000-0000-0000861C0000}"/>
    <cellStyle name="Comma 5 4 3 2 5 4 2" xfId="43991" xr:uid="{00000000-0005-0000-0000-0000871C0000}"/>
    <cellStyle name="Comma 5 4 3 2 5 5" xfId="29928" xr:uid="{00000000-0005-0000-0000-0000881C0000}"/>
    <cellStyle name="Comma 5 4 3 2 6" xfId="1628" xr:uid="{00000000-0005-0000-0000-0000891C0000}"/>
    <cellStyle name="Comma 5 4 3 2 6 2" xfId="11005" xr:uid="{00000000-0005-0000-0000-00008A1C0000}"/>
    <cellStyle name="Comma 5 4 3 2 6 2 2" xfId="36560" xr:uid="{00000000-0005-0000-0000-00008B1C0000}"/>
    <cellStyle name="Comma 5 4 3 2 6 3" xfId="21009" xr:uid="{00000000-0005-0000-0000-00008C1C0000}"/>
    <cellStyle name="Comma 5 4 3 2 6 3 2" xfId="46562" xr:uid="{00000000-0005-0000-0000-00008D1C0000}"/>
    <cellStyle name="Comma 5 4 3 2 6 4" xfId="27492" xr:uid="{00000000-0005-0000-0000-00008E1C0000}"/>
    <cellStyle name="Comma 5 4 3 2 7" xfId="5812" xr:uid="{00000000-0005-0000-0000-00008F1C0000}"/>
    <cellStyle name="Comma 5 4 3 2 7 2" xfId="14639" xr:uid="{00000000-0005-0000-0000-0000901C0000}"/>
    <cellStyle name="Comma 5 4 3 2 7 2 2" xfId="40194" xr:uid="{00000000-0005-0000-0000-0000911C0000}"/>
    <cellStyle name="Comma 5 4 3 2 7 3" xfId="24890" xr:uid="{00000000-0005-0000-0000-0000921C0000}"/>
    <cellStyle name="Comma 5 4 3 2 7 3 2" xfId="50443" xr:uid="{00000000-0005-0000-0000-0000931C0000}"/>
    <cellStyle name="Comma 5 4 3 2 7 4" xfId="31373" xr:uid="{00000000-0005-0000-0000-0000941C0000}"/>
    <cellStyle name="Comma 5 4 3 2 8" xfId="7256" xr:uid="{00000000-0005-0000-0000-0000951C0000}"/>
    <cellStyle name="Comma 5 4 3 2 8 2" xfId="19982" xr:uid="{00000000-0005-0000-0000-0000961C0000}"/>
    <cellStyle name="Comma 5 4 3 2 8 2 2" xfId="45535" xr:uid="{00000000-0005-0000-0000-0000971C0000}"/>
    <cellStyle name="Comma 5 4 3 2 8 3" xfId="32813" xr:uid="{00000000-0005-0000-0000-0000981C0000}"/>
    <cellStyle name="Comma 5 4 3 2 9" xfId="16002" xr:uid="{00000000-0005-0000-0000-0000991C0000}"/>
    <cellStyle name="Comma 5 4 3 2 9 2" xfId="41555" xr:uid="{00000000-0005-0000-0000-00009A1C0000}"/>
    <cellStyle name="Comma 5 4 3 3" xfId="436" xr:uid="{00000000-0005-0000-0000-00009B1C0000}"/>
    <cellStyle name="Comma 5 4 3 3 2" xfId="2922" xr:uid="{00000000-0005-0000-0000-00009C1C0000}"/>
    <cellStyle name="Comma 5 4 3 3 2 2" xfId="12210" xr:uid="{00000000-0005-0000-0000-00009D1C0000}"/>
    <cellStyle name="Comma 5 4 3 3 2 2 2" xfId="22283" xr:uid="{00000000-0005-0000-0000-00009E1C0000}"/>
    <cellStyle name="Comma 5 4 3 3 2 2 2 2" xfId="47836" xr:uid="{00000000-0005-0000-0000-00009F1C0000}"/>
    <cellStyle name="Comma 5 4 3 3 2 2 3" xfId="37765" xr:uid="{00000000-0005-0000-0000-0000A01C0000}"/>
    <cellStyle name="Comma 5 4 3 3 2 3" xfId="8415" xr:uid="{00000000-0005-0000-0000-0000A11C0000}"/>
    <cellStyle name="Comma 5 4 3 3 2 3 2" xfId="33972" xr:uid="{00000000-0005-0000-0000-0000A21C0000}"/>
    <cellStyle name="Comma 5 4 3 3 2 4" xfId="17276" xr:uid="{00000000-0005-0000-0000-0000A31C0000}"/>
    <cellStyle name="Comma 5 4 3 3 2 4 2" xfId="42829" xr:uid="{00000000-0005-0000-0000-0000A41C0000}"/>
    <cellStyle name="Comma 5 4 3 3 2 5" xfId="28766" xr:uid="{00000000-0005-0000-0000-0000A51C0000}"/>
    <cellStyle name="Comma 5 4 3 3 3" xfId="4482" xr:uid="{00000000-0005-0000-0000-0000A61C0000}"/>
    <cellStyle name="Comma 5 4 3 3 3 2" xfId="13320" xr:uid="{00000000-0005-0000-0000-0000A71C0000}"/>
    <cellStyle name="Comma 5 4 3 3 3 2 2" xfId="23571" xr:uid="{00000000-0005-0000-0000-0000A81C0000}"/>
    <cellStyle name="Comma 5 4 3 3 3 2 2 2" xfId="49124" xr:uid="{00000000-0005-0000-0000-0000A91C0000}"/>
    <cellStyle name="Comma 5 4 3 3 3 2 3" xfId="38875" xr:uid="{00000000-0005-0000-0000-0000AA1C0000}"/>
    <cellStyle name="Comma 5 4 3 3 3 3" xfId="9741" xr:uid="{00000000-0005-0000-0000-0000AB1C0000}"/>
    <cellStyle name="Comma 5 4 3 3 3 3 2" xfId="35298" xr:uid="{00000000-0005-0000-0000-0000AC1C0000}"/>
    <cellStyle name="Comma 5 4 3 3 3 4" xfId="18564" xr:uid="{00000000-0005-0000-0000-0000AD1C0000}"/>
    <cellStyle name="Comma 5 4 3 3 3 4 2" xfId="44117" xr:uid="{00000000-0005-0000-0000-0000AE1C0000}"/>
    <cellStyle name="Comma 5 4 3 3 3 5" xfId="30054" xr:uid="{00000000-0005-0000-0000-0000AF1C0000}"/>
    <cellStyle name="Comma 5 4 3 3 4" xfId="2031" xr:uid="{00000000-0005-0000-0000-0000B01C0000}"/>
    <cellStyle name="Comma 5 4 3 3 4 2" xfId="11396" xr:uid="{00000000-0005-0000-0000-0000B11C0000}"/>
    <cellStyle name="Comma 5 4 3 3 4 2 2" xfId="36951" xr:uid="{00000000-0005-0000-0000-0000B21C0000}"/>
    <cellStyle name="Comma 5 4 3 3 4 3" xfId="21400" xr:uid="{00000000-0005-0000-0000-0000B31C0000}"/>
    <cellStyle name="Comma 5 4 3 3 4 3 2" xfId="46953" xr:uid="{00000000-0005-0000-0000-0000B41C0000}"/>
    <cellStyle name="Comma 5 4 3 3 4 4" xfId="27883" xr:uid="{00000000-0005-0000-0000-0000B51C0000}"/>
    <cellStyle name="Comma 5 4 3 3 5" xfId="5938" xr:uid="{00000000-0005-0000-0000-0000B61C0000}"/>
    <cellStyle name="Comma 5 4 3 3 5 2" xfId="14765" xr:uid="{00000000-0005-0000-0000-0000B71C0000}"/>
    <cellStyle name="Comma 5 4 3 3 5 2 2" xfId="40320" xr:uid="{00000000-0005-0000-0000-0000B81C0000}"/>
    <cellStyle name="Comma 5 4 3 3 5 3" xfId="25016" xr:uid="{00000000-0005-0000-0000-0000B91C0000}"/>
    <cellStyle name="Comma 5 4 3 3 5 3 2" xfId="50569" xr:uid="{00000000-0005-0000-0000-0000BA1C0000}"/>
    <cellStyle name="Comma 5 4 3 3 5 4" xfId="31499" xr:uid="{00000000-0005-0000-0000-0000BB1C0000}"/>
    <cellStyle name="Comma 5 4 3 3 6" xfId="7382" xr:uid="{00000000-0005-0000-0000-0000BC1C0000}"/>
    <cellStyle name="Comma 5 4 3 3 6 2" xfId="19882" xr:uid="{00000000-0005-0000-0000-0000BD1C0000}"/>
    <cellStyle name="Comma 5 4 3 3 6 2 2" xfId="45435" xr:uid="{00000000-0005-0000-0000-0000BE1C0000}"/>
    <cellStyle name="Comma 5 4 3 3 6 3" xfId="32939" xr:uid="{00000000-0005-0000-0000-0000BF1C0000}"/>
    <cellStyle name="Comma 5 4 3 3 7" xfId="16393" xr:uid="{00000000-0005-0000-0000-0000C01C0000}"/>
    <cellStyle name="Comma 5 4 3 3 7 2" xfId="41946" xr:uid="{00000000-0005-0000-0000-0000C11C0000}"/>
    <cellStyle name="Comma 5 4 3 3 8" xfId="26365" xr:uid="{00000000-0005-0000-0000-0000C21C0000}"/>
    <cellStyle name="Comma 5 4 3 4" xfId="667" xr:uid="{00000000-0005-0000-0000-0000C31C0000}"/>
    <cellStyle name="Comma 5 4 3 4 2" xfId="3153" xr:uid="{00000000-0005-0000-0000-0000C41C0000}"/>
    <cellStyle name="Comma 5 4 3 4 2 2" xfId="12296" xr:uid="{00000000-0005-0000-0000-0000C51C0000}"/>
    <cellStyle name="Comma 5 4 3 4 2 2 2" xfId="22514" xr:uid="{00000000-0005-0000-0000-0000C61C0000}"/>
    <cellStyle name="Comma 5 4 3 4 2 2 2 2" xfId="48067" xr:uid="{00000000-0005-0000-0000-0000C71C0000}"/>
    <cellStyle name="Comma 5 4 3 4 2 2 3" xfId="37851" xr:uid="{00000000-0005-0000-0000-0000C81C0000}"/>
    <cellStyle name="Comma 5 4 3 4 2 3" xfId="8718" xr:uid="{00000000-0005-0000-0000-0000C91C0000}"/>
    <cellStyle name="Comma 5 4 3 4 2 3 2" xfId="34275" xr:uid="{00000000-0005-0000-0000-0000CA1C0000}"/>
    <cellStyle name="Comma 5 4 3 4 2 4" xfId="17507" xr:uid="{00000000-0005-0000-0000-0000CB1C0000}"/>
    <cellStyle name="Comma 5 4 3 4 2 4 2" xfId="43060" xr:uid="{00000000-0005-0000-0000-0000CC1C0000}"/>
    <cellStyle name="Comma 5 4 3 4 2 5" xfId="28997" xr:uid="{00000000-0005-0000-0000-0000CD1C0000}"/>
    <cellStyle name="Comma 5 4 3 4 3" xfId="4831" xr:uid="{00000000-0005-0000-0000-0000CE1C0000}"/>
    <cellStyle name="Comma 5 4 3 4 3 2" xfId="13668" xr:uid="{00000000-0005-0000-0000-0000CF1C0000}"/>
    <cellStyle name="Comma 5 4 3 4 3 2 2" xfId="23919" xr:uid="{00000000-0005-0000-0000-0000D01C0000}"/>
    <cellStyle name="Comma 5 4 3 4 3 2 2 2" xfId="49472" xr:uid="{00000000-0005-0000-0000-0000D11C0000}"/>
    <cellStyle name="Comma 5 4 3 4 3 2 3" xfId="39223" xr:uid="{00000000-0005-0000-0000-0000D21C0000}"/>
    <cellStyle name="Comma 5 4 3 4 3 3" xfId="10089" xr:uid="{00000000-0005-0000-0000-0000D31C0000}"/>
    <cellStyle name="Comma 5 4 3 4 3 3 2" xfId="35646" xr:uid="{00000000-0005-0000-0000-0000D41C0000}"/>
    <cellStyle name="Comma 5 4 3 4 3 4" xfId="18912" xr:uid="{00000000-0005-0000-0000-0000D51C0000}"/>
    <cellStyle name="Comma 5 4 3 4 3 4 2" xfId="44465" xr:uid="{00000000-0005-0000-0000-0000D61C0000}"/>
    <cellStyle name="Comma 5 4 3 4 3 5" xfId="30402" xr:uid="{00000000-0005-0000-0000-0000D71C0000}"/>
    <cellStyle name="Comma 5 4 3 4 4" xfId="2262" xr:uid="{00000000-0005-0000-0000-0000D81C0000}"/>
    <cellStyle name="Comma 5 4 3 4 4 2" xfId="11627" xr:uid="{00000000-0005-0000-0000-0000D91C0000}"/>
    <cellStyle name="Comma 5 4 3 4 4 2 2" xfId="37182" xr:uid="{00000000-0005-0000-0000-0000DA1C0000}"/>
    <cellStyle name="Comma 5 4 3 4 4 3" xfId="21631" xr:uid="{00000000-0005-0000-0000-0000DB1C0000}"/>
    <cellStyle name="Comma 5 4 3 4 4 3 2" xfId="47184" xr:uid="{00000000-0005-0000-0000-0000DC1C0000}"/>
    <cellStyle name="Comma 5 4 3 4 4 4" xfId="28114" xr:uid="{00000000-0005-0000-0000-0000DD1C0000}"/>
    <cellStyle name="Comma 5 4 3 4 5" xfId="6286" xr:uid="{00000000-0005-0000-0000-0000DE1C0000}"/>
    <cellStyle name="Comma 5 4 3 4 5 2" xfId="15113" xr:uid="{00000000-0005-0000-0000-0000DF1C0000}"/>
    <cellStyle name="Comma 5 4 3 4 5 2 2" xfId="40668" xr:uid="{00000000-0005-0000-0000-0000E01C0000}"/>
    <cellStyle name="Comma 5 4 3 4 5 3" xfId="25364" xr:uid="{00000000-0005-0000-0000-0000E11C0000}"/>
    <cellStyle name="Comma 5 4 3 4 5 3 2" xfId="50917" xr:uid="{00000000-0005-0000-0000-0000E21C0000}"/>
    <cellStyle name="Comma 5 4 3 4 5 4" xfId="31847" xr:uid="{00000000-0005-0000-0000-0000E31C0000}"/>
    <cellStyle name="Comma 5 4 3 4 6" xfId="7732" xr:uid="{00000000-0005-0000-0000-0000E41C0000}"/>
    <cellStyle name="Comma 5 4 3 4 6 2" xfId="20113" xr:uid="{00000000-0005-0000-0000-0000E51C0000}"/>
    <cellStyle name="Comma 5 4 3 4 6 2 2" xfId="45666" xr:uid="{00000000-0005-0000-0000-0000E61C0000}"/>
    <cellStyle name="Comma 5 4 3 4 6 3" xfId="33289" xr:uid="{00000000-0005-0000-0000-0000E71C0000}"/>
    <cellStyle name="Comma 5 4 3 4 7" xfId="16624" xr:uid="{00000000-0005-0000-0000-0000E81C0000}"/>
    <cellStyle name="Comma 5 4 3 4 7 2" xfId="42177" xr:uid="{00000000-0005-0000-0000-0000E91C0000}"/>
    <cellStyle name="Comma 5 4 3 4 8" xfId="26596" xr:uid="{00000000-0005-0000-0000-0000EA1C0000}"/>
    <cellStyle name="Comma 5 4 3 5" xfId="1208" xr:uid="{00000000-0005-0000-0000-0000EB1C0000}"/>
    <cellStyle name="Comma 5 4 3 5 2" xfId="3637" xr:uid="{00000000-0005-0000-0000-0000EC1C0000}"/>
    <cellStyle name="Comma 5 4 3 5 2 2" xfId="12773" xr:uid="{00000000-0005-0000-0000-0000ED1C0000}"/>
    <cellStyle name="Comma 5 4 3 5 2 2 2" xfId="22992" xr:uid="{00000000-0005-0000-0000-0000EE1C0000}"/>
    <cellStyle name="Comma 5 4 3 5 2 2 2 2" xfId="48545" xr:uid="{00000000-0005-0000-0000-0000EF1C0000}"/>
    <cellStyle name="Comma 5 4 3 5 2 2 3" xfId="38328" xr:uid="{00000000-0005-0000-0000-0000F01C0000}"/>
    <cellStyle name="Comma 5 4 3 5 2 3" xfId="9194" xr:uid="{00000000-0005-0000-0000-0000F11C0000}"/>
    <cellStyle name="Comma 5 4 3 5 2 3 2" xfId="34751" xr:uid="{00000000-0005-0000-0000-0000F21C0000}"/>
    <cellStyle name="Comma 5 4 3 5 2 4" xfId="17985" xr:uid="{00000000-0005-0000-0000-0000F31C0000}"/>
    <cellStyle name="Comma 5 4 3 5 2 4 2" xfId="43538" xr:uid="{00000000-0005-0000-0000-0000F41C0000}"/>
    <cellStyle name="Comma 5 4 3 5 2 5" xfId="29475" xr:uid="{00000000-0005-0000-0000-0000F51C0000}"/>
    <cellStyle name="Comma 5 4 3 5 3" xfId="5300" xr:uid="{00000000-0005-0000-0000-0000F61C0000}"/>
    <cellStyle name="Comma 5 4 3 5 3 2" xfId="14137" xr:uid="{00000000-0005-0000-0000-0000F71C0000}"/>
    <cellStyle name="Comma 5 4 3 5 3 2 2" xfId="24388" xr:uid="{00000000-0005-0000-0000-0000F81C0000}"/>
    <cellStyle name="Comma 5 4 3 5 3 2 2 2" xfId="49941" xr:uid="{00000000-0005-0000-0000-0000F91C0000}"/>
    <cellStyle name="Comma 5 4 3 5 3 2 3" xfId="39692" xr:uid="{00000000-0005-0000-0000-0000FA1C0000}"/>
    <cellStyle name="Comma 5 4 3 5 3 3" xfId="10558" xr:uid="{00000000-0005-0000-0000-0000FB1C0000}"/>
    <cellStyle name="Comma 5 4 3 5 3 3 2" xfId="36115" xr:uid="{00000000-0005-0000-0000-0000FC1C0000}"/>
    <cellStyle name="Comma 5 4 3 5 3 4" xfId="19381" xr:uid="{00000000-0005-0000-0000-0000FD1C0000}"/>
    <cellStyle name="Comma 5 4 3 5 3 4 2" xfId="44934" xr:uid="{00000000-0005-0000-0000-0000FE1C0000}"/>
    <cellStyle name="Comma 5 4 3 5 3 5" xfId="30871" xr:uid="{00000000-0005-0000-0000-0000FF1C0000}"/>
    <cellStyle name="Comma 5 4 3 5 4" xfId="1811" xr:uid="{00000000-0005-0000-0000-0000001D0000}"/>
    <cellStyle name="Comma 5 4 3 5 4 2" xfId="11179" xr:uid="{00000000-0005-0000-0000-0000011D0000}"/>
    <cellStyle name="Comma 5 4 3 5 4 2 2" xfId="36734" xr:uid="{00000000-0005-0000-0000-0000021D0000}"/>
    <cellStyle name="Comma 5 4 3 5 4 3" xfId="21183" xr:uid="{00000000-0005-0000-0000-0000031D0000}"/>
    <cellStyle name="Comma 5 4 3 5 4 3 2" xfId="46736" xr:uid="{00000000-0005-0000-0000-0000041D0000}"/>
    <cellStyle name="Comma 5 4 3 5 4 4" xfId="27666" xr:uid="{00000000-0005-0000-0000-0000051D0000}"/>
    <cellStyle name="Comma 5 4 3 5 5" xfId="6755" xr:uid="{00000000-0005-0000-0000-0000061D0000}"/>
    <cellStyle name="Comma 5 4 3 5 5 2" xfId="15582" xr:uid="{00000000-0005-0000-0000-0000071D0000}"/>
    <cellStyle name="Comma 5 4 3 5 5 2 2" xfId="41137" xr:uid="{00000000-0005-0000-0000-0000081D0000}"/>
    <cellStyle name="Comma 5 4 3 5 5 3" xfId="25833" xr:uid="{00000000-0005-0000-0000-0000091D0000}"/>
    <cellStyle name="Comma 5 4 3 5 5 3 2" xfId="51386" xr:uid="{00000000-0005-0000-0000-00000A1D0000}"/>
    <cellStyle name="Comma 5 4 3 5 5 4" xfId="32316" xr:uid="{00000000-0005-0000-0000-00000B1D0000}"/>
    <cellStyle name="Comma 5 4 3 5 6" xfId="8201" xr:uid="{00000000-0005-0000-0000-00000C1D0000}"/>
    <cellStyle name="Comma 5 4 3 5 6 2" xfId="20591" xr:uid="{00000000-0005-0000-0000-00000D1D0000}"/>
    <cellStyle name="Comma 5 4 3 5 6 2 2" xfId="46144" xr:uid="{00000000-0005-0000-0000-00000E1D0000}"/>
    <cellStyle name="Comma 5 4 3 5 6 3" xfId="33758" xr:uid="{00000000-0005-0000-0000-00000F1D0000}"/>
    <cellStyle name="Comma 5 4 3 5 7" xfId="16176" xr:uid="{00000000-0005-0000-0000-0000101D0000}"/>
    <cellStyle name="Comma 5 4 3 5 7 2" xfId="41729" xr:uid="{00000000-0005-0000-0000-0000111D0000}"/>
    <cellStyle name="Comma 5 4 3 5 8" xfId="27074" xr:uid="{00000000-0005-0000-0000-0000121D0000}"/>
    <cellStyle name="Comma 5 4 3 6" xfId="2705" xr:uid="{00000000-0005-0000-0000-0000131D0000}"/>
    <cellStyle name="Comma 5 4 3 6 2" xfId="12022" xr:uid="{00000000-0005-0000-0000-0000141D0000}"/>
    <cellStyle name="Comma 5 4 3 6 2 2" xfId="22066" xr:uid="{00000000-0005-0000-0000-0000151D0000}"/>
    <cellStyle name="Comma 5 4 3 6 2 2 2" xfId="47619" xr:uid="{00000000-0005-0000-0000-0000161D0000}"/>
    <cellStyle name="Comma 5 4 3 6 2 3" xfId="37577" xr:uid="{00000000-0005-0000-0000-0000171D0000}"/>
    <cellStyle name="Comma 5 4 3 6 3" xfId="7641" xr:uid="{00000000-0005-0000-0000-0000181D0000}"/>
    <cellStyle name="Comma 5 4 3 6 3 2" xfId="33198" xr:uid="{00000000-0005-0000-0000-0000191D0000}"/>
    <cellStyle name="Comma 5 4 3 6 4" xfId="17059" xr:uid="{00000000-0005-0000-0000-00001A1D0000}"/>
    <cellStyle name="Comma 5 4 3 6 4 2" xfId="42612" xr:uid="{00000000-0005-0000-0000-00001B1D0000}"/>
    <cellStyle name="Comma 5 4 3 6 5" xfId="28549" xr:uid="{00000000-0005-0000-0000-00001C1D0000}"/>
    <cellStyle name="Comma 5 4 3 7" xfId="4256" xr:uid="{00000000-0005-0000-0000-00001D1D0000}"/>
    <cellStyle name="Comma 5 4 3 7 2" xfId="13094" xr:uid="{00000000-0005-0000-0000-00001E1D0000}"/>
    <cellStyle name="Comma 5 4 3 7 2 2" xfId="23345" xr:uid="{00000000-0005-0000-0000-00001F1D0000}"/>
    <cellStyle name="Comma 5 4 3 7 2 2 2" xfId="48898" xr:uid="{00000000-0005-0000-0000-0000201D0000}"/>
    <cellStyle name="Comma 5 4 3 7 2 3" xfId="38649" xr:uid="{00000000-0005-0000-0000-0000211D0000}"/>
    <cellStyle name="Comma 5 4 3 7 3" xfId="9515" xr:uid="{00000000-0005-0000-0000-0000221D0000}"/>
    <cellStyle name="Comma 5 4 3 7 3 2" xfId="35072" xr:uid="{00000000-0005-0000-0000-0000231D0000}"/>
    <cellStyle name="Comma 5 4 3 7 4" xfId="18338" xr:uid="{00000000-0005-0000-0000-0000241D0000}"/>
    <cellStyle name="Comma 5 4 3 7 4 2" xfId="43891" xr:uid="{00000000-0005-0000-0000-0000251D0000}"/>
    <cellStyle name="Comma 5 4 3 7 5" xfId="29828" xr:uid="{00000000-0005-0000-0000-0000261D0000}"/>
    <cellStyle name="Comma 5 4 3 8" xfId="1528" xr:uid="{00000000-0005-0000-0000-0000271D0000}"/>
    <cellStyle name="Comma 5 4 3 8 2" xfId="10905" xr:uid="{00000000-0005-0000-0000-0000281D0000}"/>
    <cellStyle name="Comma 5 4 3 8 2 2" xfId="36460" xr:uid="{00000000-0005-0000-0000-0000291D0000}"/>
    <cellStyle name="Comma 5 4 3 8 3" xfId="20909" xr:uid="{00000000-0005-0000-0000-00002A1D0000}"/>
    <cellStyle name="Comma 5 4 3 8 3 2" xfId="46462" xr:uid="{00000000-0005-0000-0000-00002B1D0000}"/>
    <cellStyle name="Comma 5 4 3 8 4" xfId="27392" xr:uid="{00000000-0005-0000-0000-00002C1D0000}"/>
    <cellStyle name="Comma 5 4 3 9" xfId="5712" xr:uid="{00000000-0005-0000-0000-00002D1D0000}"/>
    <cellStyle name="Comma 5 4 3 9 2" xfId="14539" xr:uid="{00000000-0005-0000-0000-00002E1D0000}"/>
    <cellStyle name="Comma 5 4 3 9 2 2" xfId="40094" xr:uid="{00000000-0005-0000-0000-00002F1D0000}"/>
    <cellStyle name="Comma 5 4 3 9 3" xfId="24790" xr:uid="{00000000-0005-0000-0000-0000301D0000}"/>
    <cellStyle name="Comma 5 4 3 9 3 2" xfId="50343" xr:uid="{00000000-0005-0000-0000-0000311D0000}"/>
    <cellStyle name="Comma 5 4 3 9 4" xfId="31273" xr:uid="{00000000-0005-0000-0000-0000321D0000}"/>
    <cellStyle name="Comma 5 4 4" xfId="243" xr:uid="{00000000-0005-0000-0000-0000331D0000}"/>
    <cellStyle name="Comma 5 4 4 10" xfId="7081" xr:uid="{00000000-0005-0000-0000-0000341D0000}"/>
    <cellStyle name="Comma 5 4 4 10 2" xfId="19695" xr:uid="{00000000-0005-0000-0000-0000351D0000}"/>
    <cellStyle name="Comma 5 4 4 10 2 2" xfId="45248" xr:uid="{00000000-0005-0000-0000-0000361D0000}"/>
    <cellStyle name="Comma 5 4 4 10 3" xfId="32638" xr:uid="{00000000-0005-0000-0000-0000371D0000}"/>
    <cellStyle name="Comma 5 4 4 11" xfId="15827" xr:uid="{00000000-0005-0000-0000-0000381D0000}"/>
    <cellStyle name="Comma 5 4 4 11 2" xfId="41380" xr:uid="{00000000-0005-0000-0000-0000391D0000}"/>
    <cellStyle name="Comma 5 4 4 12" xfId="26178" xr:uid="{00000000-0005-0000-0000-00003A1D0000}"/>
    <cellStyle name="Comma 5 4 4 2" xfId="566" xr:uid="{00000000-0005-0000-0000-00003B1D0000}"/>
    <cellStyle name="Comma 5 4 4 2 10" xfId="26495" xr:uid="{00000000-0005-0000-0000-00003C1D0000}"/>
    <cellStyle name="Comma 5 4 4 2 2" xfId="670" xr:uid="{00000000-0005-0000-0000-00003D1D0000}"/>
    <cellStyle name="Comma 5 4 4 2 2 2" xfId="3156" xr:uid="{00000000-0005-0000-0000-00003E1D0000}"/>
    <cellStyle name="Comma 5 4 4 2 2 2 2" xfId="12299" xr:uid="{00000000-0005-0000-0000-00003F1D0000}"/>
    <cellStyle name="Comma 5 4 4 2 2 2 2 2" xfId="22517" xr:uid="{00000000-0005-0000-0000-0000401D0000}"/>
    <cellStyle name="Comma 5 4 4 2 2 2 2 2 2" xfId="48070" xr:uid="{00000000-0005-0000-0000-0000411D0000}"/>
    <cellStyle name="Comma 5 4 4 2 2 2 2 3" xfId="37854" xr:uid="{00000000-0005-0000-0000-0000421D0000}"/>
    <cellStyle name="Comma 5 4 4 2 2 2 3" xfId="8721" xr:uid="{00000000-0005-0000-0000-0000431D0000}"/>
    <cellStyle name="Comma 5 4 4 2 2 2 3 2" xfId="34278" xr:uid="{00000000-0005-0000-0000-0000441D0000}"/>
    <cellStyle name="Comma 5 4 4 2 2 2 4" xfId="17510" xr:uid="{00000000-0005-0000-0000-0000451D0000}"/>
    <cellStyle name="Comma 5 4 4 2 2 2 4 2" xfId="43063" xr:uid="{00000000-0005-0000-0000-0000461D0000}"/>
    <cellStyle name="Comma 5 4 4 2 2 2 5" xfId="29000" xr:uid="{00000000-0005-0000-0000-0000471D0000}"/>
    <cellStyle name="Comma 5 4 4 2 2 3" xfId="4485" xr:uid="{00000000-0005-0000-0000-0000481D0000}"/>
    <cellStyle name="Comma 5 4 4 2 2 3 2" xfId="13323" xr:uid="{00000000-0005-0000-0000-0000491D0000}"/>
    <cellStyle name="Comma 5 4 4 2 2 3 2 2" xfId="23574" xr:uid="{00000000-0005-0000-0000-00004A1D0000}"/>
    <cellStyle name="Comma 5 4 4 2 2 3 2 2 2" xfId="49127" xr:uid="{00000000-0005-0000-0000-00004B1D0000}"/>
    <cellStyle name="Comma 5 4 4 2 2 3 2 3" xfId="38878" xr:uid="{00000000-0005-0000-0000-00004C1D0000}"/>
    <cellStyle name="Comma 5 4 4 2 2 3 3" xfId="9744" xr:uid="{00000000-0005-0000-0000-00004D1D0000}"/>
    <cellStyle name="Comma 5 4 4 2 2 3 3 2" xfId="35301" xr:uid="{00000000-0005-0000-0000-00004E1D0000}"/>
    <cellStyle name="Comma 5 4 4 2 2 3 4" xfId="18567" xr:uid="{00000000-0005-0000-0000-00004F1D0000}"/>
    <cellStyle name="Comma 5 4 4 2 2 3 4 2" xfId="44120" xr:uid="{00000000-0005-0000-0000-0000501D0000}"/>
    <cellStyle name="Comma 5 4 4 2 2 3 5" xfId="30057" xr:uid="{00000000-0005-0000-0000-0000511D0000}"/>
    <cellStyle name="Comma 5 4 4 2 2 4" xfId="2265" xr:uid="{00000000-0005-0000-0000-0000521D0000}"/>
    <cellStyle name="Comma 5 4 4 2 2 4 2" xfId="11630" xr:uid="{00000000-0005-0000-0000-0000531D0000}"/>
    <cellStyle name="Comma 5 4 4 2 2 4 2 2" xfId="37185" xr:uid="{00000000-0005-0000-0000-0000541D0000}"/>
    <cellStyle name="Comma 5 4 4 2 2 4 3" xfId="21634" xr:uid="{00000000-0005-0000-0000-0000551D0000}"/>
    <cellStyle name="Comma 5 4 4 2 2 4 3 2" xfId="47187" xr:uid="{00000000-0005-0000-0000-0000561D0000}"/>
    <cellStyle name="Comma 5 4 4 2 2 4 4" xfId="28117" xr:uid="{00000000-0005-0000-0000-0000571D0000}"/>
    <cellStyle name="Comma 5 4 4 2 2 5" xfId="5941" xr:uid="{00000000-0005-0000-0000-0000581D0000}"/>
    <cellStyle name="Comma 5 4 4 2 2 5 2" xfId="14768" xr:uid="{00000000-0005-0000-0000-0000591D0000}"/>
    <cellStyle name="Comma 5 4 4 2 2 5 2 2" xfId="40323" xr:uid="{00000000-0005-0000-0000-00005A1D0000}"/>
    <cellStyle name="Comma 5 4 4 2 2 5 3" xfId="25019" xr:uid="{00000000-0005-0000-0000-00005B1D0000}"/>
    <cellStyle name="Comma 5 4 4 2 2 5 3 2" xfId="50572" xr:uid="{00000000-0005-0000-0000-00005C1D0000}"/>
    <cellStyle name="Comma 5 4 4 2 2 5 4" xfId="31502" xr:uid="{00000000-0005-0000-0000-00005D1D0000}"/>
    <cellStyle name="Comma 5 4 4 2 2 6" xfId="7385" xr:uid="{00000000-0005-0000-0000-00005E1D0000}"/>
    <cellStyle name="Comma 5 4 4 2 2 6 2" xfId="20116" xr:uid="{00000000-0005-0000-0000-00005F1D0000}"/>
    <cellStyle name="Comma 5 4 4 2 2 6 2 2" xfId="45669" xr:uid="{00000000-0005-0000-0000-0000601D0000}"/>
    <cellStyle name="Comma 5 4 4 2 2 6 3" xfId="32942" xr:uid="{00000000-0005-0000-0000-0000611D0000}"/>
    <cellStyle name="Comma 5 4 4 2 2 7" xfId="16627" xr:uid="{00000000-0005-0000-0000-0000621D0000}"/>
    <cellStyle name="Comma 5 4 4 2 2 7 2" xfId="42180" xr:uid="{00000000-0005-0000-0000-0000631D0000}"/>
    <cellStyle name="Comma 5 4 4 2 2 8" xfId="26599" xr:uid="{00000000-0005-0000-0000-0000641D0000}"/>
    <cellStyle name="Comma 5 4 4 2 3" xfId="1338" xr:uid="{00000000-0005-0000-0000-0000651D0000}"/>
    <cellStyle name="Comma 5 4 4 2 3 2" xfId="3767" xr:uid="{00000000-0005-0000-0000-0000661D0000}"/>
    <cellStyle name="Comma 5 4 4 2 3 2 2" xfId="12903" xr:uid="{00000000-0005-0000-0000-0000671D0000}"/>
    <cellStyle name="Comma 5 4 4 2 3 2 2 2" xfId="23122" xr:uid="{00000000-0005-0000-0000-0000681D0000}"/>
    <cellStyle name="Comma 5 4 4 2 3 2 2 2 2" xfId="48675" xr:uid="{00000000-0005-0000-0000-0000691D0000}"/>
    <cellStyle name="Comma 5 4 4 2 3 2 2 3" xfId="38458" xr:uid="{00000000-0005-0000-0000-00006A1D0000}"/>
    <cellStyle name="Comma 5 4 4 2 3 2 3" xfId="9324" xr:uid="{00000000-0005-0000-0000-00006B1D0000}"/>
    <cellStyle name="Comma 5 4 4 2 3 2 3 2" xfId="34881" xr:uid="{00000000-0005-0000-0000-00006C1D0000}"/>
    <cellStyle name="Comma 5 4 4 2 3 2 4" xfId="18115" xr:uid="{00000000-0005-0000-0000-00006D1D0000}"/>
    <cellStyle name="Comma 5 4 4 2 3 2 4 2" xfId="43668" xr:uid="{00000000-0005-0000-0000-00006E1D0000}"/>
    <cellStyle name="Comma 5 4 4 2 3 2 5" xfId="29605" xr:uid="{00000000-0005-0000-0000-00006F1D0000}"/>
    <cellStyle name="Comma 5 4 4 2 3 3" xfId="4834" xr:uid="{00000000-0005-0000-0000-0000701D0000}"/>
    <cellStyle name="Comma 5 4 4 2 3 3 2" xfId="13671" xr:uid="{00000000-0005-0000-0000-0000711D0000}"/>
    <cellStyle name="Comma 5 4 4 2 3 3 2 2" xfId="23922" xr:uid="{00000000-0005-0000-0000-0000721D0000}"/>
    <cellStyle name="Comma 5 4 4 2 3 3 2 2 2" xfId="49475" xr:uid="{00000000-0005-0000-0000-0000731D0000}"/>
    <cellStyle name="Comma 5 4 4 2 3 3 2 3" xfId="39226" xr:uid="{00000000-0005-0000-0000-0000741D0000}"/>
    <cellStyle name="Comma 5 4 4 2 3 3 3" xfId="10092" xr:uid="{00000000-0005-0000-0000-0000751D0000}"/>
    <cellStyle name="Comma 5 4 4 2 3 3 3 2" xfId="35649" xr:uid="{00000000-0005-0000-0000-0000761D0000}"/>
    <cellStyle name="Comma 5 4 4 2 3 3 4" xfId="18915" xr:uid="{00000000-0005-0000-0000-0000771D0000}"/>
    <cellStyle name="Comma 5 4 4 2 3 3 4 2" xfId="44468" xr:uid="{00000000-0005-0000-0000-0000781D0000}"/>
    <cellStyle name="Comma 5 4 4 2 3 3 5" xfId="30405" xr:uid="{00000000-0005-0000-0000-0000791D0000}"/>
    <cellStyle name="Comma 5 4 4 2 3 4" xfId="2161" xr:uid="{00000000-0005-0000-0000-00007A1D0000}"/>
    <cellStyle name="Comma 5 4 4 2 3 4 2" xfId="11526" xr:uid="{00000000-0005-0000-0000-00007B1D0000}"/>
    <cellStyle name="Comma 5 4 4 2 3 4 2 2" xfId="37081" xr:uid="{00000000-0005-0000-0000-00007C1D0000}"/>
    <cellStyle name="Comma 5 4 4 2 3 4 3" xfId="21530" xr:uid="{00000000-0005-0000-0000-00007D1D0000}"/>
    <cellStyle name="Comma 5 4 4 2 3 4 3 2" xfId="47083" xr:uid="{00000000-0005-0000-0000-00007E1D0000}"/>
    <cellStyle name="Comma 5 4 4 2 3 4 4" xfId="28013" xr:uid="{00000000-0005-0000-0000-00007F1D0000}"/>
    <cellStyle name="Comma 5 4 4 2 3 5" xfId="6289" xr:uid="{00000000-0005-0000-0000-0000801D0000}"/>
    <cellStyle name="Comma 5 4 4 2 3 5 2" xfId="15116" xr:uid="{00000000-0005-0000-0000-0000811D0000}"/>
    <cellStyle name="Comma 5 4 4 2 3 5 2 2" xfId="40671" xr:uid="{00000000-0005-0000-0000-0000821D0000}"/>
    <cellStyle name="Comma 5 4 4 2 3 5 3" xfId="25367" xr:uid="{00000000-0005-0000-0000-0000831D0000}"/>
    <cellStyle name="Comma 5 4 4 2 3 5 3 2" xfId="50920" xr:uid="{00000000-0005-0000-0000-0000841D0000}"/>
    <cellStyle name="Comma 5 4 4 2 3 5 4" xfId="31850" xr:uid="{00000000-0005-0000-0000-0000851D0000}"/>
    <cellStyle name="Comma 5 4 4 2 3 6" xfId="7735" xr:uid="{00000000-0005-0000-0000-0000861D0000}"/>
    <cellStyle name="Comma 5 4 4 2 3 6 2" xfId="20721" xr:uid="{00000000-0005-0000-0000-0000871D0000}"/>
    <cellStyle name="Comma 5 4 4 2 3 6 2 2" xfId="46274" xr:uid="{00000000-0005-0000-0000-0000881D0000}"/>
    <cellStyle name="Comma 5 4 4 2 3 6 3" xfId="33292" xr:uid="{00000000-0005-0000-0000-0000891D0000}"/>
    <cellStyle name="Comma 5 4 4 2 3 7" xfId="16523" xr:uid="{00000000-0005-0000-0000-00008A1D0000}"/>
    <cellStyle name="Comma 5 4 4 2 3 7 2" xfId="42076" xr:uid="{00000000-0005-0000-0000-00008B1D0000}"/>
    <cellStyle name="Comma 5 4 4 2 3 8" xfId="27204" xr:uid="{00000000-0005-0000-0000-00008C1D0000}"/>
    <cellStyle name="Comma 5 4 4 2 4" xfId="3052" xr:uid="{00000000-0005-0000-0000-00008D1D0000}"/>
    <cellStyle name="Comma 5 4 4 2 4 2" xfId="5430" xr:uid="{00000000-0005-0000-0000-00008E1D0000}"/>
    <cellStyle name="Comma 5 4 4 2 4 2 2" xfId="14267" xr:uid="{00000000-0005-0000-0000-00008F1D0000}"/>
    <cellStyle name="Comma 5 4 4 2 4 2 2 2" xfId="24518" xr:uid="{00000000-0005-0000-0000-0000901D0000}"/>
    <cellStyle name="Comma 5 4 4 2 4 2 2 2 2" xfId="50071" xr:uid="{00000000-0005-0000-0000-0000911D0000}"/>
    <cellStyle name="Comma 5 4 4 2 4 2 2 3" xfId="39822" xr:uid="{00000000-0005-0000-0000-0000921D0000}"/>
    <cellStyle name="Comma 5 4 4 2 4 2 3" xfId="10688" xr:uid="{00000000-0005-0000-0000-0000931D0000}"/>
    <cellStyle name="Comma 5 4 4 2 4 2 3 2" xfId="36245" xr:uid="{00000000-0005-0000-0000-0000941D0000}"/>
    <cellStyle name="Comma 5 4 4 2 4 2 4" xfId="19511" xr:uid="{00000000-0005-0000-0000-0000951D0000}"/>
    <cellStyle name="Comma 5 4 4 2 4 2 4 2" xfId="45064" xr:uid="{00000000-0005-0000-0000-0000961D0000}"/>
    <cellStyle name="Comma 5 4 4 2 4 2 5" xfId="31001" xr:uid="{00000000-0005-0000-0000-0000971D0000}"/>
    <cellStyle name="Comma 5 4 4 2 4 3" xfId="6885" xr:uid="{00000000-0005-0000-0000-0000981D0000}"/>
    <cellStyle name="Comma 5 4 4 2 4 3 2" xfId="15712" xr:uid="{00000000-0005-0000-0000-0000991D0000}"/>
    <cellStyle name="Comma 5 4 4 2 4 3 2 2" xfId="41267" xr:uid="{00000000-0005-0000-0000-00009A1D0000}"/>
    <cellStyle name="Comma 5 4 4 2 4 3 3" xfId="25963" xr:uid="{00000000-0005-0000-0000-00009B1D0000}"/>
    <cellStyle name="Comma 5 4 4 2 4 3 3 2" xfId="51516" xr:uid="{00000000-0005-0000-0000-00009C1D0000}"/>
    <cellStyle name="Comma 5 4 4 2 4 3 4" xfId="32446" xr:uid="{00000000-0005-0000-0000-00009D1D0000}"/>
    <cellStyle name="Comma 5 4 4 2 4 4" xfId="8331" xr:uid="{00000000-0005-0000-0000-00009E1D0000}"/>
    <cellStyle name="Comma 5 4 4 2 4 4 2" xfId="22413" xr:uid="{00000000-0005-0000-0000-00009F1D0000}"/>
    <cellStyle name="Comma 5 4 4 2 4 4 2 2" xfId="47966" xr:uid="{00000000-0005-0000-0000-0000A01D0000}"/>
    <cellStyle name="Comma 5 4 4 2 4 4 3" xfId="33888" xr:uid="{00000000-0005-0000-0000-0000A11D0000}"/>
    <cellStyle name="Comma 5 4 4 2 4 5" xfId="17406" xr:uid="{00000000-0005-0000-0000-0000A21D0000}"/>
    <cellStyle name="Comma 5 4 4 2 4 5 2" xfId="42959" xr:uid="{00000000-0005-0000-0000-0000A31D0000}"/>
    <cellStyle name="Comma 5 4 4 2 4 6" xfId="28896" xr:uid="{00000000-0005-0000-0000-0000A41D0000}"/>
    <cellStyle name="Comma 5 4 4 2 5" xfId="4386" xr:uid="{00000000-0005-0000-0000-0000A51D0000}"/>
    <cellStyle name="Comma 5 4 4 2 5 2" xfId="13224" xr:uid="{00000000-0005-0000-0000-0000A61D0000}"/>
    <cellStyle name="Comma 5 4 4 2 5 2 2" xfId="23475" xr:uid="{00000000-0005-0000-0000-0000A71D0000}"/>
    <cellStyle name="Comma 5 4 4 2 5 2 2 2" xfId="49028" xr:uid="{00000000-0005-0000-0000-0000A81D0000}"/>
    <cellStyle name="Comma 5 4 4 2 5 2 3" xfId="38779" xr:uid="{00000000-0005-0000-0000-0000A91D0000}"/>
    <cellStyle name="Comma 5 4 4 2 5 3" xfId="9645" xr:uid="{00000000-0005-0000-0000-0000AA1D0000}"/>
    <cellStyle name="Comma 5 4 4 2 5 3 2" xfId="35202" xr:uid="{00000000-0005-0000-0000-0000AB1D0000}"/>
    <cellStyle name="Comma 5 4 4 2 5 4" xfId="18468" xr:uid="{00000000-0005-0000-0000-0000AC1D0000}"/>
    <cellStyle name="Comma 5 4 4 2 5 4 2" xfId="44021" xr:uid="{00000000-0005-0000-0000-0000AD1D0000}"/>
    <cellStyle name="Comma 5 4 4 2 5 5" xfId="29958" xr:uid="{00000000-0005-0000-0000-0000AE1D0000}"/>
    <cellStyle name="Comma 5 4 4 2 6" xfId="1658" xr:uid="{00000000-0005-0000-0000-0000AF1D0000}"/>
    <cellStyle name="Comma 5 4 4 2 6 2" xfId="11035" xr:uid="{00000000-0005-0000-0000-0000B01D0000}"/>
    <cellStyle name="Comma 5 4 4 2 6 2 2" xfId="36590" xr:uid="{00000000-0005-0000-0000-0000B11D0000}"/>
    <cellStyle name="Comma 5 4 4 2 6 3" xfId="21039" xr:uid="{00000000-0005-0000-0000-0000B21D0000}"/>
    <cellStyle name="Comma 5 4 4 2 6 3 2" xfId="46592" xr:uid="{00000000-0005-0000-0000-0000B31D0000}"/>
    <cellStyle name="Comma 5 4 4 2 6 4" xfId="27522" xr:uid="{00000000-0005-0000-0000-0000B41D0000}"/>
    <cellStyle name="Comma 5 4 4 2 7" xfId="5842" xr:uid="{00000000-0005-0000-0000-0000B51D0000}"/>
    <cellStyle name="Comma 5 4 4 2 7 2" xfId="14669" xr:uid="{00000000-0005-0000-0000-0000B61D0000}"/>
    <cellStyle name="Comma 5 4 4 2 7 2 2" xfId="40224" xr:uid="{00000000-0005-0000-0000-0000B71D0000}"/>
    <cellStyle name="Comma 5 4 4 2 7 3" xfId="24920" xr:uid="{00000000-0005-0000-0000-0000B81D0000}"/>
    <cellStyle name="Comma 5 4 4 2 7 3 2" xfId="50473" xr:uid="{00000000-0005-0000-0000-0000B91D0000}"/>
    <cellStyle name="Comma 5 4 4 2 7 4" xfId="31403" xr:uid="{00000000-0005-0000-0000-0000BA1D0000}"/>
    <cellStyle name="Comma 5 4 4 2 8" xfId="7286" xr:uid="{00000000-0005-0000-0000-0000BB1D0000}"/>
    <cellStyle name="Comma 5 4 4 2 8 2" xfId="20012" xr:uid="{00000000-0005-0000-0000-0000BC1D0000}"/>
    <cellStyle name="Comma 5 4 4 2 8 2 2" xfId="45565" xr:uid="{00000000-0005-0000-0000-0000BD1D0000}"/>
    <cellStyle name="Comma 5 4 4 2 8 3" xfId="32843" xr:uid="{00000000-0005-0000-0000-0000BE1D0000}"/>
    <cellStyle name="Comma 5 4 4 2 9" xfId="16032" xr:uid="{00000000-0005-0000-0000-0000BF1D0000}"/>
    <cellStyle name="Comma 5 4 4 2 9 2" xfId="41585" xr:uid="{00000000-0005-0000-0000-0000C01D0000}"/>
    <cellStyle name="Comma 5 4 4 3" xfId="361" xr:uid="{00000000-0005-0000-0000-0000C11D0000}"/>
    <cellStyle name="Comma 5 4 4 3 2" xfId="2847" xr:uid="{00000000-0005-0000-0000-0000C21D0000}"/>
    <cellStyle name="Comma 5 4 4 3 2 2" xfId="12135" xr:uid="{00000000-0005-0000-0000-0000C31D0000}"/>
    <cellStyle name="Comma 5 4 4 3 2 2 2" xfId="22208" xr:uid="{00000000-0005-0000-0000-0000C41D0000}"/>
    <cellStyle name="Comma 5 4 4 3 2 2 2 2" xfId="47761" xr:uid="{00000000-0005-0000-0000-0000C51D0000}"/>
    <cellStyle name="Comma 5 4 4 3 2 2 3" xfId="37690" xr:uid="{00000000-0005-0000-0000-0000C61D0000}"/>
    <cellStyle name="Comma 5 4 4 3 2 3" xfId="8516" xr:uid="{00000000-0005-0000-0000-0000C71D0000}"/>
    <cellStyle name="Comma 5 4 4 3 2 3 2" xfId="34073" xr:uid="{00000000-0005-0000-0000-0000C81D0000}"/>
    <cellStyle name="Comma 5 4 4 3 2 4" xfId="17201" xr:uid="{00000000-0005-0000-0000-0000C91D0000}"/>
    <cellStyle name="Comma 5 4 4 3 2 4 2" xfId="42754" xr:uid="{00000000-0005-0000-0000-0000CA1D0000}"/>
    <cellStyle name="Comma 5 4 4 3 2 5" xfId="28691" xr:uid="{00000000-0005-0000-0000-0000CB1D0000}"/>
    <cellStyle name="Comma 5 4 4 3 3" xfId="4484" xr:uid="{00000000-0005-0000-0000-0000CC1D0000}"/>
    <cellStyle name="Comma 5 4 4 3 3 2" xfId="13322" xr:uid="{00000000-0005-0000-0000-0000CD1D0000}"/>
    <cellStyle name="Comma 5 4 4 3 3 2 2" xfId="23573" xr:uid="{00000000-0005-0000-0000-0000CE1D0000}"/>
    <cellStyle name="Comma 5 4 4 3 3 2 2 2" xfId="49126" xr:uid="{00000000-0005-0000-0000-0000CF1D0000}"/>
    <cellStyle name="Comma 5 4 4 3 3 2 3" xfId="38877" xr:uid="{00000000-0005-0000-0000-0000D01D0000}"/>
    <cellStyle name="Comma 5 4 4 3 3 3" xfId="9743" xr:uid="{00000000-0005-0000-0000-0000D11D0000}"/>
    <cellStyle name="Comma 5 4 4 3 3 3 2" xfId="35300" xr:uid="{00000000-0005-0000-0000-0000D21D0000}"/>
    <cellStyle name="Comma 5 4 4 3 3 4" xfId="18566" xr:uid="{00000000-0005-0000-0000-0000D31D0000}"/>
    <cellStyle name="Comma 5 4 4 3 3 4 2" xfId="44119" xr:uid="{00000000-0005-0000-0000-0000D41D0000}"/>
    <cellStyle name="Comma 5 4 4 3 3 5" xfId="30056" xr:uid="{00000000-0005-0000-0000-0000D51D0000}"/>
    <cellStyle name="Comma 5 4 4 3 4" xfId="1956" xr:uid="{00000000-0005-0000-0000-0000D61D0000}"/>
    <cellStyle name="Comma 5 4 4 3 4 2" xfId="11321" xr:uid="{00000000-0005-0000-0000-0000D71D0000}"/>
    <cellStyle name="Comma 5 4 4 3 4 2 2" xfId="36876" xr:uid="{00000000-0005-0000-0000-0000D81D0000}"/>
    <cellStyle name="Comma 5 4 4 3 4 3" xfId="21325" xr:uid="{00000000-0005-0000-0000-0000D91D0000}"/>
    <cellStyle name="Comma 5 4 4 3 4 3 2" xfId="46878" xr:uid="{00000000-0005-0000-0000-0000DA1D0000}"/>
    <cellStyle name="Comma 5 4 4 3 4 4" xfId="27808" xr:uid="{00000000-0005-0000-0000-0000DB1D0000}"/>
    <cellStyle name="Comma 5 4 4 3 5" xfId="5940" xr:uid="{00000000-0005-0000-0000-0000DC1D0000}"/>
    <cellStyle name="Comma 5 4 4 3 5 2" xfId="14767" xr:uid="{00000000-0005-0000-0000-0000DD1D0000}"/>
    <cellStyle name="Comma 5 4 4 3 5 2 2" xfId="40322" xr:uid="{00000000-0005-0000-0000-0000DE1D0000}"/>
    <cellStyle name="Comma 5 4 4 3 5 3" xfId="25018" xr:uid="{00000000-0005-0000-0000-0000DF1D0000}"/>
    <cellStyle name="Comma 5 4 4 3 5 3 2" xfId="50571" xr:uid="{00000000-0005-0000-0000-0000E01D0000}"/>
    <cellStyle name="Comma 5 4 4 3 5 4" xfId="31501" xr:uid="{00000000-0005-0000-0000-0000E11D0000}"/>
    <cellStyle name="Comma 5 4 4 3 6" xfId="7384" xr:uid="{00000000-0005-0000-0000-0000E21D0000}"/>
    <cellStyle name="Comma 5 4 4 3 6 2" xfId="19807" xr:uid="{00000000-0005-0000-0000-0000E31D0000}"/>
    <cellStyle name="Comma 5 4 4 3 6 2 2" xfId="45360" xr:uid="{00000000-0005-0000-0000-0000E41D0000}"/>
    <cellStyle name="Comma 5 4 4 3 6 3" xfId="32941" xr:uid="{00000000-0005-0000-0000-0000E51D0000}"/>
    <cellStyle name="Comma 5 4 4 3 7" xfId="16318" xr:uid="{00000000-0005-0000-0000-0000E61D0000}"/>
    <cellStyle name="Comma 5 4 4 3 7 2" xfId="41871" xr:uid="{00000000-0005-0000-0000-0000E71D0000}"/>
    <cellStyle name="Comma 5 4 4 3 8" xfId="26290" xr:uid="{00000000-0005-0000-0000-0000E81D0000}"/>
    <cellStyle name="Comma 5 4 4 4" xfId="669" xr:uid="{00000000-0005-0000-0000-0000E91D0000}"/>
    <cellStyle name="Comma 5 4 4 4 2" xfId="3155" xr:uid="{00000000-0005-0000-0000-0000EA1D0000}"/>
    <cellStyle name="Comma 5 4 4 4 2 2" xfId="12298" xr:uid="{00000000-0005-0000-0000-0000EB1D0000}"/>
    <cellStyle name="Comma 5 4 4 4 2 2 2" xfId="22516" xr:uid="{00000000-0005-0000-0000-0000EC1D0000}"/>
    <cellStyle name="Comma 5 4 4 4 2 2 2 2" xfId="48069" xr:uid="{00000000-0005-0000-0000-0000ED1D0000}"/>
    <cellStyle name="Comma 5 4 4 4 2 2 3" xfId="37853" xr:uid="{00000000-0005-0000-0000-0000EE1D0000}"/>
    <cellStyle name="Comma 5 4 4 4 2 3" xfId="8720" xr:uid="{00000000-0005-0000-0000-0000EF1D0000}"/>
    <cellStyle name="Comma 5 4 4 4 2 3 2" xfId="34277" xr:uid="{00000000-0005-0000-0000-0000F01D0000}"/>
    <cellStyle name="Comma 5 4 4 4 2 4" xfId="17509" xr:uid="{00000000-0005-0000-0000-0000F11D0000}"/>
    <cellStyle name="Comma 5 4 4 4 2 4 2" xfId="43062" xr:uid="{00000000-0005-0000-0000-0000F21D0000}"/>
    <cellStyle name="Comma 5 4 4 4 2 5" xfId="28999" xr:uid="{00000000-0005-0000-0000-0000F31D0000}"/>
    <cellStyle name="Comma 5 4 4 4 3" xfId="4833" xr:uid="{00000000-0005-0000-0000-0000F41D0000}"/>
    <cellStyle name="Comma 5 4 4 4 3 2" xfId="13670" xr:uid="{00000000-0005-0000-0000-0000F51D0000}"/>
    <cellStyle name="Comma 5 4 4 4 3 2 2" xfId="23921" xr:uid="{00000000-0005-0000-0000-0000F61D0000}"/>
    <cellStyle name="Comma 5 4 4 4 3 2 2 2" xfId="49474" xr:uid="{00000000-0005-0000-0000-0000F71D0000}"/>
    <cellStyle name="Comma 5 4 4 4 3 2 3" xfId="39225" xr:uid="{00000000-0005-0000-0000-0000F81D0000}"/>
    <cellStyle name="Comma 5 4 4 4 3 3" xfId="10091" xr:uid="{00000000-0005-0000-0000-0000F91D0000}"/>
    <cellStyle name="Comma 5 4 4 4 3 3 2" xfId="35648" xr:uid="{00000000-0005-0000-0000-0000FA1D0000}"/>
    <cellStyle name="Comma 5 4 4 4 3 4" xfId="18914" xr:uid="{00000000-0005-0000-0000-0000FB1D0000}"/>
    <cellStyle name="Comma 5 4 4 4 3 4 2" xfId="44467" xr:uid="{00000000-0005-0000-0000-0000FC1D0000}"/>
    <cellStyle name="Comma 5 4 4 4 3 5" xfId="30404" xr:uid="{00000000-0005-0000-0000-0000FD1D0000}"/>
    <cellStyle name="Comma 5 4 4 4 4" xfId="2264" xr:uid="{00000000-0005-0000-0000-0000FE1D0000}"/>
    <cellStyle name="Comma 5 4 4 4 4 2" xfId="11629" xr:uid="{00000000-0005-0000-0000-0000FF1D0000}"/>
    <cellStyle name="Comma 5 4 4 4 4 2 2" xfId="37184" xr:uid="{00000000-0005-0000-0000-0000001E0000}"/>
    <cellStyle name="Comma 5 4 4 4 4 3" xfId="21633" xr:uid="{00000000-0005-0000-0000-0000011E0000}"/>
    <cellStyle name="Comma 5 4 4 4 4 3 2" xfId="47186" xr:uid="{00000000-0005-0000-0000-0000021E0000}"/>
    <cellStyle name="Comma 5 4 4 4 4 4" xfId="28116" xr:uid="{00000000-0005-0000-0000-0000031E0000}"/>
    <cellStyle name="Comma 5 4 4 4 5" xfId="6288" xr:uid="{00000000-0005-0000-0000-0000041E0000}"/>
    <cellStyle name="Comma 5 4 4 4 5 2" xfId="15115" xr:uid="{00000000-0005-0000-0000-0000051E0000}"/>
    <cellStyle name="Comma 5 4 4 4 5 2 2" xfId="40670" xr:uid="{00000000-0005-0000-0000-0000061E0000}"/>
    <cellStyle name="Comma 5 4 4 4 5 3" xfId="25366" xr:uid="{00000000-0005-0000-0000-0000071E0000}"/>
    <cellStyle name="Comma 5 4 4 4 5 3 2" xfId="50919" xr:uid="{00000000-0005-0000-0000-0000081E0000}"/>
    <cellStyle name="Comma 5 4 4 4 5 4" xfId="31849" xr:uid="{00000000-0005-0000-0000-0000091E0000}"/>
    <cellStyle name="Comma 5 4 4 4 6" xfId="7734" xr:uid="{00000000-0005-0000-0000-00000A1E0000}"/>
    <cellStyle name="Comma 5 4 4 4 6 2" xfId="20115" xr:uid="{00000000-0005-0000-0000-00000B1E0000}"/>
    <cellStyle name="Comma 5 4 4 4 6 2 2" xfId="45668" xr:uid="{00000000-0005-0000-0000-00000C1E0000}"/>
    <cellStyle name="Comma 5 4 4 4 6 3" xfId="33291" xr:uid="{00000000-0005-0000-0000-00000D1E0000}"/>
    <cellStyle name="Comma 5 4 4 4 7" xfId="16626" xr:uid="{00000000-0005-0000-0000-00000E1E0000}"/>
    <cellStyle name="Comma 5 4 4 4 7 2" xfId="42179" xr:uid="{00000000-0005-0000-0000-00000F1E0000}"/>
    <cellStyle name="Comma 5 4 4 4 8" xfId="26598" xr:uid="{00000000-0005-0000-0000-0000101E0000}"/>
    <cellStyle name="Comma 5 4 4 5" xfId="1133" xr:uid="{00000000-0005-0000-0000-0000111E0000}"/>
    <cellStyle name="Comma 5 4 4 5 2" xfId="3562" xr:uid="{00000000-0005-0000-0000-0000121E0000}"/>
    <cellStyle name="Comma 5 4 4 5 2 2" xfId="12698" xr:uid="{00000000-0005-0000-0000-0000131E0000}"/>
    <cellStyle name="Comma 5 4 4 5 2 2 2" xfId="22917" xr:uid="{00000000-0005-0000-0000-0000141E0000}"/>
    <cellStyle name="Comma 5 4 4 5 2 2 2 2" xfId="48470" xr:uid="{00000000-0005-0000-0000-0000151E0000}"/>
    <cellStyle name="Comma 5 4 4 5 2 2 3" xfId="38253" xr:uid="{00000000-0005-0000-0000-0000161E0000}"/>
    <cellStyle name="Comma 5 4 4 5 2 3" xfId="9119" xr:uid="{00000000-0005-0000-0000-0000171E0000}"/>
    <cellStyle name="Comma 5 4 4 5 2 3 2" xfId="34676" xr:uid="{00000000-0005-0000-0000-0000181E0000}"/>
    <cellStyle name="Comma 5 4 4 5 2 4" xfId="17910" xr:uid="{00000000-0005-0000-0000-0000191E0000}"/>
    <cellStyle name="Comma 5 4 4 5 2 4 2" xfId="43463" xr:uid="{00000000-0005-0000-0000-00001A1E0000}"/>
    <cellStyle name="Comma 5 4 4 5 2 5" xfId="29400" xr:uid="{00000000-0005-0000-0000-00001B1E0000}"/>
    <cellStyle name="Comma 5 4 4 5 3" xfId="5225" xr:uid="{00000000-0005-0000-0000-00001C1E0000}"/>
    <cellStyle name="Comma 5 4 4 5 3 2" xfId="14062" xr:uid="{00000000-0005-0000-0000-00001D1E0000}"/>
    <cellStyle name="Comma 5 4 4 5 3 2 2" xfId="24313" xr:uid="{00000000-0005-0000-0000-00001E1E0000}"/>
    <cellStyle name="Comma 5 4 4 5 3 2 2 2" xfId="49866" xr:uid="{00000000-0005-0000-0000-00001F1E0000}"/>
    <cellStyle name="Comma 5 4 4 5 3 2 3" xfId="39617" xr:uid="{00000000-0005-0000-0000-0000201E0000}"/>
    <cellStyle name="Comma 5 4 4 5 3 3" xfId="10483" xr:uid="{00000000-0005-0000-0000-0000211E0000}"/>
    <cellStyle name="Comma 5 4 4 5 3 3 2" xfId="36040" xr:uid="{00000000-0005-0000-0000-0000221E0000}"/>
    <cellStyle name="Comma 5 4 4 5 3 4" xfId="19306" xr:uid="{00000000-0005-0000-0000-0000231E0000}"/>
    <cellStyle name="Comma 5 4 4 5 3 4 2" xfId="44859" xr:uid="{00000000-0005-0000-0000-0000241E0000}"/>
    <cellStyle name="Comma 5 4 4 5 3 5" xfId="30796" xr:uid="{00000000-0005-0000-0000-0000251E0000}"/>
    <cellStyle name="Comma 5 4 4 5 4" xfId="1841" xr:uid="{00000000-0005-0000-0000-0000261E0000}"/>
    <cellStyle name="Comma 5 4 4 5 4 2" xfId="11209" xr:uid="{00000000-0005-0000-0000-0000271E0000}"/>
    <cellStyle name="Comma 5 4 4 5 4 2 2" xfId="36764" xr:uid="{00000000-0005-0000-0000-0000281E0000}"/>
    <cellStyle name="Comma 5 4 4 5 4 3" xfId="21213" xr:uid="{00000000-0005-0000-0000-0000291E0000}"/>
    <cellStyle name="Comma 5 4 4 5 4 3 2" xfId="46766" xr:uid="{00000000-0005-0000-0000-00002A1E0000}"/>
    <cellStyle name="Comma 5 4 4 5 4 4" xfId="27696" xr:uid="{00000000-0005-0000-0000-00002B1E0000}"/>
    <cellStyle name="Comma 5 4 4 5 5" xfId="6680" xr:uid="{00000000-0005-0000-0000-00002C1E0000}"/>
    <cellStyle name="Comma 5 4 4 5 5 2" xfId="15507" xr:uid="{00000000-0005-0000-0000-00002D1E0000}"/>
    <cellStyle name="Comma 5 4 4 5 5 2 2" xfId="41062" xr:uid="{00000000-0005-0000-0000-00002E1E0000}"/>
    <cellStyle name="Comma 5 4 4 5 5 3" xfId="25758" xr:uid="{00000000-0005-0000-0000-00002F1E0000}"/>
    <cellStyle name="Comma 5 4 4 5 5 3 2" xfId="51311" xr:uid="{00000000-0005-0000-0000-0000301E0000}"/>
    <cellStyle name="Comma 5 4 4 5 5 4" xfId="32241" xr:uid="{00000000-0005-0000-0000-0000311E0000}"/>
    <cellStyle name="Comma 5 4 4 5 6" xfId="8126" xr:uid="{00000000-0005-0000-0000-0000321E0000}"/>
    <cellStyle name="Comma 5 4 4 5 6 2" xfId="20516" xr:uid="{00000000-0005-0000-0000-0000331E0000}"/>
    <cellStyle name="Comma 5 4 4 5 6 2 2" xfId="46069" xr:uid="{00000000-0005-0000-0000-0000341E0000}"/>
    <cellStyle name="Comma 5 4 4 5 6 3" xfId="33683" xr:uid="{00000000-0005-0000-0000-0000351E0000}"/>
    <cellStyle name="Comma 5 4 4 5 7" xfId="16206" xr:uid="{00000000-0005-0000-0000-0000361E0000}"/>
    <cellStyle name="Comma 5 4 4 5 7 2" xfId="41759" xr:uid="{00000000-0005-0000-0000-0000371E0000}"/>
    <cellStyle name="Comma 5 4 4 5 8" xfId="26999" xr:uid="{00000000-0005-0000-0000-0000381E0000}"/>
    <cellStyle name="Comma 5 4 4 6" xfId="2735" xr:uid="{00000000-0005-0000-0000-0000391E0000}"/>
    <cellStyle name="Comma 5 4 4 6 2" xfId="12052" xr:uid="{00000000-0005-0000-0000-00003A1E0000}"/>
    <cellStyle name="Comma 5 4 4 6 2 2" xfId="22096" xr:uid="{00000000-0005-0000-0000-00003B1E0000}"/>
    <cellStyle name="Comma 5 4 4 6 2 2 2" xfId="47649" xr:uid="{00000000-0005-0000-0000-00003C1E0000}"/>
    <cellStyle name="Comma 5 4 4 6 2 3" xfId="37607" xr:uid="{00000000-0005-0000-0000-00003D1E0000}"/>
    <cellStyle name="Comma 5 4 4 6 3" xfId="8541" xr:uid="{00000000-0005-0000-0000-00003E1E0000}"/>
    <cellStyle name="Comma 5 4 4 6 3 2" xfId="34098" xr:uid="{00000000-0005-0000-0000-00003F1E0000}"/>
    <cellStyle name="Comma 5 4 4 6 4" xfId="17089" xr:uid="{00000000-0005-0000-0000-0000401E0000}"/>
    <cellStyle name="Comma 5 4 4 6 4 2" xfId="42642" xr:uid="{00000000-0005-0000-0000-0000411E0000}"/>
    <cellStyle name="Comma 5 4 4 6 5" xfId="28579" xr:uid="{00000000-0005-0000-0000-0000421E0000}"/>
    <cellStyle name="Comma 5 4 4 7" xfId="4181" xr:uid="{00000000-0005-0000-0000-0000431E0000}"/>
    <cellStyle name="Comma 5 4 4 7 2" xfId="13019" xr:uid="{00000000-0005-0000-0000-0000441E0000}"/>
    <cellStyle name="Comma 5 4 4 7 2 2" xfId="23270" xr:uid="{00000000-0005-0000-0000-0000451E0000}"/>
    <cellStyle name="Comma 5 4 4 7 2 2 2" xfId="48823" xr:uid="{00000000-0005-0000-0000-0000461E0000}"/>
    <cellStyle name="Comma 5 4 4 7 2 3" xfId="38574" xr:uid="{00000000-0005-0000-0000-0000471E0000}"/>
    <cellStyle name="Comma 5 4 4 7 3" xfId="9440" xr:uid="{00000000-0005-0000-0000-0000481E0000}"/>
    <cellStyle name="Comma 5 4 4 7 3 2" xfId="34997" xr:uid="{00000000-0005-0000-0000-0000491E0000}"/>
    <cellStyle name="Comma 5 4 4 7 4" xfId="18263" xr:uid="{00000000-0005-0000-0000-00004A1E0000}"/>
    <cellStyle name="Comma 5 4 4 7 4 2" xfId="43816" xr:uid="{00000000-0005-0000-0000-00004B1E0000}"/>
    <cellStyle name="Comma 5 4 4 7 5" xfId="29753" xr:uid="{00000000-0005-0000-0000-00004C1E0000}"/>
    <cellStyle name="Comma 5 4 4 8" xfId="1453" xr:uid="{00000000-0005-0000-0000-00004D1E0000}"/>
    <cellStyle name="Comma 5 4 4 8 2" xfId="10830" xr:uid="{00000000-0005-0000-0000-00004E1E0000}"/>
    <cellStyle name="Comma 5 4 4 8 2 2" xfId="36385" xr:uid="{00000000-0005-0000-0000-00004F1E0000}"/>
    <cellStyle name="Comma 5 4 4 8 3" xfId="20834" xr:uid="{00000000-0005-0000-0000-0000501E0000}"/>
    <cellStyle name="Comma 5 4 4 8 3 2" xfId="46387" xr:uid="{00000000-0005-0000-0000-0000511E0000}"/>
    <cellStyle name="Comma 5 4 4 8 4" xfId="27317" xr:uid="{00000000-0005-0000-0000-0000521E0000}"/>
    <cellStyle name="Comma 5 4 4 9" xfId="5637" xr:uid="{00000000-0005-0000-0000-0000531E0000}"/>
    <cellStyle name="Comma 5 4 4 9 2" xfId="14464" xr:uid="{00000000-0005-0000-0000-0000541E0000}"/>
    <cellStyle name="Comma 5 4 4 9 2 2" xfId="40019" xr:uid="{00000000-0005-0000-0000-0000551E0000}"/>
    <cellStyle name="Comma 5 4 4 9 3" xfId="24715" xr:uid="{00000000-0005-0000-0000-0000561E0000}"/>
    <cellStyle name="Comma 5 4 4 9 3 2" xfId="50268" xr:uid="{00000000-0005-0000-0000-0000571E0000}"/>
    <cellStyle name="Comma 5 4 4 9 4" xfId="31198" xr:uid="{00000000-0005-0000-0000-0000581E0000}"/>
    <cellStyle name="Comma 5 4 5" xfId="461" xr:uid="{00000000-0005-0000-0000-0000591E0000}"/>
    <cellStyle name="Comma 5 4 5 10" xfId="26390" xr:uid="{00000000-0005-0000-0000-00005A1E0000}"/>
    <cellStyle name="Comma 5 4 5 2" xfId="671" xr:uid="{00000000-0005-0000-0000-00005B1E0000}"/>
    <cellStyle name="Comma 5 4 5 2 2" xfId="3157" xr:uid="{00000000-0005-0000-0000-00005C1E0000}"/>
    <cellStyle name="Comma 5 4 5 2 2 2" xfId="12300" xr:uid="{00000000-0005-0000-0000-00005D1E0000}"/>
    <cellStyle name="Comma 5 4 5 2 2 2 2" xfId="22518" xr:uid="{00000000-0005-0000-0000-00005E1E0000}"/>
    <cellStyle name="Comma 5 4 5 2 2 2 2 2" xfId="48071" xr:uid="{00000000-0005-0000-0000-00005F1E0000}"/>
    <cellStyle name="Comma 5 4 5 2 2 2 3" xfId="37855" xr:uid="{00000000-0005-0000-0000-0000601E0000}"/>
    <cellStyle name="Comma 5 4 5 2 2 3" xfId="8722" xr:uid="{00000000-0005-0000-0000-0000611E0000}"/>
    <cellStyle name="Comma 5 4 5 2 2 3 2" xfId="34279" xr:uid="{00000000-0005-0000-0000-0000621E0000}"/>
    <cellStyle name="Comma 5 4 5 2 2 4" xfId="17511" xr:uid="{00000000-0005-0000-0000-0000631E0000}"/>
    <cellStyle name="Comma 5 4 5 2 2 4 2" xfId="43064" xr:uid="{00000000-0005-0000-0000-0000641E0000}"/>
    <cellStyle name="Comma 5 4 5 2 2 5" xfId="29001" xr:uid="{00000000-0005-0000-0000-0000651E0000}"/>
    <cellStyle name="Comma 5 4 5 2 3" xfId="4486" xr:uid="{00000000-0005-0000-0000-0000661E0000}"/>
    <cellStyle name="Comma 5 4 5 2 3 2" xfId="13324" xr:uid="{00000000-0005-0000-0000-0000671E0000}"/>
    <cellStyle name="Comma 5 4 5 2 3 2 2" xfId="23575" xr:uid="{00000000-0005-0000-0000-0000681E0000}"/>
    <cellStyle name="Comma 5 4 5 2 3 2 2 2" xfId="49128" xr:uid="{00000000-0005-0000-0000-0000691E0000}"/>
    <cellStyle name="Comma 5 4 5 2 3 2 3" xfId="38879" xr:uid="{00000000-0005-0000-0000-00006A1E0000}"/>
    <cellStyle name="Comma 5 4 5 2 3 3" xfId="9745" xr:uid="{00000000-0005-0000-0000-00006B1E0000}"/>
    <cellStyle name="Comma 5 4 5 2 3 3 2" xfId="35302" xr:uid="{00000000-0005-0000-0000-00006C1E0000}"/>
    <cellStyle name="Comma 5 4 5 2 3 4" xfId="18568" xr:uid="{00000000-0005-0000-0000-00006D1E0000}"/>
    <cellStyle name="Comma 5 4 5 2 3 4 2" xfId="44121" xr:uid="{00000000-0005-0000-0000-00006E1E0000}"/>
    <cellStyle name="Comma 5 4 5 2 3 5" xfId="30058" xr:uid="{00000000-0005-0000-0000-00006F1E0000}"/>
    <cellStyle name="Comma 5 4 5 2 4" xfId="2266" xr:uid="{00000000-0005-0000-0000-0000701E0000}"/>
    <cellStyle name="Comma 5 4 5 2 4 2" xfId="11631" xr:uid="{00000000-0005-0000-0000-0000711E0000}"/>
    <cellStyle name="Comma 5 4 5 2 4 2 2" xfId="37186" xr:uid="{00000000-0005-0000-0000-0000721E0000}"/>
    <cellStyle name="Comma 5 4 5 2 4 3" xfId="21635" xr:uid="{00000000-0005-0000-0000-0000731E0000}"/>
    <cellStyle name="Comma 5 4 5 2 4 3 2" xfId="47188" xr:uid="{00000000-0005-0000-0000-0000741E0000}"/>
    <cellStyle name="Comma 5 4 5 2 4 4" xfId="28118" xr:uid="{00000000-0005-0000-0000-0000751E0000}"/>
    <cellStyle name="Comma 5 4 5 2 5" xfId="5942" xr:uid="{00000000-0005-0000-0000-0000761E0000}"/>
    <cellStyle name="Comma 5 4 5 2 5 2" xfId="14769" xr:uid="{00000000-0005-0000-0000-0000771E0000}"/>
    <cellStyle name="Comma 5 4 5 2 5 2 2" xfId="40324" xr:uid="{00000000-0005-0000-0000-0000781E0000}"/>
    <cellStyle name="Comma 5 4 5 2 5 3" xfId="25020" xr:uid="{00000000-0005-0000-0000-0000791E0000}"/>
    <cellStyle name="Comma 5 4 5 2 5 3 2" xfId="50573" xr:uid="{00000000-0005-0000-0000-00007A1E0000}"/>
    <cellStyle name="Comma 5 4 5 2 5 4" xfId="31503" xr:uid="{00000000-0005-0000-0000-00007B1E0000}"/>
    <cellStyle name="Comma 5 4 5 2 6" xfId="7386" xr:uid="{00000000-0005-0000-0000-00007C1E0000}"/>
    <cellStyle name="Comma 5 4 5 2 6 2" xfId="20117" xr:uid="{00000000-0005-0000-0000-00007D1E0000}"/>
    <cellStyle name="Comma 5 4 5 2 6 2 2" xfId="45670" xr:uid="{00000000-0005-0000-0000-00007E1E0000}"/>
    <cellStyle name="Comma 5 4 5 2 6 3" xfId="32943" xr:uid="{00000000-0005-0000-0000-00007F1E0000}"/>
    <cellStyle name="Comma 5 4 5 2 7" xfId="16628" xr:uid="{00000000-0005-0000-0000-0000801E0000}"/>
    <cellStyle name="Comma 5 4 5 2 7 2" xfId="42181" xr:uid="{00000000-0005-0000-0000-0000811E0000}"/>
    <cellStyle name="Comma 5 4 5 2 8" xfId="26600" xr:uid="{00000000-0005-0000-0000-0000821E0000}"/>
    <cellStyle name="Comma 5 4 5 3" xfId="1233" xr:uid="{00000000-0005-0000-0000-0000831E0000}"/>
    <cellStyle name="Comma 5 4 5 3 2" xfId="3662" xr:uid="{00000000-0005-0000-0000-0000841E0000}"/>
    <cellStyle name="Comma 5 4 5 3 2 2" xfId="12798" xr:uid="{00000000-0005-0000-0000-0000851E0000}"/>
    <cellStyle name="Comma 5 4 5 3 2 2 2" xfId="23017" xr:uid="{00000000-0005-0000-0000-0000861E0000}"/>
    <cellStyle name="Comma 5 4 5 3 2 2 2 2" xfId="48570" xr:uid="{00000000-0005-0000-0000-0000871E0000}"/>
    <cellStyle name="Comma 5 4 5 3 2 2 3" xfId="38353" xr:uid="{00000000-0005-0000-0000-0000881E0000}"/>
    <cellStyle name="Comma 5 4 5 3 2 3" xfId="9219" xr:uid="{00000000-0005-0000-0000-0000891E0000}"/>
    <cellStyle name="Comma 5 4 5 3 2 3 2" xfId="34776" xr:uid="{00000000-0005-0000-0000-00008A1E0000}"/>
    <cellStyle name="Comma 5 4 5 3 2 4" xfId="18010" xr:uid="{00000000-0005-0000-0000-00008B1E0000}"/>
    <cellStyle name="Comma 5 4 5 3 2 4 2" xfId="43563" xr:uid="{00000000-0005-0000-0000-00008C1E0000}"/>
    <cellStyle name="Comma 5 4 5 3 2 5" xfId="29500" xr:uid="{00000000-0005-0000-0000-00008D1E0000}"/>
    <cellStyle name="Comma 5 4 5 3 3" xfId="4835" xr:uid="{00000000-0005-0000-0000-00008E1E0000}"/>
    <cellStyle name="Comma 5 4 5 3 3 2" xfId="13672" xr:uid="{00000000-0005-0000-0000-00008F1E0000}"/>
    <cellStyle name="Comma 5 4 5 3 3 2 2" xfId="23923" xr:uid="{00000000-0005-0000-0000-0000901E0000}"/>
    <cellStyle name="Comma 5 4 5 3 3 2 2 2" xfId="49476" xr:uid="{00000000-0005-0000-0000-0000911E0000}"/>
    <cellStyle name="Comma 5 4 5 3 3 2 3" xfId="39227" xr:uid="{00000000-0005-0000-0000-0000921E0000}"/>
    <cellStyle name="Comma 5 4 5 3 3 3" xfId="10093" xr:uid="{00000000-0005-0000-0000-0000931E0000}"/>
    <cellStyle name="Comma 5 4 5 3 3 3 2" xfId="35650" xr:uid="{00000000-0005-0000-0000-0000941E0000}"/>
    <cellStyle name="Comma 5 4 5 3 3 4" xfId="18916" xr:uid="{00000000-0005-0000-0000-0000951E0000}"/>
    <cellStyle name="Comma 5 4 5 3 3 4 2" xfId="44469" xr:uid="{00000000-0005-0000-0000-0000961E0000}"/>
    <cellStyle name="Comma 5 4 5 3 3 5" xfId="30406" xr:uid="{00000000-0005-0000-0000-0000971E0000}"/>
    <cellStyle name="Comma 5 4 5 3 4" xfId="2056" xr:uid="{00000000-0005-0000-0000-0000981E0000}"/>
    <cellStyle name="Comma 5 4 5 3 4 2" xfId="11421" xr:uid="{00000000-0005-0000-0000-0000991E0000}"/>
    <cellStyle name="Comma 5 4 5 3 4 2 2" xfId="36976" xr:uid="{00000000-0005-0000-0000-00009A1E0000}"/>
    <cellStyle name="Comma 5 4 5 3 4 3" xfId="21425" xr:uid="{00000000-0005-0000-0000-00009B1E0000}"/>
    <cellStyle name="Comma 5 4 5 3 4 3 2" xfId="46978" xr:uid="{00000000-0005-0000-0000-00009C1E0000}"/>
    <cellStyle name="Comma 5 4 5 3 4 4" xfId="27908" xr:uid="{00000000-0005-0000-0000-00009D1E0000}"/>
    <cellStyle name="Comma 5 4 5 3 5" xfId="6290" xr:uid="{00000000-0005-0000-0000-00009E1E0000}"/>
    <cellStyle name="Comma 5 4 5 3 5 2" xfId="15117" xr:uid="{00000000-0005-0000-0000-00009F1E0000}"/>
    <cellStyle name="Comma 5 4 5 3 5 2 2" xfId="40672" xr:uid="{00000000-0005-0000-0000-0000A01E0000}"/>
    <cellStyle name="Comma 5 4 5 3 5 3" xfId="25368" xr:uid="{00000000-0005-0000-0000-0000A11E0000}"/>
    <cellStyle name="Comma 5 4 5 3 5 3 2" xfId="50921" xr:uid="{00000000-0005-0000-0000-0000A21E0000}"/>
    <cellStyle name="Comma 5 4 5 3 5 4" xfId="31851" xr:uid="{00000000-0005-0000-0000-0000A31E0000}"/>
    <cellStyle name="Comma 5 4 5 3 6" xfId="7736" xr:uid="{00000000-0005-0000-0000-0000A41E0000}"/>
    <cellStyle name="Comma 5 4 5 3 6 2" xfId="20616" xr:uid="{00000000-0005-0000-0000-0000A51E0000}"/>
    <cellStyle name="Comma 5 4 5 3 6 2 2" xfId="46169" xr:uid="{00000000-0005-0000-0000-0000A61E0000}"/>
    <cellStyle name="Comma 5 4 5 3 6 3" xfId="33293" xr:uid="{00000000-0005-0000-0000-0000A71E0000}"/>
    <cellStyle name="Comma 5 4 5 3 7" xfId="16418" xr:uid="{00000000-0005-0000-0000-0000A81E0000}"/>
    <cellStyle name="Comma 5 4 5 3 7 2" xfId="41971" xr:uid="{00000000-0005-0000-0000-0000A91E0000}"/>
    <cellStyle name="Comma 5 4 5 3 8" xfId="27099" xr:uid="{00000000-0005-0000-0000-0000AA1E0000}"/>
    <cellStyle name="Comma 5 4 5 4" xfId="2947" xr:uid="{00000000-0005-0000-0000-0000AB1E0000}"/>
    <cellStyle name="Comma 5 4 5 4 2" xfId="5325" xr:uid="{00000000-0005-0000-0000-0000AC1E0000}"/>
    <cellStyle name="Comma 5 4 5 4 2 2" xfId="14162" xr:uid="{00000000-0005-0000-0000-0000AD1E0000}"/>
    <cellStyle name="Comma 5 4 5 4 2 2 2" xfId="24413" xr:uid="{00000000-0005-0000-0000-0000AE1E0000}"/>
    <cellStyle name="Comma 5 4 5 4 2 2 2 2" xfId="49966" xr:uid="{00000000-0005-0000-0000-0000AF1E0000}"/>
    <cellStyle name="Comma 5 4 5 4 2 2 3" xfId="39717" xr:uid="{00000000-0005-0000-0000-0000B01E0000}"/>
    <cellStyle name="Comma 5 4 5 4 2 3" xfId="10583" xr:uid="{00000000-0005-0000-0000-0000B11E0000}"/>
    <cellStyle name="Comma 5 4 5 4 2 3 2" xfId="36140" xr:uid="{00000000-0005-0000-0000-0000B21E0000}"/>
    <cellStyle name="Comma 5 4 5 4 2 4" xfId="19406" xr:uid="{00000000-0005-0000-0000-0000B31E0000}"/>
    <cellStyle name="Comma 5 4 5 4 2 4 2" xfId="44959" xr:uid="{00000000-0005-0000-0000-0000B41E0000}"/>
    <cellStyle name="Comma 5 4 5 4 2 5" xfId="30896" xr:uid="{00000000-0005-0000-0000-0000B51E0000}"/>
    <cellStyle name="Comma 5 4 5 4 3" xfId="6780" xr:uid="{00000000-0005-0000-0000-0000B61E0000}"/>
    <cellStyle name="Comma 5 4 5 4 3 2" xfId="15607" xr:uid="{00000000-0005-0000-0000-0000B71E0000}"/>
    <cellStyle name="Comma 5 4 5 4 3 2 2" xfId="41162" xr:uid="{00000000-0005-0000-0000-0000B81E0000}"/>
    <cellStyle name="Comma 5 4 5 4 3 3" xfId="25858" xr:uid="{00000000-0005-0000-0000-0000B91E0000}"/>
    <cellStyle name="Comma 5 4 5 4 3 3 2" xfId="51411" xr:uid="{00000000-0005-0000-0000-0000BA1E0000}"/>
    <cellStyle name="Comma 5 4 5 4 3 4" xfId="32341" xr:uid="{00000000-0005-0000-0000-0000BB1E0000}"/>
    <cellStyle name="Comma 5 4 5 4 4" xfId="8226" xr:uid="{00000000-0005-0000-0000-0000BC1E0000}"/>
    <cellStyle name="Comma 5 4 5 4 4 2" xfId="22308" xr:uid="{00000000-0005-0000-0000-0000BD1E0000}"/>
    <cellStyle name="Comma 5 4 5 4 4 2 2" xfId="47861" xr:uid="{00000000-0005-0000-0000-0000BE1E0000}"/>
    <cellStyle name="Comma 5 4 5 4 4 3" xfId="33783" xr:uid="{00000000-0005-0000-0000-0000BF1E0000}"/>
    <cellStyle name="Comma 5 4 5 4 5" xfId="17301" xr:uid="{00000000-0005-0000-0000-0000C01E0000}"/>
    <cellStyle name="Comma 5 4 5 4 5 2" xfId="42854" xr:uid="{00000000-0005-0000-0000-0000C11E0000}"/>
    <cellStyle name="Comma 5 4 5 4 6" xfId="28791" xr:uid="{00000000-0005-0000-0000-0000C21E0000}"/>
    <cellStyle name="Comma 5 4 5 5" xfId="4281" xr:uid="{00000000-0005-0000-0000-0000C31E0000}"/>
    <cellStyle name="Comma 5 4 5 5 2" xfId="13119" xr:uid="{00000000-0005-0000-0000-0000C41E0000}"/>
    <cellStyle name="Comma 5 4 5 5 2 2" xfId="23370" xr:uid="{00000000-0005-0000-0000-0000C51E0000}"/>
    <cellStyle name="Comma 5 4 5 5 2 2 2" xfId="48923" xr:uid="{00000000-0005-0000-0000-0000C61E0000}"/>
    <cellStyle name="Comma 5 4 5 5 2 3" xfId="38674" xr:uid="{00000000-0005-0000-0000-0000C71E0000}"/>
    <cellStyle name="Comma 5 4 5 5 3" xfId="9540" xr:uid="{00000000-0005-0000-0000-0000C81E0000}"/>
    <cellStyle name="Comma 5 4 5 5 3 2" xfId="35097" xr:uid="{00000000-0005-0000-0000-0000C91E0000}"/>
    <cellStyle name="Comma 5 4 5 5 4" xfId="18363" xr:uid="{00000000-0005-0000-0000-0000CA1E0000}"/>
    <cellStyle name="Comma 5 4 5 5 4 2" xfId="43916" xr:uid="{00000000-0005-0000-0000-0000CB1E0000}"/>
    <cellStyle name="Comma 5 4 5 5 5" xfId="29853" xr:uid="{00000000-0005-0000-0000-0000CC1E0000}"/>
    <cellStyle name="Comma 5 4 5 6" xfId="1553" xr:uid="{00000000-0005-0000-0000-0000CD1E0000}"/>
    <cellStyle name="Comma 5 4 5 6 2" xfId="10930" xr:uid="{00000000-0005-0000-0000-0000CE1E0000}"/>
    <cellStyle name="Comma 5 4 5 6 2 2" xfId="36485" xr:uid="{00000000-0005-0000-0000-0000CF1E0000}"/>
    <cellStyle name="Comma 5 4 5 6 3" xfId="20934" xr:uid="{00000000-0005-0000-0000-0000D01E0000}"/>
    <cellStyle name="Comma 5 4 5 6 3 2" xfId="46487" xr:uid="{00000000-0005-0000-0000-0000D11E0000}"/>
    <cellStyle name="Comma 5 4 5 6 4" xfId="27417" xr:uid="{00000000-0005-0000-0000-0000D21E0000}"/>
    <cellStyle name="Comma 5 4 5 7" xfId="5737" xr:uid="{00000000-0005-0000-0000-0000D31E0000}"/>
    <cellStyle name="Comma 5 4 5 7 2" xfId="14564" xr:uid="{00000000-0005-0000-0000-0000D41E0000}"/>
    <cellStyle name="Comma 5 4 5 7 2 2" xfId="40119" xr:uid="{00000000-0005-0000-0000-0000D51E0000}"/>
    <cellStyle name="Comma 5 4 5 7 3" xfId="24815" xr:uid="{00000000-0005-0000-0000-0000D61E0000}"/>
    <cellStyle name="Comma 5 4 5 7 3 2" xfId="50368" xr:uid="{00000000-0005-0000-0000-0000D71E0000}"/>
    <cellStyle name="Comma 5 4 5 7 4" xfId="31298" xr:uid="{00000000-0005-0000-0000-0000D81E0000}"/>
    <cellStyle name="Comma 5 4 5 8" xfId="7181" xr:uid="{00000000-0005-0000-0000-0000D91E0000}"/>
    <cellStyle name="Comma 5 4 5 8 2" xfId="19907" xr:uid="{00000000-0005-0000-0000-0000DA1E0000}"/>
    <cellStyle name="Comma 5 4 5 8 2 2" xfId="45460" xr:uid="{00000000-0005-0000-0000-0000DB1E0000}"/>
    <cellStyle name="Comma 5 4 5 8 3" xfId="32738" xr:uid="{00000000-0005-0000-0000-0000DC1E0000}"/>
    <cellStyle name="Comma 5 4 5 9" xfId="15927" xr:uid="{00000000-0005-0000-0000-0000DD1E0000}"/>
    <cellStyle name="Comma 5 4 5 9 2" xfId="41480" xr:uid="{00000000-0005-0000-0000-0000DE1E0000}"/>
    <cellStyle name="Comma 5 4 6" xfId="336" xr:uid="{00000000-0005-0000-0000-0000DF1E0000}"/>
    <cellStyle name="Comma 5 4 6 10" xfId="26265" xr:uid="{00000000-0005-0000-0000-0000E01E0000}"/>
    <cellStyle name="Comma 5 4 6 2" xfId="672" xr:uid="{00000000-0005-0000-0000-0000E11E0000}"/>
    <cellStyle name="Comma 5 4 6 2 2" xfId="3158" xr:uid="{00000000-0005-0000-0000-0000E21E0000}"/>
    <cellStyle name="Comma 5 4 6 2 2 2" xfId="12301" xr:uid="{00000000-0005-0000-0000-0000E31E0000}"/>
    <cellStyle name="Comma 5 4 6 2 2 2 2" xfId="22519" xr:uid="{00000000-0005-0000-0000-0000E41E0000}"/>
    <cellStyle name="Comma 5 4 6 2 2 2 2 2" xfId="48072" xr:uid="{00000000-0005-0000-0000-0000E51E0000}"/>
    <cellStyle name="Comma 5 4 6 2 2 2 3" xfId="37856" xr:uid="{00000000-0005-0000-0000-0000E61E0000}"/>
    <cellStyle name="Comma 5 4 6 2 2 3" xfId="8723" xr:uid="{00000000-0005-0000-0000-0000E71E0000}"/>
    <cellStyle name="Comma 5 4 6 2 2 3 2" xfId="34280" xr:uid="{00000000-0005-0000-0000-0000E81E0000}"/>
    <cellStyle name="Comma 5 4 6 2 2 4" xfId="17512" xr:uid="{00000000-0005-0000-0000-0000E91E0000}"/>
    <cellStyle name="Comma 5 4 6 2 2 4 2" xfId="43065" xr:uid="{00000000-0005-0000-0000-0000EA1E0000}"/>
    <cellStyle name="Comma 5 4 6 2 2 5" xfId="29002" xr:uid="{00000000-0005-0000-0000-0000EB1E0000}"/>
    <cellStyle name="Comma 5 4 6 2 3" xfId="4487" xr:uid="{00000000-0005-0000-0000-0000EC1E0000}"/>
    <cellStyle name="Comma 5 4 6 2 3 2" xfId="13325" xr:uid="{00000000-0005-0000-0000-0000ED1E0000}"/>
    <cellStyle name="Comma 5 4 6 2 3 2 2" xfId="23576" xr:uid="{00000000-0005-0000-0000-0000EE1E0000}"/>
    <cellStyle name="Comma 5 4 6 2 3 2 2 2" xfId="49129" xr:uid="{00000000-0005-0000-0000-0000EF1E0000}"/>
    <cellStyle name="Comma 5 4 6 2 3 2 3" xfId="38880" xr:uid="{00000000-0005-0000-0000-0000F01E0000}"/>
    <cellStyle name="Comma 5 4 6 2 3 3" xfId="9746" xr:uid="{00000000-0005-0000-0000-0000F11E0000}"/>
    <cellStyle name="Comma 5 4 6 2 3 3 2" xfId="35303" xr:uid="{00000000-0005-0000-0000-0000F21E0000}"/>
    <cellStyle name="Comma 5 4 6 2 3 4" xfId="18569" xr:uid="{00000000-0005-0000-0000-0000F31E0000}"/>
    <cellStyle name="Comma 5 4 6 2 3 4 2" xfId="44122" xr:uid="{00000000-0005-0000-0000-0000F41E0000}"/>
    <cellStyle name="Comma 5 4 6 2 3 5" xfId="30059" xr:uid="{00000000-0005-0000-0000-0000F51E0000}"/>
    <cellStyle name="Comma 5 4 6 2 4" xfId="2267" xr:uid="{00000000-0005-0000-0000-0000F61E0000}"/>
    <cellStyle name="Comma 5 4 6 2 4 2" xfId="11632" xr:uid="{00000000-0005-0000-0000-0000F71E0000}"/>
    <cellStyle name="Comma 5 4 6 2 4 2 2" xfId="37187" xr:uid="{00000000-0005-0000-0000-0000F81E0000}"/>
    <cellStyle name="Comma 5 4 6 2 4 3" xfId="21636" xr:uid="{00000000-0005-0000-0000-0000F91E0000}"/>
    <cellStyle name="Comma 5 4 6 2 4 3 2" xfId="47189" xr:uid="{00000000-0005-0000-0000-0000FA1E0000}"/>
    <cellStyle name="Comma 5 4 6 2 4 4" xfId="28119" xr:uid="{00000000-0005-0000-0000-0000FB1E0000}"/>
    <cellStyle name="Comma 5 4 6 2 5" xfId="5943" xr:uid="{00000000-0005-0000-0000-0000FC1E0000}"/>
    <cellStyle name="Comma 5 4 6 2 5 2" xfId="14770" xr:uid="{00000000-0005-0000-0000-0000FD1E0000}"/>
    <cellStyle name="Comma 5 4 6 2 5 2 2" xfId="40325" xr:uid="{00000000-0005-0000-0000-0000FE1E0000}"/>
    <cellStyle name="Comma 5 4 6 2 5 3" xfId="25021" xr:uid="{00000000-0005-0000-0000-0000FF1E0000}"/>
    <cellStyle name="Comma 5 4 6 2 5 3 2" xfId="50574" xr:uid="{00000000-0005-0000-0000-0000001F0000}"/>
    <cellStyle name="Comma 5 4 6 2 5 4" xfId="31504" xr:uid="{00000000-0005-0000-0000-0000011F0000}"/>
    <cellStyle name="Comma 5 4 6 2 6" xfId="7387" xr:uid="{00000000-0005-0000-0000-0000021F0000}"/>
    <cellStyle name="Comma 5 4 6 2 6 2" xfId="20118" xr:uid="{00000000-0005-0000-0000-0000031F0000}"/>
    <cellStyle name="Comma 5 4 6 2 6 2 2" xfId="45671" xr:uid="{00000000-0005-0000-0000-0000041F0000}"/>
    <cellStyle name="Comma 5 4 6 2 6 3" xfId="32944" xr:uid="{00000000-0005-0000-0000-0000051F0000}"/>
    <cellStyle name="Comma 5 4 6 2 7" xfId="16629" xr:uid="{00000000-0005-0000-0000-0000061F0000}"/>
    <cellStyle name="Comma 5 4 6 2 7 2" xfId="42182" xr:uid="{00000000-0005-0000-0000-0000071F0000}"/>
    <cellStyle name="Comma 5 4 6 2 8" xfId="26601" xr:uid="{00000000-0005-0000-0000-0000081F0000}"/>
    <cellStyle name="Comma 5 4 6 3" xfId="1108" xr:uid="{00000000-0005-0000-0000-0000091F0000}"/>
    <cellStyle name="Comma 5 4 6 3 2" xfId="3537" xr:uid="{00000000-0005-0000-0000-00000A1F0000}"/>
    <cellStyle name="Comma 5 4 6 3 2 2" xfId="12673" xr:uid="{00000000-0005-0000-0000-00000B1F0000}"/>
    <cellStyle name="Comma 5 4 6 3 2 2 2" xfId="22892" xr:uid="{00000000-0005-0000-0000-00000C1F0000}"/>
    <cellStyle name="Comma 5 4 6 3 2 2 2 2" xfId="48445" xr:uid="{00000000-0005-0000-0000-00000D1F0000}"/>
    <cellStyle name="Comma 5 4 6 3 2 2 3" xfId="38228" xr:uid="{00000000-0005-0000-0000-00000E1F0000}"/>
    <cellStyle name="Comma 5 4 6 3 2 3" xfId="9094" xr:uid="{00000000-0005-0000-0000-00000F1F0000}"/>
    <cellStyle name="Comma 5 4 6 3 2 3 2" xfId="34651" xr:uid="{00000000-0005-0000-0000-0000101F0000}"/>
    <cellStyle name="Comma 5 4 6 3 2 4" xfId="17885" xr:uid="{00000000-0005-0000-0000-0000111F0000}"/>
    <cellStyle name="Comma 5 4 6 3 2 4 2" xfId="43438" xr:uid="{00000000-0005-0000-0000-0000121F0000}"/>
    <cellStyle name="Comma 5 4 6 3 2 5" xfId="29375" xr:uid="{00000000-0005-0000-0000-0000131F0000}"/>
    <cellStyle name="Comma 5 4 6 3 3" xfId="4836" xr:uid="{00000000-0005-0000-0000-0000141F0000}"/>
    <cellStyle name="Comma 5 4 6 3 3 2" xfId="13673" xr:uid="{00000000-0005-0000-0000-0000151F0000}"/>
    <cellStyle name="Comma 5 4 6 3 3 2 2" xfId="23924" xr:uid="{00000000-0005-0000-0000-0000161F0000}"/>
    <cellStyle name="Comma 5 4 6 3 3 2 2 2" xfId="49477" xr:uid="{00000000-0005-0000-0000-0000171F0000}"/>
    <cellStyle name="Comma 5 4 6 3 3 2 3" xfId="39228" xr:uid="{00000000-0005-0000-0000-0000181F0000}"/>
    <cellStyle name="Comma 5 4 6 3 3 3" xfId="10094" xr:uid="{00000000-0005-0000-0000-0000191F0000}"/>
    <cellStyle name="Comma 5 4 6 3 3 3 2" xfId="35651" xr:uid="{00000000-0005-0000-0000-00001A1F0000}"/>
    <cellStyle name="Comma 5 4 6 3 3 4" xfId="18917" xr:uid="{00000000-0005-0000-0000-00001B1F0000}"/>
    <cellStyle name="Comma 5 4 6 3 3 4 2" xfId="44470" xr:uid="{00000000-0005-0000-0000-00001C1F0000}"/>
    <cellStyle name="Comma 5 4 6 3 3 5" xfId="30407" xr:uid="{00000000-0005-0000-0000-00001D1F0000}"/>
    <cellStyle name="Comma 5 4 6 3 4" xfId="2571" xr:uid="{00000000-0005-0000-0000-00001E1F0000}"/>
    <cellStyle name="Comma 5 4 6 3 4 2" xfId="11935" xr:uid="{00000000-0005-0000-0000-00001F1F0000}"/>
    <cellStyle name="Comma 5 4 6 3 4 2 2" xfId="37490" xr:uid="{00000000-0005-0000-0000-0000201F0000}"/>
    <cellStyle name="Comma 5 4 6 3 4 3" xfId="21939" xr:uid="{00000000-0005-0000-0000-0000211F0000}"/>
    <cellStyle name="Comma 5 4 6 3 4 3 2" xfId="47492" xr:uid="{00000000-0005-0000-0000-0000221F0000}"/>
    <cellStyle name="Comma 5 4 6 3 4 4" xfId="28422" xr:uid="{00000000-0005-0000-0000-0000231F0000}"/>
    <cellStyle name="Comma 5 4 6 3 5" xfId="6291" xr:uid="{00000000-0005-0000-0000-0000241F0000}"/>
    <cellStyle name="Comma 5 4 6 3 5 2" xfId="15118" xr:uid="{00000000-0005-0000-0000-0000251F0000}"/>
    <cellStyle name="Comma 5 4 6 3 5 2 2" xfId="40673" xr:uid="{00000000-0005-0000-0000-0000261F0000}"/>
    <cellStyle name="Comma 5 4 6 3 5 3" xfId="25369" xr:uid="{00000000-0005-0000-0000-0000271F0000}"/>
    <cellStyle name="Comma 5 4 6 3 5 3 2" xfId="50922" xr:uid="{00000000-0005-0000-0000-0000281F0000}"/>
    <cellStyle name="Comma 5 4 6 3 5 4" xfId="31852" xr:uid="{00000000-0005-0000-0000-0000291F0000}"/>
    <cellStyle name="Comma 5 4 6 3 6" xfId="7737" xr:uid="{00000000-0005-0000-0000-00002A1F0000}"/>
    <cellStyle name="Comma 5 4 6 3 6 2" xfId="20491" xr:uid="{00000000-0005-0000-0000-00002B1F0000}"/>
    <cellStyle name="Comma 5 4 6 3 6 2 2" xfId="46044" xr:uid="{00000000-0005-0000-0000-00002C1F0000}"/>
    <cellStyle name="Comma 5 4 6 3 6 3" xfId="33294" xr:uid="{00000000-0005-0000-0000-00002D1F0000}"/>
    <cellStyle name="Comma 5 4 6 3 7" xfId="16932" xr:uid="{00000000-0005-0000-0000-00002E1F0000}"/>
    <cellStyle name="Comma 5 4 6 3 7 2" xfId="42485" xr:uid="{00000000-0005-0000-0000-00002F1F0000}"/>
    <cellStyle name="Comma 5 4 6 3 8" xfId="26974" xr:uid="{00000000-0005-0000-0000-0000301F0000}"/>
    <cellStyle name="Comma 5 4 6 4" xfId="2822" xr:uid="{00000000-0005-0000-0000-0000311F0000}"/>
    <cellStyle name="Comma 5 4 6 4 2" xfId="5200" xr:uid="{00000000-0005-0000-0000-0000321F0000}"/>
    <cellStyle name="Comma 5 4 6 4 2 2" xfId="14037" xr:uid="{00000000-0005-0000-0000-0000331F0000}"/>
    <cellStyle name="Comma 5 4 6 4 2 2 2" xfId="24288" xr:uid="{00000000-0005-0000-0000-0000341F0000}"/>
    <cellStyle name="Comma 5 4 6 4 2 2 2 2" xfId="49841" xr:uid="{00000000-0005-0000-0000-0000351F0000}"/>
    <cellStyle name="Comma 5 4 6 4 2 2 3" xfId="39592" xr:uid="{00000000-0005-0000-0000-0000361F0000}"/>
    <cellStyle name="Comma 5 4 6 4 2 3" xfId="10458" xr:uid="{00000000-0005-0000-0000-0000371F0000}"/>
    <cellStyle name="Comma 5 4 6 4 2 3 2" xfId="36015" xr:uid="{00000000-0005-0000-0000-0000381F0000}"/>
    <cellStyle name="Comma 5 4 6 4 2 4" xfId="19281" xr:uid="{00000000-0005-0000-0000-0000391F0000}"/>
    <cellStyle name="Comma 5 4 6 4 2 4 2" xfId="44834" xr:uid="{00000000-0005-0000-0000-00003A1F0000}"/>
    <cellStyle name="Comma 5 4 6 4 2 5" xfId="30771" xr:uid="{00000000-0005-0000-0000-00003B1F0000}"/>
    <cellStyle name="Comma 5 4 6 4 3" xfId="6655" xr:uid="{00000000-0005-0000-0000-00003C1F0000}"/>
    <cellStyle name="Comma 5 4 6 4 3 2" xfId="15482" xr:uid="{00000000-0005-0000-0000-00003D1F0000}"/>
    <cellStyle name="Comma 5 4 6 4 3 2 2" xfId="41037" xr:uid="{00000000-0005-0000-0000-00003E1F0000}"/>
    <cellStyle name="Comma 5 4 6 4 3 3" xfId="25733" xr:uid="{00000000-0005-0000-0000-00003F1F0000}"/>
    <cellStyle name="Comma 5 4 6 4 3 3 2" xfId="51286" xr:uid="{00000000-0005-0000-0000-0000401F0000}"/>
    <cellStyle name="Comma 5 4 6 4 3 4" xfId="32216" xr:uid="{00000000-0005-0000-0000-0000411F0000}"/>
    <cellStyle name="Comma 5 4 6 4 4" xfId="8101" xr:uid="{00000000-0005-0000-0000-0000421F0000}"/>
    <cellStyle name="Comma 5 4 6 4 4 2" xfId="22183" xr:uid="{00000000-0005-0000-0000-0000431F0000}"/>
    <cellStyle name="Comma 5 4 6 4 4 2 2" xfId="47736" xr:uid="{00000000-0005-0000-0000-0000441F0000}"/>
    <cellStyle name="Comma 5 4 6 4 4 3" xfId="33658" xr:uid="{00000000-0005-0000-0000-0000451F0000}"/>
    <cellStyle name="Comma 5 4 6 4 5" xfId="17176" xr:uid="{00000000-0005-0000-0000-0000461F0000}"/>
    <cellStyle name="Comma 5 4 6 4 5 2" xfId="42729" xr:uid="{00000000-0005-0000-0000-0000471F0000}"/>
    <cellStyle name="Comma 5 4 6 4 6" xfId="28666" xr:uid="{00000000-0005-0000-0000-0000481F0000}"/>
    <cellStyle name="Comma 5 4 6 5" xfId="4154" xr:uid="{00000000-0005-0000-0000-0000491F0000}"/>
    <cellStyle name="Comma 5 4 6 5 2" xfId="12992" xr:uid="{00000000-0005-0000-0000-00004A1F0000}"/>
    <cellStyle name="Comma 5 4 6 5 2 2" xfId="23243" xr:uid="{00000000-0005-0000-0000-00004B1F0000}"/>
    <cellStyle name="Comma 5 4 6 5 2 2 2" xfId="48796" xr:uid="{00000000-0005-0000-0000-00004C1F0000}"/>
    <cellStyle name="Comma 5 4 6 5 2 3" xfId="38547" xr:uid="{00000000-0005-0000-0000-00004D1F0000}"/>
    <cellStyle name="Comma 5 4 6 5 3" xfId="9413" xr:uid="{00000000-0005-0000-0000-00004E1F0000}"/>
    <cellStyle name="Comma 5 4 6 5 3 2" xfId="34970" xr:uid="{00000000-0005-0000-0000-00004F1F0000}"/>
    <cellStyle name="Comma 5 4 6 5 4" xfId="18236" xr:uid="{00000000-0005-0000-0000-0000501F0000}"/>
    <cellStyle name="Comma 5 4 6 5 4 2" xfId="43789" xr:uid="{00000000-0005-0000-0000-0000511F0000}"/>
    <cellStyle name="Comma 5 4 6 5 5" xfId="29726" xr:uid="{00000000-0005-0000-0000-0000521F0000}"/>
    <cellStyle name="Comma 5 4 6 6" xfId="1931" xr:uid="{00000000-0005-0000-0000-0000531F0000}"/>
    <cellStyle name="Comma 5 4 6 6 2" xfId="11296" xr:uid="{00000000-0005-0000-0000-0000541F0000}"/>
    <cellStyle name="Comma 5 4 6 6 2 2" xfId="36851" xr:uid="{00000000-0005-0000-0000-0000551F0000}"/>
    <cellStyle name="Comma 5 4 6 6 3" xfId="21300" xr:uid="{00000000-0005-0000-0000-0000561F0000}"/>
    <cellStyle name="Comma 5 4 6 6 3 2" xfId="46853" xr:uid="{00000000-0005-0000-0000-0000571F0000}"/>
    <cellStyle name="Comma 5 4 6 6 4" xfId="27783" xr:uid="{00000000-0005-0000-0000-0000581F0000}"/>
    <cellStyle name="Comma 5 4 6 7" xfId="5612" xr:uid="{00000000-0005-0000-0000-0000591F0000}"/>
    <cellStyle name="Comma 5 4 6 7 2" xfId="14439" xr:uid="{00000000-0005-0000-0000-00005A1F0000}"/>
    <cellStyle name="Comma 5 4 6 7 2 2" xfId="39994" xr:uid="{00000000-0005-0000-0000-00005B1F0000}"/>
    <cellStyle name="Comma 5 4 6 7 3" xfId="24690" xr:uid="{00000000-0005-0000-0000-00005C1F0000}"/>
    <cellStyle name="Comma 5 4 6 7 3 2" xfId="50243" xr:uid="{00000000-0005-0000-0000-00005D1F0000}"/>
    <cellStyle name="Comma 5 4 6 7 4" xfId="31173" xr:uid="{00000000-0005-0000-0000-00005E1F0000}"/>
    <cellStyle name="Comma 5 4 6 8" xfId="7056" xr:uid="{00000000-0005-0000-0000-00005F1F0000}"/>
    <cellStyle name="Comma 5 4 6 8 2" xfId="19782" xr:uid="{00000000-0005-0000-0000-0000601F0000}"/>
    <cellStyle name="Comma 5 4 6 8 2 2" xfId="45335" xr:uid="{00000000-0005-0000-0000-0000611F0000}"/>
    <cellStyle name="Comma 5 4 6 8 3" xfId="32613" xr:uid="{00000000-0005-0000-0000-0000621F0000}"/>
    <cellStyle name="Comma 5 4 6 9" xfId="16293" xr:uid="{00000000-0005-0000-0000-0000631F0000}"/>
    <cellStyle name="Comma 5 4 6 9 2" xfId="41846" xr:uid="{00000000-0005-0000-0000-0000641F0000}"/>
    <cellStyle name="Comma 5 4 7" xfId="663" xr:uid="{00000000-0005-0000-0000-0000651F0000}"/>
    <cellStyle name="Comma 5 4 7 2" xfId="3149" xr:uid="{00000000-0005-0000-0000-0000661F0000}"/>
    <cellStyle name="Comma 5 4 7 2 2" xfId="12292" xr:uid="{00000000-0005-0000-0000-0000671F0000}"/>
    <cellStyle name="Comma 5 4 7 2 2 2" xfId="22510" xr:uid="{00000000-0005-0000-0000-0000681F0000}"/>
    <cellStyle name="Comma 5 4 7 2 2 2 2" xfId="48063" xr:uid="{00000000-0005-0000-0000-0000691F0000}"/>
    <cellStyle name="Comma 5 4 7 2 2 3" xfId="37847" xr:uid="{00000000-0005-0000-0000-00006A1F0000}"/>
    <cellStyle name="Comma 5 4 7 2 3" xfId="8714" xr:uid="{00000000-0005-0000-0000-00006B1F0000}"/>
    <cellStyle name="Comma 5 4 7 2 3 2" xfId="34271" xr:uid="{00000000-0005-0000-0000-00006C1F0000}"/>
    <cellStyle name="Comma 5 4 7 2 4" xfId="17503" xr:uid="{00000000-0005-0000-0000-00006D1F0000}"/>
    <cellStyle name="Comma 5 4 7 2 4 2" xfId="43056" xr:uid="{00000000-0005-0000-0000-00006E1F0000}"/>
    <cellStyle name="Comma 5 4 7 2 5" xfId="28993" xr:uid="{00000000-0005-0000-0000-00006F1F0000}"/>
    <cellStyle name="Comma 5 4 7 3" xfId="4478" xr:uid="{00000000-0005-0000-0000-0000701F0000}"/>
    <cellStyle name="Comma 5 4 7 3 2" xfId="13316" xr:uid="{00000000-0005-0000-0000-0000711F0000}"/>
    <cellStyle name="Comma 5 4 7 3 2 2" xfId="23567" xr:uid="{00000000-0005-0000-0000-0000721F0000}"/>
    <cellStyle name="Comma 5 4 7 3 2 2 2" xfId="49120" xr:uid="{00000000-0005-0000-0000-0000731F0000}"/>
    <cellStyle name="Comma 5 4 7 3 2 3" xfId="38871" xr:uid="{00000000-0005-0000-0000-0000741F0000}"/>
    <cellStyle name="Comma 5 4 7 3 3" xfId="9737" xr:uid="{00000000-0005-0000-0000-0000751F0000}"/>
    <cellStyle name="Comma 5 4 7 3 3 2" xfId="35294" xr:uid="{00000000-0005-0000-0000-0000761F0000}"/>
    <cellStyle name="Comma 5 4 7 3 4" xfId="18560" xr:uid="{00000000-0005-0000-0000-0000771F0000}"/>
    <cellStyle name="Comma 5 4 7 3 4 2" xfId="44113" xr:uid="{00000000-0005-0000-0000-0000781F0000}"/>
    <cellStyle name="Comma 5 4 7 3 5" xfId="30050" xr:uid="{00000000-0005-0000-0000-0000791F0000}"/>
    <cellStyle name="Comma 5 4 7 4" xfId="2258" xr:uid="{00000000-0005-0000-0000-00007A1F0000}"/>
    <cellStyle name="Comma 5 4 7 4 2" xfId="11623" xr:uid="{00000000-0005-0000-0000-00007B1F0000}"/>
    <cellStyle name="Comma 5 4 7 4 2 2" xfId="37178" xr:uid="{00000000-0005-0000-0000-00007C1F0000}"/>
    <cellStyle name="Comma 5 4 7 4 3" xfId="21627" xr:uid="{00000000-0005-0000-0000-00007D1F0000}"/>
    <cellStyle name="Comma 5 4 7 4 3 2" xfId="47180" xr:uid="{00000000-0005-0000-0000-00007E1F0000}"/>
    <cellStyle name="Comma 5 4 7 4 4" xfId="28110" xr:uid="{00000000-0005-0000-0000-00007F1F0000}"/>
    <cellStyle name="Comma 5 4 7 5" xfId="5934" xr:uid="{00000000-0005-0000-0000-0000801F0000}"/>
    <cellStyle name="Comma 5 4 7 5 2" xfId="14761" xr:uid="{00000000-0005-0000-0000-0000811F0000}"/>
    <cellStyle name="Comma 5 4 7 5 2 2" xfId="40316" xr:uid="{00000000-0005-0000-0000-0000821F0000}"/>
    <cellStyle name="Comma 5 4 7 5 3" xfId="25012" xr:uid="{00000000-0005-0000-0000-0000831F0000}"/>
    <cellStyle name="Comma 5 4 7 5 3 2" xfId="50565" xr:uid="{00000000-0005-0000-0000-0000841F0000}"/>
    <cellStyle name="Comma 5 4 7 5 4" xfId="31495" xr:uid="{00000000-0005-0000-0000-0000851F0000}"/>
    <cellStyle name="Comma 5 4 7 6" xfId="7378" xr:uid="{00000000-0005-0000-0000-0000861F0000}"/>
    <cellStyle name="Comma 5 4 7 6 2" xfId="20109" xr:uid="{00000000-0005-0000-0000-0000871F0000}"/>
    <cellStyle name="Comma 5 4 7 6 2 2" xfId="45662" xr:uid="{00000000-0005-0000-0000-0000881F0000}"/>
    <cellStyle name="Comma 5 4 7 6 3" xfId="32935" xr:uid="{00000000-0005-0000-0000-0000891F0000}"/>
    <cellStyle name="Comma 5 4 7 7" xfId="16620" xr:uid="{00000000-0005-0000-0000-00008A1F0000}"/>
    <cellStyle name="Comma 5 4 7 7 2" xfId="42173" xr:uid="{00000000-0005-0000-0000-00008B1F0000}"/>
    <cellStyle name="Comma 5 4 7 8" xfId="26592" xr:uid="{00000000-0005-0000-0000-00008C1F0000}"/>
    <cellStyle name="Comma 5 4 8" xfId="1063" xr:uid="{00000000-0005-0000-0000-00008D1F0000}"/>
    <cellStyle name="Comma 5 4 8 2" xfId="3492" xr:uid="{00000000-0005-0000-0000-00008E1F0000}"/>
    <cellStyle name="Comma 5 4 8 2 2" xfId="12628" xr:uid="{00000000-0005-0000-0000-00008F1F0000}"/>
    <cellStyle name="Comma 5 4 8 2 2 2" xfId="22847" xr:uid="{00000000-0005-0000-0000-0000901F0000}"/>
    <cellStyle name="Comma 5 4 8 2 2 2 2" xfId="48400" xr:uid="{00000000-0005-0000-0000-0000911F0000}"/>
    <cellStyle name="Comma 5 4 8 2 2 3" xfId="38183" xr:uid="{00000000-0005-0000-0000-0000921F0000}"/>
    <cellStyle name="Comma 5 4 8 2 3" xfId="9050" xr:uid="{00000000-0005-0000-0000-0000931F0000}"/>
    <cellStyle name="Comma 5 4 8 2 3 2" xfId="34607" xr:uid="{00000000-0005-0000-0000-0000941F0000}"/>
    <cellStyle name="Comma 5 4 8 2 4" xfId="17840" xr:uid="{00000000-0005-0000-0000-0000951F0000}"/>
    <cellStyle name="Comma 5 4 8 2 4 2" xfId="43393" xr:uid="{00000000-0005-0000-0000-0000961F0000}"/>
    <cellStyle name="Comma 5 4 8 2 5" xfId="29330" xr:uid="{00000000-0005-0000-0000-0000971F0000}"/>
    <cellStyle name="Comma 5 4 8 3" xfId="4827" xr:uid="{00000000-0005-0000-0000-0000981F0000}"/>
    <cellStyle name="Comma 5 4 8 3 2" xfId="13664" xr:uid="{00000000-0005-0000-0000-0000991F0000}"/>
    <cellStyle name="Comma 5 4 8 3 2 2" xfId="23915" xr:uid="{00000000-0005-0000-0000-00009A1F0000}"/>
    <cellStyle name="Comma 5 4 8 3 2 2 2" xfId="49468" xr:uid="{00000000-0005-0000-0000-00009B1F0000}"/>
    <cellStyle name="Comma 5 4 8 3 2 3" xfId="39219" xr:uid="{00000000-0005-0000-0000-00009C1F0000}"/>
    <cellStyle name="Comma 5 4 8 3 3" xfId="10085" xr:uid="{00000000-0005-0000-0000-00009D1F0000}"/>
    <cellStyle name="Comma 5 4 8 3 3 2" xfId="35642" xr:uid="{00000000-0005-0000-0000-00009E1F0000}"/>
    <cellStyle name="Comma 5 4 8 3 4" xfId="18908" xr:uid="{00000000-0005-0000-0000-00009F1F0000}"/>
    <cellStyle name="Comma 5 4 8 3 4 2" xfId="44461" xr:uid="{00000000-0005-0000-0000-0000A01F0000}"/>
    <cellStyle name="Comma 5 4 8 3 5" xfId="30398" xr:uid="{00000000-0005-0000-0000-0000A11F0000}"/>
    <cellStyle name="Comma 5 4 8 4" xfId="1729" xr:uid="{00000000-0005-0000-0000-0000A21F0000}"/>
    <cellStyle name="Comma 5 4 8 4 2" xfId="11103" xr:uid="{00000000-0005-0000-0000-0000A31F0000}"/>
    <cellStyle name="Comma 5 4 8 4 2 2" xfId="36658" xr:uid="{00000000-0005-0000-0000-0000A41F0000}"/>
    <cellStyle name="Comma 5 4 8 4 3" xfId="21107" xr:uid="{00000000-0005-0000-0000-0000A51F0000}"/>
    <cellStyle name="Comma 5 4 8 4 3 2" xfId="46660" xr:uid="{00000000-0005-0000-0000-0000A61F0000}"/>
    <cellStyle name="Comma 5 4 8 4 4" xfId="27590" xr:uid="{00000000-0005-0000-0000-0000A71F0000}"/>
    <cellStyle name="Comma 5 4 8 5" xfId="6282" xr:uid="{00000000-0005-0000-0000-0000A81F0000}"/>
    <cellStyle name="Comma 5 4 8 5 2" xfId="15109" xr:uid="{00000000-0005-0000-0000-0000A91F0000}"/>
    <cellStyle name="Comma 5 4 8 5 2 2" xfId="40664" xr:uid="{00000000-0005-0000-0000-0000AA1F0000}"/>
    <cellStyle name="Comma 5 4 8 5 3" xfId="25360" xr:uid="{00000000-0005-0000-0000-0000AB1F0000}"/>
    <cellStyle name="Comma 5 4 8 5 3 2" xfId="50913" xr:uid="{00000000-0005-0000-0000-0000AC1F0000}"/>
    <cellStyle name="Comma 5 4 8 5 4" xfId="31843" xr:uid="{00000000-0005-0000-0000-0000AD1F0000}"/>
    <cellStyle name="Comma 5 4 8 6" xfId="7728" xr:uid="{00000000-0005-0000-0000-0000AE1F0000}"/>
    <cellStyle name="Comma 5 4 8 6 2" xfId="20446" xr:uid="{00000000-0005-0000-0000-0000AF1F0000}"/>
    <cellStyle name="Comma 5 4 8 6 2 2" xfId="45999" xr:uid="{00000000-0005-0000-0000-0000B01F0000}"/>
    <cellStyle name="Comma 5 4 8 6 3" xfId="33285" xr:uid="{00000000-0005-0000-0000-0000B11F0000}"/>
    <cellStyle name="Comma 5 4 8 7" xfId="16100" xr:uid="{00000000-0005-0000-0000-0000B21F0000}"/>
    <cellStyle name="Comma 5 4 8 7 2" xfId="41653" xr:uid="{00000000-0005-0000-0000-0000B31F0000}"/>
    <cellStyle name="Comma 5 4 8 8" xfId="26929" xr:uid="{00000000-0005-0000-0000-0000B41F0000}"/>
    <cellStyle name="Comma 5 4 9" xfId="2629" xr:uid="{00000000-0005-0000-0000-0000B51F0000}"/>
    <cellStyle name="Comma 5 4 9 2" xfId="5155" xr:uid="{00000000-0005-0000-0000-0000B61F0000}"/>
    <cellStyle name="Comma 5 4 9 2 2" xfId="13992" xr:uid="{00000000-0005-0000-0000-0000B71F0000}"/>
    <cellStyle name="Comma 5 4 9 2 2 2" xfId="24243" xr:uid="{00000000-0005-0000-0000-0000B81F0000}"/>
    <cellStyle name="Comma 5 4 9 2 2 2 2" xfId="49796" xr:uid="{00000000-0005-0000-0000-0000B91F0000}"/>
    <cellStyle name="Comma 5 4 9 2 2 3" xfId="39547" xr:uid="{00000000-0005-0000-0000-0000BA1F0000}"/>
    <cellStyle name="Comma 5 4 9 2 3" xfId="10413" xr:uid="{00000000-0005-0000-0000-0000BB1F0000}"/>
    <cellStyle name="Comma 5 4 9 2 3 2" xfId="35970" xr:uid="{00000000-0005-0000-0000-0000BC1F0000}"/>
    <cellStyle name="Comma 5 4 9 2 4" xfId="19236" xr:uid="{00000000-0005-0000-0000-0000BD1F0000}"/>
    <cellStyle name="Comma 5 4 9 2 4 2" xfId="44789" xr:uid="{00000000-0005-0000-0000-0000BE1F0000}"/>
    <cellStyle name="Comma 5 4 9 2 5" xfId="30726" xr:uid="{00000000-0005-0000-0000-0000BF1F0000}"/>
    <cellStyle name="Comma 5 4 9 3" xfId="6610" xr:uid="{00000000-0005-0000-0000-0000C01F0000}"/>
    <cellStyle name="Comma 5 4 9 3 2" xfId="15437" xr:uid="{00000000-0005-0000-0000-0000C11F0000}"/>
    <cellStyle name="Comma 5 4 9 3 2 2" xfId="40992" xr:uid="{00000000-0005-0000-0000-0000C21F0000}"/>
    <cellStyle name="Comma 5 4 9 3 3" xfId="25688" xr:uid="{00000000-0005-0000-0000-0000C31F0000}"/>
    <cellStyle name="Comma 5 4 9 3 3 2" xfId="51241" xr:uid="{00000000-0005-0000-0000-0000C41F0000}"/>
    <cellStyle name="Comma 5 4 9 3 4" xfId="32171" xr:uid="{00000000-0005-0000-0000-0000C51F0000}"/>
    <cellStyle name="Comma 5 4 9 4" xfId="8056" xr:uid="{00000000-0005-0000-0000-0000C61F0000}"/>
    <cellStyle name="Comma 5 4 9 4 2" xfId="21991" xr:uid="{00000000-0005-0000-0000-0000C71F0000}"/>
    <cellStyle name="Comma 5 4 9 4 2 2" xfId="47544" xr:uid="{00000000-0005-0000-0000-0000C81F0000}"/>
    <cellStyle name="Comma 5 4 9 4 3" xfId="33613" xr:uid="{00000000-0005-0000-0000-0000C91F0000}"/>
    <cellStyle name="Comma 5 4 9 5" xfId="16984" xr:uid="{00000000-0005-0000-0000-0000CA1F0000}"/>
    <cellStyle name="Comma 5 4 9 5 2" xfId="42537" xr:uid="{00000000-0005-0000-0000-0000CB1F0000}"/>
    <cellStyle name="Comma 5 4 9 6" xfId="28474" xr:uid="{00000000-0005-0000-0000-0000CC1F0000}"/>
    <cellStyle name="Comma 5 5" xfId="138" xr:uid="{00000000-0005-0000-0000-0000CD1F0000}"/>
    <cellStyle name="Comma 5 5 10" xfId="1406" xr:uid="{00000000-0005-0000-0000-0000CE1F0000}"/>
    <cellStyle name="Comma 5 5 10 2" xfId="10783" xr:uid="{00000000-0005-0000-0000-0000CF1F0000}"/>
    <cellStyle name="Comma 5 5 10 2 2" xfId="36338" xr:uid="{00000000-0005-0000-0000-0000D01F0000}"/>
    <cellStyle name="Comma 5 5 10 3" xfId="20787" xr:uid="{00000000-0005-0000-0000-0000D11F0000}"/>
    <cellStyle name="Comma 5 5 10 3 2" xfId="46340" xr:uid="{00000000-0005-0000-0000-0000D21F0000}"/>
    <cellStyle name="Comma 5 5 10 4" xfId="27270" xr:uid="{00000000-0005-0000-0000-0000D31F0000}"/>
    <cellStyle name="Comma 5 5 11" xfId="5517" xr:uid="{00000000-0005-0000-0000-0000D41F0000}"/>
    <cellStyle name="Comma 5 5 11 2" xfId="14344" xr:uid="{00000000-0005-0000-0000-0000D51F0000}"/>
    <cellStyle name="Comma 5 5 11 2 2" xfId="39899" xr:uid="{00000000-0005-0000-0000-0000D61F0000}"/>
    <cellStyle name="Comma 5 5 11 3" xfId="24595" xr:uid="{00000000-0005-0000-0000-0000D71F0000}"/>
    <cellStyle name="Comma 5 5 11 3 2" xfId="50148" xr:uid="{00000000-0005-0000-0000-0000D81F0000}"/>
    <cellStyle name="Comma 5 5 11 4" xfId="31078" xr:uid="{00000000-0005-0000-0000-0000D91F0000}"/>
    <cellStyle name="Comma 5 5 12" xfId="6957" xr:uid="{00000000-0005-0000-0000-0000DA1F0000}"/>
    <cellStyle name="Comma 5 5 12 2" xfId="19602" xr:uid="{00000000-0005-0000-0000-0000DB1F0000}"/>
    <cellStyle name="Comma 5 5 12 2 2" xfId="45155" xr:uid="{00000000-0005-0000-0000-0000DC1F0000}"/>
    <cellStyle name="Comma 5 5 12 3" xfId="32515" xr:uid="{00000000-0005-0000-0000-0000DD1F0000}"/>
    <cellStyle name="Comma 5 5 13" xfId="15780" xr:uid="{00000000-0005-0000-0000-0000DE1F0000}"/>
    <cellStyle name="Comma 5 5 13 2" xfId="41333" xr:uid="{00000000-0005-0000-0000-0000DF1F0000}"/>
    <cellStyle name="Comma 5 5 14" xfId="26085" xr:uid="{00000000-0005-0000-0000-0000E01F0000}"/>
    <cellStyle name="Comma 5 5 2" xfId="188" xr:uid="{00000000-0005-0000-0000-0000E11F0000}"/>
    <cellStyle name="Comma 5 5 2 10" xfId="7136" xr:uid="{00000000-0005-0000-0000-0000E21F0000}"/>
    <cellStyle name="Comma 5 5 2 10 2" xfId="19645" xr:uid="{00000000-0005-0000-0000-0000E31F0000}"/>
    <cellStyle name="Comma 5 5 2 10 2 2" xfId="45198" xr:uid="{00000000-0005-0000-0000-0000E41F0000}"/>
    <cellStyle name="Comma 5 5 2 10 3" xfId="32693" xr:uid="{00000000-0005-0000-0000-0000E51F0000}"/>
    <cellStyle name="Comma 5 5 2 11" xfId="15882" xr:uid="{00000000-0005-0000-0000-0000E61F0000}"/>
    <cellStyle name="Comma 5 5 2 11 2" xfId="41435" xr:uid="{00000000-0005-0000-0000-0000E71F0000}"/>
    <cellStyle name="Comma 5 5 2 12" xfId="26128" xr:uid="{00000000-0005-0000-0000-0000E81F0000}"/>
    <cellStyle name="Comma 5 5 2 2" xfId="516" xr:uid="{00000000-0005-0000-0000-0000E91F0000}"/>
    <cellStyle name="Comma 5 5 2 2 10" xfId="26445" xr:uid="{00000000-0005-0000-0000-0000EA1F0000}"/>
    <cellStyle name="Comma 5 5 2 2 2" xfId="675" xr:uid="{00000000-0005-0000-0000-0000EB1F0000}"/>
    <cellStyle name="Comma 5 5 2 2 2 2" xfId="3161" xr:uid="{00000000-0005-0000-0000-0000EC1F0000}"/>
    <cellStyle name="Comma 5 5 2 2 2 2 2" xfId="12304" xr:uid="{00000000-0005-0000-0000-0000ED1F0000}"/>
    <cellStyle name="Comma 5 5 2 2 2 2 2 2" xfId="22522" xr:uid="{00000000-0005-0000-0000-0000EE1F0000}"/>
    <cellStyle name="Comma 5 5 2 2 2 2 2 2 2" xfId="48075" xr:uid="{00000000-0005-0000-0000-0000EF1F0000}"/>
    <cellStyle name="Comma 5 5 2 2 2 2 2 3" xfId="37859" xr:uid="{00000000-0005-0000-0000-0000F01F0000}"/>
    <cellStyle name="Comma 5 5 2 2 2 2 3" xfId="8726" xr:uid="{00000000-0005-0000-0000-0000F11F0000}"/>
    <cellStyle name="Comma 5 5 2 2 2 2 3 2" xfId="34283" xr:uid="{00000000-0005-0000-0000-0000F21F0000}"/>
    <cellStyle name="Comma 5 5 2 2 2 2 4" xfId="17515" xr:uid="{00000000-0005-0000-0000-0000F31F0000}"/>
    <cellStyle name="Comma 5 5 2 2 2 2 4 2" xfId="43068" xr:uid="{00000000-0005-0000-0000-0000F41F0000}"/>
    <cellStyle name="Comma 5 5 2 2 2 2 5" xfId="29005" xr:uid="{00000000-0005-0000-0000-0000F51F0000}"/>
    <cellStyle name="Comma 5 5 2 2 2 3" xfId="4490" xr:uid="{00000000-0005-0000-0000-0000F61F0000}"/>
    <cellStyle name="Comma 5 5 2 2 2 3 2" xfId="13328" xr:uid="{00000000-0005-0000-0000-0000F71F0000}"/>
    <cellStyle name="Comma 5 5 2 2 2 3 2 2" xfId="23579" xr:uid="{00000000-0005-0000-0000-0000F81F0000}"/>
    <cellStyle name="Comma 5 5 2 2 2 3 2 2 2" xfId="49132" xr:uid="{00000000-0005-0000-0000-0000F91F0000}"/>
    <cellStyle name="Comma 5 5 2 2 2 3 2 3" xfId="38883" xr:uid="{00000000-0005-0000-0000-0000FA1F0000}"/>
    <cellStyle name="Comma 5 5 2 2 2 3 3" xfId="9749" xr:uid="{00000000-0005-0000-0000-0000FB1F0000}"/>
    <cellStyle name="Comma 5 5 2 2 2 3 3 2" xfId="35306" xr:uid="{00000000-0005-0000-0000-0000FC1F0000}"/>
    <cellStyle name="Comma 5 5 2 2 2 3 4" xfId="18572" xr:uid="{00000000-0005-0000-0000-0000FD1F0000}"/>
    <cellStyle name="Comma 5 5 2 2 2 3 4 2" xfId="44125" xr:uid="{00000000-0005-0000-0000-0000FE1F0000}"/>
    <cellStyle name="Comma 5 5 2 2 2 3 5" xfId="30062" xr:uid="{00000000-0005-0000-0000-0000FF1F0000}"/>
    <cellStyle name="Comma 5 5 2 2 2 4" xfId="2270" xr:uid="{00000000-0005-0000-0000-000000200000}"/>
    <cellStyle name="Comma 5 5 2 2 2 4 2" xfId="11635" xr:uid="{00000000-0005-0000-0000-000001200000}"/>
    <cellStyle name="Comma 5 5 2 2 2 4 2 2" xfId="37190" xr:uid="{00000000-0005-0000-0000-000002200000}"/>
    <cellStyle name="Comma 5 5 2 2 2 4 3" xfId="21639" xr:uid="{00000000-0005-0000-0000-000003200000}"/>
    <cellStyle name="Comma 5 5 2 2 2 4 3 2" xfId="47192" xr:uid="{00000000-0005-0000-0000-000004200000}"/>
    <cellStyle name="Comma 5 5 2 2 2 4 4" xfId="28122" xr:uid="{00000000-0005-0000-0000-000005200000}"/>
    <cellStyle name="Comma 5 5 2 2 2 5" xfId="5946" xr:uid="{00000000-0005-0000-0000-000006200000}"/>
    <cellStyle name="Comma 5 5 2 2 2 5 2" xfId="14773" xr:uid="{00000000-0005-0000-0000-000007200000}"/>
    <cellStyle name="Comma 5 5 2 2 2 5 2 2" xfId="40328" xr:uid="{00000000-0005-0000-0000-000008200000}"/>
    <cellStyle name="Comma 5 5 2 2 2 5 3" xfId="25024" xr:uid="{00000000-0005-0000-0000-000009200000}"/>
    <cellStyle name="Comma 5 5 2 2 2 5 3 2" xfId="50577" xr:uid="{00000000-0005-0000-0000-00000A200000}"/>
    <cellStyle name="Comma 5 5 2 2 2 5 4" xfId="31507" xr:uid="{00000000-0005-0000-0000-00000B200000}"/>
    <cellStyle name="Comma 5 5 2 2 2 6" xfId="7390" xr:uid="{00000000-0005-0000-0000-00000C200000}"/>
    <cellStyle name="Comma 5 5 2 2 2 6 2" xfId="20121" xr:uid="{00000000-0005-0000-0000-00000D200000}"/>
    <cellStyle name="Comma 5 5 2 2 2 6 2 2" xfId="45674" xr:uid="{00000000-0005-0000-0000-00000E200000}"/>
    <cellStyle name="Comma 5 5 2 2 2 6 3" xfId="32947" xr:uid="{00000000-0005-0000-0000-00000F200000}"/>
    <cellStyle name="Comma 5 5 2 2 2 7" xfId="16632" xr:uid="{00000000-0005-0000-0000-000010200000}"/>
    <cellStyle name="Comma 5 5 2 2 2 7 2" xfId="42185" xr:uid="{00000000-0005-0000-0000-000011200000}"/>
    <cellStyle name="Comma 5 5 2 2 2 8" xfId="26604" xr:uid="{00000000-0005-0000-0000-000012200000}"/>
    <cellStyle name="Comma 5 5 2 2 3" xfId="1288" xr:uid="{00000000-0005-0000-0000-000013200000}"/>
    <cellStyle name="Comma 5 5 2 2 3 2" xfId="3717" xr:uid="{00000000-0005-0000-0000-000014200000}"/>
    <cellStyle name="Comma 5 5 2 2 3 2 2" xfId="12853" xr:uid="{00000000-0005-0000-0000-000015200000}"/>
    <cellStyle name="Comma 5 5 2 2 3 2 2 2" xfId="23072" xr:uid="{00000000-0005-0000-0000-000016200000}"/>
    <cellStyle name="Comma 5 5 2 2 3 2 2 2 2" xfId="48625" xr:uid="{00000000-0005-0000-0000-000017200000}"/>
    <cellStyle name="Comma 5 5 2 2 3 2 2 3" xfId="38408" xr:uid="{00000000-0005-0000-0000-000018200000}"/>
    <cellStyle name="Comma 5 5 2 2 3 2 3" xfId="9274" xr:uid="{00000000-0005-0000-0000-000019200000}"/>
    <cellStyle name="Comma 5 5 2 2 3 2 3 2" xfId="34831" xr:uid="{00000000-0005-0000-0000-00001A200000}"/>
    <cellStyle name="Comma 5 5 2 2 3 2 4" xfId="18065" xr:uid="{00000000-0005-0000-0000-00001B200000}"/>
    <cellStyle name="Comma 5 5 2 2 3 2 4 2" xfId="43618" xr:uid="{00000000-0005-0000-0000-00001C200000}"/>
    <cellStyle name="Comma 5 5 2 2 3 2 5" xfId="29555" xr:uid="{00000000-0005-0000-0000-00001D200000}"/>
    <cellStyle name="Comma 5 5 2 2 3 3" xfId="4839" xr:uid="{00000000-0005-0000-0000-00001E200000}"/>
    <cellStyle name="Comma 5 5 2 2 3 3 2" xfId="13676" xr:uid="{00000000-0005-0000-0000-00001F200000}"/>
    <cellStyle name="Comma 5 5 2 2 3 3 2 2" xfId="23927" xr:uid="{00000000-0005-0000-0000-000020200000}"/>
    <cellStyle name="Comma 5 5 2 2 3 3 2 2 2" xfId="49480" xr:uid="{00000000-0005-0000-0000-000021200000}"/>
    <cellStyle name="Comma 5 5 2 2 3 3 2 3" xfId="39231" xr:uid="{00000000-0005-0000-0000-000022200000}"/>
    <cellStyle name="Comma 5 5 2 2 3 3 3" xfId="10097" xr:uid="{00000000-0005-0000-0000-000023200000}"/>
    <cellStyle name="Comma 5 5 2 2 3 3 3 2" xfId="35654" xr:uid="{00000000-0005-0000-0000-000024200000}"/>
    <cellStyle name="Comma 5 5 2 2 3 3 4" xfId="18920" xr:uid="{00000000-0005-0000-0000-000025200000}"/>
    <cellStyle name="Comma 5 5 2 2 3 3 4 2" xfId="44473" xr:uid="{00000000-0005-0000-0000-000026200000}"/>
    <cellStyle name="Comma 5 5 2 2 3 3 5" xfId="30410" xr:uid="{00000000-0005-0000-0000-000027200000}"/>
    <cellStyle name="Comma 5 5 2 2 3 4" xfId="2111" xr:uid="{00000000-0005-0000-0000-000028200000}"/>
    <cellStyle name="Comma 5 5 2 2 3 4 2" xfId="11476" xr:uid="{00000000-0005-0000-0000-000029200000}"/>
    <cellStyle name="Comma 5 5 2 2 3 4 2 2" xfId="37031" xr:uid="{00000000-0005-0000-0000-00002A200000}"/>
    <cellStyle name="Comma 5 5 2 2 3 4 3" xfId="21480" xr:uid="{00000000-0005-0000-0000-00002B200000}"/>
    <cellStyle name="Comma 5 5 2 2 3 4 3 2" xfId="47033" xr:uid="{00000000-0005-0000-0000-00002C200000}"/>
    <cellStyle name="Comma 5 5 2 2 3 4 4" xfId="27963" xr:uid="{00000000-0005-0000-0000-00002D200000}"/>
    <cellStyle name="Comma 5 5 2 2 3 5" xfId="6294" xr:uid="{00000000-0005-0000-0000-00002E200000}"/>
    <cellStyle name="Comma 5 5 2 2 3 5 2" xfId="15121" xr:uid="{00000000-0005-0000-0000-00002F200000}"/>
    <cellStyle name="Comma 5 5 2 2 3 5 2 2" xfId="40676" xr:uid="{00000000-0005-0000-0000-000030200000}"/>
    <cellStyle name="Comma 5 5 2 2 3 5 3" xfId="25372" xr:uid="{00000000-0005-0000-0000-000031200000}"/>
    <cellStyle name="Comma 5 5 2 2 3 5 3 2" xfId="50925" xr:uid="{00000000-0005-0000-0000-000032200000}"/>
    <cellStyle name="Comma 5 5 2 2 3 5 4" xfId="31855" xr:uid="{00000000-0005-0000-0000-000033200000}"/>
    <cellStyle name="Comma 5 5 2 2 3 6" xfId="7740" xr:uid="{00000000-0005-0000-0000-000034200000}"/>
    <cellStyle name="Comma 5 5 2 2 3 6 2" xfId="20671" xr:uid="{00000000-0005-0000-0000-000035200000}"/>
    <cellStyle name="Comma 5 5 2 2 3 6 2 2" xfId="46224" xr:uid="{00000000-0005-0000-0000-000036200000}"/>
    <cellStyle name="Comma 5 5 2 2 3 6 3" xfId="33297" xr:uid="{00000000-0005-0000-0000-000037200000}"/>
    <cellStyle name="Comma 5 5 2 2 3 7" xfId="16473" xr:uid="{00000000-0005-0000-0000-000038200000}"/>
    <cellStyle name="Comma 5 5 2 2 3 7 2" xfId="42026" xr:uid="{00000000-0005-0000-0000-000039200000}"/>
    <cellStyle name="Comma 5 5 2 2 3 8" xfId="27154" xr:uid="{00000000-0005-0000-0000-00003A200000}"/>
    <cellStyle name="Comma 5 5 2 2 4" xfId="3002" xr:uid="{00000000-0005-0000-0000-00003B200000}"/>
    <cellStyle name="Comma 5 5 2 2 4 2" xfId="5380" xr:uid="{00000000-0005-0000-0000-00003C200000}"/>
    <cellStyle name="Comma 5 5 2 2 4 2 2" xfId="14217" xr:uid="{00000000-0005-0000-0000-00003D200000}"/>
    <cellStyle name="Comma 5 5 2 2 4 2 2 2" xfId="24468" xr:uid="{00000000-0005-0000-0000-00003E200000}"/>
    <cellStyle name="Comma 5 5 2 2 4 2 2 2 2" xfId="50021" xr:uid="{00000000-0005-0000-0000-00003F200000}"/>
    <cellStyle name="Comma 5 5 2 2 4 2 2 3" xfId="39772" xr:uid="{00000000-0005-0000-0000-000040200000}"/>
    <cellStyle name="Comma 5 5 2 2 4 2 3" xfId="10638" xr:uid="{00000000-0005-0000-0000-000041200000}"/>
    <cellStyle name="Comma 5 5 2 2 4 2 3 2" xfId="36195" xr:uid="{00000000-0005-0000-0000-000042200000}"/>
    <cellStyle name="Comma 5 5 2 2 4 2 4" xfId="19461" xr:uid="{00000000-0005-0000-0000-000043200000}"/>
    <cellStyle name="Comma 5 5 2 2 4 2 4 2" xfId="45014" xr:uid="{00000000-0005-0000-0000-000044200000}"/>
    <cellStyle name="Comma 5 5 2 2 4 2 5" xfId="30951" xr:uid="{00000000-0005-0000-0000-000045200000}"/>
    <cellStyle name="Comma 5 5 2 2 4 3" xfId="6835" xr:uid="{00000000-0005-0000-0000-000046200000}"/>
    <cellStyle name="Comma 5 5 2 2 4 3 2" xfId="15662" xr:uid="{00000000-0005-0000-0000-000047200000}"/>
    <cellStyle name="Comma 5 5 2 2 4 3 2 2" xfId="41217" xr:uid="{00000000-0005-0000-0000-000048200000}"/>
    <cellStyle name="Comma 5 5 2 2 4 3 3" xfId="25913" xr:uid="{00000000-0005-0000-0000-000049200000}"/>
    <cellStyle name="Comma 5 5 2 2 4 3 3 2" xfId="51466" xr:uid="{00000000-0005-0000-0000-00004A200000}"/>
    <cellStyle name="Comma 5 5 2 2 4 3 4" xfId="32396" xr:uid="{00000000-0005-0000-0000-00004B200000}"/>
    <cellStyle name="Comma 5 5 2 2 4 4" xfId="8281" xr:uid="{00000000-0005-0000-0000-00004C200000}"/>
    <cellStyle name="Comma 5 5 2 2 4 4 2" xfId="22363" xr:uid="{00000000-0005-0000-0000-00004D200000}"/>
    <cellStyle name="Comma 5 5 2 2 4 4 2 2" xfId="47916" xr:uid="{00000000-0005-0000-0000-00004E200000}"/>
    <cellStyle name="Comma 5 5 2 2 4 4 3" xfId="33838" xr:uid="{00000000-0005-0000-0000-00004F200000}"/>
    <cellStyle name="Comma 5 5 2 2 4 5" xfId="17356" xr:uid="{00000000-0005-0000-0000-000050200000}"/>
    <cellStyle name="Comma 5 5 2 2 4 5 2" xfId="42909" xr:uid="{00000000-0005-0000-0000-000051200000}"/>
    <cellStyle name="Comma 5 5 2 2 4 6" xfId="28846" xr:uid="{00000000-0005-0000-0000-000052200000}"/>
    <cellStyle name="Comma 5 5 2 2 5" xfId="4336" xr:uid="{00000000-0005-0000-0000-000053200000}"/>
    <cellStyle name="Comma 5 5 2 2 5 2" xfId="13174" xr:uid="{00000000-0005-0000-0000-000054200000}"/>
    <cellStyle name="Comma 5 5 2 2 5 2 2" xfId="23425" xr:uid="{00000000-0005-0000-0000-000055200000}"/>
    <cellStyle name="Comma 5 5 2 2 5 2 2 2" xfId="48978" xr:uid="{00000000-0005-0000-0000-000056200000}"/>
    <cellStyle name="Comma 5 5 2 2 5 2 3" xfId="38729" xr:uid="{00000000-0005-0000-0000-000057200000}"/>
    <cellStyle name="Comma 5 5 2 2 5 3" xfId="9595" xr:uid="{00000000-0005-0000-0000-000058200000}"/>
    <cellStyle name="Comma 5 5 2 2 5 3 2" xfId="35152" xr:uid="{00000000-0005-0000-0000-000059200000}"/>
    <cellStyle name="Comma 5 5 2 2 5 4" xfId="18418" xr:uid="{00000000-0005-0000-0000-00005A200000}"/>
    <cellStyle name="Comma 5 5 2 2 5 4 2" xfId="43971" xr:uid="{00000000-0005-0000-0000-00005B200000}"/>
    <cellStyle name="Comma 5 5 2 2 5 5" xfId="29908" xr:uid="{00000000-0005-0000-0000-00005C200000}"/>
    <cellStyle name="Comma 5 5 2 2 6" xfId="1608" xr:uid="{00000000-0005-0000-0000-00005D200000}"/>
    <cellStyle name="Comma 5 5 2 2 6 2" xfId="10985" xr:uid="{00000000-0005-0000-0000-00005E200000}"/>
    <cellStyle name="Comma 5 5 2 2 6 2 2" xfId="36540" xr:uid="{00000000-0005-0000-0000-00005F200000}"/>
    <cellStyle name="Comma 5 5 2 2 6 3" xfId="20989" xr:uid="{00000000-0005-0000-0000-000060200000}"/>
    <cellStyle name="Comma 5 5 2 2 6 3 2" xfId="46542" xr:uid="{00000000-0005-0000-0000-000061200000}"/>
    <cellStyle name="Comma 5 5 2 2 6 4" xfId="27472" xr:uid="{00000000-0005-0000-0000-000062200000}"/>
    <cellStyle name="Comma 5 5 2 2 7" xfId="5792" xr:uid="{00000000-0005-0000-0000-000063200000}"/>
    <cellStyle name="Comma 5 5 2 2 7 2" xfId="14619" xr:uid="{00000000-0005-0000-0000-000064200000}"/>
    <cellStyle name="Comma 5 5 2 2 7 2 2" xfId="40174" xr:uid="{00000000-0005-0000-0000-000065200000}"/>
    <cellStyle name="Comma 5 5 2 2 7 3" xfId="24870" xr:uid="{00000000-0005-0000-0000-000066200000}"/>
    <cellStyle name="Comma 5 5 2 2 7 3 2" xfId="50423" xr:uid="{00000000-0005-0000-0000-000067200000}"/>
    <cellStyle name="Comma 5 5 2 2 7 4" xfId="31353" xr:uid="{00000000-0005-0000-0000-000068200000}"/>
    <cellStyle name="Comma 5 5 2 2 8" xfId="7236" xr:uid="{00000000-0005-0000-0000-000069200000}"/>
    <cellStyle name="Comma 5 5 2 2 8 2" xfId="19962" xr:uid="{00000000-0005-0000-0000-00006A200000}"/>
    <cellStyle name="Comma 5 5 2 2 8 2 2" xfId="45515" xr:uid="{00000000-0005-0000-0000-00006B200000}"/>
    <cellStyle name="Comma 5 5 2 2 8 3" xfId="32793" xr:uid="{00000000-0005-0000-0000-00006C200000}"/>
    <cellStyle name="Comma 5 5 2 2 9" xfId="15982" xr:uid="{00000000-0005-0000-0000-00006D200000}"/>
    <cellStyle name="Comma 5 5 2 2 9 2" xfId="41535" xr:uid="{00000000-0005-0000-0000-00006E200000}"/>
    <cellStyle name="Comma 5 5 2 3" xfId="416" xr:uid="{00000000-0005-0000-0000-00006F200000}"/>
    <cellStyle name="Comma 5 5 2 3 2" xfId="2902" xr:uid="{00000000-0005-0000-0000-000070200000}"/>
    <cellStyle name="Comma 5 5 2 3 2 2" xfId="12190" xr:uid="{00000000-0005-0000-0000-000071200000}"/>
    <cellStyle name="Comma 5 5 2 3 2 2 2" xfId="22263" xr:uid="{00000000-0005-0000-0000-000072200000}"/>
    <cellStyle name="Comma 5 5 2 3 2 2 2 2" xfId="47816" xr:uid="{00000000-0005-0000-0000-000073200000}"/>
    <cellStyle name="Comma 5 5 2 3 2 2 3" xfId="37745" xr:uid="{00000000-0005-0000-0000-000074200000}"/>
    <cellStyle name="Comma 5 5 2 3 2 3" xfId="8630" xr:uid="{00000000-0005-0000-0000-000075200000}"/>
    <cellStyle name="Comma 5 5 2 3 2 3 2" xfId="34187" xr:uid="{00000000-0005-0000-0000-000076200000}"/>
    <cellStyle name="Comma 5 5 2 3 2 4" xfId="17256" xr:uid="{00000000-0005-0000-0000-000077200000}"/>
    <cellStyle name="Comma 5 5 2 3 2 4 2" xfId="42809" xr:uid="{00000000-0005-0000-0000-000078200000}"/>
    <cellStyle name="Comma 5 5 2 3 2 5" xfId="28746" xr:uid="{00000000-0005-0000-0000-000079200000}"/>
    <cellStyle name="Comma 5 5 2 3 3" xfId="4489" xr:uid="{00000000-0005-0000-0000-00007A200000}"/>
    <cellStyle name="Comma 5 5 2 3 3 2" xfId="13327" xr:uid="{00000000-0005-0000-0000-00007B200000}"/>
    <cellStyle name="Comma 5 5 2 3 3 2 2" xfId="23578" xr:uid="{00000000-0005-0000-0000-00007C200000}"/>
    <cellStyle name="Comma 5 5 2 3 3 2 2 2" xfId="49131" xr:uid="{00000000-0005-0000-0000-00007D200000}"/>
    <cellStyle name="Comma 5 5 2 3 3 2 3" xfId="38882" xr:uid="{00000000-0005-0000-0000-00007E200000}"/>
    <cellStyle name="Comma 5 5 2 3 3 3" xfId="9748" xr:uid="{00000000-0005-0000-0000-00007F200000}"/>
    <cellStyle name="Comma 5 5 2 3 3 3 2" xfId="35305" xr:uid="{00000000-0005-0000-0000-000080200000}"/>
    <cellStyle name="Comma 5 5 2 3 3 4" xfId="18571" xr:uid="{00000000-0005-0000-0000-000081200000}"/>
    <cellStyle name="Comma 5 5 2 3 3 4 2" xfId="44124" xr:uid="{00000000-0005-0000-0000-000082200000}"/>
    <cellStyle name="Comma 5 5 2 3 3 5" xfId="30061" xr:uid="{00000000-0005-0000-0000-000083200000}"/>
    <cellStyle name="Comma 5 5 2 3 4" xfId="2011" xr:uid="{00000000-0005-0000-0000-000084200000}"/>
    <cellStyle name="Comma 5 5 2 3 4 2" xfId="11376" xr:uid="{00000000-0005-0000-0000-000085200000}"/>
    <cellStyle name="Comma 5 5 2 3 4 2 2" xfId="36931" xr:uid="{00000000-0005-0000-0000-000086200000}"/>
    <cellStyle name="Comma 5 5 2 3 4 3" xfId="21380" xr:uid="{00000000-0005-0000-0000-000087200000}"/>
    <cellStyle name="Comma 5 5 2 3 4 3 2" xfId="46933" xr:uid="{00000000-0005-0000-0000-000088200000}"/>
    <cellStyle name="Comma 5 5 2 3 4 4" xfId="27863" xr:uid="{00000000-0005-0000-0000-000089200000}"/>
    <cellStyle name="Comma 5 5 2 3 5" xfId="5945" xr:uid="{00000000-0005-0000-0000-00008A200000}"/>
    <cellStyle name="Comma 5 5 2 3 5 2" xfId="14772" xr:uid="{00000000-0005-0000-0000-00008B200000}"/>
    <cellStyle name="Comma 5 5 2 3 5 2 2" xfId="40327" xr:uid="{00000000-0005-0000-0000-00008C200000}"/>
    <cellStyle name="Comma 5 5 2 3 5 3" xfId="25023" xr:uid="{00000000-0005-0000-0000-00008D200000}"/>
    <cellStyle name="Comma 5 5 2 3 5 3 2" xfId="50576" xr:uid="{00000000-0005-0000-0000-00008E200000}"/>
    <cellStyle name="Comma 5 5 2 3 5 4" xfId="31506" xr:uid="{00000000-0005-0000-0000-00008F200000}"/>
    <cellStyle name="Comma 5 5 2 3 6" xfId="7389" xr:uid="{00000000-0005-0000-0000-000090200000}"/>
    <cellStyle name="Comma 5 5 2 3 6 2" xfId="19862" xr:uid="{00000000-0005-0000-0000-000091200000}"/>
    <cellStyle name="Comma 5 5 2 3 6 2 2" xfId="45415" xr:uid="{00000000-0005-0000-0000-000092200000}"/>
    <cellStyle name="Comma 5 5 2 3 6 3" xfId="32946" xr:uid="{00000000-0005-0000-0000-000093200000}"/>
    <cellStyle name="Comma 5 5 2 3 7" xfId="16373" xr:uid="{00000000-0005-0000-0000-000094200000}"/>
    <cellStyle name="Comma 5 5 2 3 7 2" xfId="41926" xr:uid="{00000000-0005-0000-0000-000095200000}"/>
    <cellStyle name="Comma 5 5 2 3 8" xfId="26345" xr:uid="{00000000-0005-0000-0000-000096200000}"/>
    <cellStyle name="Comma 5 5 2 4" xfId="674" xr:uid="{00000000-0005-0000-0000-000097200000}"/>
    <cellStyle name="Comma 5 5 2 4 2" xfId="3160" xr:uid="{00000000-0005-0000-0000-000098200000}"/>
    <cellStyle name="Comma 5 5 2 4 2 2" xfId="12303" xr:uid="{00000000-0005-0000-0000-000099200000}"/>
    <cellStyle name="Comma 5 5 2 4 2 2 2" xfId="22521" xr:uid="{00000000-0005-0000-0000-00009A200000}"/>
    <cellStyle name="Comma 5 5 2 4 2 2 2 2" xfId="48074" xr:uid="{00000000-0005-0000-0000-00009B200000}"/>
    <cellStyle name="Comma 5 5 2 4 2 2 3" xfId="37858" xr:uid="{00000000-0005-0000-0000-00009C200000}"/>
    <cellStyle name="Comma 5 5 2 4 2 3" xfId="8725" xr:uid="{00000000-0005-0000-0000-00009D200000}"/>
    <cellStyle name="Comma 5 5 2 4 2 3 2" xfId="34282" xr:uid="{00000000-0005-0000-0000-00009E200000}"/>
    <cellStyle name="Comma 5 5 2 4 2 4" xfId="17514" xr:uid="{00000000-0005-0000-0000-00009F200000}"/>
    <cellStyle name="Comma 5 5 2 4 2 4 2" xfId="43067" xr:uid="{00000000-0005-0000-0000-0000A0200000}"/>
    <cellStyle name="Comma 5 5 2 4 2 5" xfId="29004" xr:uid="{00000000-0005-0000-0000-0000A1200000}"/>
    <cellStyle name="Comma 5 5 2 4 3" xfId="4838" xr:uid="{00000000-0005-0000-0000-0000A2200000}"/>
    <cellStyle name="Comma 5 5 2 4 3 2" xfId="13675" xr:uid="{00000000-0005-0000-0000-0000A3200000}"/>
    <cellStyle name="Comma 5 5 2 4 3 2 2" xfId="23926" xr:uid="{00000000-0005-0000-0000-0000A4200000}"/>
    <cellStyle name="Comma 5 5 2 4 3 2 2 2" xfId="49479" xr:uid="{00000000-0005-0000-0000-0000A5200000}"/>
    <cellStyle name="Comma 5 5 2 4 3 2 3" xfId="39230" xr:uid="{00000000-0005-0000-0000-0000A6200000}"/>
    <cellStyle name="Comma 5 5 2 4 3 3" xfId="10096" xr:uid="{00000000-0005-0000-0000-0000A7200000}"/>
    <cellStyle name="Comma 5 5 2 4 3 3 2" xfId="35653" xr:uid="{00000000-0005-0000-0000-0000A8200000}"/>
    <cellStyle name="Comma 5 5 2 4 3 4" xfId="18919" xr:uid="{00000000-0005-0000-0000-0000A9200000}"/>
    <cellStyle name="Comma 5 5 2 4 3 4 2" xfId="44472" xr:uid="{00000000-0005-0000-0000-0000AA200000}"/>
    <cellStyle name="Comma 5 5 2 4 3 5" xfId="30409" xr:uid="{00000000-0005-0000-0000-0000AB200000}"/>
    <cellStyle name="Comma 5 5 2 4 4" xfId="2269" xr:uid="{00000000-0005-0000-0000-0000AC200000}"/>
    <cellStyle name="Comma 5 5 2 4 4 2" xfId="11634" xr:uid="{00000000-0005-0000-0000-0000AD200000}"/>
    <cellStyle name="Comma 5 5 2 4 4 2 2" xfId="37189" xr:uid="{00000000-0005-0000-0000-0000AE200000}"/>
    <cellStyle name="Comma 5 5 2 4 4 3" xfId="21638" xr:uid="{00000000-0005-0000-0000-0000AF200000}"/>
    <cellStyle name="Comma 5 5 2 4 4 3 2" xfId="47191" xr:uid="{00000000-0005-0000-0000-0000B0200000}"/>
    <cellStyle name="Comma 5 5 2 4 4 4" xfId="28121" xr:uid="{00000000-0005-0000-0000-0000B1200000}"/>
    <cellStyle name="Comma 5 5 2 4 5" xfId="6293" xr:uid="{00000000-0005-0000-0000-0000B2200000}"/>
    <cellStyle name="Comma 5 5 2 4 5 2" xfId="15120" xr:uid="{00000000-0005-0000-0000-0000B3200000}"/>
    <cellStyle name="Comma 5 5 2 4 5 2 2" xfId="40675" xr:uid="{00000000-0005-0000-0000-0000B4200000}"/>
    <cellStyle name="Comma 5 5 2 4 5 3" xfId="25371" xr:uid="{00000000-0005-0000-0000-0000B5200000}"/>
    <cellStyle name="Comma 5 5 2 4 5 3 2" xfId="50924" xr:uid="{00000000-0005-0000-0000-0000B6200000}"/>
    <cellStyle name="Comma 5 5 2 4 5 4" xfId="31854" xr:uid="{00000000-0005-0000-0000-0000B7200000}"/>
    <cellStyle name="Comma 5 5 2 4 6" xfId="7739" xr:uid="{00000000-0005-0000-0000-0000B8200000}"/>
    <cellStyle name="Comma 5 5 2 4 6 2" xfId="20120" xr:uid="{00000000-0005-0000-0000-0000B9200000}"/>
    <cellStyle name="Comma 5 5 2 4 6 2 2" xfId="45673" xr:uid="{00000000-0005-0000-0000-0000BA200000}"/>
    <cellStyle name="Comma 5 5 2 4 6 3" xfId="33296" xr:uid="{00000000-0005-0000-0000-0000BB200000}"/>
    <cellStyle name="Comma 5 5 2 4 7" xfId="16631" xr:uid="{00000000-0005-0000-0000-0000BC200000}"/>
    <cellStyle name="Comma 5 5 2 4 7 2" xfId="42184" xr:uid="{00000000-0005-0000-0000-0000BD200000}"/>
    <cellStyle name="Comma 5 5 2 4 8" xfId="26603" xr:uid="{00000000-0005-0000-0000-0000BE200000}"/>
    <cellStyle name="Comma 5 5 2 5" xfId="1188" xr:uid="{00000000-0005-0000-0000-0000BF200000}"/>
    <cellStyle name="Comma 5 5 2 5 2" xfId="3617" xr:uid="{00000000-0005-0000-0000-0000C0200000}"/>
    <cellStyle name="Comma 5 5 2 5 2 2" xfId="12753" xr:uid="{00000000-0005-0000-0000-0000C1200000}"/>
    <cellStyle name="Comma 5 5 2 5 2 2 2" xfId="22972" xr:uid="{00000000-0005-0000-0000-0000C2200000}"/>
    <cellStyle name="Comma 5 5 2 5 2 2 2 2" xfId="48525" xr:uid="{00000000-0005-0000-0000-0000C3200000}"/>
    <cellStyle name="Comma 5 5 2 5 2 2 3" xfId="38308" xr:uid="{00000000-0005-0000-0000-0000C4200000}"/>
    <cellStyle name="Comma 5 5 2 5 2 3" xfId="9174" xr:uid="{00000000-0005-0000-0000-0000C5200000}"/>
    <cellStyle name="Comma 5 5 2 5 2 3 2" xfId="34731" xr:uid="{00000000-0005-0000-0000-0000C6200000}"/>
    <cellStyle name="Comma 5 5 2 5 2 4" xfId="17965" xr:uid="{00000000-0005-0000-0000-0000C7200000}"/>
    <cellStyle name="Comma 5 5 2 5 2 4 2" xfId="43518" xr:uid="{00000000-0005-0000-0000-0000C8200000}"/>
    <cellStyle name="Comma 5 5 2 5 2 5" xfId="29455" xr:uid="{00000000-0005-0000-0000-0000C9200000}"/>
    <cellStyle name="Comma 5 5 2 5 3" xfId="5280" xr:uid="{00000000-0005-0000-0000-0000CA200000}"/>
    <cellStyle name="Comma 5 5 2 5 3 2" xfId="14117" xr:uid="{00000000-0005-0000-0000-0000CB200000}"/>
    <cellStyle name="Comma 5 5 2 5 3 2 2" xfId="24368" xr:uid="{00000000-0005-0000-0000-0000CC200000}"/>
    <cellStyle name="Comma 5 5 2 5 3 2 2 2" xfId="49921" xr:uid="{00000000-0005-0000-0000-0000CD200000}"/>
    <cellStyle name="Comma 5 5 2 5 3 2 3" xfId="39672" xr:uid="{00000000-0005-0000-0000-0000CE200000}"/>
    <cellStyle name="Comma 5 5 2 5 3 3" xfId="10538" xr:uid="{00000000-0005-0000-0000-0000CF200000}"/>
    <cellStyle name="Comma 5 5 2 5 3 3 2" xfId="36095" xr:uid="{00000000-0005-0000-0000-0000D0200000}"/>
    <cellStyle name="Comma 5 5 2 5 3 4" xfId="19361" xr:uid="{00000000-0005-0000-0000-0000D1200000}"/>
    <cellStyle name="Comma 5 5 2 5 3 4 2" xfId="44914" xr:uid="{00000000-0005-0000-0000-0000D2200000}"/>
    <cellStyle name="Comma 5 5 2 5 3 5" xfId="30851" xr:uid="{00000000-0005-0000-0000-0000D3200000}"/>
    <cellStyle name="Comma 5 5 2 5 4" xfId="1790" xr:uid="{00000000-0005-0000-0000-0000D4200000}"/>
    <cellStyle name="Comma 5 5 2 5 4 2" xfId="11159" xr:uid="{00000000-0005-0000-0000-0000D5200000}"/>
    <cellStyle name="Comma 5 5 2 5 4 2 2" xfId="36714" xr:uid="{00000000-0005-0000-0000-0000D6200000}"/>
    <cellStyle name="Comma 5 5 2 5 4 3" xfId="21163" xr:uid="{00000000-0005-0000-0000-0000D7200000}"/>
    <cellStyle name="Comma 5 5 2 5 4 3 2" xfId="46716" xr:uid="{00000000-0005-0000-0000-0000D8200000}"/>
    <cellStyle name="Comma 5 5 2 5 4 4" xfId="27646" xr:uid="{00000000-0005-0000-0000-0000D9200000}"/>
    <cellStyle name="Comma 5 5 2 5 5" xfId="6735" xr:uid="{00000000-0005-0000-0000-0000DA200000}"/>
    <cellStyle name="Comma 5 5 2 5 5 2" xfId="15562" xr:uid="{00000000-0005-0000-0000-0000DB200000}"/>
    <cellStyle name="Comma 5 5 2 5 5 2 2" xfId="41117" xr:uid="{00000000-0005-0000-0000-0000DC200000}"/>
    <cellStyle name="Comma 5 5 2 5 5 3" xfId="25813" xr:uid="{00000000-0005-0000-0000-0000DD200000}"/>
    <cellStyle name="Comma 5 5 2 5 5 3 2" xfId="51366" xr:uid="{00000000-0005-0000-0000-0000DE200000}"/>
    <cellStyle name="Comma 5 5 2 5 5 4" xfId="32296" xr:uid="{00000000-0005-0000-0000-0000DF200000}"/>
    <cellStyle name="Comma 5 5 2 5 6" xfId="8181" xr:uid="{00000000-0005-0000-0000-0000E0200000}"/>
    <cellStyle name="Comma 5 5 2 5 6 2" xfId="20571" xr:uid="{00000000-0005-0000-0000-0000E1200000}"/>
    <cellStyle name="Comma 5 5 2 5 6 2 2" xfId="46124" xr:uid="{00000000-0005-0000-0000-0000E2200000}"/>
    <cellStyle name="Comma 5 5 2 5 6 3" xfId="33738" xr:uid="{00000000-0005-0000-0000-0000E3200000}"/>
    <cellStyle name="Comma 5 5 2 5 7" xfId="16156" xr:uid="{00000000-0005-0000-0000-0000E4200000}"/>
    <cellStyle name="Comma 5 5 2 5 7 2" xfId="41709" xr:uid="{00000000-0005-0000-0000-0000E5200000}"/>
    <cellStyle name="Comma 5 5 2 5 8" xfId="27054" xr:uid="{00000000-0005-0000-0000-0000E6200000}"/>
    <cellStyle name="Comma 5 5 2 6" xfId="2685" xr:uid="{00000000-0005-0000-0000-0000E7200000}"/>
    <cellStyle name="Comma 5 5 2 6 2" xfId="12002" xr:uid="{00000000-0005-0000-0000-0000E8200000}"/>
    <cellStyle name="Comma 5 5 2 6 2 2" xfId="22046" xr:uid="{00000000-0005-0000-0000-0000E9200000}"/>
    <cellStyle name="Comma 5 5 2 6 2 2 2" xfId="47599" xr:uid="{00000000-0005-0000-0000-0000EA200000}"/>
    <cellStyle name="Comma 5 5 2 6 2 3" xfId="37557" xr:uid="{00000000-0005-0000-0000-0000EB200000}"/>
    <cellStyle name="Comma 5 5 2 6 3" xfId="8494" xr:uid="{00000000-0005-0000-0000-0000EC200000}"/>
    <cellStyle name="Comma 5 5 2 6 3 2" xfId="34051" xr:uid="{00000000-0005-0000-0000-0000ED200000}"/>
    <cellStyle name="Comma 5 5 2 6 4" xfId="17039" xr:uid="{00000000-0005-0000-0000-0000EE200000}"/>
    <cellStyle name="Comma 5 5 2 6 4 2" xfId="42592" xr:uid="{00000000-0005-0000-0000-0000EF200000}"/>
    <cellStyle name="Comma 5 5 2 6 5" xfId="28529" xr:uid="{00000000-0005-0000-0000-0000F0200000}"/>
    <cellStyle name="Comma 5 5 2 7" xfId="4236" xr:uid="{00000000-0005-0000-0000-0000F1200000}"/>
    <cellStyle name="Comma 5 5 2 7 2" xfId="13074" xr:uid="{00000000-0005-0000-0000-0000F2200000}"/>
    <cellStyle name="Comma 5 5 2 7 2 2" xfId="23325" xr:uid="{00000000-0005-0000-0000-0000F3200000}"/>
    <cellStyle name="Comma 5 5 2 7 2 2 2" xfId="48878" xr:uid="{00000000-0005-0000-0000-0000F4200000}"/>
    <cellStyle name="Comma 5 5 2 7 2 3" xfId="38629" xr:uid="{00000000-0005-0000-0000-0000F5200000}"/>
    <cellStyle name="Comma 5 5 2 7 3" xfId="9495" xr:uid="{00000000-0005-0000-0000-0000F6200000}"/>
    <cellStyle name="Comma 5 5 2 7 3 2" xfId="35052" xr:uid="{00000000-0005-0000-0000-0000F7200000}"/>
    <cellStyle name="Comma 5 5 2 7 4" xfId="18318" xr:uid="{00000000-0005-0000-0000-0000F8200000}"/>
    <cellStyle name="Comma 5 5 2 7 4 2" xfId="43871" xr:uid="{00000000-0005-0000-0000-0000F9200000}"/>
    <cellStyle name="Comma 5 5 2 7 5" xfId="29808" xr:uid="{00000000-0005-0000-0000-0000FA200000}"/>
    <cellStyle name="Comma 5 5 2 8" xfId="1508" xr:uid="{00000000-0005-0000-0000-0000FB200000}"/>
    <cellStyle name="Comma 5 5 2 8 2" xfId="10885" xr:uid="{00000000-0005-0000-0000-0000FC200000}"/>
    <cellStyle name="Comma 5 5 2 8 2 2" xfId="36440" xr:uid="{00000000-0005-0000-0000-0000FD200000}"/>
    <cellStyle name="Comma 5 5 2 8 3" xfId="20889" xr:uid="{00000000-0005-0000-0000-0000FE200000}"/>
    <cellStyle name="Comma 5 5 2 8 3 2" xfId="46442" xr:uid="{00000000-0005-0000-0000-0000FF200000}"/>
    <cellStyle name="Comma 5 5 2 8 4" xfId="27372" xr:uid="{00000000-0005-0000-0000-000000210000}"/>
    <cellStyle name="Comma 5 5 2 9" xfId="5692" xr:uid="{00000000-0005-0000-0000-000001210000}"/>
    <cellStyle name="Comma 5 5 2 9 2" xfId="14519" xr:uid="{00000000-0005-0000-0000-000002210000}"/>
    <cellStyle name="Comma 5 5 2 9 2 2" xfId="40074" xr:uid="{00000000-0005-0000-0000-000003210000}"/>
    <cellStyle name="Comma 5 5 2 9 3" xfId="24770" xr:uid="{00000000-0005-0000-0000-000004210000}"/>
    <cellStyle name="Comma 5 5 2 9 3 2" xfId="50323" xr:uid="{00000000-0005-0000-0000-000005210000}"/>
    <cellStyle name="Comma 5 5 2 9 4" xfId="31253" xr:uid="{00000000-0005-0000-0000-000006210000}"/>
    <cellStyle name="Comma 5 5 3" xfId="255" xr:uid="{00000000-0005-0000-0000-000007210000}"/>
    <cellStyle name="Comma 5 5 3 10" xfId="7093" xr:uid="{00000000-0005-0000-0000-000008210000}"/>
    <cellStyle name="Comma 5 5 3 10 2" xfId="19707" xr:uid="{00000000-0005-0000-0000-000009210000}"/>
    <cellStyle name="Comma 5 5 3 10 2 2" xfId="45260" xr:uid="{00000000-0005-0000-0000-00000A210000}"/>
    <cellStyle name="Comma 5 5 3 10 3" xfId="32650" xr:uid="{00000000-0005-0000-0000-00000B210000}"/>
    <cellStyle name="Comma 5 5 3 11" xfId="15839" xr:uid="{00000000-0005-0000-0000-00000C210000}"/>
    <cellStyle name="Comma 5 5 3 11 2" xfId="41392" xr:uid="{00000000-0005-0000-0000-00000D210000}"/>
    <cellStyle name="Comma 5 5 3 12" xfId="26190" xr:uid="{00000000-0005-0000-0000-00000E210000}"/>
    <cellStyle name="Comma 5 5 3 2" xfId="578" xr:uid="{00000000-0005-0000-0000-00000F210000}"/>
    <cellStyle name="Comma 5 5 3 2 10" xfId="26507" xr:uid="{00000000-0005-0000-0000-000010210000}"/>
    <cellStyle name="Comma 5 5 3 2 2" xfId="677" xr:uid="{00000000-0005-0000-0000-000011210000}"/>
    <cellStyle name="Comma 5 5 3 2 2 2" xfId="3163" xr:uid="{00000000-0005-0000-0000-000012210000}"/>
    <cellStyle name="Comma 5 5 3 2 2 2 2" xfId="12306" xr:uid="{00000000-0005-0000-0000-000013210000}"/>
    <cellStyle name="Comma 5 5 3 2 2 2 2 2" xfId="22524" xr:uid="{00000000-0005-0000-0000-000014210000}"/>
    <cellStyle name="Comma 5 5 3 2 2 2 2 2 2" xfId="48077" xr:uid="{00000000-0005-0000-0000-000015210000}"/>
    <cellStyle name="Comma 5 5 3 2 2 2 2 3" xfId="37861" xr:uid="{00000000-0005-0000-0000-000016210000}"/>
    <cellStyle name="Comma 5 5 3 2 2 2 3" xfId="8728" xr:uid="{00000000-0005-0000-0000-000017210000}"/>
    <cellStyle name="Comma 5 5 3 2 2 2 3 2" xfId="34285" xr:uid="{00000000-0005-0000-0000-000018210000}"/>
    <cellStyle name="Comma 5 5 3 2 2 2 4" xfId="17517" xr:uid="{00000000-0005-0000-0000-000019210000}"/>
    <cellStyle name="Comma 5 5 3 2 2 2 4 2" xfId="43070" xr:uid="{00000000-0005-0000-0000-00001A210000}"/>
    <cellStyle name="Comma 5 5 3 2 2 2 5" xfId="29007" xr:uid="{00000000-0005-0000-0000-00001B210000}"/>
    <cellStyle name="Comma 5 5 3 2 2 3" xfId="4492" xr:uid="{00000000-0005-0000-0000-00001C210000}"/>
    <cellStyle name="Comma 5 5 3 2 2 3 2" xfId="13330" xr:uid="{00000000-0005-0000-0000-00001D210000}"/>
    <cellStyle name="Comma 5 5 3 2 2 3 2 2" xfId="23581" xr:uid="{00000000-0005-0000-0000-00001E210000}"/>
    <cellStyle name="Comma 5 5 3 2 2 3 2 2 2" xfId="49134" xr:uid="{00000000-0005-0000-0000-00001F210000}"/>
    <cellStyle name="Comma 5 5 3 2 2 3 2 3" xfId="38885" xr:uid="{00000000-0005-0000-0000-000020210000}"/>
    <cellStyle name="Comma 5 5 3 2 2 3 3" xfId="9751" xr:uid="{00000000-0005-0000-0000-000021210000}"/>
    <cellStyle name="Comma 5 5 3 2 2 3 3 2" xfId="35308" xr:uid="{00000000-0005-0000-0000-000022210000}"/>
    <cellStyle name="Comma 5 5 3 2 2 3 4" xfId="18574" xr:uid="{00000000-0005-0000-0000-000023210000}"/>
    <cellStyle name="Comma 5 5 3 2 2 3 4 2" xfId="44127" xr:uid="{00000000-0005-0000-0000-000024210000}"/>
    <cellStyle name="Comma 5 5 3 2 2 3 5" xfId="30064" xr:uid="{00000000-0005-0000-0000-000025210000}"/>
    <cellStyle name="Comma 5 5 3 2 2 4" xfId="2272" xr:uid="{00000000-0005-0000-0000-000026210000}"/>
    <cellStyle name="Comma 5 5 3 2 2 4 2" xfId="11637" xr:uid="{00000000-0005-0000-0000-000027210000}"/>
    <cellStyle name="Comma 5 5 3 2 2 4 2 2" xfId="37192" xr:uid="{00000000-0005-0000-0000-000028210000}"/>
    <cellStyle name="Comma 5 5 3 2 2 4 3" xfId="21641" xr:uid="{00000000-0005-0000-0000-000029210000}"/>
    <cellStyle name="Comma 5 5 3 2 2 4 3 2" xfId="47194" xr:uid="{00000000-0005-0000-0000-00002A210000}"/>
    <cellStyle name="Comma 5 5 3 2 2 4 4" xfId="28124" xr:uid="{00000000-0005-0000-0000-00002B210000}"/>
    <cellStyle name="Comma 5 5 3 2 2 5" xfId="5948" xr:uid="{00000000-0005-0000-0000-00002C210000}"/>
    <cellStyle name="Comma 5 5 3 2 2 5 2" xfId="14775" xr:uid="{00000000-0005-0000-0000-00002D210000}"/>
    <cellStyle name="Comma 5 5 3 2 2 5 2 2" xfId="40330" xr:uid="{00000000-0005-0000-0000-00002E210000}"/>
    <cellStyle name="Comma 5 5 3 2 2 5 3" xfId="25026" xr:uid="{00000000-0005-0000-0000-00002F210000}"/>
    <cellStyle name="Comma 5 5 3 2 2 5 3 2" xfId="50579" xr:uid="{00000000-0005-0000-0000-000030210000}"/>
    <cellStyle name="Comma 5 5 3 2 2 5 4" xfId="31509" xr:uid="{00000000-0005-0000-0000-000031210000}"/>
    <cellStyle name="Comma 5 5 3 2 2 6" xfId="7392" xr:uid="{00000000-0005-0000-0000-000032210000}"/>
    <cellStyle name="Comma 5 5 3 2 2 6 2" xfId="20123" xr:uid="{00000000-0005-0000-0000-000033210000}"/>
    <cellStyle name="Comma 5 5 3 2 2 6 2 2" xfId="45676" xr:uid="{00000000-0005-0000-0000-000034210000}"/>
    <cellStyle name="Comma 5 5 3 2 2 6 3" xfId="32949" xr:uid="{00000000-0005-0000-0000-000035210000}"/>
    <cellStyle name="Comma 5 5 3 2 2 7" xfId="16634" xr:uid="{00000000-0005-0000-0000-000036210000}"/>
    <cellStyle name="Comma 5 5 3 2 2 7 2" xfId="42187" xr:uid="{00000000-0005-0000-0000-000037210000}"/>
    <cellStyle name="Comma 5 5 3 2 2 8" xfId="26606" xr:uid="{00000000-0005-0000-0000-000038210000}"/>
    <cellStyle name="Comma 5 5 3 2 3" xfId="1350" xr:uid="{00000000-0005-0000-0000-000039210000}"/>
    <cellStyle name="Comma 5 5 3 2 3 2" xfId="3779" xr:uid="{00000000-0005-0000-0000-00003A210000}"/>
    <cellStyle name="Comma 5 5 3 2 3 2 2" xfId="12915" xr:uid="{00000000-0005-0000-0000-00003B210000}"/>
    <cellStyle name="Comma 5 5 3 2 3 2 2 2" xfId="23134" xr:uid="{00000000-0005-0000-0000-00003C210000}"/>
    <cellStyle name="Comma 5 5 3 2 3 2 2 2 2" xfId="48687" xr:uid="{00000000-0005-0000-0000-00003D210000}"/>
    <cellStyle name="Comma 5 5 3 2 3 2 2 3" xfId="38470" xr:uid="{00000000-0005-0000-0000-00003E210000}"/>
    <cellStyle name="Comma 5 5 3 2 3 2 3" xfId="9336" xr:uid="{00000000-0005-0000-0000-00003F210000}"/>
    <cellStyle name="Comma 5 5 3 2 3 2 3 2" xfId="34893" xr:uid="{00000000-0005-0000-0000-000040210000}"/>
    <cellStyle name="Comma 5 5 3 2 3 2 4" xfId="18127" xr:uid="{00000000-0005-0000-0000-000041210000}"/>
    <cellStyle name="Comma 5 5 3 2 3 2 4 2" xfId="43680" xr:uid="{00000000-0005-0000-0000-000042210000}"/>
    <cellStyle name="Comma 5 5 3 2 3 2 5" xfId="29617" xr:uid="{00000000-0005-0000-0000-000043210000}"/>
    <cellStyle name="Comma 5 5 3 2 3 3" xfId="4841" xr:uid="{00000000-0005-0000-0000-000044210000}"/>
    <cellStyle name="Comma 5 5 3 2 3 3 2" xfId="13678" xr:uid="{00000000-0005-0000-0000-000045210000}"/>
    <cellStyle name="Comma 5 5 3 2 3 3 2 2" xfId="23929" xr:uid="{00000000-0005-0000-0000-000046210000}"/>
    <cellStyle name="Comma 5 5 3 2 3 3 2 2 2" xfId="49482" xr:uid="{00000000-0005-0000-0000-000047210000}"/>
    <cellStyle name="Comma 5 5 3 2 3 3 2 3" xfId="39233" xr:uid="{00000000-0005-0000-0000-000048210000}"/>
    <cellStyle name="Comma 5 5 3 2 3 3 3" xfId="10099" xr:uid="{00000000-0005-0000-0000-000049210000}"/>
    <cellStyle name="Comma 5 5 3 2 3 3 3 2" xfId="35656" xr:uid="{00000000-0005-0000-0000-00004A210000}"/>
    <cellStyle name="Comma 5 5 3 2 3 3 4" xfId="18922" xr:uid="{00000000-0005-0000-0000-00004B210000}"/>
    <cellStyle name="Comma 5 5 3 2 3 3 4 2" xfId="44475" xr:uid="{00000000-0005-0000-0000-00004C210000}"/>
    <cellStyle name="Comma 5 5 3 2 3 3 5" xfId="30412" xr:uid="{00000000-0005-0000-0000-00004D210000}"/>
    <cellStyle name="Comma 5 5 3 2 3 4" xfId="2173" xr:uid="{00000000-0005-0000-0000-00004E210000}"/>
    <cellStyle name="Comma 5 5 3 2 3 4 2" xfId="11538" xr:uid="{00000000-0005-0000-0000-00004F210000}"/>
    <cellStyle name="Comma 5 5 3 2 3 4 2 2" xfId="37093" xr:uid="{00000000-0005-0000-0000-000050210000}"/>
    <cellStyle name="Comma 5 5 3 2 3 4 3" xfId="21542" xr:uid="{00000000-0005-0000-0000-000051210000}"/>
    <cellStyle name="Comma 5 5 3 2 3 4 3 2" xfId="47095" xr:uid="{00000000-0005-0000-0000-000052210000}"/>
    <cellStyle name="Comma 5 5 3 2 3 4 4" xfId="28025" xr:uid="{00000000-0005-0000-0000-000053210000}"/>
    <cellStyle name="Comma 5 5 3 2 3 5" xfId="6296" xr:uid="{00000000-0005-0000-0000-000054210000}"/>
    <cellStyle name="Comma 5 5 3 2 3 5 2" xfId="15123" xr:uid="{00000000-0005-0000-0000-000055210000}"/>
    <cellStyle name="Comma 5 5 3 2 3 5 2 2" xfId="40678" xr:uid="{00000000-0005-0000-0000-000056210000}"/>
    <cellStyle name="Comma 5 5 3 2 3 5 3" xfId="25374" xr:uid="{00000000-0005-0000-0000-000057210000}"/>
    <cellStyle name="Comma 5 5 3 2 3 5 3 2" xfId="50927" xr:uid="{00000000-0005-0000-0000-000058210000}"/>
    <cellStyle name="Comma 5 5 3 2 3 5 4" xfId="31857" xr:uid="{00000000-0005-0000-0000-000059210000}"/>
    <cellStyle name="Comma 5 5 3 2 3 6" xfId="7742" xr:uid="{00000000-0005-0000-0000-00005A210000}"/>
    <cellStyle name="Comma 5 5 3 2 3 6 2" xfId="20733" xr:uid="{00000000-0005-0000-0000-00005B210000}"/>
    <cellStyle name="Comma 5 5 3 2 3 6 2 2" xfId="46286" xr:uid="{00000000-0005-0000-0000-00005C210000}"/>
    <cellStyle name="Comma 5 5 3 2 3 6 3" xfId="33299" xr:uid="{00000000-0005-0000-0000-00005D210000}"/>
    <cellStyle name="Comma 5 5 3 2 3 7" xfId="16535" xr:uid="{00000000-0005-0000-0000-00005E210000}"/>
    <cellStyle name="Comma 5 5 3 2 3 7 2" xfId="42088" xr:uid="{00000000-0005-0000-0000-00005F210000}"/>
    <cellStyle name="Comma 5 5 3 2 3 8" xfId="27216" xr:uid="{00000000-0005-0000-0000-000060210000}"/>
    <cellStyle name="Comma 5 5 3 2 4" xfId="3064" xr:uid="{00000000-0005-0000-0000-000061210000}"/>
    <cellStyle name="Comma 5 5 3 2 4 2" xfId="5442" xr:uid="{00000000-0005-0000-0000-000062210000}"/>
    <cellStyle name="Comma 5 5 3 2 4 2 2" xfId="14279" xr:uid="{00000000-0005-0000-0000-000063210000}"/>
    <cellStyle name="Comma 5 5 3 2 4 2 2 2" xfId="24530" xr:uid="{00000000-0005-0000-0000-000064210000}"/>
    <cellStyle name="Comma 5 5 3 2 4 2 2 2 2" xfId="50083" xr:uid="{00000000-0005-0000-0000-000065210000}"/>
    <cellStyle name="Comma 5 5 3 2 4 2 2 3" xfId="39834" xr:uid="{00000000-0005-0000-0000-000066210000}"/>
    <cellStyle name="Comma 5 5 3 2 4 2 3" xfId="10700" xr:uid="{00000000-0005-0000-0000-000067210000}"/>
    <cellStyle name="Comma 5 5 3 2 4 2 3 2" xfId="36257" xr:uid="{00000000-0005-0000-0000-000068210000}"/>
    <cellStyle name="Comma 5 5 3 2 4 2 4" xfId="19523" xr:uid="{00000000-0005-0000-0000-000069210000}"/>
    <cellStyle name="Comma 5 5 3 2 4 2 4 2" xfId="45076" xr:uid="{00000000-0005-0000-0000-00006A210000}"/>
    <cellStyle name="Comma 5 5 3 2 4 2 5" xfId="31013" xr:uid="{00000000-0005-0000-0000-00006B210000}"/>
    <cellStyle name="Comma 5 5 3 2 4 3" xfId="6897" xr:uid="{00000000-0005-0000-0000-00006C210000}"/>
    <cellStyle name="Comma 5 5 3 2 4 3 2" xfId="15724" xr:uid="{00000000-0005-0000-0000-00006D210000}"/>
    <cellStyle name="Comma 5 5 3 2 4 3 2 2" xfId="41279" xr:uid="{00000000-0005-0000-0000-00006E210000}"/>
    <cellStyle name="Comma 5 5 3 2 4 3 3" xfId="25975" xr:uid="{00000000-0005-0000-0000-00006F210000}"/>
    <cellStyle name="Comma 5 5 3 2 4 3 3 2" xfId="51528" xr:uid="{00000000-0005-0000-0000-000070210000}"/>
    <cellStyle name="Comma 5 5 3 2 4 3 4" xfId="32458" xr:uid="{00000000-0005-0000-0000-000071210000}"/>
    <cellStyle name="Comma 5 5 3 2 4 4" xfId="8343" xr:uid="{00000000-0005-0000-0000-000072210000}"/>
    <cellStyle name="Comma 5 5 3 2 4 4 2" xfId="22425" xr:uid="{00000000-0005-0000-0000-000073210000}"/>
    <cellStyle name="Comma 5 5 3 2 4 4 2 2" xfId="47978" xr:uid="{00000000-0005-0000-0000-000074210000}"/>
    <cellStyle name="Comma 5 5 3 2 4 4 3" xfId="33900" xr:uid="{00000000-0005-0000-0000-000075210000}"/>
    <cellStyle name="Comma 5 5 3 2 4 5" xfId="17418" xr:uid="{00000000-0005-0000-0000-000076210000}"/>
    <cellStyle name="Comma 5 5 3 2 4 5 2" xfId="42971" xr:uid="{00000000-0005-0000-0000-000077210000}"/>
    <cellStyle name="Comma 5 5 3 2 4 6" xfId="28908" xr:uid="{00000000-0005-0000-0000-000078210000}"/>
    <cellStyle name="Comma 5 5 3 2 5" xfId="4398" xr:uid="{00000000-0005-0000-0000-000079210000}"/>
    <cellStyle name="Comma 5 5 3 2 5 2" xfId="13236" xr:uid="{00000000-0005-0000-0000-00007A210000}"/>
    <cellStyle name="Comma 5 5 3 2 5 2 2" xfId="23487" xr:uid="{00000000-0005-0000-0000-00007B210000}"/>
    <cellStyle name="Comma 5 5 3 2 5 2 2 2" xfId="49040" xr:uid="{00000000-0005-0000-0000-00007C210000}"/>
    <cellStyle name="Comma 5 5 3 2 5 2 3" xfId="38791" xr:uid="{00000000-0005-0000-0000-00007D210000}"/>
    <cellStyle name="Comma 5 5 3 2 5 3" xfId="9657" xr:uid="{00000000-0005-0000-0000-00007E210000}"/>
    <cellStyle name="Comma 5 5 3 2 5 3 2" xfId="35214" xr:uid="{00000000-0005-0000-0000-00007F210000}"/>
    <cellStyle name="Comma 5 5 3 2 5 4" xfId="18480" xr:uid="{00000000-0005-0000-0000-000080210000}"/>
    <cellStyle name="Comma 5 5 3 2 5 4 2" xfId="44033" xr:uid="{00000000-0005-0000-0000-000081210000}"/>
    <cellStyle name="Comma 5 5 3 2 5 5" xfId="29970" xr:uid="{00000000-0005-0000-0000-000082210000}"/>
    <cellStyle name="Comma 5 5 3 2 6" xfId="1670" xr:uid="{00000000-0005-0000-0000-000083210000}"/>
    <cellStyle name="Comma 5 5 3 2 6 2" xfId="11047" xr:uid="{00000000-0005-0000-0000-000084210000}"/>
    <cellStyle name="Comma 5 5 3 2 6 2 2" xfId="36602" xr:uid="{00000000-0005-0000-0000-000085210000}"/>
    <cellStyle name="Comma 5 5 3 2 6 3" xfId="21051" xr:uid="{00000000-0005-0000-0000-000086210000}"/>
    <cellStyle name="Comma 5 5 3 2 6 3 2" xfId="46604" xr:uid="{00000000-0005-0000-0000-000087210000}"/>
    <cellStyle name="Comma 5 5 3 2 6 4" xfId="27534" xr:uid="{00000000-0005-0000-0000-000088210000}"/>
    <cellStyle name="Comma 5 5 3 2 7" xfId="5854" xr:uid="{00000000-0005-0000-0000-000089210000}"/>
    <cellStyle name="Comma 5 5 3 2 7 2" xfId="14681" xr:uid="{00000000-0005-0000-0000-00008A210000}"/>
    <cellStyle name="Comma 5 5 3 2 7 2 2" xfId="40236" xr:uid="{00000000-0005-0000-0000-00008B210000}"/>
    <cellStyle name="Comma 5 5 3 2 7 3" xfId="24932" xr:uid="{00000000-0005-0000-0000-00008C210000}"/>
    <cellStyle name="Comma 5 5 3 2 7 3 2" xfId="50485" xr:uid="{00000000-0005-0000-0000-00008D210000}"/>
    <cellStyle name="Comma 5 5 3 2 7 4" xfId="31415" xr:uid="{00000000-0005-0000-0000-00008E210000}"/>
    <cellStyle name="Comma 5 5 3 2 8" xfId="7298" xr:uid="{00000000-0005-0000-0000-00008F210000}"/>
    <cellStyle name="Comma 5 5 3 2 8 2" xfId="20024" xr:uid="{00000000-0005-0000-0000-000090210000}"/>
    <cellStyle name="Comma 5 5 3 2 8 2 2" xfId="45577" xr:uid="{00000000-0005-0000-0000-000091210000}"/>
    <cellStyle name="Comma 5 5 3 2 8 3" xfId="32855" xr:uid="{00000000-0005-0000-0000-000092210000}"/>
    <cellStyle name="Comma 5 5 3 2 9" xfId="16044" xr:uid="{00000000-0005-0000-0000-000093210000}"/>
    <cellStyle name="Comma 5 5 3 2 9 2" xfId="41597" xr:uid="{00000000-0005-0000-0000-000094210000}"/>
    <cellStyle name="Comma 5 5 3 3" xfId="373" xr:uid="{00000000-0005-0000-0000-000095210000}"/>
    <cellStyle name="Comma 5 5 3 3 2" xfId="2859" xr:uid="{00000000-0005-0000-0000-000096210000}"/>
    <cellStyle name="Comma 5 5 3 3 2 2" xfId="12147" xr:uid="{00000000-0005-0000-0000-000097210000}"/>
    <cellStyle name="Comma 5 5 3 3 2 2 2" xfId="22220" xr:uid="{00000000-0005-0000-0000-000098210000}"/>
    <cellStyle name="Comma 5 5 3 3 2 2 2 2" xfId="47773" xr:uid="{00000000-0005-0000-0000-000099210000}"/>
    <cellStyle name="Comma 5 5 3 3 2 2 3" xfId="37702" xr:uid="{00000000-0005-0000-0000-00009A210000}"/>
    <cellStyle name="Comma 5 5 3 3 2 3" xfId="8460" xr:uid="{00000000-0005-0000-0000-00009B210000}"/>
    <cellStyle name="Comma 5 5 3 3 2 3 2" xfId="34017" xr:uid="{00000000-0005-0000-0000-00009C210000}"/>
    <cellStyle name="Comma 5 5 3 3 2 4" xfId="17213" xr:uid="{00000000-0005-0000-0000-00009D210000}"/>
    <cellStyle name="Comma 5 5 3 3 2 4 2" xfId="42766" xr:uid="{00000000-0005-0000-0000-00009E210000}"/>
    <cellStyle name="Comma 5 5 3 3 2 5" xfId="28703" xr:uid="{00000000-0005-0000-0000-00009F210000}"/>
    <cellStyle name="Comma 5 5 3 3 3" xfId="4491" xr:uid="{00000000-0005-0000-0000-0000A0210000}"/>
    <cellStyle name="Comma 5 5 3 3 3 2" xfId="13329" xr:uid="{00000000-0005-0000-0000-0000A1210000}"/>
    <cellStyle name="Comma 5 5 3 3 3 2 2" xfId="23580" xr:uid="{00000000-0005-0000-0000-0000A2210000}"/>
    <cellStyle name="Comma 5 5 3 3 3 2 2 2" xfId="49133" xr:uid="{00000000-0005-0000-0000-0000A3210000}"/>
    <cellStyle name="Comma 5 5 3 3 3 2 3" xfId="38884" xr:uid="{00000000-0005-0000-0000-0000A4210000}"/>
    <cellStyle name="Comma 5 5 3 3 3 3" xfId="9750" xr:uid="{00000000-0005-0000-0000-0000A5210000}"/>
    <cellStyle name="Comma 5 5 3 3 3 3 2" xfId="35307" xr:uid="{00000000-0005-0000-0000-0000A6210000}"/>
    <cellStyle name="Comma 5 5 3 3 3 4" xfId="18573" xr:uid="{00000000-0005-0000-0000-0000A7210000}"/>
    <cellStyle name="Comma 5 5 3 3 3 4 2" xfId="44126" xr:uid="{00000000-0005-0000-0000-0000A8210000}"/>
    <cellStyle name="Comma 5 5 3 3 3 5" xfId="30063" xr:uid="{00000000-0005-0000-0000-0000A9210000}"/>
    <cellStyle name="Comma 5 5 3 3 4" xfId="1968" xr:uid="{00000000-0005-0000-0000-0000AA210000}"/>
    <cellStyle name="Comma 5 5 3 3 4 2" xfId="11333" xr:uid="{00000000-0005-0000-0000-0000AB210000}"/>
    <cellStyle name="Comma 5 5 3 3 4 2 2" xfId="36888" xr:uid="{00000000-0005-0000-0000-0000AC210000}"/>
    <cellStyle name="Comma 5 5 3 3 4 3" xfId="21337" xr:uid="{00000000-0005-0000-0000-0000AD210000}"/>
    <cellStyle name="Comma 5 5 3 3 4 3 2" xfId="46890" xr:uid="{00000000-0005-0000-0000-0000AE210000}"/>
    <cellStyle name="Comma 5 5 3 3 4 4" xfId="27820" xr:uid="{00000000-0005-0000-0000-0000AF210000}"/>
    <cellStyle name="Comma 5 5 3 3 5" xfId="5947" xr:uid="{00000000-0005-0000-0000-0000B0210000}"/>
    <cellStyle name="Comma 5 5 3 3 5 2" xfId="14774" xr:uid="{00000000-0005-0000-0000-0000B1210000}"/>
    <cellStyle name="Comma 5 5 3 3 5 2 2" xfId="40329" xr:uid="{00000000-0005-0000-0000-0000B2210000}"/>
    <cellStyle name="Comma 5 5 3 3 5 3" xfId="25025" xr:uid="{00000000-0005-0000-0000-0000B3210000}"/>
    <cellStyle name="Comma 5 5 3 3 5 3 2" xfId="50578" xr:uid="{00000000-0005-0000-0000-0000B4210000}"/>
    <cellStyle name="Comma 5 5 3 3 5 4" xfId="31508" xr:uid="{00000000-0005-0000-0000-0000B5210000}"/>
    <cellStyle name="Comma 5 5 3 3 6" xfId="7391" xr:uid="{00000000-0005-0000-0000-0000B6210000}"/>
    <cellStyle name="Comma 5 5 3 3 6 2" xfId="19819" xr:uid="{00000000-0005-0000-0000-0000B7210000}"/>
    <cellStyle name="Comma 5 5 3 3 6 2 2" xfId="45372" xr:uid="{00000000-0005-0000-0000-0000B8210000}"/>
    <cellStyle name="Comma 5 5 3 3 6 3" xfId="32948" xr:uid="{00000000-0005-0000-0000-0000B9210000}"/>
    <cellStyle name="Comma 5 5 3 3 7" xfId="16330" xr:uid="{00000000-0005-0000-0000-0000BA210000}"/>
    <cellStyle name="Comma 5 5 3 3 7 2" xfId="41883" xr:uid="{00000000-0005-0000-0000-0000BB210000}"/>
    <cellStyle name="Comma 5 5 3 3 8" xfId="26302" xr:uid="{00000000-0005-0000-0000-0000BC210000}"/>
    <cellStyle name="Comma 5 5 3 4" xfId="676" xr:uid="{00000000-0005-0000-0000-0000BD210000}"/>
    <cellStyle name="Comma 5 5 3 4 2" xfId="3162" xr:uid="{00000000-0005-0000-0000-0000BE210000}"/>
    <cellStyle name="Comma 5 5 3 4 2 2" xfId="12305" xr:uid="{00000000-0005-0000-0000-0000BF210000}"/>
    <cellStyle name="Comma 5 5 3 4 2 2 2" xfId="22523" xr:uid="{00000000-0005-0000-0000-0000C0210000}"/>
    <cellStyle name="Comma 5 5 3 4 2 2 2 2" xfId="48076" xr:uid="{00000000-0005-0000-0000-0000C1210000}"/>
    <cellStyle name="Comma 5 5 3 4 2 2 3" xfId="37860" xr:uid="{00000000-0005-0000-0000-0000C2210000}"/>
    <cellStyle name="Comma 5 5 3 4 2 3" xfId="8727" xr:uid="{00000000-0005-0000-0000-0000C3210000}"/>
    <cellStyle name="Comma 5 5 3 4 2 3 2" xfId="34284" xr:uid="{00000000-0005-0000-0000-0000C4210000}"/>
    <cellStyle name="Comma 5 5 3 4 2 4" xfId="17516" xr:uid="{00000000-0005-0000-0000-0000C5210000}"/>
    <cellStyle name="Comma 5 5 3 4 2 4 2" xfId="43069" xr:uid="{00000000-0005-0000-0000-0000C6210000}"/>
    <cellStyle name="Comma 5 5 3 4 2 5" xfId="29006" xr:uid="{00000000-0005-0000-0000-0000C7210000}"/>
    <cellStyle name="Comma 5 5 3 4 3" xfId="4840" xr:uid="{00000000-0005-0000-0000-0000C8210000}"/>
    <cellStyle name="Comma 5 5 3 4 3 2" xfId="13677" xr:uid="{00000000-0005-0000-0000-0000C9210000}"/>
    <cellStyle name="Comma 5 5 3 4 3 2 2" xfId="23928" xr:uid="{00000000-0005-0000-0000-0000CA210000}"/>
    <cellStyle name="Comma 5 5 3 4 3 2 2 2" xfId="49481" xr:uid="{00000000-0005-0000-0000-0000CB210000}"/>
    <cellStyle name="Comma 5 5 3 4 3 2 3" xfId="39232" xr:uid="{00000000-0005-0000-0000-0000CC210000}"/>
    <cellStyle name="Comma 5 5 3 4 3 3" xfId="10098" xr:uid="{00000000-0005-0000-0000-0000CD210000}"/>
    <cellStyle name="Comma 5 5 3 4 3 3 2" xfId="35655" xr:uid="{00000000-0005-0000-0000-0000CE210000}"/>
    <cellStyle name="Comma 5 5 3 4 3 4" xfId="18921" xr:uid="{00000000-0005-0000-0000-0000CF210000}"/>
    <cellStyle name="Comma 5 5 3 4 3 4 2" xfId="44474" xr:uid="{00000000-0005-0000-0000-0000D0210000}"/>
    <cellStyle name="Comma 5 5 3 4 3 5" xfId="30411" xr:uid="{00000000-0005-0000-0000-0000D1210000}"/>
    <cellStyle name="Comma 5 5 3 4 4" xfId="2271" xr:uid="{00000000-0005-0000-0000-0000D2210000}"/>
    <cellStyle name="Comma 5 5 3 4 4 2" xfId="11636" xr:uid="{00000000-0005-0000-0000-0000D3210000}"/>
    <cellStyle name="Comma 5 5 3 4 4 2 2" xfId="37191" xr:uid="{00000000-0005-0000-0000-0000D4210000}"/>
    <cellStyle name="Comma 5 5 3 4 4 3" xfId="21640" xr:uid="{00000000-0005-0000-0000-0000D5210000}"/>
    <cellStyle name="Comma 5 5 3 4 4 3 2" xfId="47193" xr:uid="{00000000-0005-0000-0000-0000D6210000}"/>
    <cellStyle name="Comma 5 5 3 4 4 4" xfId="28123" xr:uid="{00000000-0005-0000-0000-0000D7210000}"/>
    <cellStyle name="Comma 5 5 3 4 5" xfId="6295" xr:uid="{00000000-0005-0000-0000-0000D8210000}"/>
    <cellStyle name="Comma 5 5 3 4 5 2" xfId="15122" xr:uid="{00000000-0005-0000-0000-0000D9210000}"/>
    <cellStyle name="Comma 5 5 3 4 5 2 2" xfId="40677" xr:uid="{00000000-0005-0000-0000-0000DA210000}"/>
    <cellStyle name="Comma 5 5 3 4 5 3" xfId="25373" xr:uid="{00000000-0005-0000-0000-0000DB210000}"/>
    <cellStyle name="Comma 5 5 3 4 5 3 2" xfId="50926" xr:uid="{00000000-0005-0000-0000-0000DC210000}"/>
    <cellStyle name="Comma 5 5 3 4 5 4" xfId="31856" xr:uid="{00000000-0005-0000-0000-0000DD210000}"/>
    <cellStyle name="Comma 5 5 3 4 6" xfId="7741" xr:uid="{00000000-0005-0000-0000-0000DE210000}"/>
    <cellStyle name="Comma 5 5 3 4 6 2" xfId="20122" xr:uid="{00000000-0005-0000-0000-0000DF210000}"/>
    <cellStyle name="Comma 5 5 3 4 6 2 2" xfId="45675" xr:uid="{00000000-0005-0000-0000-0000E0210000}"/>
    <cellStyle name="Comma 5 5 3 4 6 3" xfId="33298" xr:uid="{00000000-0005-0000-0000-0000E1210000}"/>
    <cellStyle name="Comma 5 5 3 4 7" xfId="16633" xr:uid="{00000000-0005-0000-0000-0000E2210000}"/>
    <cellStyle name="Comma 5 5 3 4 7 2" xfId="42186" xr:uid="{00000000-0005-0000-0000-0000E3210000}"/>
    <cellStyle name="Comma 5 5 3 4 8" xfId="26605" xr:uid="{00000000-0005-0000-0000-0000E4210000}"/>
    <cellStyle name="Comma 5 5 3 5" xfId="1145" xr:uid="{00000000-0005-0000-0000-0000E5210000}"/>
    <cellStyle name="Comma 5 5 3 5 2" xfId="3574" xr:uid="{00000000-0005-0000-0000-0000E6210000}"/>
    <cellStyle name="Comma 5 5 3 5 2 2" xfId="12710" xr:uid="{00000000-0005-0000-0000-0000E7210000}"/>
    <cellStyle name="Comma 5 5 3 5 2 2 2" xfId="22929" xr:uid="{00000000-0005-0000-0000-0000E8210000}"/>
    <cellStyle name="Comma 5 5 3 5 2 2 2 2" xfId="48482" xr:uid="{00000000-0005-0000-0000-0000E9210000}"/>
    <cellStyle name="Comma 5 5 3 5 2 2 3" xfId="38265" xr:uid="{00000000-0005-0000-0000-0000EA210000}"/>
    <cellStyle name="Comma 5 5 3 5 2 3" xfId="9131" xr:uid="{00000000-0005-0000-0000-0000EB210000}"/>
    <cellStyle name="Comma 5 5 3 5 2 3 2" xfId="34688" xr:uid="{00000000-0005-0000-0000-0000EC210000}"/>
    <cellStyle name="Comma 5 5 3 5 2 4" xfId="17922" xr:uid="{00000000-0005-0000-0000-0000ED210000}"/>
    <cellStyle name="Comma 5 5 3 5 2 4 2" xfId="43475" xr:uid="{00000000-0005-0000-0000-0000EE210000}"/>
    <cellStyle name="Comma 5 5 3 5 2 5" xfId="29412" xr:uid="{00000000-0005-0000-0000-0000EF210000}"/>
    <cellStyle name="Comma 5 5 3 5 3" xfId="5237" xr:uid="{00000000-0005-0000-0000-0000F0210000}"/>
    <cellStyle name="Comma 5 5 3 5 3 2" xfId="14074" xr:uid="{00000000-0005-0000-0000-0000F1210000}"/>
    <cellStyle name="Comma 5 5 3 5 3 2 2" xfId="24325" xr:uid="{00000000-0005-0000-0000-0000F2210000}"/>
    <cellStyle name="Comma 5 5 3 5 3 2 2 2" xfId="49878" xr:uid="{00000000-0005-0000-0000-0000F3210000}"/>
    <cellStyle name="Comma 5 5 3 5 3 2 3" xfId="39629" xr:uid="{00000000-0005-0000-0000-0000F4210000}"/>
    <cellStyle name="Comma 5 5 3 5 3 3" xfId="10495" xr:uid="{00000000-0005-0000-0000-0000F5210000}"/>
    <cellStyle name="Comma 5 5 3 5 3 3 2" xfId="36052" xr:uid="{00000000-0005-0000-0000-0000F6210000}"/>
    <cellStyle name="Comma 5 5 3 5 3 4" xfId="19318" xr:uid="{00000000-0005-0000-0000-0000F7210000}"/>
    <cellStyle name="Comma 5 5 3 5 3 4 2" xfId="44871" xr:uid="{00000000-0005-0000-0000-0000F8210000}"/>
    <cellStyle name="Comma 5 5 3 5 3 5" xfId="30808" xr:uid="{00000000-0005-0000-0000-0000F9210000}"/>
    <cellStyle name="Comma 5 5 3 5 4" xfId="1853" xr:uid="{00000000-0005-0000-0000-0000FA210000}"/>
    <cellStyle name="Comma 5 5 3 5 4 2" xfId="11221" xr:uid="{00000000-0005-0000-0000-0000FB210000}"/>
    <cellStyle name="Comma 5 5 3 5 4 2 2" xfId="36776" xr:uid="{00000000-0005-0000-0000-0000FC210000}"/>
    <cellStyle name="Comma 5 5 3 5 4 3" xfId="21225" xr:uid="{00000000-0005-0000-0000-0000FD210000}"/>
    <cellStyle name="Comma 5 5 3 5 4 3 2" xfId="46778" xr:uid="{00000000-0005-0000-0000-0000FE210000}"/>
    <cellStyle name="Comma 5 5 3 5 4 4" xfId="27708" xr:uid="{00000000-0005-0000-0000-0000FF210000}"/>
    <cellStyle name="Comma 5 5 3 5 5" xfId="6692" xr:uid="{00000000-0005-0000-0000-000000220000}"/>
    <cellStyle name="Comma 5 5 3 5 5 2" xfId="15519" xr:uid="{00000000-0005-0000-0000-000001220000}"/>
    <cellStyle name="Comma 5 5 3 5 5 2 2" xfId="41074" xr:uid="{00000000-0005-0000-0000-000002220000}"/>
    <cellStyle name="Comma 5 5 3 5 5 3" xfId="25770" xr:uid="{00000000-0005-0000-0000-000003220000}"/>
    <cellStyle name="Comma 5 5 3 5 5 3 2" xfId="51323" xr:uid="{00000000-0005-0000-0000-000004220000}"/>
    <cellStyle name="Comma 5 5 3 5 5 4" xfId="32253" xr:uid="{00000000-0005-0000-0000-000005220000}"/>
    <cellStyle name="Comma 5 5 3 5 6" xfId="8138" xr:uid="{00000000-0005-0000-0000-000006220000}"/>
    <cellStyle name="Comma 5 5 3 5 6 2" xfId="20528" xr:uid="{00000000-0005-0000-0000-000007220000}"/>
    <cellStyle name="Comma 5 5 3 5 6 2 2" xfId="46081" xr:uid="{00000000-0005-0000-0000-000008220000}"/>
    <cellStyle name="Comma 5 5 3 5 6 3" xfId="33695" xr:uid="{00000000-0005-0000-0000-000009220000}"/>
    <cellStyle name="Comma 5 5 3 5 7" xfId="16218" xr:uid="{00000000-0005-0000-0000-00000A220000}"/>
    <cellStyle name="Comma 5 5 3 5 7 2" xfId="41771" xr:uid="{00000000-0005-0000-0000-00000B220000}"/>
    <cellStyle name="Comma 5 5 3 5 8" xfId="27011" xr:uid="{00000000-0005-0000-0000-00000C220000}"/>
    <cellStyle name="Comma 5 5 3 6" xfId="2747" xr:uid="{00000000-0005-0000-0000-00000D220000}"/>
    <cellStyle name="Comma 5 5 3 6 2" xfId="12064" xr:uid="{00000000-0005-0000-0000-00000E220000}"/>
    <cellStyle name="Comma 5 5 3 6 2 2" xfId="22108" xr:uid="{00000000-0005-0000-0000-00000F220000}"/>
    <cellStyle name="Comma 5 5 3 6 2 2 2" xfId="47661" xr:uid="{00000000-0005-0000-0000-000010220000}"/>
    <cellStyle name="Comma 5 5 3 6 2 3" xfId="37619" xr:uid="{00000000-0005-0000-0000-000011220000}"/>
    <cellStyle name="Comma 5 5 3 6 3" xfId="8481" xr:uid="{00000000-0005-0000-0000-000012220000}"/>
    <cellStyle name="Comma 5 5 3 6 3 2" xfId="34038" xr:uid="{00000000-0005-0000-0000-000013220000}"/>
    <cellStyle name="Comma 5 5 3 6 4" xfId="17101" xr:uid="{00000000-0005-0000-0000-000014220000}"/>
    <cellStyle name="Comma 5 5 3 6 4 2" xfId="42654" xr:uid="{00000000-0005-0000-0000-000015220000}"/>
    <cellStyle name="Comma 5 5 3 6 5" xfId="28591" xr:uid="{00000000-0005-0000-0000-000016220000}"/>
    <cellStyle name="Comma 5 5 3 7" xfId="4193" xr:uid="{00000000-0005-0000-0000-000017220000}"/>
    <cellStyle name="Comma 5 5 3 7 2" xfId="13031" xr:uid="{00000000-0005-0000-0000-000018220000}"/>
    <cellStyle name="Comma 5 5 3 7 2 2" xfId="23282" xr:uid="{00000000-0005-0000-0000-000019220000}"/>
    <cellStyle name="Comma 5 5 3 7 2 2 2" xfId="48835" xr:uid="{00000000-0005-0000-0000-00001A220000}"/>
    <cellStyle name="Comma 5 5 3 7 2 3" xfId="38586" xr:uid="{00000000-0005-0000-0000-00001B220000}"/>
    <cellStyle name="Comma 5 5 3 7 3" xfId="9452" xr:uid="{00000000-0005-0000-0000-00001C220000}"/>
    <cellStyle name="Comma 5 5 3 7 3 2" xfId="35009" xr:uid="{00000000-0005-0000-0000-00001D220000}"/>
    <cellStyle name="Comma 5 5 3 7 4" xfId="18275" xr:uid="{00000000-0005-0000-0000-00001E220000}"/>
    <cellStyle name="Comma 5 5 3 7 4 2" xfId="43828" xr:uid="{00000000-0005-0000-0000-00001F220000}"/>
    <cellStyle name="Comma 5 5 3 7 5" xfId="29765" xr:uid="{00000000-0005-0000-0000-000020220000}"/>
    <cellStyle name="Comma 5 5 3 8" xfId="1465" xr:uid="{00000000-0005-0000-0000-000021220000}"/>
    <cellStyle name="Comma 5 5 3 8 2" xfId="10842" xr:uid="{00000000-0005-0000-0000-000022220000}"/>
    <cellStyle name="Comma 5 5 3 8 2 2" xfId="36397" xr:uid="{00000000-0005-0000-0000-000023220000}"/>
    <cellStyle name="Comma 5 5 3 8 3" xfId="20846" xr:uid="{00000000-0005-0000-0000-000024220000}"/>
    <cellStyle name="Comma 5 5 3 8 3 2" xfId="46399" xr:uid="{00000000-0005-0000-0000-000025220000}"/>
    <cellStyle name="Comma 5 5 3 8 4" xfId="27329" xr:uid="{00000000-0005-0000-0000-000026220000}"/>
    <cellStyle name="Comma 5 5 3 9" xfId="5649" xr:uid="{00000000-0005-0000-0000-000027220000}"/>
    <cellStyle name="Comma 5 5 3 9 2" xfId="14476" xr:uid="{00000000-0005-0000-0000-000028220000}"/>
    <cellStyle name="Comma 5 5 3 9 2 2" xfId="40031" xr:uid="{00000000-0005-0000-0000-000029220000}"/>
    <cellStyle name="Comma 5 5 3 9 3" xfId="24727" xr:uid="{00000000-0005-0000-0000-00002A220000}"/>
    <cellStyle name="Comma 5 5 3 9 3 2" xfId="50280" xr:uid="{00000000-0005-0000-0000-00002B220000}"/>
    <cellStyle name="Comma 5 5 3 9 4" xfId="31210" xr:uid="{00000000-0005-0000-0000-00002C220000}"/>
    <cellStyle name="Comma 5 5 4" xfId="473" xr:uid="{00000000-0005-0000-0000-00002D220000}"/>
    <cellStyle name="Comma 5 5 4 10" xfId="26402" xr:uid="{00000000-0005-0000-0000-00002E220000}"/>
    <cellStyle name="Comma 5 5 4 2" xfId="678" xr:uid="{00000000-0005-0000-0000-00002F220000}"/>
    <cellStyle name="Comma 5 5 4 2 2" xfId="3164" xr:uid="{00000000-0005-0000-0000-000030220000}"/>
    <cellStyle name="Comma 5 5 4 2 2 2" xfId="12307" xr:uid="{00000000-0005-0000-0000-000031220000}"/>
    <cellStyle name="Comma 5 5 4 2 2 2 2" xfId="22525" xr:uid="{00000000-0005-0000-0000-000032220000}"/>
    <cellStyle name="Comma 5 5 4 2 2 2 2 2" xfId="48078" xr:uid="{00000000-0005-0000-0000-000033220000}"/>
    <cellStyle name="Comma 5 5 4 2 2 2 3" xfId="37862" xr:uid="{00000000-0005-0000-0000-000034220000}"/>
    <cellStyle name="Comma 5 5 4 2 2 3" xfId="8729" xr:uid="{00000000-0005-0000-0000-000035220000}"/>
    <cellStyle name="Comma 5 5 4 2 2 3 2" xfId="34286" xr:uid="{00000000-0005-0000-0000-000036220000}"/>
    <cellStyle name="Comma 5 5 4 2 2 4" xfId="17518" xr:uid="{00000000-0005-0000-0000-000037220000}"/>
    <cellStyle name="Comma 5 5 4 2 2 4 2" xfId="43071" xr:uid="{00000000-0005-0000-0000-000038220000}"/>
    <cellStyle name="Comma 5 5 4 2 2 5" xfId="29008" xr:uid="{00000000-0005-0000-0000-000039220000}"/>
    <cellStyle name="Comma 5 5 4 2 3" xfId="4493" xr:uid="{00000000-0005-0000-0000-00003A220000}"/>
    <cellStyle name="Comma 5 5 4 2 3 2" xfId="13331" xr:uid="{00000000-0005-0000-0000-00003B220000}"/>
    <cellStyle name="Comma 5 5 4 2 3 2 2" xfId="23582" xr:uid="{00000000-0005-0000-0000-00003C220000}"/>
    <cellStyle name="Comma 5 5 4 2 3 2 2 2" xfId="49135" xr:uid="{00000000-0005-0000-0000-00003D220000}"/>
    <cellStyle name="Comma 5 5 4 2 3 2 3" xfId="38886" xr:uid="{00000000-0005-0000-0000-00003E220000}"/>
    <cellStyle name="Comma 5 5 4 2 3 3" xfId="9752" xr:uid="{00000000-0005-0000-0000-00003F220000}"/>
    <cellStyle name="Comma 5 5 4 2 3 3 2" xfId="35309" xr:uid="{00000000-0005-0000-0000-000040220000}"/>
    <cellStyle name="Comma 5 5 4 2 3 4" xfId="18575" xr:uid="{00000000-0005-0000-0000-000041220000}"/>
    <cellStyle name="Comma 5 5 4 2 3 4 2" xfId="44128" xr:uid="{00000000-0005-0000-0000-000042220000}"/>
    <cellStyle name="Comma 5 5 4 2 3 5" xfId="30065" xr:uid="{00000000-0005-0000-0000-000043220000}"/>
    <cellStyle name="Comma 5 5 4 2 4" xfId="2273" xr:uid="{00000000-0005-0000-0000-000044220000}"/>
    <cellStyle name="Comma 5 5 4 2 4 2" xfId="11638" xr:uid="{00000000-0005-0000-0000-000045220000}"/>
    <cellStyle name="Comma 5 5 4 2 4 2 2" xfId="37193" xr:uid="{00000000-0005-0000-0000-000046220000}"/>
    <cellStyle name="Comma 5 5 4 2 4 3" xfId="21642" xr:uid="{00000000-0005-0000-0000-000047220000}"/>
    <cellStyle name="Comma 5 5 4 2 4 3 2" xfId="47195" xr:uid="{00000000-0005-0000-0000-000048220000}"/>
    <cellStyle name="Comma 5 5 4 2 4 4" xfId="28125" xr:uid="{00000000-0005-0000-0000-000049220000}"/>
    <cellStyle name="Comma 5 5 4 2 5" xfId="5949" xr:uid="{00000000-0005-0000-0000-00004A220000}"/>
    <cellStyle name="Comma 5 5 4 2 5 2" xfId="14776" xr:uid="{00000000-0005-0000-0000-00004B220000}"/>
    <cellStyle name="Comma 5 5 4 2 5 2 2" xfId="40331" xr:uid="{00000000-0005-0000-0000-00004C220000}"/>
    <cellStyle name="Comma 5 5 4 2 5 3" xfId="25027" xr:uid="{00000000-0005-0000-0000-00004D220000}"/>
    <cellStyle name="Comma 5 5 4 2 5 3 2" xfId="50580" xr:uid="{00000000-0005-0000-0000-00004E220000}"/>
    <cellStyle name="Comma 5 5 4 2 5 4" xfId="31510" xr:uid="{00000000-0005-0000-0000-00004F220000}"/>
    <cellStyle name="Comma 5 5 4 2 6" xfId="7393" xr:uid="{00000000-0005-0000-0000-000050220000}"/>
    <cellStyle name="Comma 5 5 4 2 6 2" xfId="20124" xr:uid="{00000000-0005-0000-0000-000051220000}"/>
    <cellStyle name="Comma 5 5 4 2 6 2 2" xfId="45677" xr:uid="{00000000-0005-0000-0000-000052220000}"/>
    <cellStyle name="Comma 5 5 4 2 6 3" xfId="32950" xr:uid="{00000000-0005-0000-0000-000053220000}"/>
    <cellStyle name="Comma 5 5 4 2 7" xfId="16635" xr:uid="{00000000-0005-0000-0000-000054220000}"/>
    <cellStyle name="Comma 5 5 4 2 7 2" xfId="42188" xr:uid="{00000000-0005-0000-0000-000055220000}"/>
    <cellStyle name="Comma 5 5 4 2 8" xfId="26607" xr:uid="{00000000-0005-0000-0000-000056220000}"/>
    <cellStyle name="Comma 5 5 4 3" xfId="1245" xr:uid="{00000000-0005-0000-0000-000057220000}"/>
    <cellStyle name="Comma 5 5 4 3 2" xfId="3674" xr:uid="{00000000-0005-0000-0000-000058220000}"/>
    <cellStyle name="Comma 5 5 4 3 2 2" xfId="12810" xr:uid="{00000000-0005-0000-0000-000059220000}"/>
    <cellStyle name="Comma 5 5 4 3 2 2 2" xfId="23029" xr:uid="{00000000-0005-0000-0000-00005A220000}"/>
    <cellStyle name="Comma 5 5 4 3 2 2 2 2" xfId="48582" xr:uid="{00000000-0005-0000-0000-00005B220000}"/>
    <cellStyle name="Comma 5 5 4 3 2 2 3" xfId="38365" xr:uid="{00000000-0005-0000-0000-00005C220000}"/>
    <cellStyle name="Comma 5 5 4 3 2 3" xfId="9231" xr:uid="{00000000-0005-0000-0000-00005D220000}"/>
    <cellStyle name="Comma 5 5 4 3 2 3 2" xfId="34788" xr:uid="{00000000-0005-0000-0000-00005E220000}"/>
    <cellStyle name="Comma 5 5 4 3 2 4" xfId="18022" xr:uid="{00000000-0005-0000-0000-00005F220000}"/>
    <cellStyle name="Comma 5 5 4 3 2 4 2" xfId="43575" xr:uid="{00000000-0005-0000-0000-000060220000}"/>
    <cellStyle name="Comma 5 5 4 3 2 5" xfId="29512" xr:uid="{00000000-0005-0000-0000-000061220000}"/>
    <cellStyle name="Comma 5 5 4 3 3" xfId="4842" xr:uid="{00000000-0005-0000-0000-000062220000}"/>
    <cellStyle name="Comma 5 5 4 3 3 2" xfId="13679" xr:uid="{00000000-0005-0000-0000-000063220000}"/>
    <cellStyle name="Comma 5 5 4 3 3 2 2" xfId="23930" xr:uid="{00000000-0005-0000-0000-000064220000}"/>
    <cellStyle name="Comma 5 5 4 3 3 2 2 2" xfId="49483" xr:uid="{00000000-0005-0000-0000-000065220000}"/>
    <cellStyle name="Comma 5 5 4 3 3 2 3" xfId="39234" xr:uid="{00000000-0005-0000-0000-000066220000}"/>
    <cellStyle name="Comma 5 5 4 3 3 3" xfId="10100" xr:uid="{00000000-0005-0000-0000-000067220000}"/>
    <cellStyle name="Comma 5 5 4 3 3 3 2" xfId="35657" xr:uid="{00000000-0005-0000-0000-000068220000}"/>
    <cellStyle name="Comma 5 5 4 3 3 4" xfId="18923" xr:uid="{00000000-0005-0000-0000-000069220000}"/>
    <cellStyle name="Comma 5 5 4 3 3 4 2" xfId="44476" xr:uid="{00000000-0005-0000-0000-00006A220000}"/>
    <cellStyle name="Comma 5 5 4 3 3 5" xfId="30413" xr:uid="{00000000-0005-0000-0000-00006B220000}"/>
    <cellStyle name="Comma 5 5 4 3 4" xfId="2068" xr:uid="{00000000-0005-0000-0000-00006C220000}"/>
    <cellStyle name="Comma 5 5 4 3 4 2" xfId="11433" xr:uid="{00000000-0005-0000-0000-00006D220000}"/>
    <cellStyle name="Comma 5 5 4 3 4 2 2" xfId="36988" xr:uid="{00000000-0005-0000-0000-00006E220000}"/>
    <cellStyle name="Comma 5 5 4 3 4 3" xfId="21437" xr:uid="{00000000-0005-0000-0000-00006F220000}"/>
    <cellStyle name="Comma 5 5 4 3 4 3 2" xfId="46990" xr:uid="{00000000-0005-0000-0000-000070220000}"/>
    <cellStyle name="Comma 5 5 4 3 4 4" xfId="27920" xr:uid="{00000000-0005-0000-0000-000071220000}"/>
    <cellStyle name="Comma 5 5 4 3 5" xfId="6297" xr:uid="{00000000-0005-0000-0000-000072220000}"/>
    <cellStyle name="Comma 5 5 4 3 5 2" xfId="15124" xr:uid="{00000000-0005-0000-0000-000073220000}"/>
    <cellStyle name="Comma 5 5 4 3 5 2 2" xfId="40679" xr:uid="{00000000-0005-0000-0000-000074220000}"/>
    <cellStyle name="Comma 5 5 4 3 5 3" xfId="25375" xr:uid="{00000000-0005-0000-0000-000075220000}"/>
    <cellStyle name="Comma 5 5 4 3 5 3 2" xfId="50928" xr:uid="{00000000-0005-0000-0000-000076220000}"/>
    <cellStyle name="Comma 5 5 4 3 5 4" xfId="31858" xr:uid="{00000000-0005-0000-0000-000077220000}"/>
    <cellStyle name="Comma 5 5 4 3 6" xfId="7743" xr:uid="{00000000-0005-0000-0000-000078220000}"/>
    <cellStyle name="Comma 5 5 4 3 6 2" xfId="20628" xr:uid="{00000000-0005-0000-0000-000079220000}"/>
    <cellStyle name="Comma 5 5 4 3 6 2 2" xfId="46181" xr:uid="{00000000-0005-0000-0000-00007A220000}"/>
    <cellStyle name="Comma 5 5 4 3 6 3" xfId="33300" xr:uid="{00000000-0005-0000-0000-00007B220000}"/>
    <cellStyle name="Comma 5 5 4 3 7" xfId="16430" xr:uid="{00000000-0005-0000-0000-00007C220000}"/>
    <cellStyle name="Comma 5 5 4 3 7 2" xfId="41983" xr:uid="{00000000-0005-0000-0000-00007D220000}"/>
    <cellStyle name="Comma 5 5 4 3 8" xfId="27111" xr:uid="{00000000-0005-0000-0000-00007E220000}"/>
    <cellStyle name="Comma 5 5 4 4" xfId="2959" xr:uid="{00000000-0005-0000-0000-00007F220000}"/>
    <cellStyle name="Comma 5 5 4 4 2" xfId="5337" xr:uid="{00000000-0005-0000-0000-000080220000}"/>
    <cellStyle name="Comma 5 5 4 4 2 2" xfId="14174" xr:uid="{00000000-0005-0000-0000-000081220000}"/>
    <cellStyle name="Comma 5 5 4 4 2 2 2" xfId="24425" xr:uid="{00000000-0005-0000-0000-000082220000}"/>
    <cellStyle name="Comma 5 5 4 4 2 2 2 2" xfId="49978" xr:uid="{00000000-0005-0000-0000-000083220000}"/>
    <cellStyle name="Comma 5 5 4 4 2 2 3" xfId="39729" xr:uid="{00000000-0005-0000-0000-000084220000}"/>
    <cellStyle name="Comma 5 5 4 4 2 3" xfId="10595" xr:uid="{00000000-0005-0000-0000-000085220000}"/>
    <cellStyle name="Comma 5 5 4 4 2 3 2" xfId="36152" xr:uid="{00000000-0005-0000-0000-000086220000}"/>
    <cellStyle name="Comma 5 5 4 4 2 4" xfId="19418" xr:uid="{00000000-0005-0000-0000-000087220000}"/>
    <cellStyle name="Comma 5 5 4 4 2 4 2" xfId="44971" xr:uid="{00000000-0005-0000-0000-000088220000}"/>
    <cellStyle name="Comma 5 5 4 4 2 5" xfId="30908" xr:uid="{00000000-0005-0000-0000-000089220000}"/>
    <cellStyle name="Comma 5 5 4 4 3" xfId="6792" xr:uid="{00000000-0005-0000-0000-00008A220000}"/>
    <cellStyle name="Comma 5 5 4 4 3 2" xfId="15619" xr:uid="{00000000-0005-0000-0000-00008B220000}"/>
    <cellStyle name="Comma 5 5 4 4 3 2 2" xfId="41174" xr:uid="{00000000-0005-0000-0000-00008C220000}"/>
    <cellStyle name="Comma 5 5 4 4 3 3" xfId="25870" xr:uid="{00000000-0005-0000-0000-00008D220000}"/>
    <cellStyle name="Comma 5 5 4 4 3 3 2" xfId="51423" xr:uid="{00000000-0005-0000-0000-00008E220000}"/>
    <cellStyle name="Comma 5 5 4 4 3 4" xfId="32353" xr:uid="{00000000-0005-0000-0000-00008F220000}"/>
    <cellStyle name="Comma 5 5 4 4 4" xfId="8238" xr:uid="{00000000-0005-0000-0000-000090220000}"/>
    <cellStyle name="Comma 5 5 4 4 4 2" xfId="22320" xr:uid="{00000000-0005-0000-0000-000091220000}"/>
    <cellStyle name="Comma 5 5 4 4 4 2 2" xfId="47873" xr:uid="{00000000-0005-0000-0000-000092220000}"/>
    <cellStyle name="Comma 5 5 4 4 4 3" xfId="33795" xr:uid="{00000000-0005-0000-0000-000093220000}"/>
    <cellStyle name="Comma 5 5 4 4 5" xfId="17313" xr:uid="{00000000-0005-0000-0000-000094220000}"/>
    <cellStyle name="Comma 5 5 4 4 5 2" xfId="42866" xr:uid="{00000000-0005-0000-0000-000095220000}"/>
    <cellStyle name="Comma 5 5 4 4 6" xfId="28803" xr:uid="{00000000-0005-0000-0000-000096220000}"/>
    <cellStyle name="Comma 5 5 4 5" xfId="4293" xr:uid="{00000000-0005-0000-0000-000097220000}"/>
    <cellStyle name="Comma 5 5 4 5 2" xfId="13131" xr:uid="{00000000-0005-0000-0000-000098220000}"/>
    <cellStyle name="Comma 5 5 4 5 2 2" xfId="23382" xr:uid="{00000000-0005-0000-0000-000099220000}"/>
    <cellStyle name="Comma 5 5 4 5 2 2 2" xfId="48935" xr:uid="{00000000-0005-0000-0000-00009A220000}"/>
    <cellStyle name="Comma 5 5 4 5 2 3" xfId="38686" xr:uid="{00000000-0005-0000-0000-00009B220000}"/>
    <cellStyle name="Comma 5 5 4 5 3" xfId="9552" xr:uid="{00000000-0005-0000-0000-00009C220000}"/>
    <cellStyle name="Comma 5 5 4 5 3 2" xfId="35109" xr:uid="{00000000-0005-0000-0000-00009D220000}"/>
    <cellStyle name="Comma 5 5 4 5 4" xfId="18375" xr:uid="{00000000-0005-0000-0000-00009E220000}"/>
    <cellStyle name="Comma 5 5 4 5 4 2" xfId="43928" xr:uid="{00000000-0005-0000-0000-00009F220000}"/>
    <cellStyle name="Comma 5 5 4 5 5" xfId="29865" xr:uid="{00000000-0005-0000-0000-0000A0220000}"/>
    <cellStyle name="Comma 5 5 4 6" xfId="1565" xr:uid="{00000000-0005-0000-0000-0000A1220000}"/>
    <cellStyle name="Comma 5 5 4 6 2" xfId="10942" xr:uid="{00000000-0005-0000-0000-0000A2220000}"/>
    <cellStyle name="Comma 5 5 4 6 2 2" xfId="36497" xr:uid="{00000000-0005-0000-0000-0000A3220000}"/>
    <cellStyle name="Comma 5 5 4 6 3" xfId="20946" xr:uid="{00000000-0005-0000-0000-0000A4220000}"/>
    <cellStyle name="Comma 5 5 4 6 3 2" xfId="46499" xr:uid="{00000000-0005-0000-0000-0000A5220000}"/>
    <cellStyle name="Comma 5 5 4 6 4" xfId="27429" xr:uid="{00000000-0005-0000-0000-0000A6220000}"/>
    <cellStyle name="Comma 5 5 4 7" xfId="5749" xr:uid="{00000000-0005-0000-0000-0000A7220000}"/>
    <cellStyle name="Comma 5 5 4 7 2" xfId="14576" xr:uid="{00000000-0005-0000-0000-0000A8220000}"/>
    <cellStyle name="Comma 5 5 4 7 2 2" xfId="40131" xr:uid="{00000000-0005-0000-0000-0000A9220000}"/>
    <cellStyle name="Comma 5 5 4 7 3" xfId="24827" xr:uid="{00000000-0005-0000-0000-0000AA220000}"/>
    <cellStyle name="Comma 5 5 4 7 3 2" xfId="50380" xr:uid="{00000000-0005-0000-0000-0000AB220000}"/>
    <cellStyle name="Comma 5 5 4 7 4" xfId="31310" xr:uid="{00000000-0005-0000-0000-0000AC220000}"/>
    <cellStyle name="Comma 5 5 4 8" xfId="7193" xr:uid="{00000000-0005-0000-0000-0000AD220000}"/>
    <cellStyle name="Comma 5 5 4 8 2" xfId="19919" xr:uid="{00000000-0005-0000-0000-0000AE220000}"/>
    <cellStyle name="Comma 5 5 4 8 2 2" xfId="45472" xr:uid="{00000000-0005-0000-0000-0000AF220000}"/>
    <cellStyle name="Comma 5 5 4 8 3" xfId="32750" xr:uid="{00000000-0005-0000-0000-0000B0220000}"/>
    <cellStyle name="Comma 5 5 4 9" xfId="15939" xr:uid="{00000000-0005-0000-0000-0000B1220000}"/>
    <cellStyle name="Comma 5 5 4 9 2" xfId="41492" xr:uid="{00000000-0005-0000-0000-0000B2220000}"/>
    <cellStyle name="Comma 5 5 5" xfId="314" xr:uid="{00000000-0005-0000-0000-0000B3220000}"/>
    <cellStyle name="Comma 5 5 5 2" xfId="2800" xr:uid="{00000000-0005-0000-0000-0000B4220000}"/>
    <cellStyle name="Comma 5 5 5 2 2" xfId="12104" xr:uid="{00000000-0005-0000-0000-0000B5220000}"/>
    <cellStyle name="Comma 5 5 5 2 2 2" xfId="22161" xr:uid="{00000000-0005-0000-0000-0000B6220000}"/>
    <cellStyle name="Comma 5 5 5 2 2 2 2" xfId="47714" xr:uid="{00000000-0005-0000-0000-0000B7220000}"/>
    <cellStyle name="Comma 5 5 5 2 2 3" xfId="37659" xr:uid="{00000000-0005-0000-0000-0000B8220000}"/>
    <cellStyle name="Comma 5 5 5 2 3" xfId="8533" xr:uid="{00000000-0005-0000-0000-0000B9220000}"/>
    <cellStyle name="Comma 5 5 5 2 3 2" xfId="34090" xr:uid="{00000000-0005-0000-0000-0000BA220000}"/>
    <cellStyle name="Comma 5 5 5 2 4" xfId="17154" xr:uid="{00000000-0005-0000-0000-0000BB220000}"/>
    <cellStyle name="Comma 5 5 5 2 4 2" xfId="42707" xr:uid="{00000000-0005-0000-0000-0000BC220000}"/>
    <cellStyle name="Comma 5 5 5 2 5" xfId="28644" xr:uid="{00000000-0005-0000-0000-0000BD220000}"/>
    <cellStyle name="Comma 5 5 5 3" xfId="4488" xr:uid="{00000000-0005-0000-0000-0000BE220000}"/>
    <cellStyle name="Comma 5 5 5 3 2" xfId="13326" xr:uid="{00000000-0005-0000-0000-0000BF220000}"/>
    <cellStyle name="Comma 5 5 5 3 2 2" xfId="23577" xr:uid="{00000000-0005-0000-0000-0000C0220000}"/>
    <cellStyle name="Comma 5 5 5 3 2 2 2" xfId="49130" xr:uid="{00000000-0005-0000-0000-0000C1220000}"/>
    <cellStyle name="Comma 5 5 5 3 2 3" xfId="38881" xr:uid="{00000000-0005-0000-0000-0000C2220000}"/>
    <cellStyle name="Comma 5 5 5 3 3" xfId="9747" xr:uid="{00000000-0005-0000-0000-0000C3220000}"/>
    <cellStyle name="Comma 5 5 5 3 3 2" xfId="35304" xr:uid="{00000000-0005-0000-0000-0000C4220000}"/>
    <cellStyle name="Comma 5 5 5 3 4" xfId="18570" xr:uid="{00000000-0005-0000-0000-0000C5220000}"/>
    <cellStyle name="Comma 5 5 5 3 4 2" xfId="44123" xr:uid="{00000000-0005-0000-0000-0000C6220000}"/>
    <cellStyle name="Comma 5 5 5 3 5" xfId="30060" xr:uid="{00000000-0005-0000-0000-0000C7220000}"/>
    <cellStyle name="Comma 5 5 5 4" xfId="1909" xr:uid="{00000000-0005-0000-0000-0000C8220000}"/>
    <cellStyle name="Comma 5 5 5 4 2" xfId="11274" xr:uid="{00000000-0005-0000-0000-0000C9220000}"/>
    <cellStyle name="Comma 5 5 5 4 2 2" xfId="36829" xr:uid="{00000000-0005-0000-0000-0000CA220000}"/>
    <cellStyle name="Comma 5 5 5 4 3" xfId="21278" xr:uid="{00000000-0005-0000-0000-0000CB220000}"/>
    <cellStyle name="Comma 5 5 5 4 3 2" xfId="46831" xr:uid="{00000000-0005-0000-0000-0000CC220000}"/>
    <cellStyle name="Comma 5 5 5 4 4" xfId="27761" xr:uid="{00000000-0005-0000-0000-0000CD220000}"/>
    <cellStyle name="Comma 5 5 5 5" xfId="5944" xr:uid="{00000000-0005-0000-0000-0000CE220000}"/>
    <cellStyle name="Comma 5 5 5 5 2" xfId="14771" xr:uid="{00000000-0005-0000-0000-0000CF220000}"/>
    <cellStyle name="Comma 5 5 5 5 2 2" xfId="40326" xr:uid="{00000000-0005-0000-0000-0000D0220000}"/>
    <cellStyle name="Comma 5 5 5 5 3" xfId="25022" xr:uid="{00000000-0005-0000-0000-0000D1220000}"/>
    <cellStyle name="Comma 5 5 5 5 3 2" xfId="50575" xr:uid="{00000000-0005-0000-0000-0000D2220000}"/>
    <cellStyle name="Comma 5 5 5 5 4" xfId="31505" xr:uid="{00000000-0005-0000-0000-0000D3220000}"/>
    <cellStyle name="Comma 5 5 5 6" xfId="7388" xr:uid="{00000000-0005-0000-0000-0000D4220000}"/>
    <cellStyle name="Comma 5 5 5 6 2" xfId="19760" xr:uid="{00000000-0005-0000-0000-0000D5220000}"/>
    <cellStyle name="Comma 5 5 5 6 2 2" xfId="45313" xr:uid="{00000000-0005-0000-0000-0000D6220000}"/>
    <cellStyle name="Comma 5 5 5 6 3" xfId="32945" xr:uid="{00000000-0005-0000-0000-0000D7220000}"/>
    <cellStyle name="Comma 5 5 5 7" xfId="16271" xr:uid="{00000000-0005-0000-0000-0000D8220000}"/>
    <cellStyle name="Comma 5 5 5 7 2" xfId="41824" xr:uid="{00000000-0005-0000-0000-0000D9220000}"/>
    <cellStyle name="Comma 5 5 5 8" xfId="26243" xr:uid="{00000000-0005-0000-0000-0000DA220000}"/>
    <cellStyle name="Comma 5 5 6" xfId="673" xr:uid="{00000000-0005-0000-0000-0000DB220000}"/>
    <cellStyle name="Comma 5 5 6 2" xfId="3159" xr:uid="{00000000-0005-0000-0000-0000DC220000}"/>
    <cellStyle name="Comma 5 5 6 2 2" xfId="12302" xr:uid="{00000000-0005-0000-0000-0000DD220000}"/>
    <cellStyle name="Comma 5 5 6 2 2 2" xfId="22520" xr:uid="{00000000-0005-0000-0000-0000DE220000}"/>
    <cellStyle name="Comma 5 5 6 2 2 2 2" xfId="48073" xr:uid="{00000000-0005-0000-0000-0000DF220000}"/>
    <cellStyle name="Comma 5 5 6 2 2 3" xfId="37857" xr:uid="{00000000-0005-0000-0000-0000E0220000}"/>
    <cellStyle name="Comma 5 5 6 2 3" xfId="8724" xr:uid="{00000000-0005-0000-0000-0000E1220000}"/>
    <cellStyle name="Comma 5 5 6 2 3 2" xfId="34281" xr:uid="{00000000-0005-0000-0000-0000E2220000}"/>
    <cellStyle name="Comma 5 5 6 2 4" xfId="17513" xr:uid="{00000000-0005-0000-0000-0000E3220000}"/>
    <cellStyle name="Comma 5 5 6 2 4 2" xfId="43066" xr:uid="{00000000-0005-0000-0000-0000E4220000}"/>
    <cellStyle name="Comma 5 5 6 2 5" xfId="29003" xr:uid="{00000000-0005-0000-0000-0000E5220000}"/>
    <cellStyle name="Comma 5 5 6 3" xfId="4837" xr:uid="{00000000-0005-0000-0000-0000E6220000}"/>
    <cellStyle name="Comma 5 5 6 3 2" xfId="13674" xr:uid="{00000000-0005-0000-0000-0000E7220000}"/>
    <cellStyle name="Comma 5 5 6 3 2 2" xfId="23925" xr:uid="{00000000-0005-0000-0000-0000E8220000}"/>
    <cellStyle name="Comma 5 5 6 3 2 2 2" xfId="49478" xr:uid="{00000000-0005-0000-0000-0000E9220000}"/>
    <cellStyle name="Comma 5 5 6 3 2 3" xfId="39229" xr:uid="{00000000-0005-0000-0000-0000EA220000}"/>
    <cellStyle name="Comma 5 5 6 3 3" xfId="10095" xr:uid="{00000000-0005-0000-0000-0000EB220000}"/>
    <cellStyle name="Comma 5 5 6 3 3 2" xfId="35652" xr:uid="{00000000-0005-0000-0000-0000EC220000}"/>
    <cellStyle name="Comma 5 5 6 3 4" xfId="18918" xr:uid="{00000000-0005-0000-0000-0000ED220000}"/>
    <cellStyle name="Comma 5 5 6 3 4 2" xfId="44471" xr:uid="{00000000-0005-0000-0000-0000EE220000}"/>
    <cellStyle name="Comma 5 5 6 3 5" xfId="30408" xr:uid="{00000000-0005-0000-0000-0000EF220000}"/>
    <cellStyle name="Comma 5 5 6 4" xfId="2268" xr:uid="{00000000-0005-0000-0000-0000F0220000}"/>
    <cellStyle name="Comma 5 5 6 4 2" xfId="11633" xr:uid="{00000000-0005-0000-0000-0000F1220000}"/>
    <cellStyle name="Comma 5 5 6 4 2 2" xfId="37188" xr:uid="{00000000-0005-0000-0000-0000F2220000}"/>
    <cellStyle name="Comma 5 5 6 4 3" xfId="21637" xr:uid="{00000000-0005-0000-0000-0000F3220000}"/>
    <cellStyle name="Comma 5 5 6 4 3 2" xfId="47190" xr:uid="{00000000-0005-0000-0000-0000F4220000}"/>
    <cellStyle name="Comma 5 5 6 4 4" xfId="28120" xr:uid="{00000000-0005-0000-0000-0000F5220000}"/>
    <cellStyle name="Comma 5 5 6 5" xfId="6292" xr:uid="{00000000-0005-0000-0000-0000F6220000}"/>
    <cellStyle name="Comma 5 5 6 5 2" xfId="15119" xr:uid="{00000000-0005-0000-0000-0000F7220000}"/>
    <cellStyle name="Comma 5 5 6 5 2 2" xfId="40674" xr:uid="{00000000-0005-0000-0000-0000F8220000}"/>
    <cellStyle name="Comma 5 5 6 5 3" xfId="25370" xr:uid="{00000000-0005-0000-0000-0000F9220000}"/>
    <cellStyle name="Comma 5 5 6 5 3 2" xfId="50923" xr:uid="{00000000-0005-0000-0000-0000FA220000}"/>
    <cellStyle name="Comma 5 5 6 5 4" xfId="31853" xr:uid="{00000000-0005-0000-0000-0000FB220000}"/>
    <cellStyle name="Comma 5 5 6 6" xfId="7738" xr:uid="{00000000-0005-0000-0000-0000FC220000}"/>
    <cellStyle name="Comma 5 5 6 6 2" xfId="20119" xr:uid="{00000000-0005-0000-0000-0000FD220000}"/>
    <cellStyle name="Comma 5 5 6 6 2 2" xfId="45672" xr:uid="{00000000-0005-0000-0000-0000FE220000}"/>
    <cellStyle name="Comma 5 5 6 6 3" xfId="33295" xr:uid="{00000000-0005-0000-0000-0000FF220000}"/>
    <cellStyle name="Comma 5 5 6 7" xfId="16630" xr:uid="{00000000-0005-0000-0000-000000230000}"/>
    <cellStyle name="Comma 5 5 6 7 2" xfId="42183" xr:uid="{00000000-0005-0000-0000-000001230000}"/>
    <cellStyle name="Comma 5 5 6 8" xfId="26602" xr:uid="{00000000-0005-0000-0000-000002230000}"/>
    <cellStyle name="Comma 5 5 7" xfId="1086" xr:uid="{00000000-0005-0000-0000-000003230000}"/>
    <cellStyle name="Comma 5 5 7 2" xfId="3515" xr:uid="{00000000-0005-0000-0000-000004230000}"/>
    <cellStyle name="Comma 5 5 7 2 2" xfId="12651" xr:uid="{00000000-0005-0000-0000-000005230000}"/>
    <cellStyle name="Comma 5 5 7 2 2 2" xfId="22870" xr:uid="{00000000-0005-0000-0000-000006230000}"/>
    <cellStyle name="Comma 5 5 7 2 2 2 2" xfId="48423" xr:uid="{00000000-0005-0000-0000-000007230000}"/>
    <cellStyle name="Comma 5 5 7 2 2 3" xfId="38206" xr:uid="{00000000-0005-0000-0000-000008230000}"/>
    <cellStyle name="Comma 5 5 7 2 3" xfId="9073" xr:uid="{00000000-0005-0000-0000-000009230000}"/>
    <cellStyle name="Comma 5 5 7 2 3 2" xfId="34630" xr:uid="{00000000-0005-0000-0000-00000A230000}"/>
    <cellStyle name="Comma 5 5 7 2 4" xfId="17863" xr:uid="{00000000-0005-0000-0000-00000B230000}"/>
    <cellStyle name="Comma 5 5 7 2 4 2" xfId="43416" xr:uid="{00000000-0005-0000-0000-00000C230000}"/>
    <cellStyle name="Comma 5 5 7 2 5" xfId="29353" xr:uid="{00000000-0005-0000-0000-00000D230000}"/>
    <cellStyle name="Comma 5 5 7 3" xfId="5178" xr:uid="{00000000-0005-0000-0000-00000E230000}"/>
    <cellStyle name="Comma 5 5 7 3 2" xfId="14015" xr:uid="{00000000-0005-0000-0000-00000F230000}"/>
    <cellStyle name="Comma 5 5 7 3 2 2" xfId="24266" xr:uid="{00000000-0005-0000-0000-000010230000}"/>
    <cellStyle name="Comma 5 5 7 3 2 2 2" xfId="49819" xr:uid="{00000000-0005-0000-0000-000011230000}"/>
    <cellStyle name="Comma 5 5 7 3 2 3" xfId="39570" xr:uid="{00000000-0005-0000-0000-000012230000}"/>
    <cellStyle name="Comma 5 5 7 3 3" xfId="10436" xr:uid="{00000000-0005-0000-0000-000013230000}"/>
    <cellStyle name="Comma 5 5 7 3 3 2" xfId="35993" xr:uid="{00000000-0005-0000-0000-000014230000}"/>
    <cellStyle name="Comma 5 5 7 3 4" xfId="19259" xr:uid="{00000000-0005-0000-0000-000015230000}"/>
    <cellStyle name="Comma 5 5 7 3 4 2" xfId="44812" xr:uid="{00000000-0005-0000-0000-000016230000}"/>
    <cellStyle name="Comma 5 5 7 3 5" xfId="30749" xr:uid="{00000000-0005-0000-0000-000017230000}"/>
    <cellStyle name="Comma 5 5 7 4" xfId="1744" xr:uid="{00000000-0005-0000-0000-000018230000}"/>
    <cellStyle name="Comma 5 5 7 4 2" xfId="11115" xr:uid="{00000000-0005-0000-0000-000019230000}"/>
    <cellStyle name="Comma 5 5 7 4 2 2" xfId="36670" xr:uid="{00000000-0005-0000-0000-00001A230000}"/>
    <cellStyle name="Comma 5 5 7 4 3" xfId="21119" xr:uid="{00000000-0005-0000-0000-00001B230000}"/>
    <cellStyle name="Comma 5 5 7 4 3 2" xfId="46672" xr:uid="{00000000-0005-0000-0000-00001C230000}"/>
    <cellStyle name="Comma 5 5 7 4 4" xfId="27602" xr:uid="{00000000-0005-0000-0000-00001D230000}"/>
    <cellStyle name="Comma 5 5 7 5" xfId="6633" xr:uid="{00000000-0005-0000-0000-00001E230000}"/>
    <cellStyle name="Comma 5 5 7 5 2" xfId="15460" xr:uid="{00000000-0005-0000-0000-00001F230000}"/>
    <cellStyle name="Comma 5 5 7 5 2 2" xfId="41015" xr:uid="{00000000-0005-0000-0000-000020230000}"/>
    <cellStyle name="Comma 5 5 7 5 3" xfId="25711" xr:uid="{00000000-0005-0000-0000-000021230000}"/>
    <cellStyle name="Comma 5 5 7 5 3 2" xfId="51264" xr:uid="{00000000-0005-0000-0000-000022230000}"/>
    <cellStyle name="Comma 5 5 7 5 4" xfId="32194" xr:uid="{00000000-0005-0000-0000-000023230000}"/>
    <cellStyle name="Comma 5 5 7 6" xfId="8079" xr:uid="{00000000-0005-0000-0000-000024230000}"/>
    <cellStyle name="Comma 5 5 7 6 2" xfId="20469" xr:uid="{00000000-0005-0000-0000-000025230000}"/>
    <cellStyle name="Comma 5 5 7 6 2 2" xfId="46022" xr:uid="{00000000-0005-0000-0000-000026230000}"/>
    <cellStyle name="Comma 5 5 7 6 3" xfId="33636" xr:uid="{00000000-0005-0000-0000-000027230000}"/>
    <cellStyle name="Comma 5 5 7 7" xfId="16112" xr:uid="{00000000-0005-0000-0000-000028230000}"/>
    <cellStyle name="Comma 5 5 7 7 2" xfId="41665" xr:uid="{00000000-0005-0000-0000-000029230000}"/>
    <cellStyle name="Comma 5 5 7 8" xfId="26952" xr:uid="{00000000-0005-0000-0000-00002A230000}"/>
    <cellStyle name="Comma 5 5 8" xfId="2642" xr:uid="{00000000-0005-0000-0000-00002B230000}"/>
    <cellStyle name="Comma 5 5 8 2" xfId="5590" xr:uid="{00000000-0005-0000-0000-00002C230000}"/>
    <cellStyle name="Comma 5 5 8 2 2" xfId="14417" xr:uid="{00000000-0005-0000-0000-00002D230000}"/>
    <cellStyle name="Comma 5 5 8 2 2 2" xfId="39972" xr:uid="{00000000-0005-0000-0000-00002E230000}"/>
    <cellStyle name="Comma 5 5 8 2 3" xfId="24668" xr:uid="{00000000-0005-0000-0000-00002F230000}"/>
    <cellStyle name="Comma 5 5 8 2 3 2" xfId="50221" xr:uid="{00000000-0005-0000-0000-000030230000}"/>
    <cellStyle name="Comma 5 5 8 2 4" xfId="31151" xr:uid="{00000000-0005-0000-0000-000031230000}"/>
    <cellStyle name="Comma 5 5 8 3" xfId="7034" xr:uid="{00000000-0005-0000-0000-000032230000}"/>
    <cellStyle name="Comma 5 5 8 3 2" xfId="22003" xr:uid="{00000000-0005-0000-0000-000033230000}"/>
    <cellStyle name="Comma 5 5 8 3 2 2" xfId="47556" xr:uid="{00000000-0005-0000-0000-000034230000}"/>
    <cellStyle name="Comma 5 5 8 3 3" xfId="32591" xr:uid="{00000000-0005-0000-0000-000035230000}"/>
    <cellStyle name="Comma 5 5 8 4" xfId="16996" xr:uid="{00000000-0005-0000-0000-000036230000}"/>
    <cellStyle name="Comma 5 5 8 4 2" xfId="42549" xr:uid="{00000000-0005-0000-0000-000037230000}"/>
    <cellStyle name="Comma 5 5 8 5" xfId="28486" xr:uid="{00000000-0005-0000-0000-000038230000}"/>
    <cellStyle name="Comma 5 5 9" xfId="4132" xr:uid="{00000000-0005-0000-0000-000039230000}"/>
    <cellStyle name="Comma 5 5 9 2" xfId="12970" xr:uid="{00000000-0005-0000-0000-00003A230000}"/>
    <cellStyle name="Comma 5 5 9 2 2" xfId="23221" xr:uid="{00000000-0005-0000-0000-00003B230000}"/>
    <cellStyle name="Comma 5 5 9 2 2 2" xfId="48774" xr:uid="{00000000-0005-0000-0000-00003C230000}"/>
    <cellStyle name="Comma 5 5 9 2 3" xfId="38525" xr:uid="{00000000-0005-0000-0000-00003D230000}"/>
    <cellStyle name="Comma 5 5 9 3" xfId="9391" xr:uid="{00000000-0005-0000-0000-00003E230000}"/>
    <cellStyle name="Comma 5 5 9 3 2" xfId="34948" xr:uid="{00000000-0005-0000-0000-00003F230000}"/>
    <cellStyle name="Comma 5 5 9 4" xfId="18214" xr:uid="{00000000-0005-0000-0000-000040230000}"/>
    <cellStyle name="Comma 5 5 9 4 2" xfId="43767" xr:uid="{00000000-0005-0000-0000-000041230000}"/>
    <cellStyle name="Comma 5 5 9 5" xfId="29704" xr:uid="{00000000-0005-0000-0000-000042230000}"/>
    <cellStyle name="Comma 5 6" xfId="171" xr:uid="{00000000-0005-0000-0000-000043230000}"/>
    <cellStyle name="Comma 5 6 10" xfId="7119" xr:uid="{00000000-0005-0000-0000-000044230000}"/>
    <cellStyle name="Comma 5 6 10 2" xfId="19628" xr:uid="{00000000-0005-0000-0000-000045230000}"/>
    <cellStyle name="Comma 5 6 10 2 2" xfId="45181" xr:uid="{00000000-0005-0000-0000-000046230000}"/>
    <cellStyle name="Comma 5 6 10 3" xfId="32676" xr:uid="{00000000-0005-0000-0000-000047230000}"/>
    <cellStyle name="Comma 5 6 11" xfId="15865" xr:uid="{00000000-0005-0000-0000-000048230000}"/>
    <cellStyle name="Comma 5 6 11 2" xfId="41418" xr:uid="{00000000-0005-0000-0000-000049230000}"/>
    <cellStyle name="Comma 5 6 12" xfId="26111" xr:uid="{00000000-0005-0000-0000-00004A230000}"/>
    <cellStyle name="Comma 5 6 2" xfId="499" xr:uid="{00000000-0005-0000-0000-00004B230000}"/>
    <cellStyle name="Comma 5 6 2 10" xfId="26428" xr:uid="{00000000-0005-0000-0000-00004C230000}"/>
    <cellStyle name="Comma 5 6 2 2" xfId="680" xr:uid="{00000000-0005-0000-0000-00004D230000}"/>
    <cellStyle name="Comma 5 6 2 2 2" xfId="3166" xr:uid="{00000000-0005-0000-0000-00004E230000}"/>
    <cellStyle name="Comma 5 6 2 2 2 2" xfId="12309" xr:uid="{00000000-0005-0000-0000-00004F230000}"/>
    <cellStyle name="Comma 5 6 2 2 2 2 2" xfId="22527" xr:uid="{00000000-0005-0000-0000-000050230000}"/>
    <cellStyle name="Comma 5 6 2 2 2 2 2 2" xfId="48080" xr:uid="{00000000-0005-0000-0000-000051230000}"/>
    <cellStyle name="Comma 5 6 2 2 2 2 3" xfId="37864" xr:uid="{00000000-0005-0000-0000-000052230000}"/>
    <cellStyle name="Comma 5 6 2 2 2 3" xfId="8731" xr:uid="{00000000-0005-0000-0000-000053230000}"/>
    <cellStyle name="Comma 5 6 2 2 2 3 2" xfId="34288" xr:uid="{00000000-0005-0000-0000-000054230000}"/>
    <cellStyle name="Comma 5 6 2 2 2 4" xfId="17520" xr:uid="{00000000-0005-0000-0000-000055230000}"/>
    <cellStyle name="Comma 5 6 2 2 2 4 2" xfId="43073" xr:uid="{00000000-0005-0000-0000-000056230000}"/>
    <cellStyle name="Comma 5 6 2 2 2 5" xfId="29010" xr:uid="{00000000-0005-0000-0000-000057230000}"/>
    <cellStyle name="Comma 5 6 2 2 3" xfId="4495" xr:uid="{00000000-0005-0000-0000-000058230000}"/>
    <cellStyle name="Comma 5 6 2 2 3 2" xfId="13333" xr:uid="{00000000-0005-0000-0000-000059230000}"/>
    <cellStyle name="Comma 5 6 2 2 3 2 2" xfId="23584" xr:uid="{00000000-0005-0000-0000-00005A230000}"/>
    <cellStyle name="Comma 5 6 2 2 3 2 2 2" xfId="49137" xr:uid="{00000000-0005-0000-0000-00005B230000}"/>
    <cellStyle name="Comma 5 6 2 2 3 2 3" xfId="38888" xr:uid="{00000000-0005-0000-0000-00005C230000}"/>
    <cellStyle name="Comma 5 6 2 2 3 3" xfId="9754" xr:uid="{00000000-0005-0000-0000-00005D230000}"/>
    <cellStyle name="Comma 5 6 2 2 3 3 2" xfId="35311" xr:uid="{00000000-0005-0000-0000-00005E230000}"/>
    <cellStyle name="Comma 5 6 2 2 3 4" xfId="18577" xr:uid="{00000000-0005-0000-0000-00005F230000}"/>
    <cellStyle name="Comma 5 6 2 2 3 4 2" xfId="44130" xr:uid="{00000000-0005-0000-0000-000060230000}"/>
    <cellStyle name="Comma 5 6 2 2 3 5" xfId="30067" xr:uid="{00000000-0005-0000-0000-000061230000}"/>
    <cellStyle name="Comma 5 6 2 2 4" xfId="2275" xr:uid="{00000000-0005-0000-0000-000062230000}"/>
    <cellStyle name="Comma 5 6 2 2 4 2" xfId="11640" xr:uid="{00000000-0005-0000-0000-000063230000}"/>
    <cellStyle name="Comma 5 6 2 2 4 2 2" xfId="37195" xr:uid="{00000000-0005-0000-0000-000064230000}"/>
    <cellStyle name="Comma 5 6 2 2 4 3" xfId="21644" xr:uid="{00000000-0005-0000-0000-000065230000}"/>
    <cellStyle name="Comma 5 6 2 2 4 3 2" xfId="47197" xr:uid="{00000000-0005-0000-0000-000066230000}"/>
    <cellStyle name="Comma 5 6 2 2 4 4" xfId="28127" xr:uid="{00000000-0005-0000-0000-000067230000}"/>
    <cellStyle name="Comma 5 6 2 2 5" xfId="5951" xr:uid="{00000000-0005-0000-0000-000068230000}"/>
    <cellStyle name="Comma 5 6 2 2 5 2" xfId="14778" xr:uid="{00000000-0005-0000-0000-000069230000}"/>
    <cellStyle name="Comma 5 6 2 2 5 2 2" xfId="40333" xr:uid="{00000000-0005-0000-0000-00006A230000}"/>
    <cellStyle name="Comma 5 6 2 2 5 3" xfId="25029" xr:uid="{00000000-0005-0000-0000-00006B230000}"/>
    <cellStyle name="Comma 5 6 2 2 5 3 2" xfId="50582" xr:uid="{00000000-0005-0000-0000-00006C230000}"/>
    <cellStyle name="Comma 5 6 2 2 5 4" xfId="31512" xr:uid="{00000000-0005-0000-0000-00006D230000}"/>
    <cellStyle name="Comma 5 6 2 2 6" xfId="7395" xr:uid="{00000000-0005-0000-0000-00006E230000}"/>
    <cellStyle name="Comma 5 6 2 2 6 2" xfId="20126" xr:uid="{00000000-0005-0000-0000-00006F230000}"/>
    <cellStyle name="Comma 5 6 2 2 6 2 2" xfId="45679" xr:uid="{00000000-0005-0000-0000-000070230000}"/>
    <cellStyle name="Comma 5 6 2 2 6 3" xfId="32952" xr:uid="{00000000-0005-0000-0000-000071230000}"/>
    <cellStyle name="Comma 5 6 2 2 7" xfId="16637" xr:uid="{00000000-0005-0000-0000-000072230000}"/>
    <cellStyle name="Comma 5 6 2 2 7 2" xfId="42190" xr:uid="{00000000-0005-0000-0000-000073230000}"/>
    <cellStyle name="Comma 5 6 2 2 8" xfId="26609" xr:uid="{00000000-0005-0000-0000-000074230000}"/>
    <cellStyle name="Comma 5 6 2 3" xfId="1271" xr:uid="{00000000-0005-0000-0000-000075230000}"/>
    <cellStyle name="Comma 5 6 2 3 2" xfId="3700" xr:uid="{00000000-0005-0000-0000-000076230000}"/>
    <cellStyle name="Comma 5 6 2 3 2 2" xfId="12836" xr:uid="{00000000-0005-0000-0000-000077230000}"/>
    <cellStyle name="Comma 5 6 2 3 2 2 2" xfId="23055" xr:uid="{00000000-0005-0000-0000-000078230000}"/>
    <cellStyle name="Comma 5 6 2 3 2 2 2 2" xfId="48608" xr:uid="{00000000-0005-0000-0000-000079230000}"/>
    <cellStyle name="Comma 5 6 2 3 2 2 3" xfId="38391" xr:uid="{00000000-0005-0000-0000-00007A230000}"/>
    <cellStyle name="Comma 5 6 2 3 2 3" xfId="9257" xr:uid="{00000000-0005-0000-0000-00007B230000}"/>
    <cellStyle name="Comma 5 6 2 3 2 3 2" xfId="34814" xr:uid="{00000000-0005-0000-0000-00007C230000}"/>
    <cellStyle name="Comma 5 6 2 3 2 4" xfId="18048" xr:uid="{00000000-0005-0000-0000-00007D230000}"/>
    <cellStyle name="Comma 5 6 2 3 2 4 2" xfId="43601" xr:uid="{00000000-0005-0000-0000-00007E230000}"/>
    <cellStyle name="Comma 5 6 2 3 2 5" xfId="29538" xr:uid="{00000000-0005-0000-0000-00007F230000}"/>
    <cellStyle name="Comma 5 6 2 3 3" xfId="4844" xr:uid="{00000000-0005-0000-0000-000080230000}"/>
    <cellStyle name="Comma 5 6 2 3 3 2" xfId="13681" xr:uid="{00000000-0005-0000-0000-000081230000}"/>
    <cellStyle name="Comma 5 6 2 3 3 2 2" xfId="23932" xr:uid="{00000000-0005-0000-0000-000082230000}"/>
    <cellStyle name="Comma 5 6 2 3 3 2 2 2" xfId="49485" xr:uid="{00000000-0005-0000-0000-000083230000}"/>
    <cellStyle name="Comma 5 6 2 3 3 2 3" xfId="39236" xr:uid="{00000000-0005-0000-0000-000084230000}"/>
    <cellStyle name="Comma 5 6 2 3 3 3" xfId="10102" xr:uid="{00000000-0005-0000-0000-000085230000}"/>
    <cellStyle name="Comma 5 6 2 3 3 3 2" xfId="35659" xr:uid="{00000000-0005-0000-0000-000086230000}"/>
    <cellStyle name="Comma 5 6 2 3 3 4" xfId="18925" xr:uid="{00000000-0005-0000-0000-000087230000}"/>
    <cellStyle name="Comma 5 6 2 3 3 4 2" xfId="44478" xr:uid="{00000000-0005-0000-0000-000088230000}"/>
    <cellStyle name="Comma 5 6 2 3 3 5" xfId="30415" xr:uid="{00000000-0005-0000-0000-000089230000}"/>
    <cellStyle name="Comma 5 6 2 3 4" xfId="2094" xr:uid="{00000000-0005-0000-0000-00008A230000}"/>
    <cellStyle name="Comma 5 6 2 3 4 2" xfId="11459" xr:uid="{00000000-0005-0000-0000-00008B230000}"/>
    <cellStyle name="Comma 5 6 2 3 4 2 2" xfId="37014" xr:uid="{00000000-0005-0000-0000-00008C230000}"/>
    <cellStyle name="Comma 5 6 2 3 4 3" xfId="21463" xr:uid="{00000000-0005-0000-0000-00008D230000}"/>
    <cellStyle name="Comma 5 6 2 3 4 3 2" xfId="47016" xr:uid="{00000000-0005-0000-0000-00008E230000}"/>
    <cellStyle name="Comma 5 6 2 3 4 4" xfId="27946" xr:uid="{00000000-0005-0000-0000-00008F230000}"/>
    <cellStyle name="Comma 5 6 2 3 5" xfId="6299" xr:uid="{00000000-0005-0000-0000-000090230000}"/>
    <cellStyle name="Comma 5 6 2 3 5 2" xfId="15126" xr:uid="{00000000-0005-0000-0000-000091230000}"/>
    <cellStyle name="Comma 5 6 2 3 5 2 2" xfId="40681" xr:uid="{00000000-0005-0000-0000-000092230000}"/>
    <cellStyle name="Comma 5 6 2 3 5 3" xfId="25377" xr:uid="{00000000-0005-0000-0000-000093230000}"/>
    <cellStyle name="Comma 5 6 2 3 5 3 2" xfId="50930" xr:uid="{00000000-0005-0000-0000-000094230000}"/>
    <cellStyle name="Comma 5 6 2 3 5 4" xfId="31860" xr:uid="{00000000-0005-0000-0000-000095230000}"/>
    <cellStyle name="Comma 5 6 2 3 6" xfId="7745" xr:uid="{00000000-0005-0000-0000-000096230000}"/>
    <cellStyle name="Comma 5 6 2 3 6 2" xfId="20654" xr:uid="{00000000-0005-0000-0000-000097230000}"/>
    <cellStyle name="Comma 5 6 2 3 6 2 2" xfId="46207" xr:uid="{00000000-0005-0000-0000-000098230000}"/>
    <cellStyle name="Comma 5 6 2 3 6 3" xfId="33302" xr:uid="{00000000-0005-0000-0000-000099230000}"/>
    <cellStyle name="Comma 5 6 2 3 7" xfId="16456" xr:uid="{00000000-0005-0000-0000-00009A230000}"/>
    <cellStyle name="Comma 5 6 2 3 7 2" xfId="42009" xr:uid="{00000000-0005-0000-0000-00009B230000}"/>
    <cellStyle name="Comma 5 6 2 3 8" xfId="27137" xr:uid="{00000000-0005-0000-0000-00009C230000}"/>
    <cellStyle name="Comma 5 6 2 4" xfId="2985" xr:uid="{00000000-0005-0000-0000-00009D230000}"/>
    <cellStyle name="Comma 5 6 2 4 2" xfId="5363" xr:uid="{00000000-0005-0000-0000-00009E230000}"/>
    <cellStyle name="Comma 5 6 2 4 2 2" xfId="14200" xr:uid="{00000000-0005-0000-0000-00009F230000}"/>
    <cellStyle name="Comma 5 6 2 4 2 2 2" xfId="24451" xr:uid="{00000000-0005-0000-0000-0000A0230000}"/>
    <cellStyle name="Comma 5 6 2 4 2 2 2 2" xfId="50004" xr:uid="{00000000-0005-0000-0000-0000A1230000}"/>
    <cellStyle name="Comma 5 6 2 4 2 2 3" xfId="39755" xr:uid="{00000000-0005-0000-0000-0000A2230000}"/>
    <cellStyle name="Comma 5 6 2 4 2 3" xfId="10621" xr:uid="{00000000-0005-0000-0000-0000A3230000}"/>
    <cellStyle name="Comma 5 6 2 4 2 3 2" xfId="36178" xr:uid="{00000000-0005-0000-0000-0000A4230000}"/>
    <cellStyle name="Comma 5 6 2 4 2 4" xfId="19444" xr:uid="{00000000-0005-0000-0000-0000A5230000}"/>
    <cellStyle name="Comma 5 6 2 4 2 4 2" xfId="44997" xr:uid="{00000000-0005-0000-0000-0000A6230000}"/>
    <cellStyle name="Comma 5 6 2 4 2 5" xfId="30934" xr:uid="{00000000-0005-0000-0000-0000A7230000}"/>
    <cellStyle name="Comma 5 6 2 4 3" xfId="6818" xr:uid="{00000000-0005-0000-0000-0000A8230000}"/>
    <cellStyle name="Comma 5 6 2 4 3 2" xfId="15645" xr:uid="{00000000-0005-0000-0000-0000A9230000}"/>
    <cellStyle name="Comma 5 6 2 4 3 2 2" xfId="41200" xr:uid="{00000000-0005-0000-0000-0000AA230000}"/>
    <cellStyle name="Comma 5 6 2 4 3 3" xfId="25896" xr:uid="{00000000-0005-0000-0000-0000AB230000}"/>
    <cellStyle name="Comma 5 6 2 4 3 3 2" xfId="51449" xr:uid="{00000000-0005-0000-0000-0000AC230000}"/>
    <cellStyle name="Comma 5 6 2 4 3 4" xfId="32379" xr:uid="{00000000-0005-0000-0000-0000AD230000}"/>
    <cellStyle name="Comma 5 6 2 4 4" xfId="8264" xr:uid="{00000000-0005-0000-0000-0000AE230000}"/>
    <cellStyle name="Comma 5 6 2 4 4 2" xfId="22346" xr:uid="{00000000-0005-0000-0000-0000AF230000}"/>
    <cellStyle name="Comma 5 6 2 4 4 2 2" xfId="47899" xr:uid="{00000000-0005-0000-0000-0000B0230000}"/>
    <cellStyle name="Comma 5 6 2 4 4 3" xfId="33821" xr:uid="{00000000-0005-0000-0000-0000B1230000}"/>
    <cellStyle name="Comma 5 6 2 4 5" xfId="17339" xr:uid="{00000000-0005-0000-0000-0000B2230000}"/>
    <cellStyle name="Comma 5 6 2 4 5 2" xfId="42892" xr:uid="{00000000-0005-0000-0000-0000B3230000}"/>
    <cellStyle name="Comma 5 6 2 4 6" xfId="28829" xr:uid="{00000000-0005-0000-0000-0000B4230000}"/>
    <cellStyle name="Comma 5 6 2 5" xfId="4319" xr:uid="{00000000-0005-0000-0000-0000B5230000}"/>
    <cellStyle name="Comma 5 6 2 5 2" xfId="13157" xr:uid="{00000000-0005-0000-0000-0000B6230000}"/>
    <cellStyle name="Comma 5 6 2 5 2 2" xfId="23408" xr:uid="{00000000-0005-0000-0000-0000B7230000}"/>
    <cellStyle name="Comma 5 6 2 5 2 2 2" xfId="48961" xr:uid="{00000000-0005-0000-0000-0000B8230000}"/>
    <cellStyle name="Comma 5 6 2 5 2 3" xfId="38712" xr:uid="{00000000-0005-0000-0000-0000B9230000}"/>
    <cellStyle name="Comma 5 6 2 5 3" xfId="9578" xr:uid="{00000000-0005-0000-0000-0000BA230000}"/>
    <cellStyle name="Comma 5 6 2 5 3 2" xfId="35135" xr:uid="{00000000-0005-0000-0000-0000BB230000}"/>
    <cellStyle name="Comma 5 6 2 5 4" xfId="18401" xr:uid="{00000000-0005-0000-0000-0000BC230000}"/>
    <cellStyle name="Comma 5 6 2 5 4 2" xfId="43954" xr:uid="{00000000-0005-0000-0000-0000BD230000}"/>
    <cellStyle name="Comma 5 6 2 5 5" xfId="29891" xr:uid="{00000000-0005-0000-0000-0000BE230000}"/>
    <cellStyle name="Comma 5 6 2 6" xfId="1591" xr:uid="{00000000-0005-0000-0000-0000BF230000}"/>
    <cellStyle name="Comma 5 6 2 6 2" xfId="10968" xr:uid="{00000000-0005-0000-0000-0000C0230000}"/>
    <cellStyle name="Comma 5 6 2 6 2 2" xfId="36523" xr:uid="{00000000-0005-0000-0000-0000C1230000}"/>
    <cellStyle name="Comma 5 6 2 6 3" xfId="20972" xr:uid="{00000000-0005-0000-0000-0000C2230000}"/>
    <cellStyle name="Comma 5 6 2 6 3 2" xfId="46525" xr:uid="{00000000-0005-0000-0000-0000C3230000}"/>
    <cellStyle name="Comma 5 6 2 6 4" xfId="27455" xr:uid="{00000000-0005-0000-0000-0000C4230000}"/>
    <cellStyle name="Comma 5 6 2 7" xfId="5775" xr:uid="{00000000-0005-0000-0000-0000C5230000}"/>
    <cellStyle name="Comma 5 6 2 7 2" xfId="14602" xr:uid="{00000000-0005-0000-0000-0000C6230000}"/>
    <cellStyle name="Comma 5 6 2 7 2 2" xfId="40157" xr:uid="{00000000-0005-0000-0000-0000C7230000}"/>
    <cellStyle name="Comma 5 6 2 7 3" xfId="24853" xr:uid="{00000000-0005-0000-0000-0000C8230000}"/>
    <cellStyle name="Comma 5 6 2 7 3 2" xfId="50406" xr:uid="{00000000-0005-0000-0000-0000C9230000}"/>
    <cellStyle name="Comma 5 6 2 7 4" xfId="31336" xr:uid="{00000000-0005-0000-0000-0000CA230000}"/>
    <cellStyle name="Comma 5 6 2 8" xfId="7219" xr:uid="{00000000-0005-0000-0000-0000CB230000}"/>
    <cellStyle name="Comma 5 6 2 8 2" xfId="19945" xr:uid="{00000000-0005-0000-0000-0000CC230000}"/>
    <cellStyle name="Comma 5 6 2 8 2 2" xfId="45498" xr:uid="{00000000-0005-0000-0000-0000CD230000}"/>
    <cellStyle name="Comma 5 6 2 8 3" xfId="32776" xr:uid="{00000000-0005-0000-0000-0000CE230000}"/>
    <cellStyle name="Comma 5 6 2 9" xfId="15965" xr:uid="{00000000-0005-0000-0000-0000CF230000}"/>
    <cellStyle name="Comma 5 6 2 9 2" xfId="41518" xr:uid="{00000000-0005-0000-0000-0000D0230000}"/>
    <cellStyle name="Comma 5 6 3" xfId="399" xr:uid="{00000000-0005-0000-0000-0000D1230000}"/>
    <cellStyle name="Comma 5 6 3 2" xfId="2885" xr:uid="{00000000-0005-0000-0000-0000D2230000}"/>
    <cellStyle name="Comma 5 6 3 2 2" xfId="12173" xr:uid="{00000000-0005-0000-0000-0000D3230000}"/>
    <cellStyle name="Comma 5 6 3 2 2 2" xfId="22246" xr:uid="{00000000-0005-0000-0000-0000D4230000}"/>
    <cellStyle name="Comma 5 6 3 2 2 2 2" xfId="47799" xr:uid="{00000000-0005-0000-0000-0000D5230000}"/>
    <cellStyle name="Comma 5 6 3 2 2 3" xfId="37728" xr:uid="{00000000-0005-0000-0000-0000D6230000}"/>
    <cellStyle name="Comma 5 6 3 2 3" xfId="8380" xr:uid="{00000000-0005-0000-0000-0000D7230000}"/>
    <cellStyle name="Comma 5 6 3 2 3 2" xfId="33937" xr:uid="{00000000-0005-0000-0000-0000D8230000}"/>
    <cellStyle name="Comma 5 6 3 2 4" xfId="17239" xr:uid="{00000000-0005-0000-0000-0000D9230000}"/>
    <cellStyle name="Comma 5 6 3 2 4 2" xfId="42792" xr:uid="{00000000-0005-0000-0000-0000DA230000}"/>
    <cellStyle name="Comma 5 6 3 2 5" xfId="28729" xr:uid="{00000000-0005-0000-0000-0000DB230000}"/>
    <cellStyle name="Comma 5 6 3 3" xfId="4494" xr:uid="{00000000-0005-0000-0000-0000DC230000}"/>
    <cellStyle name="Comma 5 6 3 3 2" xfId="13332" xr:uid="{00000000-0005-0000-0000-0000DD230000}"/>
    <cellStyle name="Comma 5 6 3 3 2 2" xfId="23583" xr:uid="{00000000-0005-0000-0000-0000DE230000}"/>
    <cellStyle name="Comma 5 6 3 3 2 2 2" xfId="49136" xr:uid="{00000000-0005-0000-0000-0000DF230000}"/>
    <cellStyle name="Comma 5 6 3 3 2 3" xfId="38887" xr:uid="{00000000-0005-0000-0000-0000E0230000}"/>
    <cellStyle name="Comma 5 6 3 3 3" xfId="9753" xr:uid="{00000000-0005-0000-0000-0000E1230000}"/>
    <cellStyle name="Comma 5 6 3 3 3 2" xfId="35310" xr:uid="{00000000-0005-0000-0000-0000E2230000}"/>
    <cellStyle name="Comma 5 6 3 3 4" xfId="18576" xr:uid="{00000000-0005-0000-0000-0000E3230000}"/>
    <cellStyle name="Comma 5 6 3 3 4 2" xfId="44129" xr:uid="{00000000-0005-0000-0000-0000E4230000}"/>
    <cellStyle name="Comma 5 6 3 3 5" xfId="30066" xr:uid="{00000000-0005-0000-0000-0000E5230000}"/>
    <cellStyle name="Comma 5 6 3 4" xfId="1994" xr:uid="{00000000-0005-0000-0000-0000E6230000}"/>
    <cellStyle name="Comma 5 6 3 4 2" xfId="11359" xr:uid="{00000000-0005-0000-0000-0000E7230000}"/>
    <cellStyle name="Comma 5 6 3 4 2 2" xfId="36914" xr:uid="{00000000-0005-0000-0000-0000E8230000}"/>
    <cellStyle name="Comma 5 6 3 4 3" xfId="21363" xr:uid="{00000000-0005-0000-0000-0000E9230000}"/>
    <cellStyle name="Comma 5 6 3 4 3 2" xfId="46916" xr:uid="{00000000-0005-0000-0000-0000EA230000}"/>
    <cellStyle name="Comma 5 6 3 4 4" xfId="27846" xr:uid="{00000000-0005-0000-0000-0000EB230000}"/>
    <cellStyle name="Comma 5 6 3 5" xfId="5950" xr:uid="{00000000-0005-0000-0000-0000EC230000}"/>
    <cellStyle name="Comma 5 6 3 5 2" xfId="14777" xr:uid="{00000000-0005-0000-0000-0000ED230000}"/>
    <cellStyle name="Comma 5 6 3 5 2 2" xfId="40332" xr:uid="{00000000-0005-0000-0000-0000EE230000}"/>
    <cellStyle name="Comma 5 6 3 5 3" xfId="25028" xr:uid="{00000000-0005-0000-0000-0000EF230000}"/>
    <cellStyle name="Comma 5 6 3 5 3 2" xfId="50581" xr:uid="{00000000-0005-0000-0000-0000F0230000}"/>
    <cellStyle name="Comma 5 6 3 5 4" xfId="31511" xr:uid="{00000000-0005-0000-0000-0000F1230000}"/>
    <cellStyle name="Comma 5 6 3 6" xfId="7394" xr:uid="{00000000-0005-0000-0000-0000F2230000}"/>
    <cellStyle name="Comma 5 6 3 6 2" xfId="19845" xr:uid="{00000000-0005-0000-0000-0000F3230000}"/>
    <cellStyle name="Comma 5 6 3 6 2 2" xfId="45398" xr:uid="{00000000-0005-0000-0000-0000F4230000}"/>
    <cellStyle name="Comma 5 6 3 6 3" xfId="32951" xr:uid="{00000000-0005-0000-0000-0000F5230000}"/>
    <cellStyle name="Comma 5 6 3 7" xfId="16356" xr:uid="{00000000-0005-0000-0000-0000F6230000}"/>
    <cellStyle name="Comma 5 6 3 7 2" xfId="41909" xr:uid="{00000000-0005-0000-0000-0000F7230000}"/>
    <cellStyle name="Comma 5 6 3 8" xfId="26328" xr:uid="{00000000-0005-0000-0000-0000F8230000}"/>
    <cellStyle name="Comma 5 6 4" xfId="679" xr:uid="{00000000-0005-0000-0000-0000F9230000}"/>
    <cellStyle name="Comma 5 6 4 2" xfId="3165" xr:uid="{00000000-0005-0000-0000-0000FA230000}"/>
    <cellStyle name="Comma 5 6 4 2 2" xfId="12308" xr:uid="{00000000-0005-0000-0000-0000FB230000}"/>
    <cellStyle name="Comma 5 6 4 2 2 2" xfId="22526" xr:uid="{00000000-0005-0000-0000-0000FC230000}"/>
    <cellStyle name="Comma 5 6 4 2 2 2 2" xfId="48079" xr:uid="{00000000-0005-0000-0000-0000FD230000}"/>
    <cellStyle name="Comma 5 6 4 2 2 3" xfId="37863" xr:uid="{00000000-0005-0000-0000-0000FE230000}"/>
    <cellStyle name="Comma 5 6 4 2 3" xfId="8730" xr:uid="{00000000-0005-0000-0000-0000FF230000}"/>
    <cellStyle name="Comma 5 6 4 2 3 2" xfId="34287" xr:uid="{00000000-0005-0000-0000-000000240000}"/>
    <cellStyle name="Comma 5 6 4 2 4" xfId="17519" xr:uid="{00000000-0005-0000-0000-000001240000}"/>
    <cellStyle name="Comma 5 6 4 2 4 2" xfId="43072" xr:uid="{00000000-0005-0000-0000-000002240000}"/>
    <cellStyle name="Comma 5 6 4 2 5" xfId="29009" xr:uid="{00000000-0005-0000-0000-000003240000}"/>
    <cellStyle name="Comma 5 6 4 3" xfId="4843" xr:uid="{00000000-0005-0000-0000-000004240000}"/>
    <cellStyle name="Comma 5 6 4 3 2" xfId="13680" xr:uid="{00000000-0005-0000-0000-000005240000}"/>
    <cellStyle name="Comma 5 6 4 3 2 2" xfId="23931" xr:uid="{00000000-0005-0000-0000-000006240000}"/>
    <cellStyle name="Comma 5 6 4 3 2 2 2" xfId="49484" xr:uid="{00000000-0005-0000-0000-000007240000}"/>
    <cellStyle name="Comma 5 6 4 3 2 3" xfId="39235" xr:uid="{00000000-0005-0000-0000-000008240000}"/>
    <cellStyle name="Comma 5 6 4 3 3" xfId="10101" xr:uid="{00000000-0005-0000-0000-000009240000}"/>
    <cellStyle name="Comma 5 6 4 3 3 2" xfId="35658" xr:uid="{00000000-0005-0000-0000-00000A240000}"/>
    <cellStyle name="Comma 5 6 4 3 4" xfId="18924" xr:uid="{00000000-0005-0000-0000-00000B240000}"/>
    <cellStyle name="Comma 5 6 4 3 4 2" xfId="44477" xr:uid="{00000000-0005-0000-0000-00000C240000}"/>
    <cellStyle name="Comma 5 6 4 3 5" xfId="30414" xr:uid="{00000000-0005-0000-0000-00000D240000}"/>
    <cellStyle name="Comma 5 6 4 4" xfId="2274" xr:uid="{00000000-0005-0000-0000-00000E240000}"/>
    <cellStyle name="Comma 5 6 4 4 2" xfId="11639" xr:uid="{00000000-0005-0000-0000-00000F240000}"/>
    <cellStyle name="Comma 5 6 4 4 2 2" xfId="37194" xr:uid="{00000000-0005-0000-0000-000010240000}"/>
    <cellStyle name="Comma 5 6 4 4 3" xfId="21643" xr:uid="{00000000-0005-0000-0000-000011240000}"/>
    <cellStyle name="Comma 5 6 4 4 3 2" xfId="47196" xr:uid="{00000000-0005-0000-0000-000012240000}"/>
    <cellStyle name="Comma 5 6 4 4 4" xfId="28126" xr:uid="{00000000-0005-0000-0000-000013240000}"/>
    <cellStyle name="Comma 5 6 4 5" xfId="6298" xr:uid="{00000000-0005-0000-0000-000014240000}"/>
    <cellStyle name="Comma 5 6 4 5 2" xfId="15125" xr:uid="{00000000-0005-0000-0000-000015240000}"/>
    <cellStyle name="Comma 5 6 4 5 2 2" xfId="40680" xr:uid="{00000000-0005-0000-0000-000016240000}"/>
    <cellStyle name="Comma 5 6 4 5 3" xfId="25376" xr:uid="{00000000-0005-0000-0000-000017240000}"/>
    <cellStyle name="Comma 5 6 4 5 3 2" xfId="50929" xr:uid="{00000000-0005-0000-0000-000018240000}"/>
    <cellStyle name="Comma 5 6 4 5 4" xfId="31859" xr:uid="{00000000-0005-0000-0000-000019240000}"/>
    <cellStyle name="Comma 5 6 4 6" xfId="7744" xr:uid="{00000000-0005-0000-0000-00001A240000}"/>
    <cellStyle name="Comma 5 6 4 6 2" xfId="20125" xr:uid="{00000000-0005-0000-0000-00001B240000}"/>
    <cellStyle name="Comma 5 6 4 6 2 2" xfId="45678" xr:uid="{00000000-0005-0000-0000-00001C240000}"/>
    <cellStyle name="Comma 5 6 4 6 3" xfId="33301" xr:uid="{00000000-0005-0000-0000-00001D240000}"/>
    <cellStyle name="Comma 5 6 4 7" xfId="16636" xr:uid="{00000000-0005-0000-0000-00001E240000}"/>
    <cellStyle name="Comma 5 6 4 7 2" xfId="42189" xr:uid="{00000000-0005-0000-0000-00001F240000}"/>
    <cellStyle name="Comma 5 6 4 8" xfId="26608" xr:uid="{00000000-0005-0000-0000-000020240000}"/>
    <cellStyle name="Comma 5 6 5" xfId="1171" xr:uid="{00000000-0005-0000-0000-000021240000}"/>
    <cellStyle name="Comma 5 6 5 2" xfId="3600" xr:uid="{00000000-0005-0000-0000-000022240000}"/>
    <cellStyle name="Comma 5 6 5 2 2" xfId="12736" xr:uid="{00000000-0005-0000-0000-000023240000}"/>
    <cellStyle name="Comma 5 6 5 2 2 2" xfId="22955" xr:uid="{00000000-0005-0000-0000-000024240000}"/>
    <cellStyle name="Comma 5 6 5 2 2 2 2" xfId="48508" xr:uid="{00000000-0005-0000-0000-000025240000}"/>
    <cellStyle name="Comma 5 6 5 2 2 3" xfId="38291" xr:uid="{00000000-0005-0000-0000-000026240000}"/>
    <cellStyle name="Comma 5 6 5 2 3" xfId="9157" xr:uid="{00000000-0005-0000-0000-000027240000}"/>
    <cellStyle name="Comma 5 6 5 2 3 2" xfId="34714" xr:uid="{00000000-0005-0000-0000-000028240000}"/>
    <cellStyle name="Comma 5 6 5 2 4" xfId="17948" xr:uid="{00000000-0005-0000-0000-000029240000}"/>
    <cellStyle name="Comma 5 6 5 2 4 2" xfId="43501" xr:uid="{00000000-0005-0000-0000-00002A240000}"/>
    <cellStyle name="Comma 5 6 5 2 5" xfId="29438" xr:uid="{00000000-0005-0000-0000-00002B240000}"/>
    <cellStyle name="Comma 5 6 5 3" xfId="5263" xr:uid="{00000000-0005-0000-0000-00002C240000}"/>
    <cellStyle name="Comma 5 6 5 3 2" xfId="14100" xr:uid="{00000000-0005-0000-0000-00002D240000}"/>
    <cellStyle name="Comma 5 6 5 3 2 2" xfId="24351" xr:uid="{00000000-0005-0000-0000-00002E240000}"/>
    <cellStyle name="Comma 5 6 5 3 2 2 2" xfId="49904" xr:uid="{00000000-0005-0000-0000-00002F240000}"/>
    <cellStyle name="Comma 5 6 5 3 2 3" xfId="39655" xr:uid="{00000000-0005-0000-0000-000030240000}"/>
    <cellStyle name="Comma 5 6 5 3 3" xfId="10521" xr:uid="{00000000-0005-0000-0000-000031240000}"/>
    <cellStyle name="Comma 5 6 5 3 3 2" xfId="36078" xr:uid="{00000000-0005-0000-0000-000032240000}"/>
    <cellStyle name="Comma 5 6 5 3 4" xfId="19344" xr:uid="{00000000-0005-0000-0000-000033240000}"/>
    <cellStyle name="Comma 5 6 5 3 4 2" xfId="44897" xr:uid="{00000000-0005-0000-0000-000034240000}"/>
    <cellStyle name="Comma 5 6 5 3 5" xfId="30834" xr:uid="{00000000-0005-0000-0000-000035240000}"/>
    <cellStyle name="Comma 5 6 5 4" xfId="1773" xr:uid="{00000000-0005-0000-0000-000036240000}"/>
    <cellStyle name="Comma 5 6 5 4 2" xfId="11142" xr:uid="{00000000-0005-0000-0000-000037240000}"/>
    <cellStyle name="Comma 5 6 5 4 2 2" xfId="36697" xr:uid="{00000000-0005-0000-0000-000038240000}"/>
    <cellStyle name="Comma 5 6 5 4 3" xfId="21146" xr:uid="{00000000-0005-0000-0000-000039240000}"/>
    <cellStyle name="Comma 5 6 5 4 3 2" xfId="46699" xr:uid="{00000000-0005-0000-0000-00003A240000}"/>
    <cellStyle name="Comma 5 6 5 4 4" xfId="27629" xr:uid="{00000000-0005-0000-0000-00003B240000}"/>
    <cellStyle name="Comma 5 6 5 5" xfId="6718" xr:uid="{00000000-0005-0000-0000-00003C240000}"/>
    <cellStyle name="Comma 5 6 5 5 2" xfId="15545" xr:uid="{00000000-0005-0000-0000-00003D240000}"/>
    <cellStyle name="Comma 5 6 5 5 2 2" xfId="41100" xr:uid="{00000000-0005-0000-0000-00003E240000}"/>
    <cellStyle name="Comma 5 6 5 5 3" xfId="25796" xr:uid="{00000000-0005-0000-0000-00003F240000}"/>
    <cellStyle name="Comma 5 6 5 5 3 2" xfId="51349" xr:uid="{00000000-0005-0000-0000-000040240000}"/>
    <cellStyle name="Comma 5 6 5 5 4" xfId="32279" xr:uid="{00000000-0005-0000-0000-000041240000}"/>
    <cellStyle name="Comma 5 6 5 6" xfId="8164" xr:uid="{00000000-0005-0000-0000-000042240000}"/>
    <cellStyle name="Comma 5 6 5 6 2" xfId="20554" xr:uid="{00000000-0005-0000-0000-000043240000}"/>
    <cellStyle name="Comma 5 6 5 6 2 2" xfId="46107" xr:uid="{00000000-0005-0000-0000-000044240000}"/>
    <cellStyle name="Comma 5 6 5 6 3" xfId="33721" xr:uid="{00000000-0005-0000-0000-000045240000}"/>
    <cellStyle name="Comma 5 6 5 7" xfId="16139" xr:uid="{00000000-0005-0000-0000-000046240000}"/>
    <cellStyle name="Comma 5 6 5 7 2" xfId="41692" xr:uid="{00000000-0005-0000-0000-000047240000}"/>
    <cellStyle name="Comma 5 6 5 8" xfId="27037" xr:uid="{00000000-0005-0000-0000-000048240000}"/>
    <cellStyle name="Comma 5 6 6" xfId="2668" xr:uid="{00000000-0005-0000-0000-000049240000}"/>
    <cellStyle name="Comma 5 6 6 2" xfId="11985" xr:uid="{00000000-0005-0000-0000-00004A240000}"/>
    <cellStyle name="Comma 5 6 6 2 2" xfId="22029" xr:uid="{00000000-0005-0000-0000-00004B240000}"/>
    <cellStyle name="Comma 5 6 6 2 2 2" xfId="47582" xr:uid="{00000000-0005-0000-0000-00004C240000}"/>
    <cellStyle name="Comma 5 6 6 2 3" xfId="37540" xr:uid="{00000000-0005-0000-0000-00004D240000}"/>
    <cellStyle name="Comma 5 6 6 3" xfId="8559" xr:uid="{00000000-0005-0000-0000-00004E240000}"/>
    <cellStyle name="Comma 5 6 6 3 2" xfId="34116" xr:uid="{00000000-0005-0000-0000-00004F240000}"/>
    <cellStyle name="Comma 5 6 6 4" xfId="17022" xr:uid="{00000000-0005-0000-0000-000050240000}"/>
    <cellStyle name="Comma 5 6 6 4 2" xfId="42575" xr:uid="{00000000-0005-0000-0000-000051240000}"/>
    <cellStyle name="Comma 5 6 6 5" xfId="28512" xr:uid="{00000000-0005-0000-0000-000052240000}"/>
    <cellStyle name="Comma 5 6 7" xfId="4219" xr:uid="{00000000-0005-0000-0000-000053240000}"/>
    <cellStyle name="Comma 5 6 7 2" xfId="13057" xr:uid="{00000000-0005-0000-0000-000054240000}"/>
    <cellStyle name="Comma 5 6 7 2 2" xfId="23308" xr:uid="{00000000-0005-0000-0000-000055240000}"/>
    <cellStyle name="Comma 5 6 7 2 2 2" xfId="48861" xr:uid="{00000000-0005-0000-0000-000056240000}"/>
    <cellStyle name="Comma 5 6 7 2 3" xfId="38612" xr:uid="{00000000-0005-0000-0000-000057240000}"/>
    <cellStyle name="Comma 5 6 7 3" xfId="9478" xr:uid="{00000000-0005-0000-0000-000058240000}"/>
    <cellStyle name="Comma 5 6 7 3 2" xfId="35035" xr:uid="{00000000-0005-0000-0000-000059240000}"/>
    <cellStyle name="Comma 5 6 7 4" xfId="18301" xr:uid="{00000000-0005-0000-0000-00005A240000}"/>
    <cellStyle name="Comma 5 6 7 4 2" xfId="43854" xr:uid="{00000000-0005-0000-0000-00005B240000}"/>
    <cellStyle name="Comma 5 6 7 5" xfId="29791" xr:uid="{00000000-0005-0000-0000-00005C240000}"/>
    <cellStyle name="Comma 5 6 8" xfId="1491" xr:uid="{00000000-0005-0000-0000-00005D240000}"/>
    <cellStyle name="Comma 5 6 8 2" xfId="10868" xr:uid="{00000000-0005-0000-0000-00005E240000}"/>
    <cellStyle name="Comma 5 6 8 2 2" xfId="36423" xr:uid="{00000000-0005-0000-0000-00005F240000}"/>
    <cellStyle name="Comma 5 6 8 3" xfId="20872" xr:uid="{00000000-0005-0000-0000-000060240000}"/>
    <cellStyle name="Comma 5 6 8 3 2" xfId="46425" xr:uid="{00000000-0005-0000-0000-000061240000}"/>
    <cellStyle name="Comma 5 6 8 4" xfId="27355" xr:uid="{00000000-0005-0000-0000-000062240000}"/>
    <cellStyle name="Comma 5 6 9" xfId="5675" xr:uid="{00000000-0005-0000-0000-000063240000}"/>
    <cellStyle name="Comma 5 6 9 2" xfId="14502" xr:uid="{00000000-0005-0000-0000-000064240000}"/>
    <cellStyle name="Comma 5 6 9 2 2" xfId="40057" xr:uid="{00000000-0005-0000-0000-000065240000}"/>
    <cellStyle name="Comma 5 6 9 3" xfId="24753" xr:uid="{00000000-0005-0000-0000-000066240000}"/>
    <cellStyle name="Comma 5 6 9 3 2" xfId="50306" xr:uid="{00000000-0005-0000-0000-000067240000}"/>
    <cellStyle name="Comma 5 6 9 4" xfId="31236" xr:uid="{00000000-0005-0000-0000-000068240000}"/>
    <cellStyle name="Comma 5 7" xfId="224" xr:uid="{00000000-0005-0000-0000-000069240000}"/>
    <cellStyle name="Comma 5 7 10" xfId="7062" xr:uid="{00000000-0005-0000-0000-00006A240000}"/>
    <cellStyle name="Comma 5 7 10 2" xfId="19676" xr:uid="{00000000-0005-0000-0000-00006B240000}"/>
    <cellStyle name="Comma 5 7 10 2 2" xfId="45229" xr:uid="{00000000-0005-0000-0000-00006C240000}"/>
    <cellStyle name="Comma 5 7 10 3" xfId="32619" xr:uid="{00000000-0005-0000-0000-00006D240000}"/>
    <cellStyle name="Comma 5 7 11" xfId="15808" xr:uid="{00000000-0005-0000-0000-00006E240000}"/>
    <cellStyle name="Comma 5 7 11 2" xfId="41361" xr:uid="{00000000-0005-0000-0000-00006F240000}"/>
    <cellStyle name="Comma 5 7 12" xfId="26159" xr:uid="{00000000-0005-0000-0000-000070240000}"/>
    <cellStyle name="Comma 5 7 2" xfId="547" xr:uid="{00000000-0005-0000-0000-000071240000}"/>
    <cellStyle name="Comma 5 7 2 10" xfId="26476" xr:uid="{00000000-0005-0000-0000-000072240000}"/>
    <cellStyle name="Comma 5 7 2 2" xfId="682" xr:uid="{00000000-0005-0000-0000-000073240000}"/>
    <cellStyle name="Comma 5 7 2 2 2" xfId="3168" xr:uid="{00000000-0005-0000-0000-000074240000}"/>
    <cellStyle name="Comma 5 7 2 2 2 2" xfId="12311" xr:uid="{00000000-0005-0000-0000-000075240000}"/>
    <cellStyle name="Comma 5 7 2 2 2 2 2" xfId="22529" xr:uid="{00000000-0005-0000-0000-000076240000}"/>
    <cellStyle name="Comma 5 7 2 2 2 2 2 2" xfId="48082" xr:uid="{00000000-0005-0000-0000-000077240000}"/>
    <cellStyle name="Comma 5 7 2 2 2 2 3" xfId="37866" xr:uid="{00000000-0005-0000-0000-000078240000}"/>
    <cellStyle name="Comma 5 7 2 2 2 3" xfId="8733" xr:uid="{00000000-0005-0000-0000-000079240000}"/>
    <cellStyle name="Comma 5 7 2 2 2 3 2" xfId="34290" xr:uid="{00000000-0005-0000-0000-00007A240000}"/>
    <cellStyle name="Comma 5 7 2 2 2 4" xfId="17522" xr:uid="{00000000-0005-0000-0000-00007B240000}"/>
    <cellStyle name="Comma 5 7 2 2 2 4 2" xfId="43075" xr:uid="{00000000-0005-0000-0000-00007C240000}"/>
    <cellStyle name="Comma 5 7 2 2 2 5" xfId="29012" xr:uid="{00000000-0005-0000-0000-00007D240000}"/>
    <cellStyle name="Comma 5 7 2 2 3" xfId="4497" xr:uid="{00000000-0005-0000-0000-00007E240000}"/>
    <cellStyle name="Comma 5 7 2 2 3 2" xfId="13335" xr:uid="{00000000-0005-0000-0000-00007F240000}"/>
    <cellStyle name="Comma 5 7 2 2 3 2 2" xfId="23586" xr:uid="{00000000-0005-0000-0000-000080240000}"/>
    <cellStyle name="Comma 5 7 2 2 3 2 2 2" xfId="49139" xr:uid="{00000000-0005-0000-0000-000081240000}"/>
    <cellStyle name="Comma 5 7 2 2 3 2 3" xfId="38890" xr:uid="{00000000-0005-0000-0000-000082240000}"/>
    <cellStyle name="Comma 5 7 2 2 3 3" xfId="9756" xr:uid="{00000000-0005-0000-0000-000083240000}"/>
    <cellStyle name="Comma 5 7 2 2 3 3 2" xfId="35313" xr:uid="{00000000-0005-0000-0000-000084240000}"/>
    <cellStyle name="Comma 5 7 2 2 3 4" xfId="18579" xr:uid="{00000000-0005-0000-0000-000085240000}"/>
    <cellStyle name="Comma 5 7 2 2 3 4 2" xfId="44132" xr:uid="{00000000-0005-0000-0000-000086240000}"/>
    <cellStyle name="Comma 5 7 2 2 3 5" xfId="30069" xr:uid="{00000000-0005-0000-0000-000087240000}"/>
    <cellStyle name="Comma 5 7 2 2 4" xfId="2277" xr:uid="{00000000-0005-0000-0000-000088240000}"/>
    <cellStyle name="Comma 5 7 2 2 4 2" xfId="11642" xr:uid="{00000000-0005-0000-0000-000089240000}"/>
    <cellStyle name="Comma 5 7 2 2 4 2 2" xfId="37197" xr:uid="{00000000-0005-0000-0000-00008A240000}"/>
    <cellStyle name="Comma 5 7 2 2 4 3" xfId="21646" xr:uid="{00000000-0005-0000-0000-00008B240000}"/>
    <cellStyle name="Comma 5 7 2 2 4 3 2" xfId="47199" xr:uid="{00000000-0005-0000-0000-00008C240000}"/>
    <cellStyle name="Comma 5 7 2 2 4 4" xfId="28129" xr:uid="{00000000-0005-0000-0000-00008D240000}"/>
    <cellStyle name="Comma 5 7 2 2 5" xfId="5953" xr:uid="{00000000-0005-0000-0000-00008E240000}"/>
    <cellStyle name="Comma 5 7 2 2 5 2" xfId="14780" xr:uid="{00000000-0005-0000-0000-00008F240000}"/>
    <cellStyle name="Comma 5 7 2 2 5 2 2" xfId="40335" xr:uid="{00000000-0005-0000-0000-000090240000}"/>
    <cellStyle name="Comma 5 7 2 2 5 3" xfId="25031" xr:uid="{00000000-0005-0000-0000-000091240000}"/>
    <cellStyle name="Comma 5 7 2 2 5 3 2" xfId="50584" xr:uid="{00000000-0005-0000-0000-000092240000}"/>
    <cellStyle name="Comma 5 7 2 2 5 4" xfId="31514" xr:uid="{00000000-0005-0000-0000-000093240000}"/>
    <cellStyle name="Comma 5 7 2 2 6" xfId="7397" xr:uid="{00000000-0005-0000-0000-000094240000}"/>
    <cellStyle name="Comma 5 7 2 2 6 2" xfId="20128" xr:uid="{00000000-0005-0000-0000-000095240000}"/>
    <cellStyle name="Comma 5 7 2 2 6 2 2" xfId="45681" xr:uid="{00000000-0005-0000-0000-000096240000}"/>
    <cellStyle name="Comma 5 7 2 2 6 3" xfId="32954" xr:uid="{00000000-0005-0000-0000-000097240000}"/>
    <cellStyle name="Comma 5 7 2 2 7" xfId="16639" xr:uid="{00000000-0005-0000-0000-000098240000}"/>
    <cellStyle name="Comma 5 7 2 2 7 2" xfId="42192" xr:uid="{00000000-0005-0000-0000-000099240000}"/>
    <cellStyle name="Comma 5 7 2 2 8" xfId="26611" xr:uid="{00000000-0005-0000-0000-00009A240000}"/>
    <cellStyle name="Comma 5 7 2 3" xfId="1319" xr:uid="{00000000-0005-0000-0000-00009B240000}"/>
    <cellStyle name="Comma 5 7 2 3 2" xfId="3748" xr:uid="{00000000-0005-0000-0000-00009C240000}"/>
    <cellStyle name="Comma 5 7 2 3 2 2" xfId="12884" xr:uid="{00000000-0005-0000-0000-00009D240000}"/>
    <cellStyle name="Comma 5 7 2 3 2 2 2" xfId="23103" xr:uid="{00000000-0005-0000-0000-00009E240000}"/>
    <cellStyle name="Comma 5 7 2 3 2 2 2 2" xfId="48656" xr:uid="{00000000-0005-0000-0000-00009F240000}"/>
    <cellStyle name="Comma 5 7 2 3 2 2 3" xfId="38439" xr:uid="{00000000-0005-0000-0000-0000A0240000}"/>
    <cellStyle name="Comma 5 7 2 3 2 3" xfId="9305" xr:uid="{00000000-0005-0000-0000-0000A1240000}"/>
    <cellStyle name="Comma 5 7 2 3 2 3 2" xfId="34862" xr:uid="{00000000-0005-0000-0000-0000A2240000}"/>
    <cellStyle name="Comma 5 7 2 3 2 4" xfId="18096" xr:uid="{00000000-0005-0000-0000-0000A3240000}"/>
    <cellStyle name="Comma 5 7 2 3 2 4 2" xfId="43649" xr:uid="{00000000-0005-0000-0000-0000A4240000}"/>
    <cellStyle name="Comma 5 7 2 3 2 5" xfId="29586" xr:uid="{00000000-0005-0000-0000-0000A5240000}"/>
    <cellStyle name="Comma 5 7 2 3 3" xfId="4846" xr:uid="{00000000-0005-0000-0000-0000A6240000}"/>
    <cellStyle name="Comma 5 7 2 3 3 2" xfId="13683" xr:uid="{00000000-0005-0000-0000-0000A7240000}"/>
    <cellStyle name="Comma 5 7 2 3 3 2 2" xfId="23934" xr:uid="{00000000-0005-0000-0000-0000A8240000}"/>
    <cellStyle name="Comma 5 7 2 3 3 2 2 2" xfId="49487" xr:uid="{00000000-0005-0000-0000-0000A9240000}"/>
    <cellStyle name="Comma 5 7 2 3 3 2 3" xfId="39238" xr:uid="{00000000-0005-0000-0000-0000AA240000}"/>
    <cellStyle name="Comma 5 7 2 3 3 3" xfId="10104" xr:uid="{00000000-0005-0000-0000-0000AB240000}"/>
    <cellStyle name="Comma 5 7 2 3 3 3 2" xfId="35661" xr:uid="{00000000-0005-0000-0000-0000AC240000}"/>
    <cellStyle name="Comma 5 7 2 3 3 4" xfId="18927" xr:uid="{00000000-0005-0000-0000-0000AD240000}"/>
    <cellStyle name="Comma 5 7 2 3 3 4 2" xfId="44480" xr:uid="{00000000-0005-0000-0000-0000AE240000}"/>
    <cellStyle name="Comma 5 7 2 3 3 5" xfId="30417" xr:uid="{00000000-0005-0000-0000-0000AF240000}"/>
    <cellStyle name="Comma 5 7 2 3 4" xfId="2142" xr:uid="{00000000-0005-0000-0000-0000B0240000}"/>
    <cellStyle name="Comma 5 7 2 3 4 2" xfId="11507" xr:uid="{00000000-0005-0000-0000-0000B1240000}"/>
    <cellStyle name="Comma 5 7 2 3 4 2 2" xfId="37062" xr:uid="{00000000-0005-0000-0000-0000B2240000}"/>
    <cellStyle name="Comma 5 7 2 3 4 3" xfId="21511" xr:uid="{00000000-0005-0000-0000-0000B3240000}"/>
    <cellStyle name="Comma 5 7 2 3 4 3 2" xfId="47064" xr:uid="{00000000-0005-0000-0000-0000B4240000}"/>
    <cellStyle name="Comma 5 7 2 3 4 4" xfId="27994" xr:uid="{00000000-0005-0000-0000-0000B5240000}"/>
    <cellStyle name="Comma 5 7 2 3 5" xfId="6301" xr:uid="{00000000-0005-0000-0000-0000B6240000}"/>
    <cellStyle name="Comma 5 7 2 3 5 2" xfId="15128" xr:uid="{00000000-0005-0000-0000-0000B7240000}"/>
    <cellStyle name="Comma 5 7 2 3 5 2 2" xfId="40683" xr:uid="{00000000-0005-0000-0000-0000B8240000}"/>
    <cellStyle name="Comma 5 7 2 3 5 3" xfId="25379" xr:uid="{00000000-0005-0000-0000-0000B9240000}"/>
    <cellStyle name="Comma 5 7 2 3 5 3 2" xfId="50932" xr:uid="{00000000-0005-0000-0000-0000BA240000}"/>
    <cellStyle name="Comma 5 7 2 3 5 4" xfId="31862" xr:uid="{00000000-0005-0000-0000-0000BB240000}"/>
    <cellStyle name="Comma 5 7 2 3 6" xfId="7747" xr:uid="{00000000-0005-0000-0000-0000BC240000}"/>
    <cellStyle name="Comma 5 7 2 3 6 2" xfId="20702" xr:uid="{00000000-0005-0000-0000-0000BD240000}"/>
    <cellStyle name="Comma 5 7 2 3 6 2 2" xfId="46255" xr:uid="{00000000-0005-0000-0000-0000BE240000}"/>
    <cellStyle name="Comma 5 7 2 3 6 3" xfId="33304" xr:uid="{00000000-0005-0000-0000-0000BF240000}"/>
    <cellStyle name="Comma 5 7 2 3 7" xfId="16504" xr:uid="{00000000-0005-0000-0000-0000C0240000}"/>
    <cellStyle name="Comma 5 7 2 3 7 2" xfId="42057" xr:uid="{00000000-0005-0000-0000-0000C1240000}"/>
    <cellStyle name="Comma 5 7 2 3 8" xfId="27185" xr:uid="{00000000-0005-0000-0000-0000C2240000}"/>
    <cellStyle name="Comma 5 7 2 4" xfId="3033" xr:uid="{00000000-0005-0000-0000-0000C3240000}"/>
    <cellStyle name="Comma 5 7 2 4 2" xfId="5411" xr:uid="{00000000-0005-0000-0000-0000C4240000}"/>
    <cellStyle name="Comma 5 7 2 4 2 2" xfId="14248" xr:uid="{00000000-0005-0000-0000-0000C5240000}"/>
    <cellStyle name="Comma 5 7 2 4 2 2 2" xfId="24499" xr:uid="{00000000-0005-0000-0000-0000C6240000}"/>
    <cellStyle name="Comma 5 7 2 4 2 2 2 2" xfId="50052" xr:uid="{00000000-0005-0000-0000-0000C7240000}"/>
    <cellStyle name="Comma 5 7 2 4 2 2 3" xfId="39803" xr:uid="{00000000-0005-0000-0000-0000C8240000}"/>
    <cellStyle name="Comma 5 7 2 4 2 3" xfId="10669" xr:uid="{00000000-0005-0000-0000-0000C9240000}"/>
    <cellStyle name="Comma 5 7 2 4 2 3 2" xfId="36226" xr:uid="{00000000-0005-0000-0000-0000CA240000}"/>
    <cellStyle name="Comma 5 7 2 4 2 4" xfId="19492" xr:uid="{00000000-0005-0000-0000-0000CB240000}"/>
    <cellStyle name="Comma 5 7 2 4 2 4 2" xfId="45045" xr:uid="{00000000-0005-0000-0000-0000CC240000}"/>
    <cellStyle name="Comma 5 7 2 4 2 5" xfId="30982" xr:uid="{00000000-0005-0000-0000-0000CD240000}"/>
    <cellStyle name="Comma 5 7 2 4 3" xfId="6866" xr:uid="{00000000-0005-0000-0000-0000CE240000}"/>
    <cellStyle name="Comma 5 7 2 4 3 2" xfId="15693" xr:uid="{00000000-0005-0000-0000-0000CF240000}"/>
    <cellStyle name="Comma 5 7 2 4 3 2 2" xfId="41248" xr:uid="{00000000-0005-0000-0000-0000D0240000}"/>
    <cellStyle name="Comma 5 7 2 4 3 3" xfId="25944" xr:uid="{00000000-0005-0000-0000-0000D1240000}"/>
    <cellStyle name="Comma 5 7 2 4 3 3 2" xfId="51497" xr:uid="{00000000-0005-0000-0000-0000D2240000}"/>
    <cellStyle name="Comma 5 7 2 4 3 4" xfId="32427" xr:uid="{00000000-0005-0000-0000-0000D3240000}"/>
    <cellStyle name="Comma 5 7 2 4 4" xfId="8312" xr:uid="{00000000-0005-0000-0000-0000D4240000}"/>
    <cellStyle name="Comma 5 7 2 4 4 2" xfId="22394" xr:uid="{00000000-0005-0000-0000-0000D5240000}"/>
    <cellStyle name="Comma 5 7 2 4 4 2 2" xfId="47947" xr:uid="{00000000-0005-0000-0000-0000D6240000}"/>
    <cellStyle name="Comma 5 7 2 4 4 3" xfId="33869" xr:uid="{00000000-0005-0000-0000-0000D7240000}"/>
    <cellStyle name="Comma 5 7 2 4 5" xfId="17387" xr:uid="{00000000-0005-0000-0000-0000D8240000}"/>
    <cellStyle name="Comma 5 7 2 4 5 2" xfId="42940" xr:uid="{00000000-0005-0000-0000-0000D9240000}"/>
    <cellStyle name="Comma 5 7 2 4 6" xfId="28877" xr:uid="{00000000-0005-0000-0000-0000DA240000}"/>
    <cellStyle name="Comma 5 7 2 5" xfId="4367" xr:uid="{00000000-0005-0000-0000-0000DB240000}"/>
    <cellStyle name="Comma 5 7 2 5 2" xfId="13205" xr:uid="{00000000-0005-0000-0000-0000DC240000}"/>
    <cellStyle name="Comma 5 7 2 5 2 2" xfId="23456" xr:uid="{00000000-0005-0000-0000-0000DD240000}"/>
    <cellStyle name="Comma 5 7 2 5 2 2 2" xfId="49009" xr:uid="{00000000-0005-0000-0000-0000DE240000}"/>
    <cellStyle name="Comma 5 7 2 5 2 3" xfId="38760" xr:uid="{00000000-0005-0000-0000-0000DF240000}"/>
    <cellStyle name="Comma 5 7 2 5 3" xfId="9626" xr:uid="{00000000-0005-0000-0000-0000E0240000}"/>
    <cellStyle name="Comma 5 7 2 5 3 2" xfId="35183" xr:uid="{00000000-0005-0000-0000-0000E1240000}"/>
    <cellStyle name="Comma 5 7 2 5 4" xfId="18449" xr:uid="{00000000-0005-0000-0000-0000E2240000}"/>
    <cellStyle name="Comma 5 7 2 5 4 2" xfId="44002" xr:uid="{00000000-0005-0000-0000-0000E3240000}"/>
    <cellStyle name="Comma 5 7 2 5 5" xfId="29939" xr:uid="{00000000-0005-0000-0000-0000E4240000}"/>
    <cellStyle name="Comma 5 7 2 6" xfId="1639" xr:uid="{00000000-0005-0000-0000-0000E5240000}"/>
    <cellStyle name="Comma 5 7 2 6 2" xfId="11016" xr:uid="{00000000-0005-0000-0000-0000E6240000}"/>
    <cellStyle name="Comma 5 7 2 6 2 2" xfId="36571" xr:uid="{00000000-0005-0000-0000-0000E7240000}"/>
    <cellStyle name="Comma 5 7 2 6 3" xfId="21020" xr:uid="{00000000-0005-0000-0000-0000E8240000}"/>
    <cellStyle name="Comma 5 7 2 6 3 2" xfId="46573" xr:uid="{00000000-0005-0000-0000-0000E9240000}"/>
    <cellStyle name="Comma 5 7 2 6 4" xfId="27503" xr:uid="{00000000-0005-0000-0000-0000EA240000}"/>
    <cellStyle name="Comma 5 7 2 7" xfId="5823" xr:uid="{00000000-0005-0000-0000-0000EB240000}"/>
    <cellStyle name="Comma 5 7 2 7 2" xfId="14650" xr:uid="{00000000-0005-0000-0000-0000EC240000}"/>
    <cellStyle name="Comma 5 7 2 7 2 2" xfId="40205" xr:uid="{00000000-0005-0000-0000-0000ED240000}"/>
    <cellStyle name="Comma 5 7 2 7 3" xfId="24901" xr:uid="{00000000-0005-0000-0000-0000EE240000}"/>
    <cellStyle name="Comma 5 7 2 7 3 2" xfId="50454" xr:uid="{00000000-0005-0000-0000-0000EF240000}"/>
    <cellStyle name="Comma 5 7 2 7 4" xfId="31384" xr:uid="{00000000-0005-0000-0000-0000F0240000}"/>
    <cellStyle name="Comma 5 7 2 8" xfId="7267" xr:uid="{00000000-0005-0000-0000-0000F1240000}"/>
    <cellStyle name="Comma 5 7 2 8 2" xfId="19993" xr:uid="{00000000-0005-0000-0000-0000F2240000}"/>
    <cellStyle name="Comma 5 7 2 8 2 2" xfId="45546" xr:uid="{00000000-0005-0000-0000-0000F3240000}"/>
    <cellStyle name="Comma 5 7 2 8 3" xfId="32824" xr:uid="{00000000-0005-0000-0000-0000F4240000}"/>
    <cellStyle name="Comma 5 7 2 9" xfId="16013" xr:uid="{00000000-0005-0000-0000-0000F5240000}"/>
    <cellStyle name="Comma 5 7 2 9 2" xfId="41566" xr:uid="{00000000-0005-0000-0000-0000F6240000}"/>
    <cellStyle name="Comma 5 7 3" xfId="342" xr:uid="{00000000-0005-0000-0000-0000F7240000}"/>
    <cellStyle name="Comma 5 7 3 2" xfId="2828" xr:uid="{00000000-0005-0000-0000-0000F8240000}"/>
    <cellStyle name="Comma 5 7 3 2 2" xfId="12116" xr:uid="{00000000-0005-0000-0000-0000F9240000}"/>
    <cellStyle name="Comma 5 7 3 2 2 2" xfId="22189" xr:uid="{00000000-0005-0000-0000-0000FA240000}"/>
    <cellStyle name="Comma 5 7 3 2 2 2 2" xfId="47742" xr:uid="{00000000-0005-0000-0000-0000FB240000}"/>
    <cellStyle name="Comma 5 7 3 2 2 3" xfId="37671" xr:uid="{00000000-0005-0000-0000-0000FC240000}"/>
    <cellStyle name="Comma 5 7 3 2 3" xfId="8529" xr:uid="{00000000-0005-0000-0000-0000FD240000}"/>
    <cellStyle name="Comma 5 7 3 2 3 2" xfId="34086" xr:uid="{00000000-0005-0000-0000-0000FE240000}"/>
    <cellStyle name="Comma 5 7 3 2 4" xfId="17182" xr:uid="{00000000-0005-0000-0000-0000FF240000}"/>
    <cellStyle name="Comma 5 7 3 2 4 2" xfId="42735" xr:uid="{00000000-0005-0000-0000-000000250000}"/>
    <cellStyle name="Comma 5 7 3 2 5" xfId="28672" xr:uid="{00000000-0005-0000-0000-000001250000}"/>
    <cellStyle name="Comma 5 7 3 3" xfId="4496" xr:uid="{00000000-0005-0000-0000-000002250000}"/>
    <cellStyle name="Comma 5 7 3 3 2" xfId="13334" xr:uid="{00000000-0005-0000-0000-000003250000}"/>
    <cellStyle name="Comma 5 7 3 3 2 2" xfId="23585" xr:uid="{00000000-0005-0000-0000-000004250000}"/>
    <cellStyle name="Comma 5 7 3 3 2 2 2" xfId="49138" xr:uid="{00000000-0005-0000-0000-000005250000}"/>
    <cellStyle name="Comma 5 7 3 3 2 3" xfId="38889" xr:uid="{00000000-0005-0000-0000-000006250000}"/>
    <cellStyle name="Comma 5 7 3 3 3" xfId="9755" xr:uid="{00000000-0005-0000-0000-000007250000}"/>
    <cellStyle name="Comma 5 7 3 3 3 2" xfId="35312" xr:uid="{00000000-0005-0000-0000-000008250000}"/>
    <cellStyle name="Comma 5 7 3 3 4" xfId="18578" xr:uid="{00000000-0005-0000-0000-000009250000}"/>
    <cellStyle name="Comma 5 7 3 3 4 2" xfId="44131" xr:uid="{00000000-0005-0000-0000-00000A250000}"/>
    <cellStyle name="Comma 5 7 3 3 5" xfId="30068" xr:uid="{00000000-0005-0000-0000-00000B250000}"/>
    <cellStyle name="Comma 5 7 3 4" xfId="1937" xr:uid="{00000000-0005-0000-0000-00000C250000}"/>
    <cellStyle name="Comma 5 7 3 4 2" xfId="11302" xr:uid="{00000000-0005-0000-0000-00000D250000}"/>
    <cellStyle name="Comma 5 7 3 4 2 2" xfId="36857" xr:uid="{00000000-0005-0000-0000-00000E250000}"/>
    <cellStyle name="Comma 5 7 3 4 3" xfId="21306" xr:uid="{00000000-0005-0000-0000-00000F250000}"/>
    <cellStyle name="Comma 5 7 3 4 3 2" xfId="46859" xr:uid="{00000000-0005-0000-0000-000010250000}"/>
    <cellStyle name="Comma 5 7 3 4 4" xfId="27789" xr:uid="{00000000-0005-0000-0000-000011250000}"/>
    <cellStyle name="Comma 5 7 3 5" xfId="5952" xr:uid="{00000000-0005-0000-0000-000012250000}"/>
    <cellStyle name="Comma 5 7 3 5 2" xfId="14779" xr:uid="{00000000-0005-0000-0000-000013250000}"/>
    <cellStyle name="Comma 5 7 3 5 2 2" xfId="40334" xr:uid="{00000000-0005-0000-0000-000014250000}"/>
    <cellStyle name="Comma 5 7 3 5 3" xfId="25030" xr:uid="{00000000-0005-0000-0000-000015250000}"/>
    <cellStyle name="Comma 5 7 3 5 3 2" xfId="50583" xr:uid="{00000000-0005-0000-0000-000016250000}"/>
    <cellStyle name="Comma 5 7 3 5 4" xfId="31513" xr:uid="{00000000-0005-0000-0000-000017250000}"/>
    <cellStyle name="Comma 5 7 3 6" xfId="7396" xr:uid="{00000000-0005-0000-0000-000018250000}"/>
    <cellStyle name="Comma 5 7 3 6 2" xfId="19788" xr:uid="{00000000-0005-0000-0000-000019250000}"/>
    <cellStyle name="Comma 5 7 3 6 2 2" xfId="45341" xr:uid="{00000000-0005-0000-0000-00001A250000}"/>
    <cellStyle name="Comma 5 7 3 6 3" xfId="32953" xr:uid="{00000000-0005-0000-0000-00001B250000}"/>
    <cellStyle name="Comma 5 7 3 7" xfId="16299" xr:uid="{00000000-0005-0000-0000-00001C250000}"/>
    <cellStyle name="Comma 5 7 3 7 2" xfId="41852" xr:uid="{00000000-0005-0000-0000-00001D250000}"/>
    <cellStyle name="Comma 5 7 3 8" xfId="26271" xr:uid="{00000000-0005-0000-0000-00001E250000}"/>
    <cellStyle name="Comma 5 7 4" xfId="681" xr:uid="{00000000-0005-0000-0000-00001F250000}"/>
    <cellStyle name="Comma 5 7 4 2" xfId="3167" xr:uid="{00000000-0005-0000-0000-000020250000}"/>
    <cellStyle name="Comma 5 7 4 2 2" xfId="12310" xr:uid="{00000000-0005-0000-0000-000021250000}"/>
    <cellStyle name="Comma 5 7 4 2 2 2" xfId="22528" xr:uid="{00000000-0005-0000-0000-000022250000}"/>
    <cellStyle name="Comma 5 7 4 2 2 2 2" xfId="48081" xr:uid="{00000000-0005-0000-0000-000023250000}"/>
    <cellStyle name="Comma 5 7 4 2 2 3" xfId="37865" xr:uid="{00000000-0005-0000-0000-000024250000}"/>
    <cellStyle name="Comma 5 7 4 2 3" xfId="8732" xr:uid="{00000000-0005-0000-0000-000025250000}"/>
    <cellStyle name="Comma 5 7 4 2 3 2" xfId="34289" xr:uid="{00000000-0005-0000-0000-000026250000}"/>
    <cellStyle name="Comma 5 7 4 2 4" xfId="17521" xr:uid="{00000000-0005-0000-0000-000027250000}"/>
    <cellStyle name="Comma 5 7 4 2 4 2" xfId="43074" xr:uid="{00000000-0005-0000-0000-000028250000}"/>
    <cellStyle name="Comma 5 7 4 2 5" xfId="29011" xr:uid="{00000000-0005-0000-0000-000029250000}"/>
    <cellStyle name="Comma 5 7 4 3" xfId="4845" xr:uid="{00000000-0005-0000-0000-00002A250000}"/>
    <cellStyle name="Comma 5 7 4 3 2" xfId="13682" xr:uid="{00000000-0005-0000-0000-00002B250000}"/>
    <cellStyle name="Comma 5 7 4 3 2 2" xfId="23933" xr:uid="{00000000-0005-0000-0000-00002C250000}"/>
    <cellStyle name="Comma 5 7 4 3 2 2 2" xfId="49486" xr:uid="{00000000-0005-0000-0000-00002D250000}"/>
    <cellStyle name="Comma 5 7 4 3 2 3" xfId="39237" xr:uid="{00000000-0005-0000-0000-00002E250000}"/>
    <cellStyle name="Comma 5 7 4 3 3" xfId="10103" xr:uid="{00000000-0005-0000-0000-00002F250000}"/>
    <cellStyle name="Comma 5 7 4 3 3 2" xfId="35660" xr:uid="{00000000-0005-0000-0000-000030250000}"/>
    <cellStyle name="Comma 5 7 4 3 4" xfId="18926" xr:uid="{00000000-0005-0000-0000-000031250000}"/>
    <cellStyle name="Comma 5 7 4 3 4 2" xfId="44479" xr:uid="{00000000-0005-0000-0000-000032250000}"/>
    <cellStyle name="Comma 5 7 4 3 5" xfId="30416" xr:uid="{00000000-0005-0000-0000-000033250000}"/>
    <cellStyle name="Comma 5 7 4 4" xfId="2276" xr:uid="{00000000-0005-0000-0000-000034250000}"/>
    <cellStyle name="Comma 5 7 4 4 2" xfId="11641" xr:uid="{00000000-0005-0000-0000-000035250000}"/>
    <cellStyle name="Comma 5 7 4 4 2 2" xfId="37196" xr:uid="{00000000-0005-0000-0000-000036250000}"/>
    <cellStyle name="Comma 5 7 4 4 3" xfId="21645" xr:uid="{00000000-0005-0000-0000-000037250000}"/>
    <cellStyle name="Comma 5 7 4 4 3 2" xfId="47198" xr:uid="{00000000-0005-0000-0000-000038250000}"/>
    <cellStyle name="Comma 5 7 4 4 4" xfId="28128" xr:uid="{00000000-0005-0000-0000-000039250000}"/>
    <cellStyle name="Comma 5 7 4 5" xfId="6300" xr:uid="{00000000-0005-0000-0000-00003A250000}"/>
    <cellStyle name="Comma 5 7 4 5 2" xfId="15127" xr:uid="{00000000-0005-0000-0000-00003B250000}"/>
    <cellStyle name="Comma 5 7 4 5 2 2" xfId="40682" xr:uid="{00000000-0005-0000-0000-00003C250000}"/>
    <cellStyle name="Comma 5 7 4 5 3" xfId="25378" xr:uid="{00000000-0005-0000-0000-00003D250000}"/>
    <cellStyle name="Comma 5 7 4 5 3 2" xfId="50931" xr:uid="{00000000-0005-0000-0000-00003E250000}"/>
    <cellStyle name="Comma 5 7 4 5 4" xfId="31861" xr:uid="{00000000-0005-0000-0000-00003F250000}"/>
    <cellStyle name="Comma 5 7 4 6" xfId="7746" xr:uid="{00000000-0005-0000-0000-000040250000}"/>
    <cellStyle name="Comma 5 7 4 6 2" xfId="20127" xr:uid="{00000000-0005-0000-0000-000041250000}"/>
    <cellStyle name="Comma 5 7 4 6 2 2" xfId="45680" xr:uid="{00000000-0005-0000-0000-000042250000}"/>
    <cellStyle name="Comma 5 7 4 6 3" xfId="33303" xr:uid="{00000000-0005-0000-0000-000043250000}"/>
    <cellStyle name="Comma 5 7 4 7" xfId="16638" xr:uid="{00000000-0005-0000-0000-000044250000}"/>
    <cellStyle name="Comma 5 7 4 7 2" xfId="42191" xr:uid="{00000000-0005-0000-0000-000045250000}"/>
    <cellStyle name="Comma 5 7 4 8" xfId="26610" xr:uid="{00000000-0005-0000-0000-000046250000}"/>
    <cellStyle name="Comma 5 7 5" xfId="1114" xr:uid="{00000000-0005-0000-0000-000047250000}"/>
    <cellStyle name="Comma 5 7 5 2" xfId="3543" xr:uid="{00000000-0005-0000-0000-000048250000}"/>
    <cellStyle name="Comma 5 7 5 2 2" xfId="12679" xr:uid="{00000000-0005-0000-0000-000049250000}"/>
    <cellStyle name="Comma 5 7 5 2 2 2" xfId="22898" xr:uid="{00000000-0005-0000-0000-00004A250000}"/>
    <cellStyle name="Comma 5 7 5 2 2 2 2" xfId="48451" xr:uid="{00000000-0005-0000-0000-00004B250000}"/>
    <cellStyle name="Comma 5 7 5 2 2 3" xfId="38234" xr:uid="{00000000-0005-0000-0000-00004C250000}"/>
    <cellStyle name="Comma 5 7 5 2 3" xfId="9100" xr:uid="{00000000-0005-0000-0000-00004D250000}"/>
    <cellStyle name="Comma 5 7 5 2 3 2" xfId="34657" xr:uid="{00000000-0005-0000-0000-00004E250000}"/>
    <cellStyle name="Comma 5 7 5 2 4" xfId="17891" xr:uid="{00000000-0005-0000-0000-00004F250000}"/>
    <cellStyle name="Comma 5 7 5 2 4 2" xfId="43444" xr:uid="{00000000-0005-0000-0000-000050250000}"/>
    <cellStyle name="Comma 5 7 5 2 5" xfId="29381" xr:uid="{00000000-0005-0000-0000-000051250000}"/>
    <cellStyle name="Comma 5 7 5 3" xfId="5206" xr:uid="{00000000-0005-0000-0000-000052250000}"/>
    <cellStyle name="Comma 5 7 5 3 2" xfId="14043" xr:uid="{00000000-0005-0000-0000-000053250000}"/>
    <cellStyle name="Comma 5 7 5 3 2 2" xfId="24294" xr:uid="{00000000-0005-0000-0000-000054250000}"/>
    <cellStyle name="Comma 5 7 5 3 2 2 2" xfId="49847" xr:uid="{00000000-0005-0000-0000-000055250000}"/>
    <cellStyle name="Comma 5 7 5 3 2 3" xfId="39598" xr:uid="{00000000-0005-0000-0000-000056250000}"/>
    <cellStyle name="Comma 5 7 5 3 3" xfId="10464" xr:uid="{00000000-0005-0000-0000-000057250000}"/>
    <cellStyle name="Comma 5 7 5 3 3 2" xfId="36021" xr:uid="{00000000-0005-0000-0000-000058250000}"/>
    <cellStyle name="Comma 5 7 5 3 4" xfId="19287" xr:uid="{00000000-0005-0000-0000-000059250000}"/>
    <cellStyle name="Comma 5 7 5 3 4 2" xfId="44840" xr:uid="{00000000-0005-0000-0000-00005A250000}"/>
    <cellStyle name="Comma 5 7 5 3 5" xfId="30777" xr:uid="{00000000-0005-0000-0000-00005B250000}"/>
    <cellStyle name="Comma 5 7 5 4" xfId="1822" xr:uid="{00000000-0005-0000-0000-00005C250000}"/>
    <cellStyle name="Comma 5 7 5 4 2" xfId="11190" xr:uid="{00000000-0005-0000-0000-00005D250000}"/>
    <cellStyle name="Comma 5 7 5 4 2 2" xfId="36745" xr:uid="{00000000-0005-0000-0000-00005E250000}"/>
    <cellStyle name="Comma 5 7 5 4 3" xfId="21194" xr:uid="{00000000-0005-0000-0000-00005F250000}"/>
    <cellStyle name="Comma 5 7 5 4 3 2" xfId="46747" xr:uid="{00000000-0005-0000-0000-000060250000}"/>
    <cellStyle name="Comma 5 7 5 4 4" xfId="27677" xr:uid="{00000000-0005-0000-0000-000061250000}"/>
    <cellStyle name="Comma 5 7 5 5" xfId="6661" xr:uid="{00000000-0005-0000-0000-000062250000}"/>
    <cellStyle name="Comma 5 7 5 5 2" xfId="15488" xr:uid="{00000000-0005-0000-0000-000063250000}"/>
    <cellStyle name="Comma 5 7 5 5 2 2" xfId="41043" xr:uid="{00000000-0005-0000-0000-000064250000}"/>
    <cellStyle name="Comma 5 7 5 5 3" xfId="25739" xr:uid="{00000000-0005-0000-0000-000065250000}"/>
    <cellStyle name="Comma 5 7 5 5 3 2" xfId="51292" xr:uid="{00000000-0005-0000-0000-000066250000}"/>
    <cellStyle name="Comma 5 7 5 5 4" xfId="32222" xr:uid="{00000000-0005-0000-0000-000067250000}"/>
    <cellStyle name="Comma 5 7 5 6" xfId="8107" xr:uid="{00000000-0005-0000-0000-000068250000}"/>
    <cellStyle name="Comma 5 7 5 6 2" xfId="20497" xr:uid="{00000000-0005-0000-0000-000069250000}"/>
    <cellStyle name="Comma 5 7 5 6 2 2" xfId="46050" xr:uid="{00000000-0005-0000-0000-00006A250000}"/>
    <cellStyle name="Comma 5 7 5 6 3" xfId="33664" xr:uid="{00000000-0005-0000-0000-00006B250000}"/>
    <cellStyle name="Comma 5 7 5 7" xfId="16187" xr:uid="{00000000-0005-0000-0000-00006C250000}"/>
    <cellStyle name="Comma 5 7 5 7 2" xfId="41740" xr:uid="{00000000-0005-0000-0000-00006D250000}"/>
    <cellStyle name="Comma 5 7 5 8" xfId="26980" xr:uid="{00000000-0005-0000-0000-00006E250000}"/>
    <cellStyle name="Comma 5 7 6" xfId="2716" xr:uid="{00000000-0005-0000-0000-00006F250000}"/>
    <cellStyle name="Comma 5 7 6 2" xfId="12033" xr:uid="{00000000-0005-0000-0000-000070250000}"/>
    <cellStyle name="Comma 5 7 6 2 2" xfId="22077" xr:uid="{00000000-0005-0000-0000-000071250000}"/>
    <cellStyle name="Comma 5 7 6 2 2 2" xfId="47630" xr:uid="{00000000-0005-0000-0000-000072250000}"/>
    <cellStyle name="Comma 5 7 6 2 3" xfId="37588" xr:uid="{00000000-0005-0000-0000-000073250000}"/>
    <cellStyle name="Comma 5 7 6 3" xfId="8489" xr:uid="{00000000-0005-0000-0000-000074250000}"/>
    <cellStyle name="Comma 5 7 6 3 2" xfId="34046" xr:uid="{00000000-0005-0000-0000-000075250000}"/>
    <cellStyle name="Comma 5 7 6 4" xfId="17070" xr:uid="{00000000-0005-0000-0000-000076250000}"/>
    <cellStyle name="Comma 5 7 6 4 2" xfId="42623" xr:uid="{00000000-0005-0000-0000-000077250000}"/>
    <cellStyle name="Comma 5 7 6 5" xfId="28560" xr:uid="{00000000-0005-0000-0000-000078250000}"/>
    <cellStyle name="Comma 5 7 7" xfId="4162" xr:uid="{00000000-0005-0000-0000-000079250000}"/>
    <cellStyle name="Comma 5 7 7 2" xfId="13000" xr:uid="{00000000-0005-0000-0000-00007A250000}"/>
    <cellStyle name="Comma 5 7 7 2 2" xfId="23251" xr:uid="{00000000-0005-0000-0000-00007B250000}"/>
    <cellStyle name="Comma 5 7 7 2 2 2" xfId="48804" xr:uid="{00000000-0005-0000-0000-00007C250000}"/>
    <cellStyle name="Comma 5 7 7 2 3" xfId="38555" xr:uid="{00000000-0005-0000-0000-00007D250000}"/>
    <cellStyle name="Comma 5 7 7 3" xfId="9421" xr:uid="{00000000-0005-0000-0000-00007E250000}"/>
    <cellStyle name="Comma 5 7 7 3 2" xfId="34978" xr:uid="{00000000-0005-0000-0000-00007F250000}"/>
    <cellStyle name="Comma 5 7 7 4" xfId="18244" xr:uid="{00000000-0005-0000-0000-000080250000}"/>
    <cellStyle name="Comma 5 7 7 4 2" xfId="43797" xr:uid="{00000000-0005-0000-0000-000081250000}"/>
    <cellStyle name="Comma 5 7 7 5" xfId="29734" xr:uid="{00000000-0005-0000-0000-000082250000}"/>
    <cellStyle name="Comma 5 7 8" xfId="1434" xr:uid="{00000000-0005-0000-0000-000083250000}"/>
    <cellStyle name="Comma 5 7 8 2" xfId="10811" xr:uid="{00000000-0005-0000-0000-000084250000}"/>
    <cellStyle name="Comma 5 7 8 2 2" xfId="36366" xr:uid="{00000000-0005-0000-0000-000085250000}"/>
    <cellStyle name="Comma 5 7 8 3" xfId="20815" xr:uid="{00000000-0005-0000-0000-000086250000}"/>
    <cellStyle name="Comma 5 7 8 3 2" xfId="46368" xr:uid="{00000000-0005-0000-0000-000087250000}"/>
    <cellStyle name="Comma 5 7 8 4" xfId="27298" xr:uid="{00000000-0005-0000-0000-000088250000}"/>
    <cellStyle name="Comma 5 7 9" xfId="5618" xr:uid="{00000000-0005-0000-0000-000089250000}"/>
    <cellStyle name="Comma 5 7 9 2" xfId="14445" xr:uid="{00000000-0005-0000-0000-00008A250000}"/>
    <cellStyle name="Comma 5 7 9 2 2" xfId="40000" xr:uid="{00000000-0005-0000-0000-00008B250000}"/>
    <cellStyle name="Comma 5 7 9 3" xfId="24696" xr:uid="{00000000-0005-0000-0000-00008C250000}"/>
    <cellStyle name="Comma 5 7 9 3 2" xfId="50249" xr:uid="{00000000-0005-0000-0000-00008D250000}"/>
    <cellStyle name="Comma 5 7 9 4" xfId="31179" xr:uid="{00000000-0005-0000-0000-00008E250000}"/>
    <cellStyle name="Comma 5 8" xfId="281" xr:uid="{00000000-0005-0000-0000-00008F250000}"/>
    <cellStyle name="Comma 5 8 10" xfId="16069" xr:uid="{00000000-0005-0000-0000-000090250000}"/>
    <cellStyle name="Comma 5 8 10 2" xfId="41622" xr:uid="{00000000-0005-0000-0000-000091250000}"/>
    <cellStyle name="Comma 5 8 11" xfId="26215" xr:uid="{00000000-0005-0000-0000-000092250000}"/>
    <cellStyle name="Comma 5 8 2" xfId="603" xr:uid="{00000000-0005-0000-0000-000093250000}"/>
    <cellStyle name="Comma 5 8 2 2" xfId="3089" xr:uid="{00000000-0005-0000-0000-000094250000}"/>
    <cellStyle name="Comma 5 8 2 2 2" xfId="12232" xr:uid="{00000000-0005-0000-0000-000095250000}"/>
    <cellStyle name="Comma 5 8 2 2 2 2" xfId="22450" xr:uid="{00000000-0005-0000-0000-000096250000}"/>
    <cellStyle name="Comma 5 8 2 2 2 2 2" xfId="48003" xr:uid="{00000000-0005-0000-0000-000097250000}"/>
    <cellStyle name="Comma 5 8 2 2 2 3" xfId="37787" xr:uid="{00000000-0005-0000-0000-000098250000}"/>
    <cellStyle name="Comma 5 8 2 2 3" xfId="8654" xr:uid="{00000000-0005-0000-0000-000099250000}"/>
    <cellStyle name="Comma 5 8 2 2 3 2" xfId="34211" xr:uid="{00000000-0005-0000-0000-00009A250000}"/>
    <cellStyle name="Comma 5 8 2 2 4" xfId="17443" xr:uid="{00000000-0005-0000-0000-00009B250000}"/>
    <cellStyle name="Comma 5 8 2 2 4 2" xfId="42996" xr:uid="{00000000-0005-0000-0000-00009C250000}"/>
    <cellStyle name="Comma 5 8 2 2 5" xfId="28933" xr:uid="{00000000-0005-0000-0000-00009D250000}"/>
    <cellStyle name="Comma 5 8 2 3" xfId="4498" xr:uid="{00000000-0005-0000-0000-00009E250000}"/>
    <cellStyle name="Comma 5 8 2 3 2" xfId="13336" xr:uid="{00000000-0005-0000-0000-00009F250000}"/>
    <cellStyle name="Comma 5 8 2 3 2 2" xfId="23587" xr:uid="{00000000-0005-0000-0000-0000A0250000}"/>
    <cellStyle name="Comma 5 8 2 3 2 2 2" xfId="49140" xr:uid="{00000000-0005-0000-0000-0000A1250000}"/>
    <cellStyle name="Comma 5 8 2 3 2 3" xfId="38891" xr:uid="{00000000-0005-0000-0000-0000A2250000}"/>
    <cellStyle name="Comma 5 8 2 3 3" xfId="9757" xr:uid="{00000000-0005-0000-0000-0000A3250000}"/>
    <cellStyle name="Comma 5 8 2 3 3 2" xfId="35314" xr:uid="{00000000-0005-0000-0000-0000A4250000}"/>
    <cellStyle name="Comma 5 8 2 3 4" xfId="18580" xr:uid="{00000000-0005-0000-0000-0000A5250000}"/>
    <cellStyle name="Comma 5 8 2 3 4 2" xfId="44133" xr:uid="{00000000-0005-0000-0000-0000A6250000}"/>
    <cellStyle name="Comma 5 8 2 3 5" xfId="30070" xr:uid="{00000000-0005-0000-0000-0000A7250000}"/>
    <cellStyle name="Comma 5 8 2 4" xfId="2198" xr:uid="{00000000-0005-0000-0000-0000A8250000}"/>
    <cellStyle name="Comma 5 8 2 4 2" xfId="11563" xr:uid="{00000000-0005-0000-0000-0000A9250000}"/>
    <cellStyle name="Comma 5 8 2 4 2 2" xfId="37118" xr:uid="{00000000-0005-0000-0000-0000AA250000}"/>
    <cellStyle name="Comma 5 8 2 4 3" xfId="21567" xr:uid="{00000000-0005-0000-0000-0000AB250000}"/>
    <cellStyle name="Comma 5 8 2 4 3 2" xfId="47120" xr:uid="{00000000-0005-0000-0000-0000AC250000}"/>
    <cellStyle name="Comma 5 8 2 4 4" xfId="28050" xr:uid="{00000000-0005-0000-0000-0000AD250000}"/>
    <cellStyle name="Comma 5 8 2 5" xfId="5954" xr:uid="{00000000-0005-0000-0000-0000AE250000}"/>
    <cellStyle name="Comma 5 8 2 5 2" xfId="14781" xr:uid="{00000000-0005-0000-0000-0000AF250000}"/>
    <cellStyle name="Comma 5 8 2 5 2 2" xfId="40336" xr:uid="{00000000-0005-0000-0000-0000B0250000}"/>
    <cellStyle name="Comma 5 8 2 5 3" xfId="25032" xr:uid="{00000000-0005-0000-0000-0000B1250000}"/>
    <cellStyle name="Comma 5 8 2 5 3 2" xfId="50585" xr:uid="{00000000-0005-0000-0000-0000B2250000}"/>
    <cellStyle name="Comma 5 8 2 5 4" xfId="31515" xr:uid="{00000000-0005-0000-0000-0000B3250000}"/>
    <cellStyle name="Comma 5 8 2 6" xfId="7398" xr:uid="{00000000-0005-0000-0000-0000B4250000}"/>
    <cellStyle name="Comma 5 8 2 6 2" xfId="20049" xr:uid="{00000000-0005-0000-0000-0000B5250000}"/>
    <cellStyle name="Comma 5 8 2 6 2 2" xfId="45602" xr:uid="{00000000-0005-0000-0000-0000B6250000}"/>
    <cellStyle name="Comma 5 8 2 6 3" xfId="32955" xr:uid="{00000000-0005-0000-0000-0000B7250000}"/>
    <cellStyle name="Comma 5 8 2 7" xfId="16560" xr:uid="{00000000-0005-0000-0000-0000B8250000}"/>
    <cellStyle name="Comma 5 8 2 7 2" xfId="42113" xr:uid="{00000000-0005-0000-0000-0000B9250000}"/>
    <cellStyle name="Comma 5 8 2 8" xfId="26532" xr:uid="{00000000-0005-0000-0000-0000BA250000}"/>
    <cellStyle name="Comma 5 8 3" xfId="683" xr:uid="{00000000-0005-0000-0000-0000BB250000}"/>
    <cellStyle name="Comma 5 8 3 2" xfId="3169" xr:uid="{00000000-0005-0000-0000-0000BC250000}"/>
    <cellStyle name="Comma 5 8 3 2 2" xfId="12312" xr:uid="{00000000-0005-0000-0000-0000BD250000}"/>
    <cellStyle name="Comma 5 8 3 2 2 2" xfId="22530" xr:uid="{00000000-0005-0000-0000-0000BE250000}"/>
    <cellStyle name="Comma 5 8 3 2 2 2 2" xfId="48083" xr:uid="{00000000-0005-0000-0000-0000BF250000}"/>
    <cellStyle name="Comma 5 8 3 2 2 3" xfId="37867" xr:uid="{00000000-0005-0000-0000-0000C0250000}"/>
    <cellStyle name="Comma 5 8 3 2 3" xfId="8734" xr:uid="{00000000-0005-0000-0000-0000C1250000}"/>
    <cellStyle name="Comma 5 8 3 2 3 2" xfId="34291" xr:uid="{00000000-0005-0000-0000-0000C2250000}"/>
    <cellStyle name="Comma 5 8 3 2 4" xfId="17523" xr:uid="{00000000-0005-0000-0000-0000C3250000}"/>
    <cellStyle name="Comma 5 8 3 2 4 2" xfId="43076" xr:uid="{00000000-0005-0000-0000-0000C4250000}"/>
    <cellStyle name="Comma 5 8 3 2 5" xfId="29013" xr:uid="{00000000-0005-0000-0000-0000C5250000}"/>
    <cellStyle name="Comma 5 8 3 3" xfId="4847" xr:uid="{00000000-0005-0000-0000-0000C6250000}"/>
    <cellStyle name="Comma 5 8 3 3 2" xfId="13684" xr:uid="{00000000-0005-0000-0000-0000C7250000}"/>
    <cellStyle name="Comma 5 8 3 3 2 2" xfId="23935" xr:uid="{00000000-0005-0000-0000-0000C8250000}"/>
    <cellStyle name="Comma 5 8 3 3 2 2 2" xfId="49488" xr:uid="{00000000-0005-0000-0000-0000C9250000}"/>
    <cellStyle name="Comma 5 8 3 3 2 3" xfId="39239" xr:uid="{00000000-0005-0000-0000-0000CA250000}"/>
    <cellStyle name="Comma 5 8 3 3 3" xfId="10105" xr:uid="{00000000-0005-0000-0000-0000CB250000}"/>
    <cellStyle name="Comma 5 8 3 3 3 2" xfId="35662" xr:uid="{00000000-0005-0000-0000-0000CC250000}"/>
    <cellStyle name="Comma 5 8 3 3 4" xfId="18928" xr:uid="{00000000-0005-0000-0000-0000CD250000}"/>
    <cellStyle name="Comma 5 8 3 3 4 2" xfId="44481" xr:uid="{00000000-0005-0000-0000-0000CE250000}"/>
    <cellStyle name="Comma 5 8 3 3 5" xfId="30418" xr:uid="{00000000-0005-0000-0000-0000CF250000}"/>
    <cellStyle name="Comma 5 8 3 4" xfId="2278" xr:uid="{00000000-0005-0000-0000-0000D0250000}"/>
    <cellStyle name="Comma 5 8 3 4 2" xfId="11643" xr:uid="{00000000-0005-0000-0000-0000D1250000}"/>
    <cellStyle name="Comma 5 8 3 4 2 2" xfId="37198" xr:uid="{00000000-0005-0000-0000-0000D2250000}"/>
    <cellStyle name="Comma 5 8 3 4 3" xfId="21647" xr:uid="{00000000-0005-0000-0000-0000D3250000}"/>
    <cellStyle name="Comma 5 8 3 4 3 2" xfId="47200" xr:uid="{00000000-0005-0000-0000-0000D4250000}"/>
    <cellStyle name="Comma 5 8 3 4 4" xfId="28130" xr:uid="{00000000-0005-0000-0000-0000D5250000}"/>
    <cellStyle name="Comma 5 8 3 5" xfId="6302" xr:uid="{00000000-0005-0000-0000-0000D6250000}"/>
    <cellStyle name="Comma 5 8 3 5 2" xfId="15129" xr:uid="{00000000-0005-0000-0000-0000D7250000}"/>
    <cellStyle name="Comma 5 8 3 5 2 2" xfId="40684" xr:uid="{00000000-0005-0000-0000-0000D8250000}"/>
    <cellStyle name="Comma 5 8 3 5 3" xfId="25380" xr:uid="{00000000-0005-0000-0000-0000D9250000}"/>
    <cellStyle name="Comma 5 8 3 5 3 2" xfId="50933" xr:uid="{00000000-0005-0000-0000-0000DA250000}"/>
    <cellStyle name="Comma 5 8 3 5 4" xfId="31863" xr:uid="{00000000-0005-0000-0000-0000DB250000}"/>
    <cellStyle name="Comma 5 8 3 6" xfId="7748" xr:uid="{00000000-0005-0000-0000-0000DC250000}"/>
    <cellStyle name="Comma 5 8 3 6 2" xfId="20129" xr:uid="{00000000-0005-0000-0000-0000DD250000}"/>
    <cellStyle name="Comma 5 8 3 6 2 2" xfId="45682" xr:uid="{00000000-0005-0000-0000-0000DE250000}"/>
    <cellStyle name="Comma 5 8 3 6 3" xfId="33305" xr:uid="{00000000-0005-0000-0000-0000DF250000}"/>
    <cellStyle name="Comma 5 8 3 7" xfId="16640" xr:uid="{00000000-0005-0000-0000-0000E0250000}"/>
    <cellStyle name="Comma 5 8 3 7 2" xfId="42193" xr:uid="{00000000-0005-0000-0000-0000E1250000}"/>
    <cellStyle name="Comma 5 8 3 8" xfId="26612" xr:uid="{00000000-0005-0000-0000-0000E2250000}"/>
    <cellStyle name="Comma 5 8 4" xfId="1375" xr:uid="{00000000-0005-0000-0000-0000E3250000}"/>
    <cellStyle name="Comma 5 8 4 2" xfId="3804" xr:uid="{00000000-0005-0000-0000-0000E4250000}"/>
    <cellStyle name="Comma 5 8 4 2 2" xfId="12940" xr:uid="{00000000-0005-0000-0000-0000E5250000}"/>
    <cellStyle name="Comma 5 8 4 2 2 2" xfId="23159" xr:uid="{00000000-0005-0000-0000-0000E6250000}"/>
    <cellStyle name="Comma 5 8 4 2 2 2 2" xfId="48712" xr:uid="{00000000-0005-0000-0000-0000E7250000}"/>
    <cellStyle name="Comma 5 8 4 2 2 3" xfId="38495" xr:uid="{00000000-0005-0000-0000-0000E8250000}"/>
    <cellStyle name="Comma 5 8 4 2 3" xfId="9361" xr:uid="{00000000-0005-0000-0000-0000E9250000}"/>
    <cellStyle name="Comma 5 8 4 2 3 2" xfId="34918" xr:uid="{00000000-0005-0000-0000-0000EA250000}"/>
    <cellStyle name="Comma 5 8 4 2 4" xfId="18152" xr:uid="{00000000-0005-0000-0000-0000EB250000}"/>
    <cellStyle name="Comma 5 8 4 2 4 2" xfId="43705" xr:uid="{00000000-0005-0000-0000-0000EC250000}"/>
    <cellStyle name="Comma 5 8 4 2 5" xfId="29642" xr:uid="{00000000-0005-0000-0000-0000ED250000}"/>
    <cellStyle name="Comma 5 8 4 3" xfId="5467" xr:uid="{00000000-0005-0000-0000-0000EE250000}"/>
    <cellStyle name="Comma 5 8 4 3 2" xfId="14304" xr:uid="{00000000-0005-0000-0000-0000EF250000}"/>
    <cellStyle name="Comma 5 8 4 3 2 2" xfId="24555" xr:uid="{00000000-0005-0000-0000-0000F0250000}"/>
    <cellStyle name="Comma 5 8 4 3 2 2 2" xfId="50108" xr:uid="{00000000-0005-0000-0000-0000F1250000}"/>
    <cellStyle name="Comma 5 8 4 3 2 3" xfId="39859" xr:uid="{00000000-0005-0000-0000-0000F2250000}"/>
    <cellStyle name="Comma 5 8 4 3 3" xfId="10725" xr:uid="{00000000-0005-0000-0000-0000F3250000}"/>
    <cellStyle name="Comma 5 8 4 3 3 2" xfId="36282" xr:uid="{00000000-0005-0000-0000-0000F4250000}"/>
    <cellStyle name="Comma 5 8 4 3 4" xfId="19548" xr:uid="{00000000-0005-0000-0000-0000F5250000}"/>
    <cellStyle name="Comma 5 8 4 3 4 2" xfId="45101" xr:uid="{00000000-0005-0000-0000-0000F6250000}"/>
    <cellStyle name="Comma 5 8 4 3 5" xfId="31038" xr:uid="{00000000-0005-0000-0000-0000F7250000}"/>
    <cellStyle name="Comma 5 8 4 4" xfId="1878" xr:uid="{00000000-0005-0000-0000-0000F8250000}"/>
    <cellStyle name="Comma 5 8 4 4 2" xfId="11246" xr:uid="{00000000-0005-0000-0000-0000F9250000}"/>
    <cellStyle name="Comma 5 8 4 4 2 2" xfId="36801" xr:uid="{00000000-0005-0000-0000-0000FA250000}"/>
    <cellStyle name="Comma 5 8 4 4 3" xfId="21250" xr:uid="{00000000-0005-0000-0000-0000FB250000}"/>
    <cellStyle name="Comma 5 8 4 4 3 2" xfId="46803" xr:uid="{00000000-0005-0000-0000-0000FC250000}"/>
    <cellStyle name="Comma 5 8 4 4 4" xfId="27733" xr:uid="{00000000-0005-0000-0000-0000FD250000}"/>
    <cellStyle name="Comma 5 8 4 5" xfId="6922" xr:uid="{00000000-0005-0000-0000-0000FE250000}"/>
    <cellStyle name="Comma 5 8 4 5 2" xfId="15749" xr:uid="{00000000-0005-0000-0000-0000FF250000}"/>
    <cellStyle name="Comma 5 8 4 5 2 2" xfId="41304" xr:uid="{00000000-0005-0000-0000-000000260000}"/>
    <cellStyle name="Comma 5 8 4 5 3" xfId="26000" xr:uid="{00000000-0005-0000-0000-000001260000}"/>
    <cellStyle name="Comma 5 8 4 5 3 2" xfId="51553" xr:uid="{00000000-0005-0000-0000-000002260000}"/>
    <cellStyle name="Comma 5 8 4 5 4" xfId="32483" xr:uid="{00000000-0005-0000-0000-000003260000}"/>
    <cellStyle name="Comma 5 8 4 6" xfId="8368" xr:uid="{00000000-0005-0000-0000-000004260000}"/>
    <cellStyle name="Comma 5 8 4 6 2" xfId="20758" xr:uid="{00000000-0005-0000-0000-000005260000}"/>
    <cellStyle name="Comma 5 8 4 6 2 2" xfId="46311" xr:uid="{00000000-0005-0000-0000-000006260000}"/>
    <cellStyle name="Comma 5 8 4 6 3" xfId="33925" xr:uid="{00000000-0005-0000-0000-000007260000}"/>
    <cellStyle name="Comma 5 8 4 7" xfId="16243" xr:uid="{00000000-0005-0000-0000-000008260000}"/>
    <cellStyle name="Comma 5 8 4 7 2" xfId="41796" xr:uid="{00000000-0005-0000-0000-000009260000}"/>
    <cellStyle name="Comma 5 8 4 8" xfId="27241" xr:uid="{00000000-0005-0000-0000-00000A260000}"/>
    <cellStyle name="Comma 5 8 5" xfId="2772" xr:uid="{00000000-0005-0000-0000-00000B260000}"/>
    <cellStyle name="Comma 5 8 5 2" xfId="12089" xr:uid="{00000000-0005-0000-0000-00000C260000}"/>
    <cellStyle name="Comma 5 8 5 2 2" xfId="22133" xr:uid="{00000000-0005-0000-0000-00000D260000}"/>
    <cellStyle name="Comma 5 8 5 2 2 2" xfId="47686" xr:uid="{00000000-0005-0000-0000-00000E260000}"/>
    <cellStyle name="Comma 5 8 5 2 3" xfId="37644" xr:uid="{00000000-0005-0000-0000-00000F260000}"/>
    <cellStyle name="Comma 5 8 5 3" xfId="8601" xr:uid="{00000000-0005-0000-0000-000010260000}"/>
    <cellStyle name="Comma 5 8 5 3 2" xfId="34158" xr:uid="{00000000-0005-0000-0000-000011260000}"/>
    <cellStyle name="Comma 5 8 5 4" xfId="17126" xr:uid="{00000000-0005-0000-0000-000012260000}"/>
    <cellStyle name="Comma 5 8 5 4 2" xfId="42679" xr:uid="{00000000-0005-0000-0000-000013260000}"/>
    <cellStyle name="Comma 5 8 5 5" xfId="28616" xr:uid="{00000000-0005-0000-0000-000014260000}"/>
    <cellStyle name="Comma 5 8 6" xfId="4423" xr:uid="{00000000-0005-0000-0000-000015260000}"/>
    <cellStyle name="Comma 5 8 6 2" xfId="13261" xr:uid="{00000000-0005-0000-0000-000016260000}"/>
    <cellStyle name="Comma 5 8 6 2 2" xfId="23512" xr:uid="{00000000-0005-0000-0000-000017260000}"/>
    <cellStyle name="Comma 5 8 6 2 2 2" xfId="49065" xr:uid="{00000000-0005-0000-0000-000018260000}"/>
    <cellStyle name="Comma 5 8 6 2 3" xfId="38816" xr:uid="{00000000-0005-0000-0000-000019260000}"/>
    <cellStyle name="Comma 5 8 6 3" xfId="9682" xr:uid="{00000000-0005-0000-0000-00001A260000}"/>
    <cellStyle name="Comma 5 8 6 3 2" xfId="35239" xr:uid="{00000000-0005-0000-0000-00001B260000}"/>
    <cellStyle name="Comma 5 8 6 4" xfId="18505" xr:uid="{00000000-0005-0000-0000-00001C260000}"/>
    <cellStyle name="Comma 5 8 6 4 2" xfId="44058" xr:uid="{00000000-0005-0000-0000-00001D260000}"/>
    <cellStyle name="Comma 5 8 6 5" xfId="29995" xr:uid="{00000000-0005-0000-0000-00001E260000}"/>
    <cellStyle name="Comma 5 8 7" xfId="1695" xr:uid="{00000000-0005-0000-0000-00001F260000}"/>
    <cellStyle name="Comma 5 8 7 2" xfId="11072" xr:uid="{00000000-0005-0000-0000-000020260000}"/>
    <cellStyle name="Comma 5 8 7 2 2" xfId="36627" xr:uid="{00000000-0005-0000-0000-000021260000}"/>
    <cellStyle name="Comma 5 8 7 3" xfId="21076" xr:uid="{00000000-0005-0000-0000-000022260000}"/>
    <cellStyle name="Comma 5 8 7 3 2" xfId="46629" xr:uid="{00000000-0005-0000-0000-000023260000}"/>
    <cellStyle name="Comma 5 8 7 4" xfId="27559" xr:uid="{00000000-0005-0000-0000-000024260000}"/>
    <cellStyle name="Comma 5 8 8" xfId="5879" xr:uid="{00000000-0005-0000-0000-000025260000}"/>
    <cellStyle name="Comma 5 8 8 2" xfId="14706" xr:uid="{00000000-0005-0000-0000-000026260000}"/>
    <cellStyle name="Comma 5 8 8 2 2" xfId="40261" xr:uid="{00000000-0005-0000-0000-000027260000}"/>
    <cellStyle name="Comma 5 8 8 3" xfId="24957" xr:uid="{00000000-0005-0000-0000-000028260000}"/>
    <cellStyle name="Comma 5 8 8 3 2" xfId="50510" xr:uid="{00000000-0005-0000-0000-000029260000}"/>
    <cellStyle name="Comma 5 8 8 4" xfId="31440" xr:uid="{00000000-0005-0000-0000-00002A260000}"/>
    <cellStyle name="Comma 5 8 9" xfId="7323" xr:uid="{00000000-0005-0000-0000-00002B260000}"/>
    <cellStyle name="Comma 5 8 9 2" xfId="19732" xr:uid="{00000000-0005-0000-0000-00002C260000}"/>
    <cellStyle name="Comma 5 8 9 2 2" xfId="45285" xr:uid="{00000000-0005-0000-0000-00002D260000}"/>
    <cellStyle name="Comma 5 8 9 3" xfId="32880" xr:uid="{00000000-0005-0000-0000-00002E260000}"/>
    <cellStyle name="Comma 5 9" xfId="442" xr:uid="{00000000-0005-0000-0000-00002F260000}"/>
    <cellStyle name="Comma 5 9 10" xfId="26371" xr:uid="{00000000-0005-0000-0000-000030260000}"/>
    <cellStyle name="Comma 5 9 2" xfId="684" xr:uid="{00000000-0005-0000-0000-000031260000}"/>
    <cellStyle name="Comma 5 9 2 2" xfId="3170" xr:uid="{00000000-0005-0000-0000-000032260000}"/>
    <cellStyle name="Comma 5 9 2 2 2" xfId="12313" xr:uid="{00000000-0005-0000-0000-000033260000}"/>
    <cellStyle name="Comma 5 9 2 2 2 2" xfId="22531" xr:uid="{00000000-0005-0000-0000-000034260000}"/>
    <cellStyle name="Comma 5 9 2 2 2 2 2" xfId="48084" xr:uid="{00000000-0005-0000-0000-000035260000}"/>
    <cellStyle name="Comma 5 9 2 2 2 3" xfId="37868" xr:uid="{00000000-0005-0000-0000-000036260000}"/>
    <cellStyle name="Comma 5 9 2 2 3" xfId="8735" xr:uid="{00000000-0005-0000-0000-000037260000}"/>
    <cellStyle name="Comma 5 9 2 2 3 2" xfId="34292" xr:uid="{00000000-0005-0000-0000-000038260000}"/>
    <cellStyle name="Comma 5 9 2 2 4" xfId="17524" xr:uid="{00000000-0005-0000-0000-000039260000}"/>
    <cellStyle name="Comma 5 9 2 2 4 2" xfId="43077" xr:uid="{00000000-0005-0000-0000-00003A260000}"/>
    <cellStyle name="Comma 5 9 2 2 5" xfId="29014" xr:uid="{00000000-0005-0000-0000-00003B260000}"/>
    <cellStyle name="Comma 5 9 2 3" xfId="4499" xr:uid="{00000000-0005-0000-0000-00003C260000}"/>
    <cellStyle name="Comma 5 9 2 3 2" xfId="13337" xr:uid="{00000000-0005-0000-0000-00003D260000}"/>
    <cellStyle name="Comma 5 9 2 3 2 2" xfId="23588" xr:uid="{00000000-0005-0000-0000-00003E260000}"/>
    <cellStyle name="Comma 5 9 2 3 2 2 2" xfId="49141" xr:uid="{00000000-0005-0000-0000-00003F260000}"/>
    <cellStyle name="Comma 5 9 2 3 2 3" xfId="38892" xr:uid="{00000000-0005-0000-0000-000040260000}"/>
    <cellStyle name="Comma 5 9 2 3 3" xfId="9758" xr:uid="{00000000-0005-0000-0000-000041260000}"/>
    <cellStyle name="Comma 5 9 2 3 3 2" xfId="35315" xr:uid="{00000000-0005-0000-0000-000042260000}"/>
    <cellStyle name="Comma 5 9 2 3 4" xfId="18581" xr:uid="{00000000-0005-0000-0000-000043260000}"/>
    <cellStyle name="Comma 5 9 2 3 4 2" xfId="44134" xr:uid="{00000000-0005-0000-0000-000044260000}"/>
    <cellStyle name="Comma 5 9 2 3 5" xfId="30071" xr:uid="{00000000-0005-0000-0000-000045260000}"/>
    <cellStyle name="Comma 5 9 2 4" xfId="2279" xr:uid="{00000000-0005-0000-0000-000046260000}"/>
    <cellStyle name="Comma 5 9 2 4 2" xfId="11644" xr:uid="{00000000-0005-0000-0000-000047260000}"/>
    <cellStyle name="Comma 5 9 2 4 2 2" xfId="37199" xr:uid="{00000000-0005-0000-0000-000048260000}"/>
    <cellStyle name="Comma 5 9 2 4 3" xfId="21648" xr:uid="{00000000-0005-0000-0000-000049260000}"/>
    <cellStyle name="Comma 5 9 2 4 3 2" xfId="47201" xr:uid="{00000000-0005-0000-0000-00004A260000}"/>
    <cellStyle name="Comma 5 9 2 4 4" xfId="28131" xr:uid="{00000000-0005-0000-0000-00004B260000}"/>
    <cellStyle name="Comma 5 9 2 5" xfId="5955" xr:uid="{00000000-0005-0000-0000-00004C260000}"/>
    <cellStyle name="Comma 5 9 2 5 2" xfId="14782" xr:uid="{00000000-0005-0000-0000-00004D260000}"/>
    <cellStyle name="Comma 5 9 2 5 2 2" xfId="40337" xr:uid="{00000000-0005-0000-0000-00004E260000}"/>
    <cellStyle name="Comma 5 9 2 5 3" xfId="25033" xr:uid="{00000000-0005-0000-0000-00004F260000}"/>
    <cellStyle name="Comma 5 9 2 5 3 2" xfId="50586" xr:uid="{00000000-0005-0000-0000-000050260000}"/>
    <cellStyle name="Comma 5 9 2 5 4" xfId="31516" xr:uid="{00000000-0005-0000-0000-000051260000}"/>
    <cellStyle name="Comma 5 9 2 6" xfId="7399" xr:uid="{00000000-0005-0000-0000-000052260000}"/>
    <cellStyle name="Comma 5 9 2 6 2" xfId="20130" xr:uid="{00000000-0005-0000-0000-000053260000}"/>
    <cellStyle name="Comma 5 9 2 6 2 2" xfId="45683" xr:uid="{00000000-0005-0000-0000-000054260000}"/>
    <cellStyle name="Comma 5 9 2 6 3" xfId="32956" xr:uid="{00000000-0005-0000-0000-000055260000}"/>
    <cellStyle name="Comma 5 9 2 7" xfId="16641" xr:uid="{00000000-0005-0000-0000-000056260000}"/>
    <cellStyle name="Comma 5 9 2 7 2" xfId="42194" xr:uid="{00000000-0005-0000-0000-000057260000}"/>
    <cellStyle name="Comma 5 9 2 8" xfId="26613" xr:uid="{00000000-0005-0000-0000-000058260000}"/>
    <cellStyle name="Comma 5 9 3" xfId="1214" xr:uid="{00000000-0005-0000-0000-000059260000}"/>
    <cellStyle name="Comma 5 9 3 2" xfId="3643" xr:uid="{00000000-0005-0000-0000-00005A260000}"/>
    <cellStyle name="Comma 5 9 3 2 2" xfId="12779" xr:uid="{00000000-0005-0000-0000-00005B260000}"/>
    <cellStyle name="Comma 5 9 3 2 2 2" xfId="22998" xr:uid="{00000000-0005-0000-0000-00005C260000}"/>
    <cellStyle name="Comma 5 9 3 2 2 2 2" xfId="48551" xr:uid="{00000000-0005-0000-0000-00005D260000}"/>
    <cellStyle name="Comma 5 9 3 2 2 3" xfId="38334" xr:uid="{00000000-0005-0000-0000-00005E260000}"/>
    <cellStyle name="Comma 5 9 3 2 3" xfId="9200" xr:uid="{00000000-0005-0000-0000-00005F260000}"/>
    <cellStyle name="Comma 5 9 3 2 3 2" xfId="34757" xr:uid="{00000000-0005-0000-0000-000060260000}"/>
    <cellStyle name="Comma 5 9 3 2 4" xfId="17991" xr:uid="{00000000-0005-0000-0000-000061260000}"/>
    <cellStyle name="Comma 5 9 3 2 4 2" xfId="43544" xr:uid="{00000000-0005-0000-0000-000062260000}"/>
    <cellStyle name="Comma 5 9 3 2 5" xfId="29481" xr:uid="{00000000-0005-0000-0000-000063260000}"/>
    <cellStyle name="Comma 5 9 3 3" xfId="4848" xr:uid="{00000000-0005-0000-0000-000064260000}"/>
    <cellStyle name="Comma 5 9 3 3 2" xfId="13685" xr:uid="{00000000-0005-0000-0000-000065260000}"/>
    <cellStyle name="Comma 5 9 3 3 2 2" xfId="23936" xr:uid="{00000000-0005-0000-0000-000066260000}"/>
    <cellStyle name="Comma 5 9 3 3 2 2 2" xfId="49489" xr:uid="{00000000-0005-0000-0000-000067260000}"/>
    <cellStyle name="Comma 5 9 3 3 2 3" xfId="39240" xr:uid="{00000000-0005-0000-0000-000068260000}"/>
    <cellStyle name="Comma 5 9 3 3 3" xfId="10106" xr:uid="{00000000-0005-0000-0000-000069260000}"/>
    <cellStyle name="Comma 5 9 3 3 3 2" xfId="35663" xr:uid="{00000000-0005-0000-0000-00006A260000}"/>
    <cellStyle name="Comma 5 9 3 3 4" xfId="18929" xr:uid="{00000000-0005-0000-0000-00006B260000}"/>
    <cellStyle name="Comma 5 9 3 3 4 2" xfId="44482" xr:uid="{00000000-0005-0000-0000-00006C260000}"/>
    <cellStyle name="Comma 5 9 3 3 5" xfId="30419" xr:uid="{00000000-0005-0000-0000-00006D260000}"/>
    <cellStyle name="Comma 5 9 3 4" xfId="2037" xr:uid="{00000000-0005-0000-0000-00006E260000}"/>
    <cellStyle name="Comma 5 9 3 4 2" xfId="11402" xr:uid="{00000000-0005-0000-0000-00006F260000}"/>
    <cellStyle name="Comma 5 9 3 4 2 2" xfId="36957" xr:uid="{00000000-0005-0000-0000-000070260000}"/>
    <cellStyle name="Comma 5 9 3 4 3" xfId="21406" xr:uid="{00000000-0005-0000-0000-000071260000}"/>
    <cellStyle name="Comma 5 9 3 4 3 2" xfId="46959" xr:uid="{00000000-0005-0000-0000-000072260000}"/>
    <cellStyle name="Comma 5 9 3 4 4" xfId="27889" xr:uid="{00000000-0005-0000-0000-000073260000}"/>
    <cellStyle name="Comma 5 9 3 5" xfId="6303" xr:uid="{00000000-0005-0000-0000-000074260000}"/>
    <cellStyle name="Comma 5 9 3 5 2" xfId="15130" xr:uid="{00000000-0005-0000-0000-000075260000}"/>
    <cellStyle name="Comma 5 9 3 5 2 2" xfId="40685" xr:uid="{00000000-0005-0000-0000-000076260000}"/>
    <cellStyle name="Comma 5 9 3 5 3" xfId="25381" xr:uid="{00000000-0005-0000-0000-000077260000}"/>
    <cellStyle name="Comma 5 9 3 5 3 2" xfId="50934" xr:uid="{00000000-0005-0000-0000-000078260000}"/>
    <cellStyle name="Comma 5 9 3 5 4" xfId="31864" xr:uid="{00000000-0005-0000-0000-000079260000}"/>
    <cellStyle name="Comma 5 9 3 6" xfId="7749" xr:uid="{00000000-0005-0000-0000-00007A260000}"/>
    <cellStyle name="Comma 5 9 3 6 2" xfId="20597" xr:uid="{00000000-0005-0000-0000-00007B260000}"/>
    <cellStyle name="Comma 5 9 3 6 2 2" xfId="46150" xr:uid="{00000000-0005-0000-0000-00007C260000}"/>
    <cellStyle name="Comma 5 9 3 6 3" xfId="33306" xr:uid="{00000000-0005-0000-0000-00007D260000}"/>
    <cellStyle name="Comma 5 9 3 7" xfId="16399" xr:uid="{00000000-0005-0000-0000-00007E260000}"/>
    <cellStyle name="Comma 5 9 3 7 2" xfId="41952" xr:uid="{00000000-0005-0000-0000-00007F260000}"/>
    <cellStyle name="Comma 5 9 3 8" xfId="27080" xr:uid="{00000000-0005-0000-0000-000080260000}"/>
    <cellStyle name="Comma 5 9 4" xfId="2928" xr:uid="{00000000-0005-0000-0000-000081260000}"/>
    <cellStyle name="Comma 5 9 4 2" xfId="5306" xr:uid="{00000000-0005-0000-0000-000082260000}"/>
    <cellStyle name="Comma 5 9 4 2 2" xfId="14143" xr:uid="{00000000-0005-0000-0000-000083260000}"/>
    <cellStyle name="Comma 5 9 4 2 2 2" xfId="24394" xr:uid="{00000000-0005-0000-0000-000084260000}"/>
    <cellStyle name="Comma 5 9 4 2 2 2 2" xfId="49947" xr:uid="{00000000-0005-0000-0000-000085260000}"/>
    <cellStyle name="Comma 5 9 4 2 2 3" xfId="39698" xr:uid="{00000000-0005-0000-0000-000086260000}"/>
    <cellStyle name="Comma 5 9 4 2 3" xfId="10564" xr:uid="{00000000-0005-0000-0000-000087260000}"/>
    <cellStyle name="Comma 5 9 4 2 3 2" xfId="36121" xr:uid="{00000000-0005-0000-0000-000088260000}"/>
    <cellStyle name="Comma 5 9 4 2 4" xfId="19387" xr:uid="{00000000-0005-0000-0000-000089260000}"/>
    <cellStyle name="Comma 5 9 4 2 4 2" xfId="44940" xr:uid="{00000000-0005-0000-0000-00008A260000}"/>
    <cellStyle name="Comma 5 9 4 2 5" xfId="30877" xr:uid="{00000000-0005-0000-0000-00008B260000}"/>
    <cellStyle name="Comma 5 9 4 3" xfId="6761" xr:uid="{00000000-0005-0000-0000-00008C260000}"/>
    <cellStyle name="Comma 5 9 4 3 2" xfId="15588" xr:uid="{00000000-0005-0000-0000-00008D260000}"/>
    <cellStyle name="Comma 5 9 4 3 2 2" xfId="41143" xr:uid="{00000000-0005-0000-0000-00008E260000}"/>
    <cellStyle name="Comma 5 9 4 3 3" xfId="25839" xr:uid="{00000000-0005-0000-0000-00008F260000}"/>
    <cellStyle name="Comma 5 9 4 3 3 2" xfId="51392" xr:uid="{00000000-0005-0000-0000-000090260000}"/>
    <cellStyle name="Comma 5 9 4 3 4" xfId="32322" xr:uid="{00000000-0005-0000-0000-000091260000}"/>
    <cellStyle name="Comma 5 9 4 4" xfId="8207" xr:uid="{00000000-0005-0000-0000-000092260000}"/>
    <cellStyle name="Comma 5 9 4 4 2" xfId="22289" xr:uid="{00000000-0005-0000-0000-000093260000}"/>
    <cellStyle name="Comma 5 9 4 4 2 2" xfId="47842" xr:uid="{00000000-0005-0000-0000-000094260000}"/>
    <cellStyle name="Comma 5 9 4 4 3" xfId="33764" xr:uid="{00000000-0005-0000-0000-000095260000}"/>
    <cellStyle name="Comma 5 9 4 5" xfId="17282" xr:uid="{00000000-0005-0000-0000-000096260000}"/>
    <cellStyle name="Comma 5 9 4 5 2" xfId="42835" xr:uid="{00000000-0005-0000-0000-000097260000}"/>
    <cellStyle name="Comma 5 9 4 6" xfId="28772" xr:uid="{00000000-0005-0000-0000-000098260000}"/>
    <cellStyle name="Comma 5 9 5" xfId="4262" xr:uid="{00000000-0005-0000-0000-000099260000}"/>
    <cellStyle name="Comma 5 9 5 2" xfId="13100" xr:uid="{00000000-0005-0000-0000-00009A260000}"/>
    <cellStyle name="Comma 5 9 5 2 2" xfId="23351" xr:uid="{00000000-0005-0000-0000-00009B260000}"/>
    <cellStyle name="Comma 5 9 5 2 2 2" xfId="48904" xr:uid="{00000000-0005-0000-0000-00009C260000}"/>
    <cellStyle name="Comma 5 9 5 2 3" xfId="38655" xr:uid="{00000000-0005-0000-0000-00009D260000}"/>
    <cellStyle name="Comma 5 9 5 3" xfId="9521" xr:uid="{00000000-0005-0000-0000-00009E260000}"/>
    <cellStyle name="Comma 5 9 5 3 2" xfId="35078" xr:uid="{00000000-0005-0000-0000-00009F260000}"/>
    <cellStyle name="Comma 5 9 5 4" xfId="18344" xr:uid="{00000000-0005-0000-0000-0000A0260000}"/>
    <cellStyle name="Comma 5 9 5 4 2" xfId="43897" xr:uid="{00000000-0005-0000-0000-0000A1260000}"/>
    <cellStyle name="Comma 5 9 5 5" xfId="29834" xr:uid="{00000000-0005-0000-0000-0000A2260000}"/>
    <cellStyle name="Comma 5 9 6" xfId="1534" xr:uid="{00000000-0005-0000-0000-0000A3260000}"/>
    <cellStyle name="Comma 5 9 6 2" xfId="10911" xr:uid="{00000000-0005-0000-0000-0000A4260000}"/>
    <cellStyle name="Comma 5 9 6 2 2" xfId="36466" xr:uid="{00000000-0005-0000-0000-0000A5260000}"/>
    <cellStyle name="Comma 5 9 6 3" xfId="20915" xr:uid="{00000000-0005-0000-0000-0000A6260000}"/>
    <cellStyle name="Comma 5 9 6 3 2" xfId="46468" xr:uid="{00000000-0005-0000-0000-0000A7260000}"/>
    <cellStyle name="Comma 5 9 6 4" xfId="27398" xr:uid="{00000000-0005-0000-0000-0000A8260000}"/>
    <cellStyle name="Comma 5 9 7" xfId="5718" xr:uid="{00000000-0005-0000-0000-0000A9260000}"/>
    <cellStyle name="Comma 5 9 7 2" xfId="14545" xr:uid="{00000000-0005-0000-0000-0000AA260000}"/>
    <cellStyle name="Comma 5 9 7 2 2" xfId="40100" xr:uid="{00000000-0005-0000-0000-0000AB260000}"/>
    <cellStyle name="Comma 5 9 7 3" xfId="24796" xr:uid="{00000000-0005-0000-0000-0000AC260000}"/>
    <cellStyle name="Comma 5 9 7 3 2" xfId="50349" xr:uid="{00000000-0005-0000-0000-0000AD260000}"/>
    <cellStyle name="Comma 5 9 7 4" xfId="31279" xr:uid="{00000000-0005-0000-0000-0000AE260000}"/>
    <cellStyle name="Comma 5 9 8" xfId="7162" xr:uid="{00000000-0005-0000-0000-0000AF260000}"/>
    <cellStyle name="Comma 5 9 8 2" xfId="19888" xr:uid="{00000000-0005-0000-0000-0000B0260000}"/>
    <cellStyle name="Comma 5 9 8 2 2" xfId="45441" xr:uid="{00000000-0005-0000-0000-0000B1260000}"/>
    <cellStyle name="Comma 5 9 8 3" xfId="32719" xr:uid="{00000000-0005-0000-0000-0000B2260000}"/>
    <cellStyle name="Comma 5 9 9" xfId="15908" xr:uid="{00000000-0005-0000-0000-0000B3260000}"/>
    <cellStyle name="Comma 5 9 9 2" xfId="41461" xr:uid="{00000000-0005-0000-0000-0000B4260000}"/>
    <cellStyle name="Comma 6" xfId="115" xr:uid="{00000000-0005-0000-0000-0000B5260000}"/>
    <cellStyle name="Comma 6 10" xfId="4094" xr:uid="{00000000-0005-0000-0000-0000B6260000}"/>
    <cellStyle name="Comma 6 10 2" xfId="5552" xr:uid="{00000000-0005-0000-0000-0000B7260000}"/>
    <cellStyle name="Comma 6 10 2 2" xfId="14379" xr:uid="{00000000-0005-0000-0000-0000B8260000}"/>
    <cellStyle name="Comma 6 10 2 2 2" xfId="39934" xr:uid="{00000000-0005-0000-0000-0000B9260000}"/>
    <cellStyle name="Comma 6 10 2 3" xfId="24630" xr:uid="{00000000-0005-0000-0000-0000BA260000}"/>
    <cellStyle name="Comma 6 10 2 3 2" xfId="50183" xr:uid="{00000000-0005-0000-0000-0000BB260000}"/>
    <cellStyle name="Comma 6 10 2 4" xfId="31113" xr:uid="{00000000-0005-0000-0000-0000BC260000}"/>
    <cellStyle name="Comma 6 10 3" xfId="6996" xr:uid="{00000000-0005-0000-0000-0000BD260000}"/>
    <cellStyle name="Comma 6 10 3 2" xfId="23183" xr:uid="{00000000-0005-0000-0000-0000BE260000}"/>
    <cellStyle name="Comma 6 10 3 2 2" xfId="48736" xr:uid="{00000000-0005-0000-0000-0000BF260000}"/>
    <cellStyle name="Comma 6 10 3 3" xfId="32553" xr:uid="{00000000-0005-0000-0000-0000C0260000}"/>
    <cellStyle name="Comma 6 10 4" xfId="18176" xr:uid="{00000000-0005-0000-0000-0000C1260000}"/>
    <cellStyle name="Comma 6 10 4 2" xfId="43729" xr:uid="{00000000-0005-0000-0000-0000C2260000}"/>
    <cellStyle name="Comma 6 10 5" xfId="29666" xr:uid="{00000000-0005-0000-0000-0000C3260000}"/>
    <cellStyle name="Comma 6 11" xfId="1388" xr:uid="{00000000-0005-0000-0000-0000C4260000}"/>
    <cellStyle name="Comma 6 11 2" xfId="10765" xr:uid="{00000000-0005-0000-0000-0000C5260000}"/>
    <cellStyle name="Comma 6 11 2 2" xfId="36320" xr:uid="{00000000-0005-0000-0000-0000C6260000}"/>
    <cellStyle name="Comma 6 11 3" xfId="20769" xr:uid="{00000000-0005-0000-0000-0000C7260000}"/>
    <cellStyle name="Comma 6 11 3 2" xfId="46322" xr:uid="{00000000-0005-0000-0000-0000C8260000}"/>
    <cellStyle name="Comma 6 11 4" xfId="27252" xr:uid="{00000000-0005-0000-0000-0000C9260000}"/>
    <cellStyle name="Comma 6 12" xfId="5522" xr:uid="{00000000-0005-0000-0000-0000CA260000}"/>
    <cellStyle name="Comma 6 12 2" xfId="14349" xr:uid="{00000000-0005-0000-0000-0000CB260000}"/>
    <cellStyle name="Comma 6 12 2 2" xfId="39904" xr:uid="{00000000-0005-0000-0000-0000CC260000}"/>
    <cellStyle name="Comma 6 12 3" xfId="24600" xr:uid="{00000000-0005-0000-0000-0000CD260000}"/>
    <cellStyle name="Comma 6 12 3 2" xfId="50153" xr:uid="{00000000-0005-0000-0000-0000CE260000}"/>
    <cellStyle name="Comma 6 12 4" xfId="31083" xr:uid="{00000000-0005-0000-0000-0000CF260000}"/>
    <cellStyle name="Comma 6 13" xfId="6963" xr:uid="{00000000-0005-0000-0000-0000D0260000}"/>
    <cellStyle name="Comma 6 13 2" xfId="19588" xr:uid="{00000000-0005-0000-0000-0000D1260000}"/>
    <cellStyle name="Comma 6 13 2 2" xfId="45141" xr:uid="{00000000-0005-0000-0000-0000D2260000}"/>
    <cellStyle name="Comma 6 13 3" xfId="32521" xr:uid="{00000000-0005-0000-0000-0000D3260000}"/>
    <cellStyle name="Comma 6 14" xfId="15762" xr:uid="{00000000-0005-0000-0000-0000D4260000}"/>
    <cellStyle name="Comma 6 14 2" xfId="41315" xr:uid="{00000000-0005-0000-0000-0000D5260000}"/>
    <cellStyle name="Comma 6 15" xfId="26071" xr:uid="{00000000-0005-0000-0000-0000D6260000}"/>
    <cellStyle name="Comma 6 2" xfId="143" xr:uid="{00000000-0005-0000-0000-0000D7260000}"/>
    <cellStyle name="Comma 6 2 10" xfId="1411" xr:uid="{00000000-0005-0000-0000-0000D8260000}"/>
    <cellStyle name="Comma 6 2 10 2" xfId="10788" xr:uid="{00000000-0005-0000-0000-0000D9260000}"/>
    <cellStyle name="Comma 6 2 10 2 2" xfId="36343" xr:uid="{00000000-0005-0000-0000-0000DA260000}"/>
    <cellStyle name="Comma 6 2 10 3" xfId="20792" xr:uid="{00000000-0005-0000-0000-0000DB260000}"/>
    <cellStyle name="Comma 6 2 10 3 2" xfId="46345" xr:uid="{00000000-0005-0000-0000-0000DC260000}"/>
    <cellStyle name="Comma 6 2 10 4" xfId="27275" xr:uid="{00000000-0005-0000-0000-0000DD260000}"/>
    <cellStyle name="Comma 6 2 11" xfId="5595" xr:uid="{00000000-0005-0000-0000-0000DE260000}"/>
    <cellStyle name="Comma 6 2 11 2" xfId="14422" xr:uid="{00000000-0005-0000-0000-0000DF260000}"/>
    <cellStyle name="Comma 6 2 11 2 2" xfId="39977" xr:uid="{00000000-0005-0000-0000-0000E0260000}"/>
    <cellStyle name="Comma 6 2 11 3" xfId="24673" xr:uid="{00000000-0005-0000-0000-0000E1260000}"/>
    <cellStyle name="Comma 6 2 11 3 2" xfId="50226" xr:uid="{00000000-0005-0000-0000-0000E2260000}"/>
    <cellStyle name="Comma 6 2 11 4" xfId="31156" xr:uid="{00000000-0005-0000-0000-0000E3260000}"/>
    <cellStyle name="Comma 6 2 12" xfId="7039" xr:uid="{00000000-0005-0000-0000-0000E4260000}"/>
    <cellStyle name="Comma 6 2 12 2" xfId="19607" xr:uid="{00000000-0005-0000-0000-0000E5260000}"/>
    <cellStyle name="Comma 6 2 12 2 2" xfId="45160" xr:uid="{00000000-0005-0000-0000-0000E6260000}"/>
    <cellStyle name="Comma 6 2 12 3" xfId="32596" xr:uid="{00000000-0005-0000-0000-0000E7260000}"/>
    <cellStyle name="Comma 6 2 13" xfId="15785" xr:uid="{00000000-0005-0000-0000-0000E8260000}"/>
    <cellStyle name="Comma 6 2 13 2" xfId="41338" xr:uid="{00000000-0005-0000-0000-0000E9260000}"/>
    <cellStyle name="Comma 6 2 14" xfId="26090" xr:uid="{00000000-0005-0000-0000-0000EA260000}"/>
    <cellStyle name="Comma 6 2 2" xfId="259" xr:uid="{00000000-0005-0000-0000-0000EB260000}"/>
    <cellStyle name="Comma 6 2 2 10" xfId="7098" xr:uid="{00000000-0005-0000-0000-0000EC260000}"/>
    <cellStyle name="Comma 6 2 2 10 2" xfId="19711" xr:uid="{00000000-0005-0000-0000-0000ED260000}"/>
    <cellStyle name="Comma 6 2 2 10 2 2" xfId="45264" xr:uid="{00000000-0005-0000-0000-0000EE260000}"/>
    <cellStyle name="Comma 6 2 2 10 3" xfId="32655" xr:uid="{00000000-0005-0000-0000-0000EF260000}"/>
    <cellStyle name="Comma 6 2 2 11" xfId="15844" xr:uid="{00000000-0005-0000-0000-0000F0260000}"/>
    <cellStyle name="Comma 6 2 2 11 2" xfId="41397" xr:uid="{00000000-0005-0000-0000-0000F1260000}"/>
    <cellStyle name="Comma 6 2 2 12" xfId="26194" xr:uid="{00000000-0005-0000-0000-0000F2260000}"/>
    <cellStyle name="Comma 6 2 2 2" xfId="582" xr:uid="{00000000-0005-0000-0000-0000F3260000}"/>
    <cellStyle name="Comma 6 2 2 2 10" xfId="26511" xr:uid="{00000000-0005-0000-0000-0000F4260000}"/>
    <cellStyle name="Comma 6 2 2 2 2" xfId="688" xr:uid="{00000000-0005-0000-0000-0000F5260000}"/>
    <cellStyle name="Comma 6 2 2 2 2 2" xfId="3174" xr:uid="{00000000-0005-0000-0000-0000F6260000}"/>
    <cellStyle name="Comma 6 2 2 2 2 2 2" xfId="12317" xr:uid="{00000000-0005-0000-0000-0000F7260000}"/>
    <cellStyle name="Comma 6 2 2 2 2 2 2 2" xfId="22535" xr:uid="{00000000-0005-0000-0000-0000F8260000}"/>
    <cellStyle name="Comma 6 2 2 2 2 2 2 2 2" xfId="48088" xr:uid="{00000000-0005-0000-0000-0000F9260000}"/>
    <cellStyle name="Comma 6 2 2 2 2 2 2 3" xfId="37872" xr:uid="{00000000-0005-0000-0000-0000FA260000}"/>
    <cellStyle name="Comma 6 2 2 2 2 2 3" xfId="8739" xr:uid="{00000000-0005-0000-0000-0000FB260000}"/>
    <cellStyle name="Comma 6 2 2 2 2 2 3 2" xfId="34296" xr:uid="{00000000-0005-0000-0000-0000FC260000}"/>
    <cellStyle name="Comma 6 2 2 2 2 2 4" xfId="17528" xr:uid="{00000000-0005-0000-0000-0000FD260000}"/>
    <cellStyle name="Comma 6 2 2 2 2 2 4 2" xfId="43081" xr:uid="{00000000-0005-0000-0000-0000FE260000}"/>
    <cellStyle name="Comma 6 2 2 2 2 2 5" xfId="29018" xr:uid="{00000000-0005-0000-0000-0000FF260000}"/>
    <cellStyle name="Comma 6 2 2 2 2 3" xfId="4503" xr:uid="{00000000-0005-0000-0000-000000270000}"/>
    <cellStyle name="Comma 6 2 2 2 2 3 2" xfId="13341" xr:uid="{00000000-0005-0000-0000-000001270000}"/>
    <cellStyle name="Comma 6 2 2 2 2 3 2 2" xfId="23592" xr:uid="{00000000-0005-0000-0000-000002270000}"/>
    <cellStyle name="Comma 6 2 2 2 2 3 2 2 2" xfId="49145" xr:uid="{00000000-0005-0000-0000-000003270000}"/>
    <cellStyle name="Comma 6 2 2 2 2 3 2 3" xfId="38896" xr:uid="{00000000-0005-0000-0000-000004270000}"/>
    <cellStyle name="Comma 6 2 2 2 2 3 3" xfId="9762" xr:uid="{00000000-0005-0000-0000-000005270000}"/>
    <cellStyle name="Comma 6 2 2 2 2 3 3 2" xfId="35319" xr:uid="{00000000-0005-0000-0000-000006270000}"/>
    <cellStyle name="Comma 6 2 2 2 2 3 4" xfId="18585" xr:uid="{00000000-0005-0000-0000-000007270000}"/>
    <cellStyle name="Comma 6 2 2 2 2 3 4 2" xfId="44138" xr:uid="{00000000-0005-0000-0000-000008270000}"/>
    <cellStyle name="Comma 6 2 2 2 2 3 5" xfId="30075" xr:uid="{00000000-0005-0000-0000-000009270000}"/>
    <cellStyle name="Comma 6 2 2 2 2 4" xfId="2283" xr:uid="{00000000-0005-0000-0000-00000A270000}"/>
    <cellStyle name="Comma 6 2 2 2 2 4 2" xfId="11648" xr:uid="{00000000-0005-0000-0000-00000B270000}"/>
    <cellStyle name="Comma 6 2 2 2 2 4 2 2" xfId="37203" xr:uid="{00000000-0005-0000-0000-00000C270000}"/>
    <cellStyle name="Comma 6 2 2 2 2 4 3" xfId="21652" xr:uid="{00000000-0005-0000-0000-00000D270000}"/>
    <cellStyle name="Comma 6 2 2 2 2 4 3 2" xfId="47205" xr:uid="{00000000-0005-0000-0000-00000E270000}"/>
    <cellStyle name="Comma 6 2 2 2 2 4 4" xfId="28135" xr:uid="{00000000-0005-0000-0000-00000F270000}"/>
    <cellStyle name="Comma 6 2 2 2 2 5" xfId="5959" xr:uid="{00000000-0005-0000-0000-000010270000}"/>
    <cellStyle name="Comma 6 2 2 2 2 5 2" xfId="14786" xr:uid="{00000000-0005-0000-0000-000011270000}"/>
    <cellStyle name="Comma 6 2 2 2 2 5 2 2" xfId="40341" xr:uid="{00000000-0005-0000-0000-000012270000}"/>
    <cellStyle name="Comma 6 2 2 2 2 5 3" xfId="25037" xr:uid="{00000000-0005-0000-0000-000013270000}"/>
    <cellStyle name="Comma 6 2 2 2 2 5 3 2" xfId="50590" xr:uid="{00000000-0005-0000-0000-000014270000}"/>
    <cellStyle name="Comma 6 2 2 2 2 5 4" xfId="31520" xr:uid="{00000000-0005-0000-0000-000015270000}"/>
    <cellStyle name="Comma 6 2 2 2 2 6" xfId="7403" xr:uid="{00000000-0005-0000-0000-000016270000}"/>
    <cellStyle name="Comma 6 2 2 2 2 6 2" xfId="20134" xr:uid="{00000000-0005-0000-0000-000017270000}"/>
    <cellStyle name="Comma 6 2 2 2 2 6 2 2" xfId="45687" xr:uid="{00000000-0005-0000-0000-000018270000}"/>
    <cellStyle name="Comma 6 2 2 2 2 6 3" xfId="32960" xr:uid="{00000000-0005-0000-0000-000019270000}"/>
    <cellStyle name="Comma 6 2 2 2 2 7" xfId="16645" xr:uid="{00000000-0005-0000-0000-00001A270000}"/>
    <cellStyle name="Comma 6 2 2 2 2 7 2" xfId="42198" xr:uid="{00000000-0005-0000-0000-00001B270000}"/>
    <cellStyle name="Comma 6 2 2 2 2 8" xfId="26617" xr:uid="{00000000-0005-0000-0000-00001C270000}"/>
    <cellStyle name="Comma 6 2 2 2 3" xfId="1354" xr:uid="{00000000-0005-0000-0000-00001D270000}"/>
    <cellStyle name="Comma 6 2 2 2 3 2" xfId="3783" xr:uid="{00000000-0005-0000-0000-00001E270000}"/>
    <cellStyle name="Comma 6 2 2 2 3 2 2" xfId="12919" xr:uid="{00000000-0005-0000-0000-00001F270000}"/>
    <cellStyle name="Comma 6 2 2 2 3 2 2 2" xfId="23138" xr:uid="{00000000-0005-0000-0000-000020270000}"/>
    <cellStyle name="Comma 6 2 2 2 3 2 2 2 2" xfId="48691" xr:uid="{00000000-0005-0000-0000-000021270000}"/>
    <cellStyle name="Comma 6 2 2 2 3 2 2 3" xfId="38474" xr:uid="{00000000-0005-0000-0000-000022270000}"/>
    <cellStyle name="Comma 6 2 2 2 3 2 3" xfId="9340" xr:uid="{00000000-0005-0000-0000-000023270000}"/>
    <cellStyle name="Comma 6 2 2 2 3 2 3 2" xfId="34897" xr:uid="{00000000-0005-0000-0000-000024270000}"/>
    <cellStyle name="Comma 6 2 2 2 3 2 4" xfId="18131" xr:uid="{00000000-0005-0000-0000-000025270000}"/>
    <cellStyle name="Comma 6 2 2 2 3 2 4 2" xfId="43684" xr:uid="{00000000-0005-0000-0000-000026270000}"/>
    <cellStyle name="Comma 6 2 2 2 3 2 5" xfId="29621" xr:uid="{00000000-0005-0000-0000-000027270000}"/>
    <cellStyle name="Comma 6 2 2 2 3 3" xfId="4852" xr:uid="{00000000-0005-0000-0000-000028270000}"/>
    <cellStyle name="Comma 6 2 2 2 3 3 2" xfId="13689" xr:uid="{00000000-0005-0000-0000-000029270000}"/>
    <cellStyle name="Comma 6 2 2 2 3 3 2 2" xfId="23940" xr:uid="{00000000-0005-0000-0000-00002A270000}"/>
    <cellStyle name="Comma 6 2 2 2 3 3 2 2 2" xfId="49493" xr:uid="{00000000-0005-0000-0000-00002B270000}"/>
    <cellStyle name="Comma 6 2 2 2 3 3 2 3" xfId="39244" xr:uid="{00000000-0005-0000-0000-00002C270000}"/>
    <cellStyle name="Comma 6 2 2 2 3 3 3" xfId="10110" xr:uid="{00000000-0005-0000-0000-00002D270000}"/>
    <cellStyle name="Comma 6 2 2 2 3 3 3 2" xfId="35667" xr:uid="{00000000-0005-0000-0000-00002E270000}"/>
    <cellStyle name="Comma 6 2 2 2 3 3 4" xfId="18933" xr:uid="{00000000-0005-0000-0000-00002F270000}"/>
    <cellStyle name="Comma 6 2 2 2 3 3 4 2" xfId="44486" xr:uid="{00000000-0005-0000-0000-000030270000}"/>
    <cellStyle name="Comma 6 2 2 2 3 3 5" xfId="30423" xr:uid="{00000000-0005-0000-0000-000031270000}"/>
    <cellStyle name="Comma 6 2 2 2 3 4" xfId="2177" xr:uid="{00000000-0005-0000-0000-000032270000}"/>
    <cellStyle name="Comma 6 2 2 2 3 4 2" xfId="11542" xr:uid="{00000000-0005-0000-0000-000033270000}"/>
    <cellStyle name="Comma 6 2 2 2 3 4 2 2" xfId="37097" xr:uid="{00000000-0005-0000-0000-000034270000}"/>
    <cellStyle name="Comma 6 2 2 2 3 4 3" xfId="21546" xr:uid="{00000000-0005-0000-0000-000035270000}"/>
    <cellStyle name="Comma 6 2 2 2 3 4 3 2" xfId="47099" xr:uid="{00000000-0005-0000-0000-000036270000}"/>
    <cellStyle name="Comma 6 2 2 2 3 4 4" xfId="28029" xr:uid="{00000000-0005-0000-0000-000037270000}"/>
    <cellStyle name="Comma 6 2 2 2 3 5" xfId="6307" xr:uid="{00000000-0005-0000-0000-000038270000}"/>
    <cellStyle name="Comma 6 2 2 2 3 5 2" xfId="15134" xr:uid="{00000000-0005-0000-0000-000039270000}"/>
    <cellStyle name="Comma 6 2 2 2 3 5 2 2" xfId="40689" xr:uid="{00000000-0005-0000-0000-00003A270000}"/>
    <cellStyle name="Comma 6 2 2 2 3 5 3" xfId="25385" xr:uid="{00000000-0005-0000-0000-00003B270000}"/>
    <cellStyle name="Comma 6 2 2 2 3 5 3 2" xfId="50938" xr:uid="{00000000-0005-0000-0000-00003C270000}"/>
    <cellStyle name="Comma 6 2 2 2 3 5 4" xfId="31868" xr:uid="{00000000-0005-0000-0000-00003D270000}"/>
    <cellStyle name="Comma 6 2 2 2 3 6" xfId="7753" xr:uid="{00000000-0005-0000-0000-00003E270000}"/>
    <cellStyle name="Comma 6 2 2 2 3 6 2" xfId="20737" xr:uid="{00000000-0005-0000-0000-00003F270000}"/>
    <cellStyle name="Comma 6 2 2 2 3 6 2 2" xfId="46290" xr:uid="{00000000-0005-0000-0000-000040270000}"/>
    <cellStyle name="Comma 6 2 2 2 3 6 3" xfId="33310" xr:uid="{00000000-0005-0000-0000-000041270000}"/>
    <cellStyle name="Comma 6 2 2 2 3 7" xfId="16539" xr:uid="{00000000-0005-0000-0000-000042270000}"/>
    <cellStyle name="Comma 6 2 2 2 3 7 2" xfId="42092" xr:uid="{00000000-0005-0000-0000-000043270000}"/>
    <cellStyle name="Comma 6 2 2 2 3 8" xfId="27220" xr:uid="{00000000-0005-0000-0000-000044270000}"/>
    <cellStyle name="Comma 6 2 2 2 4" xfId="3068" xr:uid="{00000000-0005-0000-0000-000045270000}"/>
    <cellStyle name="Comma 6 2 2 2 4 2" xfId="5446" xr:uid="{00000000-0005-0000-0000-000046270000}"/>
    <cellStyle name="Comma 6 2 2 2 4 2 2" xfId="14283" xr:uid="{00000000-0005-0000-0000-000047270000}"/>
    <cellStyle name="Comma 6 2 2 2 4 2 2 2" xfId="24534" xr:uid="{00000000-0005-0000-0000-000048270000}"/>
    <cellStyle name="Comma 6 2 2 2 4 2 2 2 2" xfId="50087" xr:uid="{00000000-0005-0000-0000-000049270000}"/>
    <cellStyle name="Comma 6 2 2 2 4 2 2 3" xfId="39838" xr:uid="{00000000-0005-0000-0000-00004A270000}"/>
    <cellStyle name="Comma 6 2 2 2 4 2 3" xfId="10704" xr:uid="{00000000-0005-0000-0000-00004B270000}"/>
    <cellStyle name="Comma 6 2 2 2 4 2 3 2" xfId="36261" xr:uid="{00000000-0005-0000-0000-00004C270000}"/>
    <cellStyle name="Comma 6 2 2 2 4 2 4" xfId="19527" xr:uid="{00000000-0005-0000-0000-00004D270000}"/>
    <cellStyle name="Comma 6 2 2 2 4 2 4 2" xfId="45080" xr:uid="{00000000-0005-0000-0000-00004E270000}"/>
    <cellStyle name="Comma 6 2 2 2 4 2 5" xfId="31017" xr:uid="{00000000-0005-0000-0000-00004F270000}"/>
    <cellStyle name="Comma 6 2 2 2 4 3" xfId="6901" xr:uid="{00000000-0005-0000-0000-000050270000}"/>
    <cellStyle name="Comma 6 2 2 2 4 3 2" xfId="15728" xr:uid="{00000000-0005-0000-0000-000051270000}"/>
    <cellStyle name="Comma 6 2 2 2 4 3 2 2" xfId="41283" xr:uid="{00000000-0005-0000-0000-000052270000}"/>
    <cellStyle name="Comma 6 2 2 2 4 3 3" xfId="25979" xr:uid="{00000000-0005-0000-0000-000053270000}"/>
    <cellStyle name="Comma 6 2 2 2 4 3 3 2" xfId="51532" xr:uid="{00000000-0005-0000-0000-000054270000}"/>
    <cellStyle name="Comma 6 2 2 2 4 3 4" xfId="32462" xr:uid="{00000000-0005-0000-0000-000055270000}"/>
    <cellStyle name="Comma 6 2 2 2 4 4" xfId="8347" xr:uid="{00000000-0005-0000-0000-000056270000}"/>
    <cellStyle name="Comma 6 2 2 2 4 4 2" xfId="22429" xr:uid="{00000000-0005-0000-0000-000057270000}"/>
    <cellStyle name="Comma 6 2 2 2 4 4 2 2" xfId="47982" xr:uid="{00000000-0005-0000-0000-000058270000}"/>
    <cellStyle name="Comma 6 2 2 2 4 4 3" xfId="33904" xr:uid="{00000000-0005-0000-0000-000059270000}"/>
    <cellStyle name="Comma 6 2 2 2 4 5" xfId="17422" xr:uid="{00000000-0005-0000-0000-00005A270000}"/>
    <cellStyle name="Comma 6 2 2 2 4 5 2" xfId="42975" xr:uid="{00000000-0005-0000-0000-00005B270000}"/>
    <cellStyle name="Comma 6 2 2 2 4 6" xfId="28912" xr:uid="{00000000-0005-0000-0000-00005C270000}"/>
    <cellStyle name="Comma 6 2 2 2 5" xfId="4402" xr:uid="{00000000-0005-0000-0000-00005D270000}"/>
    <cellStyle name="Comma 6 2 2 2 5 2" xfId="13240" xr:uid="{00000000-0005-0000-0000-00005E270000}"/>
    <cellStyle name="Comma 6 2 2 2 5 2 2" xfId="23491" xr:uid="{00000000-0005-0000-0000-00005F270000}"/>
    <cellStyle name="Comma 6 2 2 2 5 2 2 2" xfId="49044" xr:uid="{00000000-0005-0000-0000-000060270000}"/>
    <cellStyle name="Comma 6 2 2 2 5 2 3" xfId="38795" xr:uid="{00000000-0005-0000-0000-000061270000}"/>
    <cellStyle name="Comma 6 2 2 2 5 3" xfId="9661" xr:uid="{00000000-0005-0000-0000-000062270000}"/>
    <cellStyle name="Comma 6 2 2 2 5 3 2" xfId="35218" xr:uid="{00000000-0005-0000-0000-000063270000}"/>
    <cellStyle name="Comma 6 2 2 2 5 4" xfId="18484" xr:uid="{00000000-0005-0000-0000-000064270000}"/>
    <cellStyle name="Comma 6 2 2 2 5 4 2" xfId="44037" xr:uid="{00000000-0005-0000-0000-000065270000}"/>
    <cellStyle name="Comma 6 2 2 2 5 5" xfId="29974" xr:uid="{00000000-0005-0000-0000-000066270000}"/>
    <cellStyle name="Comma 6 2 2 2 6" xfId="1674" xr:uid="{00000000-0005-0000-0000-000067270000}"/>
    <cellStyle name="Comma 6 2 2 2 6 2" xfId="11051" xr:uid="{00000000-0005-0000-0000-000068270000}"/>
    <cellStyle name="Comma 6 2 2 2 6 2 2" xfId="36606" xr:uid="{00000000-0005-0000-0000-000069270000}"/>
    <cellStyle name="Comma 6 2 2 2 6 3" xfId="21055" xr:uid="{00000000-0005-0000-0000-00006A270000}"/>
    <cellStyle name="Comma 6 2 2 2 6 3 2" xfId="46608" xr:uid="{00000000-0005-0000-0000-00006B270000}"/>
    <cellStyle name="Comma 6 2 2 2 6 4" xfId="27538" xr:uid="{00000000-0005-0000-0000-00006C270000}"/>
    <cellStyle name="Comma 6 2 2 2 7" xfId="5858" xr:uid="{00000000-0005-0000-0000-00006D270000}"/>
    <cellStyle name="Comma 6 2 2 2 7 2" xfId="14685" xr:uid="{00000000-0005-0000-0000-00006E270000}"/>
    <cellStyle name="Comma 6 2 2 2 7 2 2" xfId="40240" xr:uid="{00000000-0005-0000-0000-00006F270000}"/>
    <cellStyle name="Comma 6 2 2 2 7 3" xfId="24936" xr:uid="{00000000-0005-0000-0000-000070270000}"/>
    <cellStyle name="Comma 6 2 2 2 7 3 2" xfId="50489" xr:uid="{00000000-0005-0000-0000-000071270000}"/>
    <cellStyle name="Comma 6 2 2 2 7 4" xfId="31419" xr:uid="{00000000-0005-0000-0000-000072270000}"/>
    <cellStyle name="Comma 6 2 2 2 8" xfId="7302" xr:uid="{00000000-0005-0000-0000-000073270000}"/>
    <cellStyle name="Comma 6 2 2 2 8 2" xfId="20028" xr:uid="{00000000-0005-0000-0000-000074270000}"/>
    <cellStyle name="Comma 6 2 2 2 8 2 2" xfId="45581" xr:uid="{00000000-0005-0000-0000-000075270000}"/>
    <cellStyle name="Comma 6 2 2 2 8 3" xfId="32859" xr:uid="{00000000-0005-0000-0000-000076270000}"/>
    <cellStyle name="Comma 6 2 2 2 9" xfId="16048" xr:uid="{00000000-0005-0000-0000-000077270000}"/>
    <cellStyle name="Comma 6 2 2 2 9 2" xfId="41601" xr:uid="{00000000-0005-0000-0000-000078270000}"/>
    <cellStyle name="Comma 6 2 2 3" xfId="378" xr:uid="{00000000-0005-0000-0000-000079270000}"/>
    <cellStyle name="Comma 6 2 2 3 2" xfId="2864" xr:uid="{00000000-0005-0000-0000-00007A270000}"/>
    <cellStyle name="Comma 6 2 2 3 2 2" xfId="12152" xr:uid="{00000000-0005-0000-0000-00007B270000}"/>
    <cellStyle name="Comma 6 2 2 3 2 2 2" xfId="22225" xr:uid="{00000000-0005-0000-0000-00007C270000}"/>
    <cellStyle name="Comma 6 2 2 3 2 2 2 2" xfId="47778" xr:uid="{00000000-0005-0000-0000-00007D270000}"/>
    <cellStyle name="Comma 6 2 2 3 2 2 3" xfId="37707" xr:uid="{00000000-0005-0000-0000-00007E270000}"/>
    <cellStyle name="Comma 6 2 2 3 2 3" xfId="8394" xr:uid="{00000000-0005-0000-0000-00007F270000}"/>
    <cellStyle name="Comma 6 2 2 3 2 3 2" xfId="33951" xr:uid="{00000000-0005-0000-0000-000080270000}"/>
    <cellStyle name="Comma 6 2 2 3 2 4" xfId="17218" xr:uid="{00000000-0005-0000-0000-000081270000}"/>
    <cellStyle name="Comma 6 2 2 3 2 4 2" xfId="42771" xr:uid="{00000000-0005-0000-0000-000082270000}"/>
    <cellStyle name="Comma 6 2 2 3 2 5" xfId="28708" xr:uid="{00000000-0005-0000-0000-000083270000}"/>
    <cellStyle name="Comma 6 2 2 3 3" xfId="4502" xr:uid="{00000000-0005-0000-0000-000084270000}"/>
    <cellStyle name="Comma 6 2 2 3 3 2" xfId="13340" xr:uid="{00000000-0005-0000-0000-000085270000}"/>
    <cellStyle name="Comma 6 2 2 3 3 2 2" xfId="23591" xr:uid="{00000000-0005-0000-0000-000086270000}"/>
    <cellStyle name="Comma 6 2 2 3 3 2 2 2" xfId="49144" xr:uid="{00000000-0005-0000-0000-000087270000}"/>
    <cellStyle name="Comma 6 2 2 3 3 2 3" xfId="38895" xr:uid="{00000000-0005-0000-0000-000088270000}"/>
    <cellStyle name="Comma 6 2 2 3 3 3" xfId="9761" xr:uid="{00000000-0005-0000-0000-000089270000}"/>
    <cellStyle name="Comma 6 2 2 3 3 3 2" xfId="35318" xr:uid="{00000000-0005-0000-0000-00008A270000}"/>
    <cellStyle name="Comma 6 2 2 3 3 4" xfId="18584" xr:uid="{00000000-0005-0000-0000-00008B270000}"/>
    <cellStyle name="Comma 6 2 2 3 3 4 2" xfId="44137" xr:uid="{00000000-0005-0000-0000-00008C270000}"/>
    <cellStyle name="Comma 6 2 2 3 3 5" xfId="30074" xr:uid="{00000000-0005-0000-0000-00008D270000}"/>
    <cellStyle name="Comma 6 2 2 3 4" xfId="1973" xr:uid="{00000000-0005-0000-0000-00008E270000}"/>
    <cellStyle name="Comma 6 2 2 3 4 2" xfId="11338" xr:uid="{00000000-0005-0000-0000-00008F270000}"/>
    <cellStyle name="Comma 6 2 2 3 4 2 2" xfId="36893" xr:uid="{00000000-0005-0000-0000-000090270000}"/>
    <cellStyle name="Comma 6 2 2 3 4 3" xfId="21342" xr:uid="{00000000-0005-0000-0000-000091270000}"/>
    <cellStyle name="Comma 6 2 2 3 4 3 2" xfId="46895" xr:uid="{00000000-0005-0000-0000-000092270000}"/>
    <cellStyle name="Comma 6 2 2 3 4 4" xfId="27825" xr:uid="{00000000-0005-0000-0000-000093270000}"/>
    <cellStyle name="Comma 6 2 2 3 5" xfId="5958" xr:uid="{00000000-0005-0000-0000-000094270000}"/>
    <cellStyle name="Comma 6 2 2 3 5 2" xfId="14785" xr:uid="{00000000-0005-0000-0000-000095270000}"/>
    <cellStyle name="Comma 6 2 2 3 5 2 2" xfId="40340" xr:uid="{00000000-0005-0000-0000-000096270000}"/>
    <cellStyle name="Comma 6 2 2 3 5 3" xfId="25036" xr:uid="{00000000-0005-0000-0000-000097270000}"/>
    <cellStyle name="Comma 6 2 2 3 5 3 2" xfId="50589" xr:uid="{00000000-0005-0000-0000-000098270000}"/>
    <cellStyle name="Comma 6 2 2 3 5 4" xfId="31519" xr:uid="{00000000-0005-0000-0000-000099270000}"/>
    <cellStyle name="Comma 6 2 2 3 6" xfId="7402" xr:uid="{00000000-0005-0000-0000-00009A270000}"/>
    <cellStyle name="Comma 6 2 2 3 6 2" xfId="19824" xr:uid="{00000000-0005-0000-0000-00009B270000}"/>
    <cellStyle name="Comma 6 2 2 3 6 2 2" xfId="45377" xr:uid="{00000000-0005-0000-0000-00009C270000}"/>
    <cellStyle name="Comma 6 2 2 3 6 3" xfId="32959" xr:uid="{00000000-0005-0000-0000-00009D270000}"/>
    <cellStyle name="Comma 6 2 2 3 7" xfId="16335" xr:uid="{00000000-0005-0000-0000-00009E270000}"/>
    <cellStyle name="Comma 6 2 2 3 7 2" xfId="41888" xr:uid="{00000000-0005-0000-0000-00009F270000}"/>
    <cellStyle name="Comma 6 2 2 3 8" xfId="26307" xr:uid="{00000000-0005-0000-0000-0000A0270000}"/>
    <cellStyle name="Comma 6 2 2 4" xfId="687" xr:uid="{00000000-0005-0000-0000-0000A1270000}"/>
    <cellStyle name="Comma 6 2 2 4 2" xfId="3173" xr:uid="{00000000-0005-0000-0000-0000A2270000}"/>
    <cellStyle name="Comma 6 2 2 4 2 2" xfId="12316" xr:uid="{00000000-0005-0000-0000-0000A3270000}"/>
    <cellStyle name="Comma 6 2 2 4 2 2 2" xfId="22534" xr:uid="{00000000-0005-0000-0000-0000A4270000}"/>
    <cellStyle name="Comma 6 2 2 4 2 2 2 2" xfId="48087" xr:uid="{00000000-0005-0000-0000-0000A5270000}"/>
    <cellStyle name="Comma 6 2 2 4 2 2 3" xfId="37871" xr:uid="{00000000-0005-0000-0000-0000A6270000}"/>
    <cellStyle name="Comma 6 2 2 4 2 3" xfId="8738" xr:uid="{00000000-0005-0000-0000-0000A7270000}"/>
    <cellStyle name="Comma 6 2 2 4 2 3 2" xfId="34295" xr:uid="{00000000-0005-0000-0000-0000A8270000}"/>
    <cellStyle name="Comma 6 2 2 4 2 4" xfId="17527" xr:uid="{00000000-0005-0000-0000-0000A9270000}"/>
    <cellStyle name="Comma 6 2 2 4 2 4 2" xfId="43080" xr:uid="{00000000-0005-0000-0000-0000AA270000}"/>
    <cellStyle name="Comma 6 2 2 4 2 5" xfId="29017" xr:uid="{00000000-0005-0000-0000-0000AB270000}"/>
    <cellStyle name="Comma 6 2 2 4 3" xfId="4851" xr:uid="{00000000-0005-0000-0000-0000AC270000}"/>
    <cellStyle name="Comma 6 2 2 4 3 2" xfId="13688" xr:uid="{00000000-0005-0000-0000-0000AD270000}"/>
    <cellStyle name="Comma 6 2 2 4 3 2 2" xfId="23939" xr:uid="{00000000-0005-0000-0000-0000AE270000}"/>
    <cellStyle name="Comma 6 2 2 4 3 2 2 2" xfId="49492" xr:uid="{00000000-0005-0000-0000-0000AF270000}"/>
    <cellStyle name="Comma 6 2 2 4 3 2 3" xfId="39243" xr:uid="{00000000-0005-0000-0000-0000B0270000}"/>
    <cellStyle name="Comma 6 2 2 4 3 3" xfId="10109" xr:uid="{00000000-0005-0000-0000-0000B1270000}"/>
    <cellStyle name="Comma 6 2 2 4 3 3 2" xfId="35666" xr:uid="{00000000-0005-0000-0000-0000B2270000}"/>
    <cellStyle name="Comma 6 2 2 4 3 4" xfId="18932" xr:uid="{00000000-0005-0000-0000-0000B3270000}"/>
    <cellStyle name="Comma 6 2 2 4 3 4 2" xfId="44485" xr:uid="{00000000-0005-0000-0000-0000B4270000}"/>
    <cellStyle name="Comma 6 2 2 4 3 5" xfId="30422" xr:uid="{00000000-0005-0000-0000-0000B5270000}"/>
    <cellStyle name="Comma 6 2 2 4 4" xfId="2282" xr:uid="{00000000-0005-0000-0000-0000B6270000}"/>
    <cellStyle name="Comma 6 2 2 4 4 2" xfId="11647" xr:uid="{00000000-0005-0000-0000-0000B7270000}"/>
    <cellStyle name="Comma 6 2 2 4 4 2 2" xfId="37202" xr:uid="{00000000-0005-0000-0000-0000B8270000}"/>
    <cellStyle name="Comma 6 2 2 4 4 3" xfId="21651" xr:uid="{00000000-0005-0000-0000-0000B9270000}"/>
    <cellStyle name="Comma 6 2 2 4 4 3 2" xfId="47204" xr:uid="{00000000-0005-0000-0000-0000BA270000}"/>
    <cellStyle name="Comma 6 2 2 4 4 4" xfId="28134" xr:uid="{00000000-0005-0000-0000-0000BB270000}"/>
    <cellStyle name="Comma 6 2 2 4 5" xfId="6306" xr:uid="{00000000-0005-0000-0000-0000BC270000}"/>
    <cellStyle name="Comma 6 2 2 4 5 2" xfId="15133" xr:uid="{00000000-0005-0000-0000-0000BD270000}"/>
    <cellStyle name="Comma 6 2 2 4 5 2 2" xfId="40688" xr:uid="{00000000-0005-0000-0000-0000BE270000}"/>
    <cellStyle name="Comma 6 2 2 4 5 3" xfId="25384" xr:uid="{00000000-0005-0000-0000-0000BF270000}"/>
    <cellStyle name="Comma 6 2 2 4 5 3 2" xfId="50937" xr:uid="{00000000-0005-0000-0000-0000C0270000}"/>
    <cellStyle name="Comma 6 2 2 4 5 4" xfId="31867" xr:uid="{00000000-0005-0000-0000-0000C1270000}"/>
    <cellStyle name="Comma 6 2 2 4 6" xfId="7752" xr:uid="{00000000-0005-0000-0000-0000C2270000}"/>
    <cellStyle name="Comma 6 2 2 4 6 2" xfId="20133" xr:uid="{00000000-0005-0000-0000-0000C3270000}"/>
    <cellStyle name="Comma 6 2 2 4 6 2 2" xfId="45686" xr:uid="{00000000-0005-0000-0000-0000C4270000}"/>
    <cellStyle name="Comma 6 2 2 4 6 3" xfId="33309" xr:uid="{00000000-0005-0000-0000-0000C5270000}"/>
    <cellStyle name="Comma 6 2 2 4 7" xfId="16644" xr:uid="{00000000-0005-0000-0000-0000C6270000}"/>
    <cellStyle name="Comma 6 2 2 4 7 2" xfId="42197" xr:uid="{00000000-0005-0000-0000-0000C7270000}"/>
    <cellStyle name="Comma 6 2 2 4 8" xfId="26616" xr:uid="{00000000-0005-0000-0000-0000C8270000}"/>
    <cellStyle name="Comma 6 2 2 5" xfId="1150" xr:uid="{00000000-0005-0000-0000-0000C9270000}"/>
    <cellStyle name="Comma 6 2 2 5 2" xfId="3579" xr:uid="{00000000-0005-0000-0000-0000CA270000}"/>
    <cellStyle name="Comma 6 2 2 5 2 2" xfId="12715" xr:uid="{00000000-0005-0000-0000-0000CB270000}"/>
    <cellStyle name="Comma 6 2 2 5 2 2 2" xfId="22934" xr:uid="{00000000-0005-0000-0000-0000CC270000}"/>
    <cellStyle name="Comma 6 2 2 5 2 2 2 2" xfId="48487" xr:uid="{00000000-0005-0000-0000-0000CD270000}"/>
    <cellStyle name="Comma 6 2 2 5 2 2 3" xfId="38270" xr:uid="{00000000-0005-0000-0000-0000CE270000}"/>
    <cellStyle name="Comma 6 2 2 5 2 3" xfId="9136" xr:uid="{00000000-0005-0000-0000-0000CF270000}"/>
    <cellStyle name="Comma 6 2 2 5 2 3 2" xfId="34693" xr:uid="{00000000-0005-0000-0000-0000D0270000}"/>
    <cellStyle name="Comma 6 2 2 5 2 4" xfId="17927" xr:uid="{00000000-0005-0000-0000-0000D1270000}"/>
    <cellStyle name="Comma 6 2 2 5 2 4 2" xfId="43480" xr:uid="{00000000-0005-0000-0000-0000D2270000}"/>
    <cellStyle name="Comma 6 2 2 5 2 5" xfId="29417" xr:uid="{00000000-0005-0000-0000-0000D3270000}"/>
    <cellStyle name="Comma 6 2 2 5 3" xfId="5242" xr:uid="{00000000-0005-0000-0000-0000D4270000}"/>
    <cellStyle name="Comma 6 2 2 5 3 2" xfId="14079" xr:uid="{00000000-0005-0000-0000-0000D5270000}"/>
    <cellStyle name="Comma 6 2 2 5 3 2 2" xfId="24330" xr:uid="{00000000-0005-0000-0000-0000D6270000}"/>
    <cellStyle name="Comma 6 2 2 5 3 2 2 2" xfId="49883" xr:uid="{00000000-0005-0000-0000-0000D7270000}"/>
    <cellStyle name="Comma 6 2 2 5 3 2 3" xfId="39634" xr:uid="{00000000-0005-0000-0000-0000D8270000}"/>
    <cellStyle name="Comma 6 2 2 5 3 3" xfId="10500" xr:uid="{00000000-0005-0000-0000-0000D9270000}"/>
    <cellStyle name="Comma 6 2 2 5 3 3 2" xfId="36057" xr:uid="{00000000-0005-0000-0000-0000DA270000}"/>
    <cellStyle name="Comma 6 2 2 5 3 4" xfId="19323" xr:uid="{00000000-0005-0000-0000-0000DB270000}"/>
    <cellStyle name="Comma 6 2 2 5 3 4 2" xfId="44876" xr:uid="{00000000-0005-0000-0000-0000DC270000}"/>
    <cellStyle name="Comma 6 2 2 5 3 5" xfId="30813" xr:uid="{00000000-0005-0000-0000-0000DD270000}"/>
    <cellStyle name="Comma 6 2 2 5 4" xfId="1857" xr:uid="{00000000-0005-0000-0000-0000DE270000}"/>
    <cellStyle name="Comma 6 2 2 5 4 2" xfId="11225" xr:uid="{00000000-0005-0000-0000-0000DF270000}"/>
    <cellStyle name="Comma 6 2 2 5 4 2 2" xfId="36780" xr:uid="{00000000-0005-0000-0000-0000E0270000}"/>
    <cellStyle name="Comma 6 2 2 5 4 3" xfId="21229" xr:uid="{00000000-0005-0000-0000-0000E1270000}"/>
    <cellStyle name="Comma 6 2 2 5 4 3 2" xfId="46782" xr:uid="{00000000-0005-0000-0000-0000E2270000}"/>
    <cellStyle name="Comma 6 2 2 5 4 4" xfId="27712" xr:uid="{00000000-0005-0000-0000-0000E3270000}"/>
    <cellStyle name="Comma 6 2 2 5 5" xfId="6697" xr:uid="{00000000-0005-0000-0000-0000E4270000}"/>
    <cellStyle name="Comma 6 2 2 5 5 2" xfId="15524" xr:uid="{00000000-0005-0000-0000-0000E5270000}"/>
    <cellStyle name="Comma 6 2 2 5 5 2 2" xfId="41079" xr:uid="{00000000-0005-0000-0000-0000E6270000}"/>
    <cellStyle name="Comma 6 2 2 5 5 3" xfId="25775" xr:uid="{00000000-0005-0000-0000-0000E7270000}"/>
    <cellStyle name="Comma 6 2 2 5 5 3 2" xfId="51328" xr:uid="{00000000-0005-0000-0000-0000E8270000}"/>
    <cellStyle name="Comma 6 2 2 5 5 4" xfId="32258" xr:uid="{00000000-0005-0000-0000-0000E9270000}"/>
    <cellStyle name="Comma 6 2 2 5 6" xfId="8143" xr:uid="{00000000-0005-0000-0000-0000EA270000}"/>
    <cellStyle name="Comma 6 2 2 5 6 2" xfId="20533" xr:uid="{00000000-0005-0000-0000-0000EB270000}"/>
    <cellStyle name="Comma 6 2 2 5 6 2 2" xfId="46086" xr:uid="{00000000-0005-0000-0000-0000EC270000}"/>
    <cellStyle name="Comma 6 2 2 5 6 3" xfId="33700" xr:uid="{00000000-0005-0000-0000-0000ED270000}"/>
    <cellStyle name="Comma 6 2 2 5 7" xfId="16222" xr:uid="{00000000-0005-0000-0000-0000EE270000}"/>
    <cellStyle name="Comma 6 2 2 5 7 2" xfId="41775" xr:uid="{00000000-0005-0000-0000-0000EF270000}"/>
    <cellStyle name="Comma 6 2 2 5 8" xfId="27016" xr:uid="{00000000-0005-0000-0000-0000F0270000}"/>
    <cellStyle name="Comma 6 2 2 6" xfId="2751" xr:uid="{00000000-0005-0000-0000-0000F1270000}"/>
    <cellStyle name="Comma 6 2 2 6 2" xfId="12068" xr:uid="{00000000-0005-0000-0000-0000F2270000}"/>
    <cellStyle name="Comma 6 2 2 6 2 2" xfId="22112" xr:uid="{00000000-0005-0000-0000-0000F3270000}"/>
    <cellStyle name="Comma 6 2 2 6 2 2 2" xfId="47665" xr:uid="{00000000-0005-0000-0000-0000F4270000}"/>
    <cellStyle name="Comma 6 2 2 6 2 3" xfId="37623" xr:uid="{00000000-0005-0000-0000-0000F5270000}"/>
    <cellStyle name="Comma 6 2 2 6 3" xfId="8435" xr:uid="{00000000-0005-0000-0000-0000F6270000}"/>
    <cellStyle name="Comma 6 2 2 6 3 2" xfId="33992" xr:uid="{00000000-0005-0000-0000-0000F7270000}"/>
    <cellStyle name="Comma 6 2 2 6 4" xfId="17105" xr:uid="{00000000-0005-0000-0000-0000F8270000}"/>
    <cellStyle name="Comma 6 2 2 6 4 2" xfId="42658" xr:uid="{00000000-0005-0000-0000-0000F9270000}"/>
    <cellStyle name="Comma 6 2 2 6 5" xfId="28595" xr:uid="{00000000-0005-0000-0000-0000FA270000}"/>
    <cellStyle name="Comma 6 2 2 7" xfId="4198" xr:uid="{00000000-0005-0000-0000-0000FB270000}"/>
    <cellStyle name="Comma 6 2 2 7 2" xfId="13036" xr:uid="{00000000-0005-0000-0000-0000FC270000}"/>
    <cellStyle name="Comma 6 2 2 7 2 2" xfId="23287" xr:uid="{00000000-0005-0000-0000-0000FD270000}"/>
    <cellStyle name="Comma 6 2 2 7 2 2 2" xfId="48840" xr:uid="{00000000-0005-0000-0000-0000FE270000}"/>
    <cellStyle name="Comma 6 2 2 7 2 3" xfId="38591" xr:uid="{00000000-0005-0000-0000-0000FF270000}"/>
    <cellStyle name="Comma 6 2 2 7 3" xfId="9457" xr:uid="{00000000-0005-0000-0000-000000280000}"/>
    <cellStyle name="Comma 6 2 2 7 3 2" xfId="35014" xr:uid="{00000000-0005-0000-0000-000001280000}"/>
    <cellStyle name="Comma 6 2 2 7 4" xfId="18280" xr:uid="{00000000-0005-0000-0000-000002280000}"/>
    <cellStyle name="Comma 6 2 2 7 4 2" xfId="43833" xr:uid="{00000000-0005-0000-0000-000003280000}"/>
    <cellStyle name="Comma 6 2 2 7 5" xfId="29770" xr:uid="{00000000-0005-0000-0000-000004280000}"/>
    <cellStyle name="Comma 6 2 2 8" xfId="1470" xr:uid="{00000000-0005-0000-0000-000005280000}"/>
    <cellStyle name="Comma 6 2 2 8 2" xfId="10847" xr:uid="{00000000-0005-0000-0000-000006280000}"/>
    <cellStyle name="Comma 6 2 2 8 2 2" xfId="36402" xr:uid="{00000000-0005-0000-0000-000007280000}"/>
    <cellStyle name="Comma 6 2 2 8 3" xfId="20851" xr:uid="{00000000-0005-0000-0000-000008280000}"/>
    <cellStyle name="Comma 6 2 2 8 3 2" xfId="46404" xr:uid="{00000000-0005-0000-0000-000009280000}"/>
    <cellStyle name="Comma 6 2 2 8 4" xfId="27334" xr:uid="{00000000-0005-0000-0000-00000A280000}"/>
    <cellStyle name="Comma 6 2 2 9" xfId="5654" xr:uid="{00000000-0005-0000-0000-00000B280000}"/>
    <cellStyle name="Comma 6 2 2 9 2" xfId="14481" xr:uid="{00000000-0005-0000-0000-00000C280000}"/>
    <cellStyle name="Comma 6 2 2 9 2 2" xfId="40036" xr:uid="{00000000-0005-0000-0000-00000D280000}"/>
    <cellStyle name="Comma 6 2 2 9 3" xfId="24732" xr:uid="{00000000-0005-0000-0000-00000E280000}"/>
    <cellStyle name="Comma 6 2 2 9 3 2" xfId="50285" xr:uid="{00000000-0005-0000-0000-00000F280000}"/>
    <cellStyle name="Comma 6 2 2 9 4" xfId="31215" xr:uid="{00000000-0005-0000-0000-000010280000}"/>
    <cellStyle name="Comma 6 2 3" xfId="214" xr:uid="{00000000-0005-0000-0000-000011280000}"/>
    <cellStyle name="Comma 6 2 3 10" xfId="16006" xr:uid="{00000000-0005-0000-0000-000012280000}"/>
    <cellStyle name="Comma 6 2 3 10 2" xfId="41559" xr:uid="{00000000-0005-0000-0000-000013280000}"/>
    <cellStyle name="Comma 6 2 3 11" xfId="26152" xr:uid="{00000000-0005-0000-0000-000014280000}"/>
    <cellStyle name="Comma 6 2 3 2" xfId="540" xr:uid="{00000000-0005-0000-0000-000015280000}"/>
    <cellStyle name="Comma 6 2 3 2 2" xfId="3026" xr:uid="{00000000-0005-0000-0000-000016280000}"/>
    <cellStyle name="Comma 6 2 3 2 2 2" xfId="12214" xr:uid="{00000000-0005-0000-0000-000017280000}"/>
    <cellStyle name="Comma 6 2 3 2 2 2 2" xfId="22387" xr:uid="{00000000-0005-0000-0000-000018280000}"/>
    <cellStyle name="Comma 6 2 3 2 2 2 2 2" xfId="47940" xr:uid="{00000000-0005-0000-0000-000019280000}"/>
    <cellStyle name="Comma 6 2 3 2 2 2 3" xfId="37769" xr:uid="{00000000-0005-0000-0000-00001A280000}"/>
    <cellStyle name="Comma 6 2 3 2 2 3" xfId="6935" xr:uid="{00000000-0005-0000-0000-00001B280000}"/>
    <cellStyle name="Comma 6 2 3 2 2 3 2" xfId="32493" xr:uid="{00000000-0005-0000-0000-00001C280000}"/>
    <cellStyle name="Comma 6 2 3 2 2 4" xfId="17380" xr:uid="{00000000-0005-0000-0000-00001D280000}"/>
    <cellStyle name="Comma 6 2 3 2 2 4 2" xfId="42933" xr:uid="{00000000-0005-0000-0000-00001E280000}"/>
    <cellStyle name="Comma 6 2 3 2 2 5" xfId="28870" xr:uid="{00000000-0005-0000-0000-00001F280000}"/>
    <cellStyle name="Comma 6 2 3 2 3" xfId="4504" xr:uid="{00000000-0005-0000-0000-000020280000}"/>
    <cellStyle name="Comma 6 2 3 2 3 2" xfId="13342" xr:uid="{00000000-0005-0000-0000-000021280000}"/>
    <cellStyle name="Comma 6 2 3 2 3 2 2" xfId="23593" xr:uid="{00000000-0005-0000-0000-000022280000}"/>
    <cellStyle name="Comma 6 2 3 2 3 2 2 2" xfId="49146" xr:uid="{00000000-0005-0000-0000-000023280000}"/>
    <cellStyle name="Comma 6 2 3 2 3 2 3" xfId="38897" xr:uid="{00000000-0005-0000-0000-000024280000}"/>
    <cellStyle name="Comma 6 2 3 2 3 3" xfId="9763" xr:uid="{00000000-0005-0000-0000-000025280000}"/>
    <cellStyle name="Comma 6 2 3 2 3 3 2" xfId="35320" xr:uid="{00000000-0005-0000-0000-000026280000}"/>
    <cellStyle name="Comma 6 2 3 2 3 4" xfId="18586" xr:uid="{00000000-0005-0000-0000-000027280000}"/>
    <cellStyle name="Comma 6 2 3 2 3 4 2" xfId="44139" xr:uid="{00000000-0005-0000-0000-000028280000}"/>
    <cellStyle name="Comma 6 2 3 2 3 5" xfId="30076" xr:uid="{00000000-0005-0000-0000-000029280000}"/>
    <cellStyle name="Comma 6 2 3 2 4" xfId="2135" xr:uid="{00000000-0005-0000-0000-00002A280000}"/>
    <cellStyle name="Comma 6 2 3 2 4 2" xfId="11500" xr:uid="{00000000-0005-0000-0000-00002B280000}"/>
    <cellStyle name="Comma 6 2 3 2 4 2 2" xfId="37055" xr:uid="{00000000-0005-0000-0000-00002C280000}"/>
    <cellStyle name="Comma 6 2 3 2 4 3" xfId="21504" xr:uid="{00000000-0005-0000-0000-00002D280000}"/>
    <cellStyle name="Comma 6 2 3 2 4 3 2" xfId="47057" xr:uid="{00000000-0005-0000-0000-00002E280000}"/>
    <cellStyle name="Comma 6 2 3 2 4 4" xfId="27987" xr:uid="{00000000-0005-0000-0000-00002F280000}"/>
    <cellStyle name="Comma 6 2 3 2 5" xfId="5960" xr:uid="{00000000-0005-0000-0000-000030280000}"/>
    <cellStyle name="Comma 6 2 3 2 5 2" xfId="14787" xr:uid="{00000000-0005-0000-0000-000031280000}"/>
    <cellStyle name="Comma 6 2 3 2 5 2 2" xfId="40342" xr:uid="{00000000-0005-0000-0000-000032280000}"/>
    <cellStyle name="Comma 6 2 3 2 5 3" xfId="25038" xr:uid="{00000000-0005-0000-0000-000033280000}"/>
    <cellStyle name="Comma 6 2 3 2 5 3 2" xfId="50591" xr:uid="{00000000-0005-0000-0000-000034280000}"/>
    <cellStyle name="Comma 6 2 3 2 5 4" xfId="31521" xr:uid="{00000000-0005-0000-0000-000035280000}"/>
    <cellStyle name="Comma 6 2 3 2 6" xfId="7404" xr:uid="{00000000-0005-0000-0000-000036280000}"/>
    <cellStyle name="Comma 6 2 3 2 6 2" xfId="19986" xr:uid="{00000000-0005-0000-0000-000037280000}"/>
    <cellStyle name="Comma 6 2 3 2 6 2 2" xfId="45539" xr:uid="{00000000-0005-0000-0000-000038280000}"/>
    <cellStyle name="Comma 6 2 3 2 6 3" xfId="32961" xr:uid="{00000000-0005-0000-0000-000039280000}"/>
    <cellStyle name="Comma 6 2 3 2 7" xfId="16497" xr:uid="{00000000-0005-0000-0000-00003A280000}"/>
    <cellStyle name="Comma 6 2 3 2 7 2" xfId="42050" xr:uid="{00000000-0005-0000-0000-00003B280000}"/>
    <cellStyle name="Comma 6 2 3 2 8" xfId="26469" xr:uid="{00000000-0005-0000-0000-00003C280000}"/>
    <cellStyle name="Comma 6 2 3 3" xfId="689" xr:uid="{00000000-0005-0000-0000-00003D280000}"/>
    <cellStyle name="Comma 6 2 3 3 2" xfId="3175" xr:uid="{00000000-0005-0000-0000-00003E280000}"/>
    <cellStyle name="Comma 6 2 3 3 2 2" xfId="12318" xr:uid="{00000000-0005-0000-0000-00003F280000}"/>
    <cellStyle name="Comma 6 2 3 3 2 2 2" xfId="22536" xr:uid="{00000000-0005-0000-0000-000040280000}"/>
    <cellStyle name="Comma 6 2 3 3 2 2 2 2" xfId="48089" xr:uid="{00000000-0005-0000-0000-000041280000}"/>
    <cellStyle name="Comma 6 2 3 3 2 2 3" xfId="37873" xr:uid="{00000000-0005-0000-0000-000042280000}"/>
    <cellStyle name="Comma 6 2 3 3 2 3" xfId="8740" xr:uid="{00000000-0005-0000-0000-000043280000}"/>
    <cellStyle name="Comma 6 2 3 3 2 3 2" xfId="34297" xr:uid="{00000000-0005-0000-0000-000044280000}"/>
    <cellStyle name="Comma 6 2 3 3 2 4" xfId="17529" xr:uid="{00000000-0005-0000-0000-000045280000}"/>
    <cellStyle name="Comma 6 2 3 3 2 4 2" xfId="43082" xr:uid="{00000000-0005-0000-0000-000046280000}"/>
    <cellStyle name="Comma 6 2 3 3 2 5" xfId="29019" xr:uid="{00000000-0005-0000-0000-000047280000}"/>
    <cellStyle name="Comma 6 2 3 3 3" xfId="4853" xr:uid="{00000000-0005-0000-0000-000048280000}"/>
    <cellStyle name="Comma 6 2 3 3 3 2" xfId="13690" xr:uid="{00000000-0005-0000-0000-000049280000}"/>
    <cellStyle name="Comma 6 2 3 3 3 2 2" xfId="23941" xr:uid="{00000000-0005-0000-0000-00004A280000}"/>
    <cellStyle name="Comma 6 2 3 3 3 2 2 2" xfId="49494" xr:uid="{00000000-0005-0000-0000-00004B280000}"/>
    <cellStyle name="Comma 6 2 3 3 3 2 3" xfId="39245" xr:uid="{00000000-0005-0000-0000-00004C280000}"/>
    <cellStyle name="Comma 6 2 3 3 3 3" xfId="10111" xr:uid="{00000000-0005-0000-0000-00004D280000}"/>
    <cellStyle name="Comma 6 2 3 3 3 3 2" xfId="35668" xr:uid="{00000000-0005-0000-0000-00004E280000}"/>
    <cellStyle name="Comma 6 2 3 3 3 4" xfId="18934" xr:uid="{00000000-0005-0000-0000-00004F280000}"/>
    <cellStyle name="Comma 6 2 3 3 3 4 2" xfId="44487" xr:uid="{00000000-0005-0000-0000-000050280000}"/>
    <cellStyle name="Comma 6 2 3 3 3 5" xfId="30424" xr:uid="{00000000-0005-0000-0000-000051280000}"/>
    <cellStyle name="Comma 6 2 3 3 4" xfId="2284" xr:uid="{00000000-0005-0000-0000-000052280000}"/>
    <cellStyle name="Comma 6 2 3 3 4 2" xfId="11649" xr:uid="{00000000-0005-0000-0000-000053280000}"/>
    <cellStyle name="Comma 6 2 3 3 4 2 2" xfId="37204" xr:uid="{00000000-0005-0000-0000-000054280000}"/>
    <cellStyle name="Comma 6 2 3 3 4 3" xfId="21653" xr:uid="{00000000-0005-0000-0000-000055280000}"/>
    <cellStyle name="Comma 6 2 3 3 4 3 2" xfId="47206" xr:uid="{00000000-0005-0000-0000-000056280000}"/>
    <cellStyle name="Comma 6 2 3 3 4 4" xfId="28136" xr:uid="{00000000-0005-0000-0000-000057280000}"/>
    <cellStyle name="Comma 6 2 3 3 5" xfId="6308" xr:uid="{00000000-0005-0000-0000-000058280000}"/>
    <cellStyle name="Comma 6 2 3 3 5 2" xfId="15135" xr:uid="{00000000-0005-0000-0000-000059280000}"/>
    <cellStyle name="Comma 6 2 3 3 5 2 2" xfId="40690" xr:uid="{00000000-0005-0000-0000-00005A280000}"/>
    <cellStyle name="Comma 6 2 3 3 5 3" xfId="25386" xr:uid="{00000000-0005-0000-0000-00005B280000}"/>
    <cellStyle name="Comma 6 2 3 3 5 3 2" xfId="50939" xr:uid="{00000000-0005-0000-0000-00005C280000}"/>
    <cellStyle name="Comma 6 2 3 3 5 4" xfId="31869" xr:uid="{00000000-0005-0000-0000-00005D280000}"/>
    <cellStyle name="Comma 6 2 3 3 6" xfId="7754" xr:uid="{00000000-0005-0000-0000-00005E280000}"/>
    <cellStyle name="Comma 6 2 3 3 6 2" xfId="20135" xr:uid="{00000000-0005-0000-0000-00005F280000}"/>
    <cellStyle name="Comma 6 2 3 3 6 2 2" xfId="45688" xr:uid="{00000000-0005-0000-0000-000060280000}"/>
    <cellStyle name="Comma 6 2 3 3 6 3" xfId="33311" xr:uid="{00000000-0005-0000-0000-000061280000}"/>
    <cellStyle name="Comma 6 2 3 3 7" xfId="16646" xr:uid="{00000000-0005-0000-0000-000062280000}"/>
    <cellStyle name="Comma 6 2 3 3 7 2" xfId="42199" xr:uid="{00000000-0005-0000-0000-000063280000}"/>
    <cellStyle name="Comma 6 2 3 3 8" xfId="26618" xr:uid="{00000000-0005-0000-0000-000064280000}"/>
    <cellStyle name="Comma 6 2 3 4" xfId="1312" xr:uid="{00000000-0005-0000-0000-000065280000}"/>
    <cellStyle name="Comma 6 2 3 4 2" xfId="3741" xr:uid="{00000000-0005-0000-0000-000066280000}"/>
    <cellStyle name="Comma 6 2 3 4 2 2" xfId="12877" xr:uid="{00000000-0005-0000-0000-000067280000}"/>
    <cellStyle name="Comma 6 2 3 4 2 2 2" xfId="23096" xr:uid="{00000000-0005-0000-0000-000068280000}"/>
    <cellStyle name="Comma 6 2 3 4 2 2 2 2" xfId="48649" xr:uid="{00000000-0005-0000-0000-000069280000}"/>
    <cellStyle name="Comma 6 2 3 4 2 2 3" xfId="38432" xr:uid="{00000000-0005-0000-0000-00006A280000}"/>
    <cellStyle name="Comma 6 2 3 4 2 3" xfId="9298" xr:uid="{00000000-0005-0000-0000-00006B280000}"/>
    <cellStyle name="Comma 6 2 3 4 2 3 2" xfId="34855" xr:uid="{00000000-0005-0000-0000-00006C280000}"/>
    <cellStyle name="Comma 6 2 3 4 2 4" xfId="18089" xr:uid="{00000000-0005-0000-0000-00006D280000}"/>
    <cellStyle name="Comma 6 2 3 4 2 4 2" xfId="43642" xr:uid="{00000000-0005-0000-0000-00006E280000}"/>
    <cellStyle name="Comma 6 2 3 4 2 5" xfId="29579" xr:uid="{00000000-0005-0000-0000-00006F280000}"/>
    <cellStyle name="Comma 6 2 3 4 3" xfId="5404" xr:uid="{00000000-0005-0000-0000-000070280000}"/>
    <cellStyle name="Comma 6 2 3 4 3 2" xfId="14241" xr:uid="{00000000-0005-0000-0000-000071280000}"/>
    <cellStyle name="Comma 6 2 3 4 3 2 2" xfId="24492" xr:uid="{00000000-0005-0000-0000-000072280000}"/>
    <cellStyle name="Comma 6 2 3 4 3 2 2 2" xfId="50045" xr:uid="{00000000-0005-0000-0000-000073280000}"/>
    <cellStyle name="Comma 6 2 3 4 3 2 3" xfId="39796" xr:uid="{00000000-0005-0000-0000-000074280000}"/>
    <cellStyle name="Comma 6 2 3 4 3 3" xfId="10662" xr:uid="{00000000-0005-0000-0000-000075280000}"/>
    <cellStyle name="Comma 6 2 3 4 3 3 2" xfId="36219" xr:uid="{00000000-0005-0000-0000-000076280000}"/>
    <cellStyle name="Comma 6 2 3 4 3 4" xfId="19485" xr:uid="{00000000-0005-0000-0000-000077280000}"/>
    <cellStyle name="Comma 6 2 3 4 3 4 2" xfId="45038" xr:uid="{00000000-0005-0000-0000-000078280000}"/>
    <cellStyle name="Comma 6 2 3 4 3 5" xfId="30975" xr:uid="{00000000-0005-0000-0000-000079280000}"/>
    <cellStyle name="Comma 6 2 3 4 4" xfId="1815" xr:uid="{00000000-0005-0000-0000-00007A280000}"/>
    <cellStyle name="Comma 6 2 3 4 4 2" xfId="11183" xr:uid="{00000000-0005-0000-0000-00007B280000}"/>
    <cellStyle name="Comma 6 2 3 4 4 2 2" xfId="36738" xr:uid="{00000000-0005-0000-0000-00007C280000}"/>
    <cellStyle name="Comma 6 2 3 4 4 3" xfId="21187" xr:uid="{00000000-0005-0000-0000-00007D280000}"/>
    <cellStyle name="Comma 6 2 3 4 4 3 2" xfId="46740" xr:uid="{00000000-0005-0000-0000-00007E280000}"/>
    <cellStyle name="Comma 6 2 3 4 4 4" xfId="27670" xr:uid="{00000000-0005-0000-0000-00007F280000}"/>
    <cellStyle name="Comma 6 2 3 4 5" xfId="6859" xr:uid="{00000000-0005-0000-0000-000080280000}"/>
    <cellStyle name="Comma 6 2 3 4 5 2" xfId="15686" xr:uid="{00000000-0005-0000-0000-000081280000}"/>
    <cellStyle name="Comma 6 2 3 4 5 2 2" xfId="41241" xr:uid="{00000000-0005-0000-0000-000082280000}"/>
    <cellStyle name="Comma 6 2 3 4 5 3" xfId="25937" xr:uid="{00000000-0005-0000-0000-000083280000}"/>
    <cellStyle name="Comma 6 2 3 4 5 3 2" xfId="51490" xr:uid="{00000000-0005-0000-0000-000084280000}"/>
    <cellStyle name="Comma 6 2 3 4 5 4" xfId="32420" xr:uid="{00000000-0005-0000-0000-000085280000}"/>
    <cellStyle name="Comma 6 2 3 4 6" xfId="8305" xr:uid="{00000000-0005-0000-0000-000086280000}"/>
    <cellStyle name="Comma 6 2 3 4 6 2" xfId="20695" xr:uid="{00000000-0005-0000-0000-000087280000}"/>
    <cellStyle name="Comma 6 2 3 4 6 2 2" xfId="46248" xr:uid="{00000000-0005-0000-0000-000088280000}"/>
    <cellStyle name="Comma 6 2 3 4 6 3" xfId="33862" xr:uid="{00000000-0005-0000-0000-000089280000}"/>
    <cellStyle name="Comma 6 2 3 4 7" xfId="16180" xr:uid="{00000000-0005-0000-0000-00008A280000}"/>
    <cellStyle name="Comma 6 2 3 4 7 2" xfId="41733" xr:uid="{00000000-0005-0000-0000-00008B280000}"/>
    <cellStyle name="Comma 6 2 3 4 8" xfId="27178" xr:uid="{00000000-0005-0000-0000-00008C280000}"/>
    <cellStyle name="Comma 6 2 3 5" xfId="2709" xr:uid="{00000000-0005-0000-0000-00008D280000}"/>
    <cellStyle name="Comma 6 2 3 5 2" xfId="12026" xr:uid="{00000000-0005-0000-0000-00008E280000}"/>
    <cellStyle name="Comma 6 2 3 5 2 2" xfId="22070" xr:uid="{00000000-0005-0000-0000-00008F280000}"/>
    <cellStyle name="Comma 6 2 3 5 2 2 2" xfId="47623" xr:uid="{00000000-0005-0000-0000-000090280000}"/>
    <cellStyle name="Comma 6 2 3 5 2 3" xfId="37581" xr:uid="{00000000-0005-0000-0000-000091280000}"/>
    <cellStyle name="Comma 6 2 3 5 3" xfId="8479" xr:uid="{00000000-0005-0000-0000-000092280000}"/>
    <cellStyle name="Comma 6 2 3 5 3 2" xfId="34036" xr:uid="{00000000-0005-0000-0000-000093280000}"/>
    <cellStyle name="Comma 6 2 3 5 4" xfId="17063" xr:uid="{00000000-0005-0000-0000-000094280000}"/>
    <cellStyle name="Comma 6 2 3 5 4 2" xfId="42616" xr:uid="{00000000-0005-0000-0000-000095280000}"/>
    <cellStyle name="Comma 6 2 3 5 5" xfId="28553" xr:uid="{00000000-0005-0000-0000-000096280000}"/>
    <cellStyle name="Comma 6 2 3 6" xfId="4360" xr:uid="{00000000-0005-0000-0000-000097280000}"/>
    <cellStyle name="Comma 6 2 3 6 2" xfId="13198" xr:uid="{00000000-0005-0000-0000-000098280000}"/>
    <cellStyle name="Comma 6 2 3 6 2 2" xfId="23449" xr:uid="{00000000-0005-0000-0000-000099280000}"/>
    <cellStyle name="Comma 6 2 3 6 2 2 2" xfId="49002" xr:uid="{00000000-0005-0000-0000-00009A280000}"/>
    <cellStyle name="Comma 6 2 3 6 2 3" xfId="38753" xr:uid="{00000000-0005-0000-0000-00009B280000}"/>
    <cellStyle name="Comma 6 2 3 6 3" xfId="9619" xr:uid="{00000000-0005-0000-0000-00009C280000}"/>
    <cellStyle name="Comma 6 2 3 6 3 2" xfId="35176" xr:uid="{00000000-0005-0000-0000-00009D280000}"/>
    <cellStyle name="Comma 6 2 3 6 4" xfId="18442" xr:uid="{00000000-0005-0000-0000-00009E280000}"/>
    <cellStyle name="Comma 6 2 3 6 4 2" xfId="43995" xr:uid="{00000000-0005-0000-0000-00009F280000}"/>
    <cellStyle name="Comma 6 2 3 6 5" xfId="29932" xr:uid="{00000000-0005-0000-0000-0000A0280000}"/>
    <cellStyle name="Comma 6 2 3 7" xfId="1632" xr:uid="{00000000-0005-0000-0000-0000A1280000}"/>
    <cellStyle name="Comma 6 2 3 7 2" xfId="11009" xr:uid="{00000000-0005-0000-0000-0000A2280000}"/>
    <cellStyle name="Comma 6 2 3 7 2 2" xfId="36564" xr:uid="{00000000-0005-0000-0000-0000A3280000}"/>
    <cellStyle name="Comma 6 2 3 7 3" xfId="21013" xr:uid="{00000000-0005-0000-0000-0000A4280000}"/>
    <cellStyle name="Comma 6 2 3 7 3 2" xfId="46566" xr:uid="{00000000-0005-0000-0000-0000A5280000}"/>
    <cellStyle name="Comma 6 2 3 7 4" xfId="27496" xr:uid="{00000000-0005-0000-0000-0000A6280000}"/>
    <cellStyle name="Comma 6 2 3 8" xfId="5816" xr:uid="{00000000-0005-0000-0000-0000A7280000}"/>
    <cellStyle name="Comma 6 2 3 8 2" xfId="14643" xr:uid="{00000000-0005-0000-0000-0000A8280000}"/>
    <cellStyle name="Comma 6 2 3 8 2 2" xfId="40198" xr:uid="{00000000-0005-0000-0000-0000A9280000}"/>
    <cellStyle name="Comma 6 2 3 8 3" xfId="24894" xr:uid="{00000000-0005-0000-0000-0000AA280000}"/>
    <cellStyle name="Comma 6 2 3 8 3 2" xfId="50447" xr:uid="{00000000-0005-0000-0000-0000AB280000}"/>
    <cellStyle name="Comma 6 2 3 8 4" xfId="31377" xr:uid="{00000000-0005-0000-0000-0000AC280000}"/>
    <cellStyle name="Comma 6 2 3 9" xfId="7260" xr:uid="{00000000-0005-0000-0000-0000AD280000}"/>
    <cellStyle name="Comma 6 2 3 9 2" xfId="19669" xr:uid="{00000000-0005-0000-0000-0000AE280000}"/>
    <cellStyle name="Comma 6 2 3 9 2 2" xfId="45222" xr:uid="{00000000-0005-0000-0000-0000AF280000}"/>
    <cellStyle name="Comma 6 2 3 9 3" xfId="32817" xr:uid="{00000000-0005-0000-0000-0000B0280000}"/>
    <cellStyle name="Comma 6 2 4" xfId="478" xr:uid="{00000000-0005-0000-0000-0000B1280000}"/>
    <cellStyle name="Comma 6 2 4 10" xfId="26407" xr:uid="{00000000-0005-0000-0000-0000B2280000}"/>
    <cellStyle name="Comma 6 2 4 2" xfId="690" xr:uid="{00000000-0005-0000-0000-0000B3280000}"/>
    <cellStyle name="Comma 6 2 4 2 2" xfId="3176" xr:uid="{00000000-0005-0000-0000-0000B4280000}"/>
    <cellStyle name="Comma 6 2 4 2 2 2" xfId="12319" xr:uid="{00000000-0005-0000-0000-0000B5280000}"/>
    <cellStyle name="Comma 6 2 4 2 2 2 2" xfId="22537" xr:uid="{00000000-0005-0000-0000-0000B6280000}"/>
    <cellStyle name="Comma 6 2 4 2 2 2 2 2" xfId="48090" xr:uid="{00000000-0005-0000-0000-0000B7280000}"/>
    <cellStyle name="Comma 6 2 4 2 2 2 3" xfId="37874" xr:uid="{00000000-0005-0000-0000-0000B8280000}"/>
    <cellStyle name="Comma 6 2 4 2 2 3" xfId="8741" xr:uid="{00000000-0005-0000-0000-0000B9280000}"/>
    <cellStyle name="Comma 6 2 4 2 2 3 2" xfId="34298" xr:uid="{00000000-0005-0000-0000-0000BA280000}"/>
    <cellStyle name="Comma 6 2 4 2 2 4" xfId="17530" xr:uid="{00000000-0005-0000-0000-0000BB280000}"/>
    <cellStyle name="Comma 6 2 4 2 2 4 2" xfId="43083" xr:uid="{00000000-0005-0000-0000-0000BC280000}"/>
    <cellStyle name="Comma 6 2 4 2 2 5" xfId="29020" xr:uid="{00000000-0005-0000-0000-0000BD280000}"/>
    <cellStyle name="Comma 6 2 4 2 3" xfId="4505" xr:uid="{00000000-0005-0000-0000-0000BE280000}"/>
    <cellStyle name="Comma 6 2 4 2 3 2" xfId="13343" xr:uid="{00000000-0005-0000-0000-0000BF280000}"/>
    <cellStyle name="Comma 6 2 4 2 3 2 2" xfId="23594" xr:uid="{00000000-0005-0000-0000-0000C0280000}"/>
    <cellStyle name="Comma 6 2 4 2 3 2 2 2" xfId="49147" xr:uid="{00000000-0005-0000-0000-0000C1280000}"/>
    <cellStyle name="Comma 6 2 4 2 3 2 3" xfId="38898" xr:uid="{00000000-0005-0000-0000-0000C2280000}"/>
    <cellStyle name="Comma 6 2 4 2 3 3" xfId="9764" xr:uid="{00000000-0005-0000-0000-0000C3280000}"/>
    <cellStyle name="Comma 6 2 4 2 3 3 2" xfId="35321" xr:uid="{00000000-0005-0000-0000-0000C4280000}"/>
    <cellStyle name="Comma 6 2 4 2 3 4" xfId="18587" xr:uid="{00000000-0005-0000-0000-0000C5280000}"/>
    <cellStyle name="Comma 6 2 4 2 3 4 2" xfId="44140" xr:uid="{00000000-0005-0000-0000-0000C6280000}"/>
    <cellStyle name="Comma 6 2 4 2 3 5" xfId="30077" xr:uid="{00000000-0005-0000-0000-0000C7280000}"/>
    <cellStyle name="Comma 6 2 4 2 4" xfId="2285" xr:uid="{00000000-0005-0000-0000-0000C8280000}"/>
    <cellStyle name="Comma 6 2 4 2 4 2" xfId="11650" xr:uid="{00000000-0005-0000-0000-0000C9280000}"/>
    <cellStyle name="Comma 6 2 4 2 4 2 2" xfId="37205" xr:uid="{00000000-0005-0000-0000-0000CA280000}"/>
    <cellStyle name="Comma 6 2 4 2 4 3" xfId="21654" xr:uid="{00000000-0005-0000-0000-0000CB280000}"/>
    <cellStyle name="Comma 6 2 4 2 4 3 2" xfId="47207" xr:uid="{00000000-0005-0000-0000-0000CC280000}"/>
    <cellStyle name="Comma 6 2 4 2 4 4" xfId="28137" xr:uid="{00000000-0005-0000-0000-0000CD280000}"/>
    <cellStyle name="Comma 6 2 4 2 5" xfId="5961" xr:uid="{00000000-0005-0000-0000-0000CE280000}"/>
    <cellStyle name="Comma 6 2 4 2 5 2" xfId="14788" xr:uid="{00000000-0005-0000-0000-0000CF280000}"/>
    <cellStyle name="Comma 6 2 4 2 5 2 2" xfId="40343" xr:uid="{00000000-0005-0000-0000-0000D0280000}"/>
    <cellStyle name="Comma 6 2 4 2 5 3" xfId="25039" xr:uid="{00000000-0005-0000-0000-0000D1280000}"/>
    <cellStyle name="Comma 6 2 4 2 5 3 2" xfId="50592" xr:uid="{00000000-0005-0000-0000-0000D2280000}"/>
    <cellStyle name="Comma 6 2 4 2 5 4" xfId="31522" xr:uid="{00000000-0005-0000-0000-0000D3280000}"/>
    <cellStyle name="Comma 6 2 4 2 6" xfId="7405" xr:uid="{00000000-0005-0000-0000-0000D4280000}"/>
    <cellStyle name="Comma 6 2 4 2 6 2" xfId="20136" xr:uid="{00000000-0005-0000-0000-0000D5280000}"/>
    <cellStyle name="Comma 6 2 4 2 6 2 2" xfId="45689" xr:uid="{00000000-0005-0000-0000-0000D6280000}"/>
    <cellStyle name="Comma 6 2 4 2 6 3" xfId="32962" xr:uid="{00000000-0005-0000-0000-0000D7280000}"/>
    <cellStyle name="Comma 6 2 4 2 7" xfId="16647" xr:uid="{00000000-0005-0000-0000-0000D8280000}"/>
    <cellStyle name="Comma 6 2 4 2 7 2" xfId="42200" xr:uid="{00000000-0005-0000-0000-0000D9280000}"/>
    <cellStyle name="Comma 6 2 4 2 8" xfId="26619" xr:uid="{00000000-0005-0000-0000-0000DA280000}"/>
    <cellStyle name="Comma 6 2 4 3" xfId="1250" xr:uid="{00000000-0005-0000-0000-0000DB280000}"/>
    <cellStyle name="Comma 6 2 4 3 2" xfId="3679" xr:uid="{00000000-0005-0000-0000-0000DC280000}"/>
    <cellStyle name="Comma 6 2 4 3 2 2" xfId="12815" xr:uid="{00000000-0005-0000-0000-0000DD280000}"/>
    <cellStyle name="Comma 6 2 4 3 2 2 2" xfId="23034" xr:uid="{00000000-0005-0000-0000-0000DE280000}"/>
    <cellStyle name="Comma 6 2 4 3 2 2 2 2" xfId="48587" xr:uid="{00000000-0005-0000-0000-0000DF280000}"/>
    <cellStyle name="Comma 6 2 4 3 2 2 3" xfId="38370" xr:uid="{00000000-0005-0000-0000-0000E0280000}"/>
    <cellStyle name="Comma 6 2 4 3 2 3" xfId="9236" xr:uid="{00000000-0005-0000-0000-0000E1280000}"/>
    <cellStyle name="Comma 6 2 4 3 2 3 2" xfId="34793" xr:uid="{00000000-0005-0000-0000-0000E2280000}"/>
    <cellStyle name="Comma 6 2 4 3 2 4" xfId="18027" xr:uid="{00000000-0005-0000-0000-0000E3280000}"/>
    <cellStyle name="Comma 6 2 4 3 2 4 2" xfId="43580" xr:uid="{00000000-0005-0000-0000-0000E4280000}"/>
    <cellStyle name="Comma 6 2 4 3 2 5" xfId="29517" xr:uid="{00000000-0005-0000-0000-0000E5280000}"/>
    <cellStyle name="Comma 6 2 4 3 3" xfId="4854" xr:uid="{00000000-0005-0000-0000-0000E6280000}"/>
    <cellStyle name="Comma 6 2 4 3 3 2" xfId="13691" xr:uid="{00000000-0005-0000-0000-0000E7280000}"/>
    <cellStyle name="Comma 6 2 4 3 3 2 2" xfId="23942" xr:uid="{00000000-0005-0000-0000-0000E8280000}"/>
    <cellStyle name="Comma 6 2 4 3 3 2 2 2" xfId="49495" xr:uid="{00000000-0005-0000-0000-0000E9280000}"/>
    <cellStyle name="Comma 6 2 4 3 3 2 3" xfId="39246" xr:uid="{00000000-0005-0000-0000-0000EA280000}"/>
    <cellStyle name="Comma 6 2 4 3 3 3" xfId="10112" xr:uid="{00000000-0005-0000-0000-0000EB280000}"/>
    <cellStyle name="Comma 6 2 4 3 3 3 2" xfId="35669" xr:uid="{00000000-0005-0000-0000-0000EC280000}"/>
    <cellStyle name="Comma 6 2 4 3 3 4" xfId="18935" xr:uid="{00000000-0005-0000-0000-0000ED280000}"/>
    <cellStyle name="Comma 6 2 4 3 3 4 2" xfId="44488" xr:uid="{00000000-0005-0000-0000-0000EE280000}"/>
    <cellStyle name="Comma 6 2 4 3 3 5" xfId="30425" xr:uid="{00000000-0005-0000-0000-0000EF280000}"/>
    <cellStyle name="Comma 6 2 4 3 4" xfId="2073" xr:uid="{00000000-0005-0000-0000-0000F0280000}"/>
    <cellStyle name="Comma 6 2 4 3 4 2" xfId="11438" xr:uid="{00000000-0005-0000-0000-0000F1280000}"/>
    <cellStyle name="Comma 6 2 4 3 4 2 2" xfId="36993" xr:uid="{00000000-0005-0000-0000-0000F2280000}"/>
    <cellStyle name="Comma 6 2 4 3 4 3" xfId="21442" xr:uid="{00000000-0005-0000-0000-0000F3280000}"/>
    <cellStyle name="Comma 6 2 4 3 4 3 2" xfId="46995" xr:uid="{00000000-0005-0000-0000-0000F4280000}"/>
    <cellStyle name="Comma 6 2 4 3 4 4" xfId="27925" xr:uid="{00000000-0005-0000-0000-0000F5280000}"/>
    <cellStyle name="Comma 6 2 4 3 5" xfId="6309" xr:uid="{00000000-0005-0000-0000-0000F6280000}"/>
    <cellStyle name="Comma 6 2 4 3 5 2" xfId="15136" xr:uid="{00000000-0005-0000-0000-0000F7280000}"/>
    <cellStyle name="Comma 6 2 4 3 5 2 2" xfId="40691" xr:uid="{00000000-0005-0000-0000-0000F8280000}"/>
    <cellStyle name="Comma 6 2 4 3 5 3" xfId="25387" xr:uid="{00000000-0005-0000-0000-0000F9280000}"/>
    <cellStyle name="Comma 6 2 4 3 5 3 2" xfId="50940" xr:uid="{00000000-0005-0000-0000-0000FA280000}"/>
    <cellStyle name="Comma 6 2 4 3 5 4" xfId="31870" xr:uid="{00000000-0005-0000-0000-0000FB280000}"/>
    <cellStyle name="Comma 6 2 4 3 6" xfId="7755" xr:uid="{00000000-0005-0000-0000-0000FC280000}"/>
    <cellStyle name="Comma 6 2 4 3 6 2" xfId="20633" xr:uid="{00000000-0005-0000-0000-0000FD280000}"/>
    <cellStyle name="Comma 6 2 4 3 6 2 2" xfId="46186" xr:uid="{00000000-0005-0000-0000-0000FE280000}"/>
    <cellStyle name="Comma 6 2 4 3 6 3" xfId="33312" xr:uid="{00000000-0005-0000-0000-0000FF280000}"/>
    <cellStyle name="Comma 6 2 4 3 7" xfId="16435" xr:uid="{00000000-0005-0000-0000-000000290000}"/>
    <cellStyle name="Comma 6 2 4 3 7 2" xfId="41988" xr:uid="{00000000-0005-0000-0000-000001290000}"/>
    <cellStyle name="Comma 6 2 4 3 8" xfId="27116" xr:uid="{00000000-0005-0000-0000-000002290000}"/>
    <cellStyle name="Comma 6 2 4 4" xfId="2964" xr:uid="{00000000-0005-0000-0000-000003290000}"/>
    <cellStyle name="Comma 6 2 4 4 2" xfId="5342" xr:uid="{00000000-0005-0000-0000-000004290000}"/>
    <cellStyle name="Comma 6 2 4 4 2 2" xfId="14179" xr:uid="{00000000-0005-0000-0000-000005290000}"/>
    <cellStyle name="Comma 6 2 4 4 2 2 2" xfId="24430" xr:uid="{00000000-0005-0000-0000-000006290000}"/>
    <cellStyle name="Comma 6 2 4 4 2 2 2 2" xfId="49983" xr:uid="{00000000-0005-0000-0000-000007290000}"/>
    <cellStyle name="Comma 6 2 4 4 2 2 3" xfId="39734" xr:uid="{00000000-0005-0000-0000-000008290000}"/>
    <cellStyle name="Comma 6 2 4 4 2 3" xfId="10600" xr:uid="{00000000-0005-0000-0000-000009290000}"/>
    <cellStyle name="Comma 6 2 4 4 2 3 2" xfId="36157" xr:uid="{00000000-0005-0000-0000-00000A290000}"/>
    <cellStyle name="Comma 6 2 4 4 2 4" xfId="19423" xr:uid="{00000000-0005-0000-0000-00000B290000}"/>
    <cellStyle name="Comma 6 2 4 4 2 4 2" xfId="44976" xr:uid="{00000000-0005-0000-0000-00000C290000}"/>
    <cellStyle name="Comma 6 2 4 4 2 5" xfId="30913" xr:uid="{00000000-0005-0000-0000-00000D290000}"/>
    <cellStyle name="Comma 6 2 4 4 3" xfId="6797" xr:uid="{00000000-0005-0000-0000-00000E290000}"/>
    <cellStyle name="Comma 6 2 4 4 3 2" xfId="15624" xr:uid="{00000000-0005-0000-0000-00000F290000}"/>
    <cellStyle name="Comma 6 2 4 4 3 2 2" xfId="41179" xr:uid="{00000000-0005-0000-0000-000010290000}"/>
    <cellStyle name="Comma 6 2 4 4 3 3" xfId="25875" xr:uid="{00000000-0005-0000-0000-000011290000}"/>
    <cellStyle name="Comma 6 2 4 4 3 3 2" xfId="51428" xr:uid="{00000000-0005-0000-0000-000012290000}"/>
    <cellStyle name="Comma 6 2 4 4 3 4" xfId="32358" xr:uid="{00000000-0005-0000-0000-000013290000}"/>
    <cellStyle name="Comma 6 2 4 4 4" xfId="8243" xr:uid="{00000000-0005-0000-0000-000014290000}"/>
    <cellStyle name="Comma 6 2 4 4 4 2" xfId="22325" xr:uid="{00000000-0005-0000-0000-000015290000}"/>
    <cellStyle name="Comma 6 2 4 4 4 2 2" xfId="47878" xr:uid="{00000000-0005-0000-0000-000016290000}"/>
    <cellStyle name="Comma 6 2 4 4 4 3" xfId="33800" xr:uid="{00000000-0005-0000-0000-000017290000}"/>
    <cellStyle name="Comma 6 2 4 4 5" xfId="17318" xr:uid="{00000000-0005-0000-0000-000018290000}"/>
    <cellStyle name="Comma 6 2 4 4 5 2" xfId="42871" xr:uid="{00000000-0005-0000-0000-000019290000}"/>
    <cellStyle name="Comma 6 2 4 4 6" xfId="28808" xr:uid="{00000000-0005-0000-0000-00001A290000}"/>
    <cellStyle name="Comma 6 2 4 5" xfId="4298" xr:uid="{00000000-0005-0000-0000-00001B290000}"/>
    <cellStyle name="Comma 6 2 4 5 2" xfId="13136" xr:uid="{00000000-0005-0000-0000-00001C290000}"/>
    <cellStyle name="Comma 6 2 4 5 2 2" xfId="23387" xr:uid="{00000000-0005-0000-0000-00001D290000}"/>
    <cellStyle name="Comma 6 2 4 5 2 2 2" xfId="48940" xr:uid="{00000000-0005-0000-0000-00001E290000}"/>
    <cellStyle name="Comma 6 2 4 5 2 3" xfId="38691" xr:uid="{00000000-0005-0000-0000-00001F290000}"/>
    <cellStyle name="Comma 6 2 4 5 3" xfId="9557" xr:uid="{00000000-0005-0000-0000-000020290000}"/>
    <cellStyle name="Comma 6 2 4 5 3 2" xfId="35114" xr:uid="{00000000-0005-0000-0000-000021290000}"/>
    <cellStyle name="Comma 6 2 4 5 4" xfId="18380" xr:uid="{00000000-0005-0000-0000-000022290000}"/>
    <cellStyle name="Comma 6 2 4 5 4 2" xfId="43933" xr:uid="{00000000-0005-0000-0000-000023290000}"/>
    <cellStyle name="Comma 6 2 4 5 5" xfId="29870" xr:uid="{00000000-0005-0000-0000-000024290000}"/>
    <cellStyle name="Comma 6 2 4 6" xfId="1570" xr:uid="{00000000-0005-0000-0000-000025290000}"/>
    <cellStyle name="Comma 6 2 4 6 2" xfId="10947" xr:uid="{00000000-0005-0000-0000-000026290000}"/>
    <cellStyle name="Comma 6 2 4 6 2 2" xfId="36502" xr:uid="{00000000-0005-0000-0000-000027290000}"/>
    <cellStyle name="Comma 6 2 4 6 3" xfId="20951" xr:uid="{00000000-0005-0000-0000-000028290000}"/>
    <cellStyle name="Comma 6 2 4 6 3 2" xfId="46504" xr:uid="{00000000-0005-0000-0000-000029290000}"/>
    <cellStyle name="Comma 6 2 4 6 4" xfId="27434" xr:uid="{00000000-0005-0000-0000-00002A290000}"/>
    <cellStyle name="Comma 6 2 4 7" xfId="5754" xr:uid="{00000000-0005-0000-0000-00002B290000}"/>
    <cellStyle name="Comma 6 2 4 7 2" xfId="14581" xr:uid="{00000000-0005-0000-0000-00002C290000}"/>
    <cellStyle name="Comma 6 2 4 7 2 2" xfId="40136" xr:uid="{00000000-0005-0000-0000-00002D290000}"/>
    <cellStyle name="Comma 6 2 4 7 3" xfId="24832" xr:uid="{00000000-0005-0000-0000-00002E290000}"/>
    <cellStyle name="Comma 6 2 4 7 3 2" xfId="50385" xr:uid="{00000000-0005-0000-0000-00002F290000}"/>
    <cellStyle name="Comma 6 2 4 7 4" xfId="31315" xr:uid="{00000000-0005-0000-0000-000030290000}"/>
    <cellStyle name="Comma 6 2 4 8" xfId="7198" xr:uid="{00000000-0005-0000-0000-000031290000}"/>
    <cellStyle name="Comma 6 2 4 8 2" xfId="19924" xr:uid="{00000000-0005-0000-0000-000032290000}"/>
    <cellStyle name="Comma 6 2 4 8 2 2" xfId="45477" xr:uid="{00000000-0005-0000-0000-000033290000}"/>
    <cellStyle name="Comma 6 2 4 8 3" xfId="32755" xr:uid="{00000000-0005-0000-0000-000034290000}"/>
    <cellStyle name="Comma 6 2 4 9" xfId="15944" xr:uid="{00000000-0005-0000-0000-000035290000}"/>
    <cellStyle name="Comma 6 2 4 9 2" xfId="41497" xr:uid="{00000000-0005-0000-0000-000036290000}"/>
    <cellStyle name="Comma 6 2 5" xfId="319" xr:uid="{00000000-0005-0000-0000-000037290000}"/>
    <cellStyle name="Comma 6 2 5 2" xfId="2805" xr:uid="{00000000-0005-0000-0000-000038290000}"/>
    <cellStyle name="Comma 6 2 5 2 2" xfId="12108" xr:uid="{00000000-0005-0000-0000-000039290000}"/>
    <cellStyle name="Comma 6 2 5 2 2 2" xfId="22166" xr:uid="{00000000-0005-0000-0000-00003A290000}"/>
    <cellStyle name="Comma 6 2 5 2 2 2 2" xfId="47719" xr:uid="{00000000-0005-0000-0000-00003B290000}"/>
    <cellStyle name="Comma 6 2 5 2 2 3" xfId="37663" xr:uid="{00000000-0005-0000-0000-00003C290000}"/>
    <cellStyle name="Comma 6 2 5 2 3" xfId="8578" xr:uid="{00000000-0005-0000-0000-00003D290000}"/>
    <cellStyle name="Comma 6 2 5 2 3 2" xfId="34135" xr:uid="{00000000-0005-0000-0000-00003E290000}"/>
    <cellStyle name="Comma 6 2 5 2 4" xfId="17159" xr:uid="{00000000-0005-0000-0000-00003F290000}"/>
    <cellStyle name="Comma 6 2 5 2 4 2" xfId="42712" xr:uid="{00000000-0005-0000-0000-000040290000}"/>
    <cellStyle name="Comma 6 2 5 2 5" xfId="28649" xr:uid="{00000000-0005-0000-0000-000041290000}"/>
    <cellStyle name="Comma 6 2 5 3" xfId="4501" xr:uid="{00000000-0005-0000-0000-000042290000}"/>
    <cellStyle name="Comma 6 2 5 3 2" xfId="13339" xr:uid="{00000000-0005-0000-0000-000043290000}"/>
    <cellStyle name="Comma 6 2 5 3 2 2" xfId="23590" xr:uid="{00000000-0005-0000-0000-000044290000}"/>
    <cellStyle name="Comma 6 2 5 3 2 2 2" xfId="49143" xr:uid="{00000000-0005-0000-0000-000045290000}"/>
    <cellStyle name="Comma 6 2 5 3 2 3" xfId="38894" xr:uid="{00000000-0005-0000-0000-000046290000}"/>
    <cellStyle name="Comma 6 2 5 3 3" xfId="9760" xr:uid="{00000000-0005-0000-0000-000047290000}"/>
    <cellStyle name="Comma 6 2 5 3 3 2" xfId="35317" xr:uid="{00000000-0005-0000-0000-000048290000}"/>
    <cellStyle name="Comma 6 2 5 3 4" xfId="18583" xr:uid="{00000000-0005-0000-0000-000049290000}"/>
    <cellStyle name="Comma 6 2 5 3 4 2" xfId="44136" xr:uid="{00000000-0005-0000-0000-00004A290000}"/>
    <cellStyle name="Comma 6 2 5 3 5" xfId="30073" xr:uid="{00000000-0005-0000-0000-00004B290000}"/>
    <cellStyle name="Comma 6 2 5 4" xfId="1914" xr:uid="{00000000-0005-0000-0000-00004C290000}"/>
    <cellStyle name="Comma 6 2 5 4 2" xfId="11279" xr:uid="{00000000-0005-0000-0000-00004D290000}"/>
    <cellStyle name="Comma 6 2 5 4 2 2" xfId="36834" xr:uid="{00000000-0005-0000-0000-00004E290000}"/>
    <cellStyle name="Comma 6 2 5 4 3" xfId="21283" xr:uid="{00000000-0005-0000-0000-00004F290000}"/>
    <cellStyle name="Comma 6 2 5 4 3 2" xfId="46836" xr:uid="{00000000-0005-0000-0000-000050290000}"/>
    <cellStyle name="Comma 6 2 5 4 4" xfId="27766" xr:uid="{00000000-0005-0000-0000-000051290000}"/>
    <cellStyle name="Comma 6 2 5 5" xfId="5957" xr:uid="{00000000-0005-0000-0000-000052290000}"/>
    <cellStyle name="Comma 6 2 5 5 2" xfId="14784" xr:uid="{00000000-0005-0000-0000-000053290000}"/>
    <cellStyle name="Comma 6 2 5 5 2 2" xfId="40339" xr:uid="{00000000-0005-0000-0000-000054290000}"/>
    <cellStyle name="Comma 6 2 5 5 3" xfId="25035" xr:uid="{00000000-0005-0000-0000-000055290000}"/>
    <cellStyle name="Comma 6 2 5 5 3 2" xfId="50588" xr:uid="{00000000-0005-0000-0000-000056290000}"/>
    <cellStyle name="Comma 6 2 5 5 4" xfId="31518" xr:uid="{00000000-0005-0000-0000-000057290000}"/>
    <cellStyle name="Comma 6 2 5 6" xfId="7401" xr:uid="{00000000-0005-0000-0000-000058290000}"/>
    <cellStyle name="Comma 6 2 5 6 2" xfId="19765" xr:uid="{00000000-0005-0000-0000-000059290000}"/>
    <cellStyle name="Comma 6 2 5 6 2 2" xfId="45318" xr:uid="{00000000-0005-0000-0000-00005A290000}"/>
    <cellStyle name="Comma 6 2 5 6 3" xfId="32958" xr:uid="{00000000-0005-0000-0000-00005B290000}"/>
    <cellStyle name="Comma 6 2 5 7" xfId="16276" xr:uid="{00000000-0005-0000-0000-00005C290000}"/>
    <cellStyle name="Comma 6 2 5 7 2" xfId="41829" xr:uid="{00000000-0005-0000-0000-00005D290000}"/>
    <cellStyle name="Comma 6 2 5 8" xfId="26248" xr:uid="{00000000-0005-0000-0000-00005E290000}"/>
    <cellStyle name="Comma 6 2 6" xfId="686" xr:uid="{00000000-0005-0000-0000-00005F290000}"/>
    <cellStyle name="Comma 6 2 6 2" xfId="3172" xr:uid="{00000000-0005-0000-0000-000060290000}"/>
    <cellStyle name="Comma 6 2 6 2 2" xfId="12315" xr:uid="{00000000-0005-0000-0000-000061290000}"/>
    <cellStyle name="Comma 6 2 6 2 2 2" xfId="22533" xr:uid="{00000000-0005-0000-0000-000062290000}"/>
    <cellStyle name="Comma 6 2 6 2 2 2 2" xfId="48086" xr:uid="{00000000-0005-0000-0000-000063290000}"/>
    <cellStyle name="Comma 6 2 6 2 2 3" xfId="37870" xr:uid="{00000000-0005-0000-0000-000064290000}"/>
    <cellStyle name="Comma 6 2 6 2 3" xfId="8737" xr:uid="{00000000-0005-0000-0000-000065290000}"/>
    <cellStyle name="Comma 6 2 6 2 3 2" xfId="34294" xr:uid="{00000000-0005-0000-0000-000066290000}"/>
    <cellStyle name="Comma 6 2 6 2 4" xfId="17526" xr:uid="{00000000-0005-0000-0000-000067290000}"/>
    <cellStyle name="Comma 6 2 6 2 4 2" xfId="43079" xr:uid="{00000000-0005-0000-0000-000068290000}"/>
    <cellStyle name="Comma 6 2 6 2 5" xfId="29016" xr:uid="{00000000-0005-0000-0000-000069290000}"/>
    <cellStyle name="Comma 6 2 6 3" xfId="4850" xr:uid="{00000000-0005-0000-0000-00006A290000}"/>
    <cellStyle name="Comma 6 2 6 3 2" xfId="13687" xr:uid="{00000000-0005-0000-0000-00006B290000}"/>
    <cellStyle name="Comma 6 2 6 3 2 2" xfId="23938" xr:uid="{00000000-0005-0000-0000-00006C290000}"/>
    <cellStyle name="Comma 6 2 6 3 2 2 2" xfId="49491" xr:uid="{00000000-0005-0000-0000-00006D290000}"/>
    <cellStyle name="Comma 6 2 6 3 2 3" xfId="39242" xr:uid="{00000000-0005-0000-0000-00006E290000}"/>
    <cellStyle name="Comma 6 2 6 3 3" xfId="10108" xr:uid="{00000000-0005-0000-0000-00006F290000}"/>
    <cellStyle name="Comma 6 2 6 3 3 2" xfId="35665" xr:uid="{00000000-0005-0000-0000-000070290000}"/>
    <cellStyle name="Comma 6 2 6 3 4" xfId="18931" xr:uid="{00000000-0005-0000-0000-000071290000}"/>
    <cellStyle name="Comma 6 2 6 3 4 2" xfId="44484" xr:uid="{00000000-0005-0000-0000-000072290000}"/>
    <cellStyle name="Comma 6 2 6 3 5" xfId="30421" xr:uid="{00000000-0005-0000-0000-000073290000}"/>
    <cellStyle name="Comma 6 2 6 4" xfId="2281" xr:uid="{00000000-0005-0000-0000-000074290000}"/>
    <cellStyle name="Comma 6 2 6 4 2" xfId="11646" xr:uid="{00000000-0005-0000-0000-000075290000}"/>
    <cellStyle name="Comma 6 2 6 4 2 2" xfId="37201" xr:uid="{00000000-0005-0000-0000-000076290000}"/>
    <cellStyle name="Comma 6 2 6 4 3" xfId="21650" xr:uid="{00000000-0005-0000-0000-000077290000}"/>
    <cellStyle name="Comma 6 2 6 4 3 2" xfId="47203" xr:uid="{00000000-0005-0000-0000-000078290000}"/>
    <cellStyle name="Comma 6 2 6 4 4" xfId="28133" xr:uid="{00000000-0005-0000-0000-000079290000}"/>
    <cellStyle name="Comma 6 2 6 5" xfId="6305" xr:uid="{00000000-0005-0000-0000-00007A290000}"/>
    <cellStyle name="Comma 6 2 6 5 2" xfId="15132" xr:uid="{00000000-0005-0000-0000-00007B290000}"/>
    <cellStyle name="Comma 6 2 6 5 2 2" xfId="40687" xr:uid="{00000000-0005-0000-0000-00007C290000}"/>
    <cellStyle name="Comma 6 2 6 5 3" xfId="25383" xr:uid="{00000000-0005-0000-0000-00007D290000}"/>
    <cellStyle name="Comma 6 2 6 5 3 2" xfId="50936" xr:uid="{00000000-0005-0000-0000-00007E290000}"/>
    <cellStyle name="Comma 6 2 6 5 4" xfId="31866" xr:uid="{00000000-0005-0000-0000-00007F290000}"/>
    <cellStyle name="Comma 6 2 6 6" xfId="7751" xr:uid="{00000000-0005-0000-0000-000080290000}"/>
    <cellStyle name="Comma 6 2 6 6 2" xfId="20132" xr:uid="{00000000-0005-0000-0000-000081290000}"/>
    <cellStyle name="Comma 6 2 6 6 2 2" xfId="45685" xr:uid="{00000000-0005-0000-0000-000082290000}"/>
    <cellStyle name="Comma 6 2 6 6 3" xfId="33308" xr:uid="{00000000-0005-0000-0000-000083290000}"/>
    <cellStyle name="Comma 6 2 6 7" xfId="16643" xr:uid="{00000000-0005-0000-0000-000084290000}"/>
    <cellStyle name="Comma 6 2 6 7 2" xfId="42196" xr:uid="{00000000-0005-0000-0000-000085290000}"/>
    <cellStyle name="Comma 6 2 6 8" xfId="26615" xr:uid="{00000000-0005-0000-0000-000086290000}"/>
    <cellStyle name="Comma 6 2 7" xfId="1091" xr:uid="{00000000-0005-0000-0000-000087290000}"/>
    <cellStyle name="Comma 6 2 7 2" xfId="3520" xr:uid="{00000000-0005-0000-0000-000088290000}"/>
    <cellStyle name="Comma 6 2 7 2 2" xfId="12656" xr:uid="{00000000-0005-0000-0000-000089290000}"/>
    <cellStyle name="Comma 6 2 7 2 2 2" xfId="22875" xr:uid="{00000000-0005-0000-0000-00008A290000}"/>
    <cellStyle name="Comma 6 2 7 2 2 2 2" xfId="48428" xr:uid="{00000000-0005-0000-0000-00008B290000}"/>
    <cellStyle name="Comma 6 2 7 2 2 3" xfId="38211" xr:uid="{00000000-0005-0000-0000-00008C290000}"/>
    <cellStyle name="Comma 6 2 7 2 3" xfId="9078" xr:uid="{00000000-0005-0000-0000-00008D290000}"/>
    <cellStyle name="Comma 6 2 7 2 3 2" xfId="34635" xr:uid="{00000000-0005-0000-0000-00008E290000}"/>
    <cellStyle name="Comma 6 2 7 2 4" xfId="17868" xr:uid="{00000000-0005-0000-0000-00008F290000}"/>
    <cellStyle name="Comma 6 2 7 2 4 2" xfId="43421" xr:uid="{00000000-0005-0000-0000-000090290000}"/>
    <cellStyle name="Comma 6 2 7 2 5" xfId="29358" xr:uid="{00000000-0005-0000-0000-000091290000}"/>
    <cellStyle name="Comma 6 2 7 3" xfId="5183" xr:uid="{00000000-0005-0000-0000-000092290000}"/>
    <cellStyle name="Comma 6 2 7 3 2" xfId="14020" xr:uid="{00000000-0005-0000-0000-000093290000}"/>
    <cellStyle name="Comma 6 2 7 3 2 2" xfId="24271" xr:uid="{00000000-0005-0000-0000-000094290000}"/>
    <cellStyle name="Comma 6 2 7 3 2 2 2" xfId="49824" xr:uid="{00000000-0005-0000-0000-000095290000}"/>
    <cellStyle name="Comma 6 2 7 3 2 3" xfId="39575" xr:uid="{00000000-0005-0000-0000-000096290000}"/>
    <cellStyle name="Comma 6 2 7 3 3" xfId="10441" xr:uid="{00000000-0005-0000-0000-000097290000}"/>
    <cellStyle name="Comma 6 2 7 3 3 2" xfId="35998" xr:uid="{00000000-0005-0000-0000-000098290000}"/>
    <cellStyle name="Comma 6 2 7 3 4" xfId="19264" xr:uid="{00000000-0005-0000-0000-000099290000}"/>
    <cellStyle name="Comma 6 2 7 3 4 2" xfId="44817" xr:uid="{00000000-0005-0000-0000-00009A290000}"/>
    <cellStyle name="Comma 6 2 7 3 5" xfId="30754" xr:uid="{00000000-0005-0000-0000-00009B290000}"/>
    <cellStyle name="Comma 6 2 7 4" xfId="1749" xr:uid="{00000000-0005-0000-0000-00009C290000}"/>
    <cellStyle name="Comma 6 2 7 4 2" xfId="11120" xr:uid="{00000000-0005-0000-0000-00009D290000}"/>
    <cellStyle name="Comma 6 2 7 4 2 2" xfId="36675" xr:uid="{00000000-0005-0000-0000-00009E290000}"/>
    <cellStyle name="Comma 6 2 7 4 3" xfId="21124" xr:uid="{00000000-0005-0000-0000-00009F290000}"/>
    <cellStyle name="Comma 6 2 7 4 3 2" xfId="46677" xr:uid="{00000000-0005-0000-0000-0000A0290000}"/>
    <cellStyle name="Comma 6 2 7 4 4" xfId="27607" xr:uid="{00000000-0005-0000-0000-0000A1290000}"/>
    <cellStyle name="Comma 6 2 7 5" xfId="6638" xr:uid="{00000000-0005-0000-0000-0000A2290000}"/>
    <cellStyle name="Comma 6 2 7 5 2" xfId="15465" xr:uid="{00000000-0005-0000-0000-0000A3290000}"/>
    <cellStyle name="Comma 6 2 7 5 2 2" xfId="41020" xr:uid="{00000000-0005-0000-0000-0000A4290000}"/>
    <cellStyle name="Comma 6 2 7 5 3" xfId="25716" xr:uid="{00000000-0005-0000-0000-0000A5290000}"/>
    <cellStyle name="Comma 6 2 7 5 3 2" xfId="51269" xr:uid="{00000000-0005-0000-0000-0000A6290000}"/>
    <cellStyle name="Comma 6 2 7 5 4" xfId="32199" xr:uid="{00000000-0005-0000-0000-0000A7290000}"/>
    <cellStyle name="Comma 6 2 7 6" xfId="8084" xr:uid="{00000000-0005-0000-0000-0000A8290000}"/>
    <cellStyle name="Comma 6 2 7 6 2" xfId="20474" xr:uid="{00000000-0005-0000-0000-0000A9290000}"/>
    <cellStyle name="Comma 6 2 7 6 2 2" xfId="46027" xr:uid="{00000000-0005-0000-0000-0000AA290000}"/>
    <cellStyle name="Comma 6 2 7 6 3" xfId="33641" xr:uid="{00000000-0005-0000-0000-0000AB290000}"/>
    <cellStyle name="Comma 6 2 7 7" xfId="16117" xr:uid="{00000000-0005-0000-0000-0000AC290000}"/>
    <cellStyle name="Comma 6 2 7 7 2" xfId="41670" xr:uid="{00000000-0005-0000-0000-0000AD290000}"/>
    <cellStyle name="Comma 6 2 7 8" xfId="26957" xr:uid="{00000000-0005-0000-0000-0000AE290000}"/>
    <cellStyle name="Comma 6 2 8" xfId="2647" xr:uid="{00000000-0005-0000-0000-0000AF290000}"/>
    <cellStyle name="Comma 6 2 8 2" xfId="11969" xr:uid="{00000000-0005-0000-0000-0000B0290000}"/>
    <cellStyle name="Comma 6 2 8 2 2" xfId="22008" xr:uid="{00000000-0005-0000-0000-0000B1290000}"/>
    <cellStyle name="Comma 6 2 8 2 2 2" xfId="47561" xr:uid="{00000000-0005-0000-0000-0000B2290000}"/>
    <cellStyle name="Comma 6 2 8 2 3" xfId="37524" xr:uid="{00000000-0005-0000-0000-0000B3290000}"/>
    <cellStyle name="Comma 6 2 8 3" xfId="8571" xr:uid="{00000000-0005-0000-0000-0000B4290000}"/>
    <cellStyle name="Comma 6 2 8 3 2" xfId="34128" xr:uid="{00000000-0005-0000-0000-0000B5290000}"/>
    <cellStyle name="Comma 6 2 8 4" xfId="17001" xr:uid="{00000000-0005-0000-0000-0000B6290000}"/>
    <cellStyle name="Comma 6 2 8 4 2" xfId="42554" xr:uid="{00000000-0005-0000-0000-0000B7290000}"/>
    <cellStyle name="Comma 6 2 8 5" xfId="28491" xr:uid="{00000000-0005-0000-0000-0000B8290000}"/>
    <cellStyle name="Comma 6 2 9" xfId="4137" xr:uid="{00000000-0005-0000-0000-0000B9290000}"/>
    <cellStyle name="Comma 6 2 9 2" xfId="12975" xr:uid="{00000000-0005-0000-0000-0000BA290000}"/>
    <cellStyle name="Comma 6 2 9 2 2" xfId="23226" xr:uid="{00000000-0005-0000-0000-0000BB290000}"/>
    <cellStyle name="Comma 6 2 9 2 2 2" xfId="48779" xr:uid="{00000000-0005-0000-0000-0000BC290000}"/>
    <cellStyle name="Comma 6 2 9 2 3" xfId="38530" xr:uid="{00000000-0005-0000-0000-0000BD290000}"/>
    <cellStyle name="Comma 6 2 9 3" xfId="9396" xr:uid="{00000000-0005-0000-0000-0000BE290000}"/>
    <cellStyle name="Comma 6 2 9 3 2" xfId="34953" xr:uid="{00000000-0005-0000-0000-0000BF290000}"/>
    <cellStyle name="Comma 6 2 9 4" xfId="18219" xr:uid="{00000000-0005-0000-0000-0000C0290000}"/>
    <cellStyle name="Comma 6 2 9 4 2" xfId="43772" xr:uid="{00000000-0005-0000-0000-0000C1290000}"/>
    <cellStyle name="Comma 6 2 9 5" xfId="29709" xr:uid="{00000000-0005-0000-0000-0000C2290000}"/>
    <cellStyle name="Comma 6 3" xfId="193" xr:uid="{00000000-0005-0000-0000-0000C3290000}"/>
    <cellStyle name="Comma 6 3 10" xfId="7141" xr:uid="{00000000-0005-0000-0000-0000C4290000}"/>
    <cellStyle name="Comma 6 3 10 2" xfId="19650" xr:uid="{00000000-0005-0000-0000-0000C5290000}"/>
    <cellStyle name="Comma 6 3 10 2 2" xfId="45203" xr:uid="{00000000-0005-0000-0000-0000C6290000}"/>
    <cellStyle name="Comma 6 3 10 3" xfId="32698" xr:uid="{00000000-0005-0000-0000-0000C7290000}"/>
    <cellStyle name="Comma 6 3 11" xfId="15887" xr:uid="{00000000-0005-0000-0000-0000C8290000}"/>
    <cellStyle name="Comma 6 3 11 2" xfId="41440" xr:uid="{00000000-0005-0000-0000-0000C9290000}"/>
    <cellStyle name="Comma 6 3 12" xfId="26133" xr:uid="{00000000-0005-0000-0000-0000CA290000}"/>
    <cellStyle name="Comma 6 3 2" xfId="521" xr:uid="{00000000-0005-0000-0000-0000CB290000}"/>
    <cellStyle name="Comma 6 3 2 10" xfId="26450" xr:uid="{00000000-0005-0000-0000-0000CC290000}"/>
    <cellStyle name="Comma 6 3 2 2" xfId="692" xr:uid="{00000000-0005-0000-0000-0000CD290000}"/>
    <cellStyle name="Comma 6 3 2 2 2" xfId="3178" xr:uid="{00000000-0005-0000-0000-0000CE290000}"/>
    <cellStyle name="Comma 6 3 2 2 2 2" xfId="12321" xr:uid="{00000000-0005-0000-0000-0000CF290000}"/>
    <cellStyle name="Comma 6 3 2 2 2 2 2" xfId="22539" xr:uid="{00000000-0005-0000-0000-0000D0290000}"/>
    <cellStyle name="Comma 6 3 2 2 2 2 2 2" xfId="48092" xr:uid="{00000000-0005-0000-0000-0000D1290000}"/>
    <cellStyle name="Comma 6 3 2 2 2 2 3" xfId="37876" xr:uid="{00000000-0005-0000-0000-0000D2290000}"/>
    <cellStyle name="Comma 6 3 2 2 2 3" xfId="8743" xr:uid="{00000000-0005-0000-0000-0000D3290000}"/>
    <cellStyle name="Comma 6 3 2 2 2 3 2" xfId="34300" xr:uid="{00000000-0005-0000-0000-0000D4290000}"/>
    <cellStyle name="Comma 6 3 2 2 2 4" xfId="17532" xr:uid="{00000000-0005-0000-0000-0000D5290000}"/>
    <cellStyle name="Comma 6 3 2 2 2 4 2" xfId="43085" xr:uid="{00000000-0005-0000-0000-0000D6290000}"/>
    <cellStyle name="Comma 6 3 2 2 2 5" xfId="29022" xr:uid="{00000000-0005-0000-0000-0000D7290000}"/>
    <cellStyle name="Comma 6 3 2 2 3" xfId="4507" xr:uid="{00000000-0005-0000-0000-0000D8290000}"/>
    <cellStyle name="Comma 6 3 2 2 3 2" xfId="13345" xr:uid="{00000000-0005-0000-0000-0000D9290000}"/>
    <cellStyle name="Comma 6 3 2 2 3 2 2" xfId="23596" xr:uid="{00000000-0005-0000-0000-0000DA290000}"/>
    <cellStyle name="Comma 6 3 2 2 3 2 2 2" xfId="49149" xr:uid="{00000000-0005-0000-0000-0000DB290000}"/>
    <cellStyle name="Comma 6 3 2 2 3 2 3" xfId="38900" xr:uid="{00000000-0005-0000-0000-0000DC290000}"/>
    <cellStyle name="Comma 6 3 2 2 3 3" xfId="9766" xr:uid="{00000000-0005-0000-0000-0000DD290000}"/>
    <cellStyle name="Comma 6 3 2 2 3 3 2" xfId="35323" xr:uid="{00000000-0005-0000-0000-0000DE290000}"/>
    <cellStyle name="Comma 6 3 2 2 3 4" xfId="18589" xr:uid="{00000000-0005-0000-0000-0000DF290000}"/>
    <cellStyle name="Comma 6 3 2 2 3 4 2" xfId="44142" xr:uid="{00000000-0005-0000-0000-0000E0290000}"/>
    <cellStyle name="Comma 6 3 2 2 3 5" xfId="30079" xr:uid="{00000000-0005-0000-0000-0000E1290000}"/>
    <cellStyle name="Comma 6 3 2 2 4" xfId="2287" xr:uid="{00000000-0005-0000-0000-0000E2290000}"/>
    <cellStyle name="Comma 6 3 2 2 4 2" xfId="11652" xr:uid="{00000000-0005-0000-0000-0000E3290000}"/>
    <cellStyle name="Comma 6 3 2 2 4 2 2" xfId="37207" xr:uid="{00000000-0005-0000-0000-0000E4290000}"/>
    <cellStyle name="Comma 6 3 2 2 4 3" xfId="21656" xr:uid="{00000000-0005-0000-0000-0000E5290000}"/>
    <cellStyle name="Comma 6 3 2 2 4 3 2" xfId="47209" xr:uid="{00000000-0005-0000-0000-0000E6290000}"/>
    <cellStyle name="Comma 6 3 2 2 4 4" xfId="28139" xr:uid="{00000000-0005-0000-0000-0000E7290000}"/>
    <cellStyle name="Comma 6 3 2 2 5" xfId="5963" xr:uid="{00000000-0005-0000-0000-0000E8290000}"/>
    <cellStyle name="Comma 6 3 2 2 5 2" xfId="14790" xr:uid="{00000000-0005-0000-0000-0000E9290000}"/>
    <cellStyle name="Comma 6 3 2 2 5 2 2" xfId="40345" xr:uid="{00000000-0005-0000-0000-0000EA290000}"/>
    <cellStyle name="Comma 6 3 2 2 5 3" xfId="25041" xr:uid="{00000000-0005-0000-0000-0000EB290000}"/>
    <cellStyle name="Comma 6 3 2 2 5 3 2" xfId="50594" xr:uid="{00000000-0005-0000-0000-0000EC290000}"/>
    <cellStyle name="Comma 6 3 2 2 5 4" xfId="31524" xr:uid="{00000000-0005-0000-0000-0000ED290000}"/>
    <cellStyle name="Comma 6 3 2 2 6" xfId="7407" xr:uid="{00000000-0005-0000-0000-0000EE290000}"/>
    <cellStyle name="Comma 6 3 2 2 6 2" xfId="20138" xr:uid="{00000000-0005-0000-0000-0000EF290000}"/>
    <cellStyle name="Comma 6 3 2 2 6 2 2" xfId="45691" xr:uid="{00000000-0005-0000-0000-0000F0290000}"/>
    <cellStyle name="Comma 6 3 2 2 6 3" xfId="32964" xr:uid="{00000000-0005-0000-0000-0000F1290000}"/>
    <cellStyle name="Comma 6 3 2 2 7" xfId="16649" xr:uid="{00000000-0005-0000-0000-0000F2290000}"/>
    <cellStyle name="Comma 6 3 2 2 7 2" xfId="42202" xr:uid="{00000000-0005-0000-0000-0000F3290000}"/>
    <cellStyle name="Comma 6 3 2 2 8" xfId="26621" xr:uid="{00000000-0005-0000-0000-0000F4290000}"/>
    <cellStyle name="Comma 6 3 2 3" xfId="1293" xr:uid="{00000000-0005-0000-0000-0000F5290000}"/>
    <cellStyle name="Comma 6 3 2 3 2" xfId="3722" xr:uid="{00000000-0005-0000-0000-0000F6290000}"/>
    <cellStyle name="Comma 6 3 2 3 2 2" xfId="12858" xr:uid="{00000000-0005-0000-0000-0000F7290000}"/>
    <cellStyle name="Comma 6 3 2 3 2 2 2" xfId="23077" xr:uid="{00000000-0005-0000-0000-0000F8290000}"/>
    <cellStyle name="Comma 6 3 2 3 2 2 2 2" xfId="48630" xr:uid="{00000000-0005-0000-0000-0000F9290000}"/>
    <cellStyle name="Comma 6 3 2 3 2 2 3" xfId="38413" xr:uid="{00000000-0005-0000-0000-0000FA290000}"/>
    <cellStyle name="Comma 6 3 2 3 2 3" xfId="9279" xr:uid="{00000000-0005-0000-0000-0000FB290000}"/>
    <cellStyle name="Comma 6 3 2 3 2 3 2" xfId="34836" xr:uid="{00000000-0005-0000-0000-0000FC290000}"/>
    <cellStyle name="Comma 6 3 2 3 2 4" xfId="18070" xr:uid="{00000000-0005-0000-0000-0000FD290000}"/>
    <cellStyle name="Comma 6 3 2 3 2 4 2" xfId="43623" xr:uid="{00000000-0005-0000-0000-0000FE290000}"/>
    <cellStyle name="Comma 6 3 2 3 2 5" xfId="29560" xr:uid="{00000000-0005-0000-0000-0000FF290000}"/>
    <cellStyle name="Comma 6 3 2 3 3" xfId="4856" xr:uid="{00000000-0005-0000-0000-0000002A0000}"/>
    <cellStyle name="Comma 6 3 2 3 3 2" xfId="13693" xr:uid="{00000000-0005-0000-0000-0000012A0000}"/>
    <cellStyle name="Comma 6 3 2 3 3 2 2" xfId="23944" xr:uid="{00000000-0005-0000-0000-0000022A0000}"/>
    <cellStyle name="Comma 6 3 2 3 3 2 2 2" xfId="49497" xr:uid="{00000000-0005-0000-0000-0000032A0000}"/>
    <cellStyle name="Comma 6 3 2 3 3 2 3" xfId="39248" xr:uid="{00000000-0005-0000-0000-0000042A0000}"/>
    <cellStyle name="Comma 6 3 2 3 3 3" xfId="10114" xr:uid="{00000000-0005-0000-0000-0000052A0000}"/>
    <cellStyle name="Comma 6 3 2 3 3 3 2" xfId="35671" xr:uid="{00000000-0005-0000-0000-0000062A0000}"/>
    <cellStyle name="Comma 6 3 2 3 3 4" xfId="18937" xr:uid="{00000000-0005-0000-0000-0000072A0000}"/>
    <cellStyle name="Comma 6 3 2 3 3 4 2" xfId="44490" xr:uid="{00000000-0005-0000-0000-0000082A0000}"/>
    <cellStyle name="Comma 6 3 2 3 3 5" xfId="30427" xr:uid="{00000000-0005-0000-0000-0000092A0000}"/>
    <cellStyle name="Comma 6 3 2 3 4" xfId="2116" xr:uid="{00000000-0005-0000-0000-00000A2A0000}"/>
    <cellStyle name="Comma 6 3 2 3 4 2" xfId="11481" xr:uid="{00000000-0005-0000-0000-00000B2A0000}"/>
    <cellStyle name="Comma 6 3 2 3 4 2 2" xfId="37036" xr:uid="{00000000-0005-0000-0000-00000C2A0000}"/>
    <cellStyle name="Comma 6 3 2 3 4 3" xfId="21485" xr:uid="{00000000-0005-0000-0000-00000D2A0000}"/>
    <cellStyle name="Comma 6 3 2 3 4 3 2" xfId="47038" xr:uid="{00000000-0005-0000-0000-00000E2A0000}"/>
    <cellStyle name="Comma 6 3 2 3 4 4" xfId="27968" xr:uid="{00000000-0005-0000-0000-00000F2A0000}"/>
    <cellStyle name="Comma 6 3 2 3 5" xfId="6311" xr:uid="{00000000-0005-0000-0000-0000102A0000}"/>
    <cellStyle name="Comma 6 3 2 3 5 2" xfId="15138" xr:uid="{00000000-0005-0000-0000-0000112A0000}"/>
    <cellStyle name="Comma 6 3 2 3 5 2 2" xfId="40693" xr:uid="{00000000-0005-0000-0000-0000122A0000}"/>
    <cellStyle name="Comma 6 3 2 3 5 3" xfId="25389" xr:uid="{00000000-0005-0000-0000-0000132A0000}"/>
    <cellStyle name="Comma 6 3 2 3 5 3 2" xfId="50942" xr:uid="{00000000-0005-0000-0000-0000142A0000}"/>
    <cellStyle name="Comma 6 3 2 3 5 4" xfId="31872" xr:uid="{00000000-0005-0000-0000-0000152A0000}"/>
    <cellStyle name="Comma 6 3 2 3 6" xfId="7757" xr:uid="{00000000-0005-0000-0000-0000162A0000}"/>
    <cellStyle name="Comma 6 3 2 3 6 2" xfId="20676" xr:uid="{00000000-0005-0000-0000-0000172A0000}"/>
    <cellStyle name="Comma 6 3 2 3 6 2 2" xfId="46229" xr:uid="{00000000-0005-0000-0000-0000182A0000}"/>
    <cellStyle name="Comma 6 3 2 3 6 3" xfId="33314" xr:uid="{00000000-0005-0000-0000-0000192A0000}"/>
    <cellStyle name="Comma 6 3 2 3 7" xfId="16478" xr:uid="{00000000-0005-0000-0000-00001A2A0000}"/>
    <cellStyle name="Comma 6 3 2 3 7 2" xfId="42031" xr:uid="{00000000-0005-0000-0000-00001B2A0000}"/>
    <cellStyle name="Comma 6 3 2 3 8" xfId="27159" xr:uid="{00000000-0005-0000-0000-00001C2A0000}"/>
    <cellStyle name="Comma 6 3 2 4" xfId="3007" xr:uid="{00000000-0005-0000-0000-00001D2A0000}"/>
    <cellStyle name="Comma 6 3 2 4 2" xfId="5385" xr:uid="{00000000-0005-0000-0000-00001E2A0000}"/>
    <cellStyle name="Comma 6 3 2 4 2 2" xfId="14222" xr:uid="{00000000-0005-0000-0000-00001F2A0000}"/>
    <cellStyle name="Comma 6 3 2 4 2 2 2" xfId="24473" xr:uid="{00000000-0005-0000-0000-0000202A0000}"/>
    <cellStyle name="Comma 6 3 2 4 2 2 2 2" xfId="50026" xr:uid="{00000000-0005-0000-0000-0000212A0000}"/>
    <cellStyle name="Comma 6 3 2 4 2 2 3" xfId="39777" xr:uid="{00000000-0005-0000-0000-0000222A0000}"/>
    <cellStyle name="Comma 6 3 2 4 2 3" xfId="10643" xr:uid="{00000000-0005-0000-0000-0000232A0000}"/>
    <cellStyle name="Comma 6 3 2 4 2 3 2" xfId="36200" xr:uid="{00000000-0005-0000-0000-0000242A0000}"/>
    <cellStyle name="Comma 6 3 2 4 2 4" xfId="19466" xr:uid="{00000000-0005-0000-0000-0000252A0000}"/>
    <cellStyle name="Comma 6 3 2 4 2 4 2" xfId="45019" xr:uid="{00000000-0005-0000-0000-0000262A0000}"/>
    <cellStyle name="Comma 6 3 2 4 2 5" xfId="30956" xr:uid="{00000000-0005-0000-0000-0000272A0000}"/>
    <cellStyle name="Comma 6 3 2 4 3" xfId="6840" xr:uid="{00000000-0005-0000-0000-0000282A0000}"/>
    <cellStyle name="Comma 6 3 2 4 3 2" xfId="15667" xr:uid="{00000000-0005-0000-0000-0000292A0000}"/>
    <cellStyle name="Comma 6 3 2 4 3 2 2" xfId="41222" xr:uid="{00000000-0005-0000-0000-00002A2A0000}"/>
    <cellStyle name="Comma 6 3 2 4 3 3" xfId="25918" xr:uid="{00000000-0005-0000-0000-00002B2A0000}"/>
    <cellStyle name="Comma 6 3 2 4 3 3 2" xfId="51471" xr:uid="{00000000-0005-0000-0000-00002C2A0000}"/>
    <cellStyle name="Comma 6 3 2 4 3 4" xfId="32401" xr:uid="{00000000-0005-0000-0000-00002D2A0000}"/>
    <cellStyle name="Comma 6 3 2 4 4" xfId="8286" xr:uid="{00000000-0005-0000-0000-00002E2A0000}"/>
    <cellStyle name="Comma 6 3 2 4 4 2" xfId="22368" xr:uid="{00000000-0005-0000-0000-00002F2A0000}"/>
    <cellStyle name="Comma 6 3 2 4 4 2 2" xfId="47921" xr:uid="{00000000-0005-0000-0000-0000302A0000}"/>
    <cellStyle name="Comma 6 3 2 4 4 3" xfId="33843" xr:uid="{00000000-0005-0000-0000-0000312A0000}"/>
    <cellStyle name="Comma 6 3 2 4 5" xfId="17361" xr:uid="{00000000-0005-0000-0000-0000322A0000}"/>
    <cellStyle name="Comma 6 3 2 4 5 2" xfId="42914" xr:uid="{00000000-0005-0000-0000-0000332A0000}"/>
    <cellStyle name="Comma 6 3 2 4 6" xfId="28851" xr:uid="{00000000-0005-0000-0000-0000342A0000}"/>
    <cellStyle name="Comma 6 3 2 5" xfId="4341" xr:uid="{00000000-0005-0000-0000-0000352A0000}"/>
    <cellStyle name="Comma 6 3 2 5 2" xfId="13179" xr:uid="{00000000-0005-0000-0000-0000362A0000}"/>
    <cellStyle name="Comma 6 3 2 5 2 2" xfId="23430" xr:uid="{00000000-0005-0000-0000-0000372A0000}"/>
    <cellStyle name="Comma 6 3 2 5 2 2 2" xfId="48983" xr:uid="{00000000-0005-0000-0000-0000382A0000}"/>
    <cellStyle name="Comma 6 3 2 5 2 3" xfId="38734" xr:uid="{00000000-0005-0000-0000-0000392A0000}"/>
    <cellStyle name="Comma 6 3 2 5 3" xfId="9600" xr:uid="{00000000-0005-0000-0000-00003A2A0000}"/>
    <cellStyle name="Comma 6 3 2 5 3 2" xfId="35157" xr:uid="{00000000-0005-0000-0000-00003B2A0000}"/>
    <cellStyle name="Comma 6 3 2 5 4" xfId="18423" xr:uid="{00000000-0005-0000-0000-00003C2A0000}"/>
    <cellStyle name="Comma 6 3 2 5 4 2" xfId="43976" xr:uid="{00000000-0005-0000-0000-00003D2A0000}"/>
    <cellStyle name="Comma 6 3 2 5 5" xfId="29913" xr:uid="{00000000-0005-0000-0000-00003E2A0000}"/>
    <cellStyle name="Comma 6 3 2 6" xfId="1613" xr:uid="{00000000-0005-0000-0000-00003F2A0000}"/>
    <cellStyle name="Comma 6 3 2 6 2" xfId="10990" xr:uid="{00000000-0005-0000-0000-0000402A0000}"/>
    <cellStyle name="Comma 6 3 2 6 2 2" xfId="36545" xr:uid="{00000000-0005-0000-0000-0000412A0000}"/>
    <cellStyle name="Comma 6 3 2 6 3" xfId="20994" xr:uid="{00000000-0005-0000-0000-0000422A0000}"/>
    <cellStyle name="Comma 6 3 2 6 3 2" xfId="46547" xr:uid="{00000000-0005-0000-0000-0000432A0000}"/>
    <cellStyle name="Comma 6 3 2 6 4" xfId="27477" xr:uid="{00000000-0005-0000-0000-0000442A0000}"/>
    <cellStyle name="Comma 6 3 2 7" xfId="5797" xr:uid="{00000000-0005-0000-0000-0000452A0000}"/>
    <cellStyle name="Comma 6 3 2 7 2" xfId="14624" xr:uid="{00000000-0005-0000-0000-0000462A0000}"/>
    <cellStyle name="Comma 6 3 2 7 2 2" xfId="40179" xr:uid="{00000000-0005-0000-0000-0000472A0000}"/>
    <cellStyle name="Comma 6 3 2 7 3" xfId="24875" xr:uid="{00000000-0005-0000-0000-0000482A0000}"/>
    <cellStyle name="Comma 6 3 2 7 3 2" xfId="50428" xr:uid="{00000000-0005-0000-0000-0000492A0000}"/>
    <cellStyle name="Comma 6 3 2 7 4" xfId="31358" xr:uid="{00000000-0005-0000-0000-00004A2A0000}"/>
    <cellStyle name="Comma 6 3 2 8" xfId="7241" xr:uid="{00000000-0005-0000-0000-00004B2A0000}"/>
    <cellStyle name="Comma 6 3 2 8 2" xfId="19967" xr:uid="{00000000-0005-0000-0000-00004C2A0000}"/>
    <cellStyle name="Comma 6 3 2 8 2 2" xfId="45520" xr:uid="{00000000-0005-0000-0000-00004D2A0000}"/>
    <cellStyle name="Comma 6 3 2 8 3" xfId="32798" xr:uid="{00000000-0005-0000-0000-00004E2A0000}"/>
    <cellStyle name="Comma 6 3 2 9" xfId="15987" xr:uid="{00000000-0005-0000-0000-00004F2A0000}"/>
    <cellStyle name="Comma 6 3 2 9 2" xfId="41540" xr:uid="{00000000-0005-0000-0000-0000502A0000}"/>
    <cellStyle name="Comma 6 3 3" xfId="421" xr:uid="{00000000-0005-0000-0000-0000512A0000}"/>
    <cellStyle name="Comma 6 3 3 2" xfId="2907" xr:uid="{00000000-0005-0000-0000-0000522A0000}"/>
    <cellStyle name="Comma 6 3 3 2 2" xfId="12195" xr:uid="{00000000-0005-0000-0000-0000532A0000}"/>
    <cellStyle name="Comma 6 3 3 2 2 2" xfId="22268" xr:uid="{00000000-0005-0000-0000-0000542A0000}"/>
    <cellStyle name="Comma 6 3 3 2 2 2 2" xfId="47821" xr:uid="{00000000-0005-0000-0000-0000552A0000}"/>
    <cellStyle name="Comma 6 3 3 2 2 3" xfId="37750" xr:uid="{00000000-0005-0000-0000-0000562A0000}"/>
    <cellStyle name="Comma 6 3 3 2 3" xfId="8602" xr:uid="{00000000-0005-0000-0000-0000572A0000}"/>
    <cellStyle name="Comma 6 3 3 2 3 2" xfId="34159" xr:uid="{00000000-0005-0000-0000-0000582A0000}"/>
    <cellStyle name="Comma 6 3 3 2 4" xfId="17261" xr:uid="{00000000-0005-0000-0000-0000592A0000}"/>
    <cellStyle name="Comma 6 3 3 2 4 2" xfId="42814" xr:uid="{00000000-0005-0000-0000-00005A2A0000}"/>
    <cellStyle name="Comma 6 3 3 2 5" xfId="28751" xr:uid="{00000000-0005-0000-0000-00005B2A0000}"/>
    <cellStyle name="Comma 6 3 3 3" xfId="4506" xr:uid="{00000000-0005-0000-0000-00005C2A0000}"/>
    <cellStyle name="Comma 6 3 3 3 2" xfId="13344" xr:uid="{00000000-0005-0000-0000-00005D2A0000}"/>
    <cellStyle name="Comma 6 3 3 3 2 2" xfId="23595" xr:uid="{00000000-0005-0000-0000-00005E2A0000}"/>
    <cellStyle name="Comma 6 3 3 3 2 2 2" xfId="49148" xr:uid="{00000000-0005-0000-0000-00005F2A0000}"/>
    <cellStyle name="Comma 6 3 3 3 2 3" xfId="38899" xr:uid="{00000000-0005-0000-0000-0000602A0000}"/>
    <cellStyle name="Comma 6 3 3 3 3" xfId="9765" xr:uid="{00000000-0005-0000-0000-0000612A0000}"/>
    <cellStyle name="Comma 6 3 3 3 3 2" xfId="35322" xr:uid="{00000000-0005-0000-0000-0000622A0000}"/>
    <cellStyle name="Comma 6 3 3 3 4" xfId="18588" xr:uid="{00000000-0005-0000-0000-0000632A0000}"/>
    <cellStyle name="Comma 6 3 3 3 4 2" xfId="44141" xr:uid="{00000000-0005-0000-0000-0000642A0000}"/>
    <cellStyle name="Comma 6 3 3 3 5" xfId="30078" xr:uid="{00000000-0005-0000-0000-0000652A0000}"/>
    <cellStyle name="Comma 6 3 3 4" xfId="2016" xr:uid="{00000000-0005-0000-0000-0000662A0000}"/>
    <cellStyle name="Comma 6 3 3 4 2" xfId="11381" xr:uid="{00000000-0005-0000-0000-0000672A0000}"/>
    <cellStyle name="Comma 6 3 3 4 2 2" xfId="36936" xr:uid="{00000000-0005-0000-0000-0000682A0000}"/>
    <cellStyle name="Comma 6 3 3 4 3" xfId="21385" xr:uid="{00000000-0005-0000-0000-0000692A0000}"/>
    <cellStyle name="Comma 6 3 3 4 3 2" xfId="46938" xr:uid="{00000000-0005-0000-0000-00006A2A0000}"/>
    <cellStyle name="Comma 6 3 3 4 4" xfId="27868" xr:uid="{00000000-0005-0000-0000-00006B2A0000}"/>
    <cellStyle name="Comma 6 3 3 5" xfId="5962" xr:uid="{00000000-0005-0000-0000-00006C2A0000}"/>
    <cellStyle name="Comma 6 3 3 5 2" xfId="14789" xr:uid="{00000000-0005-0000-0000-00006D2A0000}"/>
    <cellStyle name="Comma 6 3 3 5 2 2" xfId="40344" xr:uid="{00000000-0005-0000-0000-00006E2A0000}"/>
    <cellStyle name="Comma 6 3 3 5 3" xfId="25040" xr:uid="{00000000-0005-0000-0000-00006F2A0000}"/>
    <cellStyle name="Comma 6 3 3 5 3 2" xfId="50593" xr:uid="{00000000-0005-0000-0000-0000702A0000}"/>
    <cellStyle name="Comma 6 3 3 5 4" xfId="31523" xr:uid="{00000000-0005-0000-0000-0000712A0000}"/>
    <cellStyle name="Comma 6 3 3 6" xfId="7406" xr:uid="{00000000-0005-0000-0000-0000722A0000}"/>
    <cellStyle name="Comma 6 3 3 6 2" xfId="19867" xr:uid="{00000000-0005-0000-0000-0000732A0000}"/>
    <cellStyle name="Comma 6 3 3 6 2 2" xfId="45420" xr:uid="{00000000-0005-0000-0000-0000742A0000}"/>
    <cellStyle name="Comma 6 3 3 6 3" xfId="32963" xr:uid="{00000000-0005-0000-0000-0000752A0000}"/>
    <cellStyle name="Comma 6 3 3 7" xfId="16378" xr:uid="{00000000-0005-0000-0000-0000762A0000}"/>
    <cellStyle name="Comma 6 3 3 7 2" xfId="41931" xr:uid="{00000000-0005-0000-0000-0000772A0000}"/>
    <cellStyle name="Comma 6 3 3 8" xfId="26350" xr:uid="{00000000-0005-0000-0000-0000782A0000}"/>
    <cellStyle name="Comma 6 3 4" xfId="691" xr:uid="{00000000-0005-0000-0000-0000792A0000}"/>
    <cellStyle name="Comma 6 3 4 2" xfId="3177" xr:uid="{00000000-0005-0000-0000-00007A2A0000}"/>
    <cellStyle name="Comma 6 3 4 2 2" xfId="12320" xr:uid="{00000000-0005-0000-0000-00007B2A0000}"/>
    <cellStyle name="Comma 6 3 4 2 2 2" xfId="22538" xr:uid="{00000000-0005-0000-0000-00007C2A0000}"/>
    <cellStyle name="Comma 6 3 4 2 2 2 2" xfId="48091" xr:uid="{00000000-0005-0000-0000-00007D2A0000}"/>
    <cellStyle name="Comma 6 3 4 2 2 3" xfId="37875" xr:uid="{00000000-0005-0000-0000-00007E2A0000}"/>
    <cellStyle name="Comma 6 3 4 2 3" xfId="8742" xr:uid="{00000000-0005-0000-0000-00007F2A0000}"/>
    <cellStyle name="Comma 6 3 4 2 3 2" xfId="34299" xr:uid="{00000000-0005-0000-0000-0000802A0000}"/>
    <cellStyle name="Comma 6 3 4 2 4" xfId="17531" xr:uid="{00000000-0005-0000-0000-0000812A0000}"/>
    <cellStyle name="Comma 6 3 4 2 4 2" xfId="43084" xr:uid="{00000000-0005-0000-0000-0000822A0000}"/>
    <cellStyle name="Comma 6 3 4 2 5" xfId="29021" xr:uid="{00000000-0005-0000-0000-0000832A0000}"/>
    <cellStyle name="Comma 6 3 4 3" xfId="4855" xr:uid="{00000000-0005-0000-0000-0000842A0000}"/>
    <cellStyle name="Comma 6 3 4 3 2" xfId="13692" xr:uid="{00000000-0005-0000-0000-0000852A0000}"/>
    <cellStyle name="Comma 6 3 4 3 2 2" xfId="23943" xr:uid="{00000000-0005-0000-0000-0000862A0000}"/>
    <cellStyle name="Comma 6 3 4 3 2 2 2" xfId="49496" xr:uid="{00000000-0005-0000-0000-0000872A0000}"/>
    <cellStyle name="Comma 6 3 4 3 2 3" xfId="39247" xr:uid="{00000000-0005-0000-0000-0000882A0000}"/>
    <cellStyle name="Comma 6 3 4 3 3" xfId="10113" xr:uid="{00000000-0005-0000-0000-0000892A0000}"/>
    <cellStyle name="Comma 6 3 4 3 3 2" xfId="35670" xr:uid="{00000000-0005-0000-0000-00008A2A0000}"/>
    <cellStyle name="Comma 6 3 4 3 4" xfId="18936" xr:uid="{00000000-0005-0000-0000-00008B2A0000}"/>
    <cellStyle name="Comma 6 3 4 3 4 2" xfId="44489" xr:uid="{00000000-0005-0000-0000-00008C2A0000}"/>
    <cellStyle name="Comma 6 3 4 3 5" xfId="30426" xr:uid="{00000000-0005-0000-0000-00008D2A0000}"/>
    <cellStyle name="Comma 6 3 4 4" xfId="2286" xr:uid="{00000000-0005-0000-0000-00008E2A0000}"/>
    <cellStyle name="Comma 6 3 4 4 2" xfId="11651" xr:uid="{00000000-0005-0000-0000-00008F2A0000}"/>
    <cellStyle name="Comma 6 3 4 4 2 2" xfId="37206" xr:uid="{00000000-0005-0000-0000-0000902A0000}"/>
    <cellStyle name="Comma 6 3 4 4 3" xfId="21655" xr:uid="{00000000-0005-0000-0000-0000912A0000}"/>
    <cellStyle name="Comma 6 3 4 4 3 2" xfId="47208" xr:uid="{00000000-0005-0000-0000-0000922A0000}"/>
    <cellStyle name="Comma 6 3 4 4 4" xfId="28138" xr:uid="{00000000-0005-0000-0000-0000932A0000}"/>
    <cellStyle name="Comma 6 3 4 5" xfId="6310" xr:uid="{00000000-0005-0000-0000-0000942A0000}"/>
    <cellStyle name="Comma 6 3 4 5 2" xfId="15137" xr:uid="{00000000-0005-0000-0000-0000952A0000}"/>
    <cellStyle name="Comma 6 3 4 5 2 2" xfId="40692" xr:uid="{00000000-0005-0000-0000-0000962A0000}"/>
    <cellStyle name="Comma 6 3 4 5 3" xfId="25388" xr:uid="{00000000-0005-0000-0000-0000972A0000}"/>
    <cellStyle name="Comma 6 3 4 5 3 2" xfId="50941" xr:uid="{00000000-0005-0000-0000-0000982A0000}"/>
    <cellStyle name="Comma 6 3 4 5 4" xfId="31871" xr:uid="{00000000-0005-0000-0000-0000992A0000}"/>
    <cellStyle name="Comma 6 3 4 6" xfId="7756" xr:uid="{00000000-0005-0000-0000-00009A2A0000}"/>
    <cellStyle name="Comma 6 3 4 6 2" xfId="20137" xr:uid="{00000000-0005-0000-0000-00009B2A0000}"/>
    <cellStyle name="Comma 6 3 4 6 2 2" xfId="45690" xr:uid="{00000000-0005-0000-0000-00009C2A0000}"/>
    <cellStyle name="Comma 6 3 4 6 3" xfId="33313" xr:uid="{00000000-0005-0000-0000-00009D2A0000}"/>
    <cellStyle name="Comma 6 3 4 7" xfId="16648" xr:uid="{00000000-0005-0000-0000-00009E2A0000}"/>
    <cellStyle name="Comma 6 3 4 7 2" xfId="42201" xr:uid="{00000000-0005-0000-0000-00009F2A0000}"/>
    <cellStyle name="Comma 6 3 4 8" xfId="26620" xr:uid="{00000000-0005-0000-0000-0000A02A0000}"/>
    <cellStyle name="Comma 6 3 5" xfId="1193" xr:uid="{00000000-0005-0000-0000-0000A12A0000}"/>
    <cellStyle name="Comma 6 3 5 2" xfId="3622" xr:uid="{00000000-0005-0000-0000-0000A22A0000}"/>
    <cellStyle name="Comma 6 3 5 2 2" xfId="12758" xr:uid="{00000000-0005-0000-0000-0000A32A0000}"/>
    <cellStyle name="Comma 6 3 5 2 2 2" xfId="22977" xr:uid="{00000000-0005-0000-0000-0000A42A0000}"/>
    <cellStyle name="Comma 6 3 5 2 2 2 2" xfId="48530" xr:uid="{00000000-0005-0000-0000-0000A52A0000}"/>
    <cellStyle name="Comma 6 3 5 2 2 3" xfId="38313" xr:uid="{00000000-0005-0000-0000-0000A62A0000}"/>
    <cellStyle name="Comma 6 3 5 2 3" xfId="9179" xr:uid="{00000000-0005-0000-0000-0000A72A0000}"/>
    <cellStyle name="Comma 6 3 5 2 3 2" xfId="34736" xr:uid="{00000000-0005-0000-0000-0000A82A0000}"/>
    <cellStyle name="Comma 6 3 5 2 4" xfId="17970" xr:uid="{00000000-0005-0000-0000-0000A92A0000}"/>
    <cellStyle name="Comma 6 3 5 2 4 2" xfId="43523" xr:uid="{00000000-0005-0000-0000-0000AA2A0000}"/>
    <cellStyle name="Comma 6 3 5 2 5" xfId="29460" xr:uid="{00000000-0005-0000-0000-0000AB2A0000}"/>
    <cellStyle name="Comma 6 3 5 3" xfId="5285" xr:uid="{00000000-0005-0000-0000-0000AC2A0000}"/>
    <cellStyle name="Comma 6 3 5 3 2" xfId="14122" xr:uid="{00000000-0005-0000-0000-0000AD2A0000}"/>
    <cellStyle name="Comma 6 3 5 3 2 2" xfId="24373" xr:uid="{00000000-0005-0000-0000-0000AE2A0000}"/>
    <cellStyle name="Comma 6 3 5 3 2 2 2" xfId="49926" xr:uid="{00000000-0005-0000-0000-0000AF2A0000}"/>
    <cellStyle name="Comma 6 3 5 3 2 3" xfId="39677" xr:uid="{00000000-0005-0000-0000-0000B02A0000}"/>
    <cellStyle name="Comma 6 3 5 3 3" xfId="10543" xr:uid="{00000000-0005-0000-0000-0000B12A0000}"/>
    <cellStyle name="Comma 6 3 5 3 3 2" xfId="36100" xr:uid="{00000000-0005-0000-0000-0000B22A0000}"/>
    <cellStyle name="Comma 6 3 5 3 4" xfId="19366" xr:uid="{00000000-0005-0000-0000-0000B32A0000}"/>
    <cellStyle name="Comma 6 3 5 3 4 2" xfId="44919" xr:uid="{00000000-0005-0000-0000-0000B42A0000}"/>
    <cellStyle name="Comma 6 3 5 3 5" xfId="30856" xr:uid="{00000000-0005-0000-0000-0000B52A0000}"/>
    <cellStyle name="Comma 6 3 5 4" xfId="1795" xr:uid="{00000000-0005-0000-0000-0000B62A0000}"/>
    <cellStyle name="Comma 6 3 5 4 2" xfId="11164" xr:uid="{00000000-0005-0000-0000-0000B72A0000}"/>
    <cellStyle name="Comma 6 3 5 4 2 2" xfId="36719" xr:uid="{00000000-0005-0000-0000-0000B82A0000}"/>
    <cellStyle name="Comma 6 3 5 4 3" xfId="21168" xr:uid="{00000000-0005-0000-0000-0000B92A0000}"/>
    <cellStyle name="Comma 6 3 5 4 3 2" xfId="46721" xr:uid="{00000000-0005-0000-0000-0000BA2A0000}"/>
    <cellStyle name="Comma 6 3 5 4 4" xfId="27651" xr:uid="{00000000-0005-0000-0000-0000BB2A0000}"/>
    <cellStyle name="Comma 6 3 5 5" xfId="6740" xr:uid="{00000000-0005-0000-0000-0000BC2A0000}"/>
    <cellStyle name="Comma 6 3 5 5 2" xfId="15567" xr:uid="{00000000-0005-0000-0000-0000BD2A0000}"/>
    <cellStyle name="Comma 6 3 5 5 2 2" xfId="41122" xr:uid="{00000000-0005-0000-0000-0000BE2A0000}"/>
    <cellStyle name="Comma 6 3 5 5 3" xfId="25818" xr:uid="{00000000-0005-0000-0000-0000BF2A0000}"/>
    <cellStyle name="Comma 6 3 5 5 3 2" xfId="51371" xr:uid="{00000000-0005-0000-0000-0000C02A0000}"/>
    <cellStyle name="Comma 6 3 5 5 4" xfId="32301" xr:uid="{00000000-0005-0000-0000-0000C12A0000}"/>
    <cellStyle name="Comma 6 3 5 6" xfId="8186" xr:uid="{00000000-0005-0000-0000-0000C22A0000}"/>
    <cellStyle name="Comma 6 3 5 6 2" xfId="20576" xr:uid="{00000000-0005-0000-0000-0000C32A0000}"/>
    <cellStyle name="Comma 6 3 5 6 2 2" xfId="46129" xr:uid="{00000000-0005-0000-0000-0000C42A0000}"/>
    <cellStyle name="Comma 6 3 5 6 3" xfId="33743" xr:uid="{00000000-0005-0000-0000-0000C52A0000}"/>
    <cellStyle name="Comma 6 3 5 7" xfId="16161" xr:uid="{00000000-0005-0000-0000-0000C62A0000}"/>
    <cellStyle name="Comma 6 3 5 7 2" xfId="41714" xr:uid="{00000000-0005-0000-0000-0000C72A0000}"/>
    <cellStyle name="Comma 6 3 5 8" xfId="27059" xr:uid="{00000000-0005-0000-0000-0000C82A0000}"/>
    <cellStyle name="Comma 6 3 6" xfId="2690" xr:uid="{00000000-0005-0000-0000-0000C92A0000}"/>
    <cellStyle name="Comma 6 3 6 2" xfId="12007" xr:uid="{00000000-0005-0000-0000-0000CA2A0000}"/>
    <cellStyle name="Comma 6 3 6 2 2" xfId="22051" xr:uid="{00000000-0005-0000-0000-0000CB2A0000}"/>
    <cellStyle name="Comma 6 3 6 2 2 2" xfId="47604" xr:uid="{00000000-0005-0000-0000-0000CC2A0000}"/>
    <cellStyle name="Comma 6 3 6 2 3" xfId="37562" xr:uid="{00000000-0005-0000-0000-0000CD2A0000}"/>
    <cellStyle name="Comma 6 3 6 3" xfId="8439" xr:uid="{00000000-0005-0000-0000-0000CE2A0000}"/>
    <cellStyle name="Comma 6 3 6 3 2" xfId="33996" xr:uid="{00000000-0005-0000-0000-0000CF2A0000}"/>
    <cellStyle name="Comma 6 3 6 4" xfId="17044" xr:uid="{00000000-0005-0000-0000-0000D02A0000}"/>
    <cellStyle name="Comma 6 3 6 4 2" xfId="42597" xr:uid="{00000000-0005-0000-0000-0000D12A0000}"/>
    <cellStyle name="Comma 6 3 6 5" xfId="28534" xr:uid="{00000000-0005-0000-0000-0000D22A0000}"/>
    <cellStyle name="Comma 6 3 7" xfId="4241" xr:uid="{00000000-0005-0000-0000-0000D32A0000}"/>
    <cellStyle name="Comma 6 3 7 2" xfId="13079" xr:uid="{00000000-0005-0000-0000-0000D42A0000}"/>
    <cellStyle name="Comma 6 3 7 2 2" xfId="23330" xr:uid="{00000000-0005-0000-0000-0000D52A0000}"/>
    <cellStyle name="Comma 6 3 7 2 2 2" xfId="48883" xr:uid="{00000000-0005-0000-0000-0000D62A0000}"/>
    <cellStyle name="Comma 6 3 7 2 3" xfId="38634" xr:uid="{00000000-0005-0000-0000-0000D72A0000}"/>
    <cellStyle name="Comma 6 3 7 3" xfId="9500" xr:uid="{00000000-0005-0000-0000-0000D82A0000}"/>
    <cellStyle name="Comma 6 3 7 3 2" xfId="35057" xr:uid="{00000000-0005-0000-0000-0000D92A0000}"/>
    <cellStyle name="Comma 6 3 7 4" xfId="18323" xr:uid="{00000000-0005-0000-0000-0000DA2A0000}"/>
    <cellStyle name="Comma 6 3 7 4 2" xfId="43876" xr:uid="{00000000-0005-0000-0000-0000DB2A0000}"/>
    <cellStyle name="Comma 6 3 7 5" xfId="29813" xr:uid="{00000000-0005-0000-0000-0000DC2A0000}"/>
    <cellStyle name="Comma 6 3 8" xfId="1513" xr:uid="{00000000-0005-0000-0000-0000DD2A0000}"/>
    <cellStyle name="Comma 6 3 8 2" xfId="10890" xr:uid="{00000000-0005-0000-0000-0000DE2A0000}"/>
    <cellStyle name="Comma 6 3 8 2 2" xfId="36445" xr:uid="{00000000-0005-0000-0000-0000DF2A0000}"/>
    <cellStyle name="Comma 6 3 8 3" xfId="20894" xr:uid="{00000000-0005-0000-0000-0000E02A0000}"/>
    <cellStyle name="Comma 6 3 8 3 2" xfId="46447" xr:uid="{00000000-0005-0000-0000-0000E12A0000}"/>
    <cellStyle name="Comma 6 3 8 4" xfId="27377" xr:uid="{00000000-0005-0000-0000-0000E22A0000}"/>
    <cellStyle name="Comma 6 3 9" xfId="5697" xr:uid="{00000000-0005-0000-0000-0000E32A0000}"/>
    <cellStyle name="Comma 6 3 9 2" xfId="14524" xr:uid="{00000000-0005-0000-0000-0000E42A0000}"/>
    <cellStyle name="Comma 6 3 9 2 2" xfId="40079" xr:uid="{00000000-0005-0000-0000-0000E52A0000}"/>
    <cellStyle name="Comma 6 3 9 3" xfId="24775" xr:uid="{00000000-0005-0000-0000-0000E62A0000}"/>
    <cellStyle name="Comma 6 3 9 3 2" xfId="50328" xr:uid="{00000000-0005-0000-0000-0000E72A0000}"/>
    <cellStyle name="Comma 6 3 9 4" xfId="31258" xr:uid="{00000000-0005-0000-0000-0000E82A0000}"/>
    <cellStyle name="Comma 6 4" xfId="241" xr:uid="{00000000-0005-0000-0000-0000E92A0000}"/>
    <cellStyle name="Comma 6 4 10" xfId="7079" xr:uid="{00000000-0005-0000-0000-0000EA2A0000}"/>
    <cellStyle name="Comma 6 4 10 2" xfId="19693" xr:uid="{00000000-0005-0000-0000-0000EB2A0000}"/>
    <cellStyle name="Comma 6 4 10 2 2" xfId="45246" xr:uid="{00000000-0005-0000-0000-0000EC2A0000}"/>
    <cellStyle name="Comma 6 4 10 3" xfId="32636" xr:uid="{00000000-0005-0000-0000-0000ED2A0000}"/>
    <cellStyle name="Comma 6 4 11" xfId="15825" xr:uid="{00000000-0005-0000-0000-0000EE2A0000}"/>
    <cellStyle name="Comma 6 4 11 2" xfId="41378" xr:uid="{00000000-0005-0000-0000-0000EF2A0000}"/>
    <cellStyle name="Comma 6 4 12" xfId="26176" xr:uid="{00000000-0005-0000-0000-0000F02A0000}"/>
    <cellStyle name="Comma 6 4 2" xfId="564" xr:uid="{00000000-0005-0000-0000-0000F12A0000}"/>
    <cellStyle name="Comma 6 4 2 10" xfId="26493" xr:uid="{00000000-0005-0000-0000-0000F22A0000}"/>
    <cellStyle name="Comma 6 4 2 2" xfId="694" xr:uid="{00000000-0005-0000-0000-0000F32A0000}"/>
    <cellStyle name="Comma 6 4 2 2 2" xfId="3180" xr:uid="{00000000-0005-0000-0000-0000F42A0000}"/>
    <cellStyle name="Comma 6 4 2 2 2 2" xfId="12323" xr:uid="{00000000-0005-0000-0000-0000F52A0000}"/>
    <cellStyle name="Comma 6 4 2 2 2 2 2" xfId="22541" xr:uid="{00000000-0005-0000-0000-0000F62A0000}"/>
    <cellStyle name="Comma 6 4 2 2 2 2 2 2" xfId="48094" xr:uid="{00000000-0005-0000-0000-0000F72A0000}"/>
    <cellStyle name="Comma 6 4 2 2 2 2 3" xfId="37878" xr:uid="{00000000-0005-0000-0000-0000F82A0000}"/>
    <cellStyle name="Comma 6 4 2 2 2 3" xfId="8745" xr:uid="{00000000-0005-0000-0000-0000F92A0000}"/>
    <cellStyle name="Comma 6 4 2 2 2 3 2" xfId="34302" xr:uid="{00000000-0005-0000-0000-0000FA2A0000}"/>
    <cellStyle name="Comma 6 4 2 2 2 4" xfId="17534" xr:uid="{00000000-0005-0000-0000-0000FB2A0000}"/>
    <cellStyle name="Comma 6 4 2 2 2 4 2" xfId="43087" xr:uid="{00000000-0005-0000-0000-0000FC2A0000}"/>
    <cellStyle name="Comma 6 4 2 2 2 5" xfId="29024" xr:uid="{00000000-0005-0000-0000-0000FD2A0000}"/>
    <cellStyle name="Comma 6 4 2 2 3" xfId="4509" xr:uid="{00000000-0005-0000-0000-0000FE2A0000}"/>
    <cellStyle name="Comma 6 4 2 2 3 2" xfId="13347" xr:uid="{00000000-0005-0000-0000-0000FF2A0000}"/>
    <cellStyle name="Comma 6 4 2 2 3 2 2" xfId="23598" xr:uid="{00000000-0005-0000-0000-0000002B0000}"/>
    <cellStyle name="Comma 6 4 2 2 3 2 2 2" xfId="49151" xr:uid="{00000000-0005-0000-0000-0000012B0000}"/>
    <cellStyle name="Comma 6 4 2 2 3 2 3" xfId="38902" xr:uid="{00000000-0005-0000-0000-0000022B0000}"/>
    <cellStyle name="Comma 6 4 2 2 3 3" xfId="9768" xr:uid="{00000000-0005-0000-0000-0000032B0000}"/>
    <cellStyle name="Comma 6 4 2 2 3 3 2" xfId="35325" xr:uid="{00000000-0005-0000-0000-0000042B0000}"/>
    <cellStyle name="Comma 6 4 2 2 3 4" xfId="18591" xr:uid="{00000000-0005-0000-0000-0000052B0000}"/>
    <cellStyle name="Comma 6 4 2 2 3 4 2" xfId="44144" xr:uid="{00000000-0005-0000-0000-0000062B0000}"/>
    <cellStyle name="Comma 6 4 2 2 3 5" xfId="30081" xr:uid="{00000000-0005-0000-0000-0000072B0000}"/>
    <cellStyle name="Comma 6 4 2 2 4" xfId="2289" xr:uid="{00000000-0005-0000-0000-0000082B0000}"/>
    <cellStyle name="Comma 6 4 2 2 4 2" xfId="11654" xr:uid="{00000000-0005-0000-0000-0000092B0000}"/>
    <cellStyle name="Comma 6 4 2 2 4 2 2" xfId="37209" xr:uid="{00000000-0005-0000-0000-00000A2B0000}"/>
    <cellStyle name="Comma 6 4 2 2 4 3" xfId="21658" xr:uid="{00000000-0005-0000-0000-00000B2B0000}"/>
    <cellStyle name="Comma 6 4 2 2 4 3 2" xfId="47211" xr:uid="{00000000-0005-0000-0000-00000C2B0000}"/>
    <cellStyle name="Comma 6 4 2 2 4 4" xfId="28141" xr:uid="{00000000-0005-0000-0000-00000D2B0000}"/>
    <cellStyle name="Comma 6 4 2 2 5" xfId="5965" xr:uid="{00000000-0005-0000-0000-00000E2B0000}"/>
    <cellStyle name="Comma 6 4 2 2 5 2" xfId="14792" xr:uid="{00000000-0005-0000-0000-00000F2B0000}"/>
    <cellStyle name="Comma 6 4 2 2 5 2 2" xfId="40347" xr:uid="{00000000-0005-0000-0000-0000102B0000}"/>
    <cellStyle name="Comma 6 4 2 2 5 3" xfId="25043" xr:uid="{00000000-0005-0000-0000-0000112B0000}"/>
    <cellStyle name="Comma 6 4 2 2 5 3 2" xfId="50596" xr:uid="{00000000-0005-0000-0000-0000122B0000}"/>
    <cellStyle name="Comma 6 4 2 2 5 4" xfId="31526" xr:uid="{00000000-0005-0000-0000-0000132B0000}"/>
    <cellStyle name="Comma 6 4 2 2 6" xfId="7409" xr:uid="{00000000-0005-0000-0000-0000142B0000}"/>
    <cellStyle name="Comma 6 4 2 2 6 2" xfId="20140" xr:uid="{00000000-0005-0000-0000-0000152B0000}"/>
    <cellStyle name="Comma 6 4 2 2 6 2 2" xfId="45693" xr:uid="{00000000-0005-0000-0000-0000162B0000}"/>
    <cellStyle name="Comma 6 4 2 2 6 3" xfId="32966" xr:uid="{00000000-0005-0000-0000-0000172B0000}"/>
    <cellStyle name="Comma 6 4 2 2 7" xfId="16651" xr:uid="{00000000-0005-0000-0000-0000182B0000}"/>
    <cellStyle name="Comma 6 4 2 2 7 2" xfId="42204" xr:uid="{00000000-0005-0000-0000-0000192B0000}"/>
    <cellStyle name="Comma 6 4 2 2 8" xfId="26623" xr:uid="{00000000-0005-0000-0000-00001A2B0000}"/>
    <cellStyle name="Comma 6 4 2 3" xfId="1336" xr:uid="{00000000-0005-0000-0000-00001B2B0000}"/>
    <cellStyle name="Comma 6 4 2 3 2" xfId="3765" xr:uid="{00000000-0005-0000-0000-00001C2B0000}"/>
    <cellStyle name="Comma 6 4 2 3 2 2" xfId="12901" xr:uid="{00000000-0005-0000-0000-00001D2B0000}"/>
    <cellStyle name="Comma 6 4 2 3 2 2 2" xfId="23120" xr:uid="{00000000-0005-0000-0000-00001E2B0000}"/>
    <cellStyle name="Comma 6 4 2 3 2 2 2 2" xfId="48673" xr:uid="{00000000-0005-0000-0000-00001F2B0000}"/>
    <cellStyle name="Comma 6 4 2 3 2 2 3" xfId="38456" xr:uid="{00000000-0005-0000-0000-0000202B0000}"/>
    <cellStyle name="Comma 6 4 2 3 2 3" xfId="9322" xr:uid="{00000000-0005-0000-0000-0000212B0000}"/>
    <cellStyle name="Comma 6 4 2 3 2 3 2" xfId="34879" xr:uid="{00000000-0005-0000-0000-0000222B0000}"/>
    <cellStyle name="Comma 6 4 2 3 2 4" xfId="18113" xr:uid="{00000000-0005-0000-0000-0000232B0000}"/>
    <cellStyle name="Comma 6 4 2 3 2 4 2" xfId="43666" xr:uid="{00000000-0005-0000-0000-0000242B0000}"/>
    <cellStyle name="Comma 6 4 2 3 2 5" xfId="29603" xr:uid="{00000000-0005-0000-0000-0000252B0000}"/>
    <cellStyle name="Comma 6 4 2 3 3" xfId="4858" xr:uid="{00000000-0005-0000-0000-0000262B0000}"/>
    <cellStyle name="Comma 6 4 2 3 3 2" xfId="13695" xr:uid="{00000000-0005-0000-0000-0000272B0000}"/>
    <cellStyle name="Comma 6 4 2 3 3 2 2" xfId="23946" xr:uid="{00000000-0005-0000-0000-0000282B0000}"/>
    <cellStyle name="Comma 6 4 2 3 3 2 2 2" xfId="49499" xr:uid="{00000000-0005-0000-0000-0000292B0000}"/>
    <cellStyle name="Comma 6 4 2 3 3 2 3" xfId="39250" xr:uid="{00000000-0005-0000-0000-00002A2B0000}"/>
    <cellStyle name="Comma 6 4 2 3 3 3" xfId="10116" xr:uid="{00000000-0005-0000-0000-00002B2B0000}"/>
    <cellStyle name="Comma 6 4 2 3 3 3 2" xfId="35673" xr:uid="{00000000-0005-0000-0000-00002C2B0000}"/>
    <cellStyle name="Comma 6 4 2 3 3 4" xfId="18939" xr:uid="{00000000-0005-0000-0000-00002D2B0000}"/>
    <cellStyle name="Comma 6 4 2 3 3 4 2" xfId="44492" xr:uid="{00000000-0005-0000-0000-00002E2B0000}"/>
    <cellStyle name="Comma 6 4 2 3 3 5" xfId="30429" xr:uid="{00000000-0005-0000-0000-00002F2B0000}"/>
    <cellStyle name="Comma 6 4 2 3 4" xfId="2159" xr:uid="{00000000-0005-0000-0000-0000302B0000}"/>
    <cellStyle name="Comma 6 4 2 3 4 2" xfId="11524" xr:uid="{00000000-0005-0000-0000-0000312B0000}"/>
    <cellStyle name="Comma 6 4 2 3 4 2 2" xfId="37079" xr:uid="{00000000-0005-0000-0000-0000322B0000}"/>
    <cellStyle name="Comma 6 4 2 3 4 3" xfId="21528" xr:uid="{00000000-0005-0000-0000-0000332B0000}"/>
    <cellStyle name="Comma 6 4 2 3 4 3 2" xfId="47081" xr:uid="{00000000-0005-0000-0000-0000342B0000}"/>
    <cellStyle name="Comma 6 4 2 3 4 4" xfId="28011" xr:uid="{00000000-0005-0000-0000-0000352B0000}"/>
    <cellStyle name="Comma 6 4 2 3 5" xfId="6313" xr:uid="{00000000-0005-0000-0000-0000362B0000}"/>
    <cellStyle name="Comma 6 4 2 3 5 2" xfId="15140" xr:uid="{00000000-0005-0000-0000-0000372B0000}"/>
    <cellStyle name="Comma 6 4 2 3 5 2 2" xfId="40695" xr:uid="{00000000-0005-0000-0000-0000382B0000}"/>
    <cellStyle name="Comma 6 4 2 3 5 3" xfId="25391" xr:uid="{00000000-0005-0000-0000-0000392B0000}"/>
    <cellStyle name="Comma 6 4 2 3 5 3 2" xfId="50944" xr:uid="{00000000-0005-0000-0000-00003A2B0000}"/>
    <cellStyle name="Comma 6 4 2 3 5 4" xfId="31874" xr:uid="{00000000-0005-0000-0000-00003B2B0000}"/>
    <cellStyle name="Comma 6 4 2 3 6" xfId="7759" xr:uid="{00000000-0005-0000-0000-00003C2B0000}"/>
    <cellStyle name="Comma 6 4 2 3 6 2" xfId="20719" xr:uid="{00000000-0005-0000-0000-00003D2B0000}"/>
    <cellStyle name="Comma 6 4 2 3 6 2 2" xfId="46272" xr:uid="{00000000-0005-0000-0000-00003E2B0000}"/>
    <cellStyle name="Comma 6 4 2 3 6 3" xfId="33316" xr:uid="{00000000-0005-0000-0000-00003F2B0000}"/>
    <cellStyle name="Comma 6 4 2 3 7" xfId="16521" xr:uid="{00000000-0005-0000-0000-0000402B0000}"/>
    <cellStyle name="Comma 6 4 2 3 7 2" xfId="42074" xr:uid="{00000000-0005-0000-0000-0000412B0000}"/>
    <cellStyle name="Comma 6 4 2 3 8" xfId="27202" xr:uid="{00000000-0005-0000-0000-0000422B0000}"/>
    <cellStyle name="Comma 6 4 2 4" xfId="3050" xr:uid="{00000000-0005-0000-0000-0000432B0000}"/>
    <cellStyle name="Comma 6 4 2 4 2" xfId="5428" xr:uid="{00000000-0005-0000-0000-0000442B0000}"/>
    <cellStyle name="Comma 6 4 2 4 2 2" xfId="14265" xr:uid="{00000000-0005-0000-0000-0000452B0000}"/>
    <cellStyle name="Comma 6 4 2 4 2 2 2" xfId="24516" xr:uid="{00000000-0005-0000-0000-0000462B0000}"/>
    <cellStyle name="Comma 6 4 2 4 2 2 2 2" xfId="50069" xr:uid="{00000000-0005-0000-0000-0000472B0000}"/>
    <cellStyle name="Comma 6 4 2 4 2 2 3" xfId="39820" xr:uid="{00000000-0005-0000-0000-0000482B0000}"/>
    <cellStyle name="Comma 6 4 2 4 2 3" xfId="10686" xr:uid="{00000000-0005-0000-0000-0000492B0000}"/>
    <cellStyle name="Comma 6 4 2 4 2 3 2" xfId="36243" xr:uid="{00000000-0005-0000-0000-00004A2B0000}"/>
    <cellStyle name="Comma 6 4 2 4 2 4" xfId="19509" xr:uid="{00000000-0005-0000-0000-00004B2B0000}"/>
    <cellStyle name="Comma 6 4 2 4 2 4 2" xfId="45062" xr:uid="{00000000-0005-0000-0000-00004C2B0000}"/>
    <cellStyle name="Comma 6 4 2 4 2 5" xfId="30999" xr:uid="{00000000-0005-0000-0000-00004D2B0000}"/>
    <cellStyle name="Comma 6 4 2 4 3" xfId="6883" xr:uid="{00000000-0005-0000-0000-00004E2B0000}"/>
    <cellStyle name="Comma 6 4 2 4 3 2" xfId="15710" xr:uid="{00000000-0005-0000-0000-00004F2B0000}"/>
    <cellStyle name="Comma 6 4 2 4 3 2 2" xfId="41265" xr:uid="{00000000-0005-0000-0000-0000502B0000}"/>
    <cellStyle name="Comma 6 4 2 4 3 3" xfId="25961" xr:uid="{00000000-0005-0000-0000-0000512B0000}"/>
    <cellStyle name="Comma 6 4 2 4 3 3 2" xfId="51514" xr:uid="{00000000-0005-0000-0000-0000522B0000}"/>
    <cellStyle name="Comma 6 4 2 4 3 4" xfId="32444" xr:uid="{00000000-0005-0000-0000-0000532B0000}"/>
    <cellStyle name="Comma 6 4 2 4 4" xfId="8329" xr:uid="{00000000-0005-0000-0000-0000542B0000}"/>
    <cellStyle name="Comma 6 4 2 4 4 2" xfId="22411" xr:uid="{00000000-0005-0000-0000-0000552B0000}"/>
    <cellStyle name="Comma 6 4 2 4 4 2 2" xfId="47964" xr:uid="{00000000-0005-0000-0000-0000562B0000}"/>
    <cellStyle name="Comma 6 4 2 4 4 3" xfId="33886" xr:uid="{00000000-0005-0000-0000-0000572B0000}"/>
    <cellStyle name="Comma 6 4 2 4 5" xfId="17404" xr:uid="{00000000-0005-0000-0000-0000582B0000}"/>
    <cellStyle name="Comma 6 4 2 4 5 2" xfId="42957" xr:uid="{00000000-0005-0000-0000-0000592B0000}"/>
    <cellStyle name="Comma 6 4 2 4 6" xfId="28894" xr:uid="{00000000-0005-0000-0000-00005A2B0000}"/>
    <cellStyle name="Comma 6 4 2 5" xfId="4384" xr:uid="{00000000-0005-0000-0000-00005B2B0000}"/>
    <cellStyle name="Comma 6 4 2 5 2" xfId="13222" xr:uid="{00000000-0005-0000-0000-00005C2B0000}"/>
    <cellStyle name="Comma 6 4 2 5 2 2" xfId="23473" xr:uid="{00000000-0005-0000-0000-00005D2B0000}"/>
    <cellStyle name="Comma 6 4 2 5 2 2 2" xfId="49026" xr:uid="{00000000-0005-0000-0000-00005E2B0000}"/>
    <cellStyle name="Comma 6 4 2 5 2 3" xfId="38777" xr:uid="{00000000-0005-0000-0000-00005F2B0000}"/>
    <cellStyle name="Comma 6 4 2 5 3" xfId="9643" xr:uid="{00000000-0005-0000-0000-0000602B0000}"/>
    <cellStyle name="Comma 6 4 2 5 3 2" xfId="35200" xr:uid="{00000000-0005-0000-0000-0000612B0000}"/>
    <cellStyle name="Comma 6 4 2 5 4" xfId="18466" xr:uid="{00000000-0005-0000-0000-0000622B0000}"/>
    <cellStyle name="Comma 6 4 2 5 4 2" xfId="44019" xr:uid="{00000000-0005-0000-0000-0000632B0000}"/>
    <cellStyle name="Comma 6 4 2 5 5" xfId="29956" xr:uid="{00000000-0005-0000-0000-0000642B0000}"/>
    <cellStyle name="Comma 6 4 2 6" xfId="1656" xr:uid="{00000000-0005-0000-0000-0000652B0000}"/>
    <cellStyle name="Comma 6 4 2 6 2" xfId="11033" xr:uid="{00000000-0005-0000-0000-0000662B0000}"/>
    <cellStyle name="Comma 6 4 2 6 2 2" xfId="36588" xr:uid="{00000000-0005-0000-0000-0000672B0000}"/>
    <cellStyle name="Comma 6 4 2 6 3" xfId="21037" xr:uid="{00000000-0005-0000-0000-0000682B0000}"/>
    <cellStyle name="Comma 6 4 2 6 3 2" xfId="46590" xr:uid="{00000000-0005-0000-0000-0000692B0000}"/>
    <cellStyle name="Comma 6 4 2 6 4" xfId="27520" xr:uid="{00000000-0005-0000-0000-00006A2B0000}"/>
    <cellStyle name="Comma 6 4 2 7" xfId="5840" xr:uid="{00000000-0005-0000-0000-00006B2B0000}"/>
    <cellStyle name="Comma 6 4 2 7 2" xfId="14667" xr:uid="{00000000-0005-0000-0000-00006C2B0000}"/>
    <cellStyle name="Comma 6 4 2 7 2 2" xfId="40222" xr:uid="{00000000-0005-0000-0000-00006D2B0000}"/>
    <cellStyle name="Comma 6 4 2 7 3" xfId="24918" xr:uid="{00000000-0005-0000-0000-00006E2B0000}"/>
    <cellStyle name="Comma 6 4 2 7 3 2" xfId="50471" xr:uid="{00000000-0005-0000-0000-00006F2B0000}"/>
    <cellStyle name="Comma 6 4 2 7 4" xfId="31401" xr:uid="{00000000-0005-0000-0000-0000702B0000}"/>
    <cellStyle name="Comma 6 4 2 8" xfId="7284" xr:uid="{00000000-0005-0000-0000-0000712B0000}"/>
    <cellStyle name="Comma 6 4 2 8 2" xfId="20010" xr:uid="{00000000-0005-0000-0000-0000722B0000}"/>
    <cellStyle name="Comma 6 4 2 8 2 2" xfId="45563" xr:uid="{00000000-0005-0000-0000-0000732B0000}"/>
    <cellStyle name="Comma 6 4 2 8 3" xfId="32841" xr:uid="{00000000-0005-0000-0000-0000742B0000}"/>
    <cellStyle name="Comma 6 4 2 9" xfId="16030" xr:uid="{00000000-0005-0000-0000-0000752B0000}"/>
    <cellStyle name="Comma 6 4 2 9 2" xfId="41583" xr:uid="{00000000-0005-0000-0000-0000762B0000}"/>
    <cellStyle name="Comma 6 4 3" xfId="359" xr:uid="{00000000-0005-0000-0000-0000772B0000}"/>
    <cellStyle name="Comma 6 4 3 2" xfId="2845" xr:uid="{00000000-0005-0000-0000-0000782B0000}"/>
    <cellStyle name="Comma 6 4 3 2 2" xfId="12133" xr:uid="{00000000-0005-0000-0000-0000792B0000}"/>
    <cellStyle name="Comma 6 4 3 2 2 2" xfId="22206" xr:uid="{00000000-0005-0000-0000-00007A2B0000}"/>
    <cellStyle name="Comma 6 4 3 2 2 2 2" xfId="47759" xr:uid="{00000000-0005-0000-0000-00007B2B0000}"/>
    <cellStyle name="Comma 6 4 3 2 2 3" xfId="37688" xr:uid="{00000000-0005-0000-0000-00007C2B0000}"/>
    <cellStyle name="Comma 6 4 3 2 3" xfId="6961" xr:uid="{00000000-0005-0000-0000-00007D2B0000}"/>
    <cellStyle name="Comma 6 4 3 2 3 2" xfId="32519" xr:uid="{00000000-0005-0000-0000-00007E2B0000}"/>
    <cellStyle name="Comma 6 4 3 2 4" xfId="17199" xr:uid="{00000000-0005-0000-0000-00007F2B0000}"/>
    <cellStyle name="Comma 6 4 3 2 4 2" xfId="42752" xr:uid="{00000000-0005-0000-0000-0000802B0000}"/>
    <cellStyle name="Comma 6 4 3 2 5" xfId="28689" xr:uid="{00000000-0005-0000-0000-0000812B0000}"/>
    <cellStyle name="Comma 6 4 3 3" xfId="4508" xr:uid="{00000000-0005-0000-0000-0000822B0000}"/>
    <cellStyle name="Comma 6 4 3 3 2" xfId="13346" xr:uid="{00000000-0005-0000-0000-0000832B0000}"/>
    <cellStyle name="Comma 6 4 3 3 2 2" xfId="23597" xr:uid="{00000000-0005-0000-0000-0000842B0000}"/>
    <cellStyle name="Comma 6 4 3 3 2 2 2" xfId="49150" xr:uid="{00000000-0005-0000-0000-0000852B0000}"/>
    <cellStyle name="Comma 6 4 3 3 2 3" xfId="38901" xr:uid="{00000000-0005-0000-0000-0000862B0000}"/>
    <cellStyle name="Comma 6 4 3 3 3" xfId="9767" xr:uid="{00000000-0005-0000-0000-0000872B0000}"/>
    <cellStyle name="Comma 6 4 3 3 3 2" xfId="35324" xr:uid="{00000000-0005-0000-0000-0000882B0000}"/>
    <cellStyle name="Comma 6 4 3 3 4" xfId="18590" xr:uid="{00000000-0005-0000-0000-0000892B0000}"/>
    <cellStyle name="Comma 6 4 3 3 4 2" xfId="44143" xr:uid="{00000000-0005-0000-0000-00008A2B0000}"/>
    <cellStyle name="Comma 6 4 3 3 5" xfId="30080" xr:uid="{00000000-0005-0000-0000-00008B2B0000}"/>
    <cellStyle name="Comma 6 4 3 4" xfId="1954" xr:uid="{00000000-0005-0000-0000-00008C2B0000}"/>
    <cellStyle name="Comma 6 4 3 4 2" xfId="11319" xr:uid="{00000000-0005-0000-0000-00008D2B0000}"/>
    <cellStyle name="Comma 6 4 3 4 2 2" xfId="36874" xr:uid="{00000000-0005-0000-0000-00008E2B0000}"/>
    <cellStyle name="Comma 6 4 3 4 3" xfId="21323" xr:uid="{00000000-0005-0000-0000-00008F2B0000}"/>
    <cellStyle name="Comma 6 4 3 4 3 2" xfId="46876" xr:uid="{00000000-0005-0000-0000-0000902B0000}"/>
    <cellStyle name="Comma 6 4 3 4 4" xfId="27806" xr:uid="{00000000-0005-0000-0000-0000912B0000}"/>
    <cellStyle name="Comma 6 4 3 5" xfId="5964" xr:uid="{00000000-0005-0000-0000-0000922B0000}"/>
    <cellStyle name="Comma 6 4 3 5 2" xfId="14791" xr:uid="{00000000-0005-0000-0000-0000932B0000}"/>
    <cellStyle name="Comma 6 4 3 5 2 2" xfId="40346" xr:uid="{00000000-0005-0000-0000-0000942B0000}"/>
    <cellStyle name="Comma 6 4 3 5 3" xfId="25042" xr:uid="{00000000-0005-0000-0000-0000952B0000}"/>
    <cellStyle name="Comma 6 4 3 5 3 2" xfId="50595" xr:uid="{00000000-0005-0000-0000-0000962B0000}"/>
    <cellStyle name="Comma 6 4 3 5 4" xfId="31525" xr:uid="{00000000-0005-0000-0000-0000972B0000}"/>
    <cellStyle name="Comma 6 4 3 6" xfId="7408" xr:uid="{00000000-0005-0000-0000-0000982B0000}"/>
    <cellStyle name="Comma 6 4 3 6 2" xfId="19805" xr:uid="{00000000-0005-0000-0000-0000992B0000}"/>
    <cellStyle name="Comma 6 4 3 6 2 2" xfId="45358" xr:uid="{00000000-0005-0000-0000-00009A2B0000}"/>
    <cellStyle name="Comma 6 4 3 6 3" xfId="32965" xr:uid="{00000000-0005-0000-0000-00009B2B0000}"/>
    <cellStyle name="Comma 6 4 3 7" xfId="16316" xr:uid="{00000000-0005-0000-0000-00009C2B0000}"/>
    <cellStyle name="Comma 6 4 3 7 2" xfId="41869" xr:uid="{00000000-0005-0000-0000-00009D2B0000}"/>
    <cellStyle name="Comma 6 4 3 8" xfId="26288" xr:uid="{00000000-0005-0000-0000-00009E2B0000}"/>
    <cellStyle name="Comma 6 4 4" xfId="693" xr:uid="{00000000-0005-0000-0000-00009F2B0000}"/>
    <cellStyle name="Comma 6 4 4 2" xfId="3179" xr:uid="{00000000-0005-0000-0000-0000A02B0000}"/>
    <cellStyle name="Comma 6 4 4 2 2" xfId="12322" xr:uid="{00000000-0005-0000-0000-0000A12B0000}"/>
    <cellStyle name="Comma 6 4 4 2 2 2" xfId="22540" xr:uid="{00000000-0005-0000-0000-0000A22B0000}"/>
    <cellStyle name="Comma 6 4 4 2 2 2 2" xfId="48093" xr:uid="{00000000-0005-0000-0000-0000A32B0000}"/>
    <cellStyle name="Comma 6 4 4 2 2 3" xfId="37877" xr:uid="{00000000-0005-0000-0000-0000A42B0000}"/>
    <cellStyle name="Comma 6 4 4 2 3" xfId="8744" xr:uid="{00000000-0005-0000-0000-0000A52B0000}"/>
    <cellStyle name="Comma 6 4 4 2 3 2" xfId="34301" xr:uid="{00000000-0005-0000-0000-0000A62B0000}"/>
    <cellStyle name="Comma 6 4 4 2 4" xfId="17533" xr:uid="{00000000-0005-0000-0000-0000A72B0000}"/>
    <cellStyle name="Comma 6 4 4 2 4 2" xfId="43086" xr:uid="{00000000-0005-0000-0000-0000A82B0000}"/>
    <cellStyle name="Comma 6 4 4 2 5" xfId="29023" xr:uid="{00000000-0005-0000-0000-0000A92B0000}"/>
    <cellStyle name="Comma 6 4 4 3" xfId="4857" xr:uid="{00000000-0005-0000-0000-0000AA2B0000}"/>
    <cellStyle name="Comma 6 4 4 3 2" xfId="13694" xr:uid="{00000000-0005-0000-0000-0000AB2B0000}"/>
    <cellStyle name="Comma 6 4 4 3 2 2" xfId="23945" xr:uid="{00000000-0005-0000-0000-0000AC2B0000}"/>
    <cellStyle name="Comma 6 4 4 3 2 2 2" xfId="49498" xr:uid="{00000000-0005-0000-0000-0000AD2B0000}"/>
    <cellStyle name="Comma 6 4 4 3 2 3" xfId="39249" xr:uid="{00000000-0005-0000-0000-0000AE2B0000}"/>
    <cellStyle name="Comma 6 4 4 3 3" xfId="10115" xr:uid="{00000000-0005-0000-0000-0000AF2B0000}"/>
    <cellStyle name="Comma 6 4 4 3 3 2" xfId="35672" xr:uid="{00000000-0005-0000-0000-0000B02B0000}"/>
    <cellStyle name="Comma 6 4 4 3 4" xfId="18938" xr:uid="{00000000-0005-0000-0000-0000B12B0000}"/>
    <cellStyle name="Comma 6 4 4 3 4 2" xfId="44491" xr:uid="{00000000-0005-0000-0000-0000B22B0000}"/>
    <cellStyle name="Comma 6 4 4 3 5" xfId="30428" xr:uid="{00000000-0005-0000-0000-0000B32B0000}"/>
    <cellStyle name="Comma 6 4 4 4" xfId="2288" xr:uid="{00000000-0005-0000-0000-0000B42B0000}"/>
    <cellStyle name="Comma 6 4 4 4 2" xfId="11653" xr:uid="{00000000-0005-0000-0000-0000B52B0000}"/>
    <cellStyle name="Comma 6 4 4 4 2 2" xfId="37208" xr:uid="{00000000-0005-0000-0000-0000B62B0000}"/>
    <cellStyle name="Comma 6 4 4 4 3" xfId="21657" xr:uid="{00000000-0005-0000-0000-0000B72B0000}"/>
    <cellStyle name="Comma 6 4 4 4 3 2" xfId="47210" xr:uid="{00000000-0005-0000-0000-0000B82B0000}"/>
    <cellStyle name="Comma 6 4 4 4 4" xfId="28140" xr:uid="{00000000-0005-0000-0000-0000B92B0000}"/>
    <cellStyle name="Comma 6 4 4 5" xfId="6312" xr:uid="{00000000-0005-0000-0000-0000BA2B0000}"/>
    <cellStyle name="Comma 6 4 4 5 2" xfId="15139" xr:uid="{00000000-0005-0000-0000-0000BB2B0000}"/>
    <cellStyle name="Comma 6 4 4 5 2 2" xfId="40694" xr:uid="{00000000-0005-0000-0000-0000BC2B0000}"/>
    <cellStyle name="Comma 6 4 4 5 3" xfId="25390" xr:uid="{00000000-0005-0000-0000-0000BD2B0000}"/>
    <cellStyle name="Comma 6 4 4 5 3 2" xfId="50943" xr:uid="{00000000-0005-0000-0000-0000BE2B0000}"/>
    <cellStyle name="Comma 6 4 4 5 4" xfId="31873" xr:uid="{00000000-0005-0000-0000-0000BF2B0000}"/>
    <cellStyle name="Comma 6 4 4 6" xfId="7758" xr:uid="{00000000-0005-0000-0000-0000C02B0000}"/>
    <cellStyle name="Comma 6 4 4 6 2" xfId="20139" xr:uid="{00000000-0005-0000-0000-0000C12B0000}"/>
    <cellStyle name="Comma 6 4 4 6 2 2" xfId="45692" xr:uid="{00000000-0005-0000-0000-0000C22B0000}"/>
    <cellStyle name="Comma 6 4 4 6 3" xfId="33315" xr:uid="{00000000-0005-0000-0000-0000C32B0000}"/>
    <cellStyle name="Comma 6 4 4 7" xfId="16650" xr:uid="{00000000-0005-0000-0000-0000C42B0000}"/>
    <cellStyle name="Comma 6 4 4 7 2" xfId="42203" xr:uid="{00000000-0005-0000-0000-0000C52B0000}"/>
    <cellStyle name="Comma 6 4 4 8" xfId="26622" xr:uid="{00000000-0005-0000-0000-0000C62B0000}"/>
    <cellStyle name="Comma 6 4 5" xfId="1131" xr:uid="{00000000-0005-0000-0000-0000C72B0000}"/>
    <cellStyle name="Comma 6 4 5 2" xfId="3560" xr:uid="{00000000-0005-0000-0000-0000C82B0000}"/>
    <cellStyle name="Comma 6 4 5 2 2" xfId="12696" xr:uid="{00000000-0005-0000-0000-0000C92B0000}"/>
    <cellStyle name="Comma 6 4 5 2 2 2" xfId="22915" xr:uid="{00000000-0005-0000-0000-0000CA2B0000}"/>
    <cellStyle name="Comma 6 4 5 2 2 2 2" xfId="48468" xr:uid="{00000000-0005-0000-0000-0000CB2B0000}"/>
    <cellStyle name="Comma 6 4 5 2 2 3" xfId="38251" xr:uid="{00000000-0005-0000-0000-0000CC2B0000}"/>
    <cellStyle name="Comma 6 4 5 2 3" xfId="9117" xr:uid="{00000000-0005-0000-0000-0000CD2B0000}"/>
    <cellStyle name="Comma 6 4 5 2 3 2" xfId="34674" xr:uid="{00000000-0005-0000-0000-0000CE2B0000}"/>
    <cellStyle name="Comma 6 4 5 2 4" xfId="17908" xr:uid="{00000000-0005-0000-0000-0000CF2B0000}"/>
    <cellStyle name="Comma 6 4 5 2 4 2" xfId="43461" xr:uid="{00000000-0005-0000-0000-0000D02B0000}"/>
    <cellStyle name="Comma 6 4 5 2 5" xfId="29398" xr:uid="{00000000-0005-0000-0000-0000D12B0000}"/>
    <cellStyle name="Comma 6 4 5 3" xfId="5223" xr:uid="{00000000-0005-0000-0000-0000D22B0000}"/>
    <cellStyle name="Comma 6 4 5 3 2" xfId="14060" xr:uid="{00000000-0005-0000-0000-0000D32B0000}"/>
    <cellStyle name="Comma 6 4 5 3 2 2" xfId="24311" xr:uid="{00000000-0005-0000-0000-0000D42B0000}"/>
    <cellStyle name="Comma 6 4 5 3 2 2 2" xfId="49864" xr:uid="{00000000-0005-0000-0000-0000D52B0000}"/>
    <cellStyle name="Comma 6 4 5 3 2 3" xfId="39615" xr:uid="{00000000-0005-0000-0000-0000D62B0000}"/>
    <cellStyle name="Comma 6 4 5 3 3" xfId="10481" xr:uid="{00000000-0005-0000-0000-0000D72B0000}"/>
    <cellStyle name="Comma 6 4 5 3 3 2" xfId="36038" xr:uid="{00000000-0005-0000-0000-0000D82B0000}"/>
    <cellStyle name="Comma 6 4 5 3 4" xfId="19304" xr:uid="{00000000-0005-0000-0000-0000D92B0000}"/>
    <cellStyle name="Comma 6 4 5 3 4 2" xfId="44857" xr:uid="{00000000-0005-0000-0000-0000DA2B0000}"/>
    <cellStyle name="Comma 6 4 5 3 5" xfId="30794" xr:uid="{00000000-0005-0000-0000-0000DB2B0000}"/>
    <cellStyle name="Comma 6 4 5 4" xfId="1839" xr:uid="{00000000-0005-0000-0000-0000DC2B0000}"/>
    <cellStyle name="Comma 6 4 5 4 2" xfId="11207" xr:uid="{00000000-0005-0000-0000-0000DD2B0000}"/>
    <cellStyle name="Comma 6 4 5 4 2 2" xfId="36762" xr:uid="{00000000-0005-0000-0000-0000DE2B0000}"/>
    <cellStyle name="Comma 6 4 5 4 3" xfId="21211" xr:uid="{00000000-0005-0000-0000-0000DF2B0000}"/>
    <cellStyle name="Comma 6 4 5 4 3 2" xfId="46764" xr:uid="{00000000-0005-0000-0000-0000E02B0000}"/>
    <cellStyle name="Comma 6 4 5 4 4" xfId="27694" xr:uid="{00000000-0005-0000-0000-0000E12B0000}"/>
    <cellStyle name="Comma 6 4 5 5" xfId="6678" xr:uid="{00000000-0005-0000-0000-0000E22B0000}"/>
    <cellStyle name="Comma 6 4 5 5 2" xfId="15505" xr:uid="{00000000-0005-0000-0000-0000E32B0000}"/>
    <cellStyle name="Comma 6 4 5 5 2 2" xfId="41060" xr:uid="{00000000-0005-0000-0000-0000E42B0000}"/>
    <cellStyle name="Comma 6 4 5 5 3" xfId="25756" xr:uid="{00000000-0005-0000-0000-0000E52B0000}"/>
    <cellStyle name="Comma 6 4 5 5 3 2" xfId="51309" xr:uid="{00000000-0005-0000-0000-0000E62B0000}"/>
    <cellStyle name="Comma 6 4 5 5 4" xfId="32239" xr:uid="{00000000-0005-0000-0000-0000E72B0000}"/>
    <cellStyle name="Comma 6 4 5 6" xfId="8124" xr:uid="{00000000-0005-0000-0000-0000E82B0000}"/>
    <cellStyle name="Comma 6 4 5 6 2" xfId="20514" xr:uid="{00000000-0005-0000-0000-0000E92B0000}"/>
    <cellStyle name="Comma 6 4 5 6 2 2" xfId="46067" xr:uid="{00000000-0005-0000-0000-0000EA2B0000}"/>
    <cellStyle name="Comma 6 4 5 6 3" xfId="33681" xr:uid="{00000000-0005-0000-0000-0000EB2B0000}"/>
    <cellStyle name="Comma 6 4 5 7" xfId="16204" xr:uid="{00000000-0005-0000-0000-0000EC2B0000}"/>
    <cellStyle name="Comma 6 4 5 7 2" xfId="41757" xr:uid="{00000000-0005-0000-0000-0000ED2B0000}"/>
    <cellStyle name="Comma 6 4 5 8" xfId="26997" xr:uid="{00000000-0005-0000-0000-0000EE2B0000}"/>
    <cellStyle name="Comma 6 4 6" xfId="2733" xr:uid="{00000000-0005-0000-0000-0000EF2B0000}"/>
    <cellStyle name="Comma 6 4 6 2" xfId="12050" xr:uid="{00000000-0005-0000-0000-0000F02B0000}"/>
    <cellStyle name="Comma 6 4 6 2 2" xfId="22094" xr:uid="{00000000-0005-0000-0000-0000F12B0000}"/>
    <cellStyle name="Comma 6 4 6 2 2 2" xfId="47647" xr:uid="{00000000-0005-0000-0000-0000F22B0000}"/>
    <cellStyle name="Comma 6 4 6 2 3" xfId="37605" xr:uid="{00000000-0005-0000-0000-0000F32B0000}"/>
    <cellStyle name="Comma 6 4 6 3" xfId="8406" xr:uid="{00000000-0005-0000-0000-0000F42B0000}"/>
    <cellStyle name="Comma 6 4 6 3 2" xfId="33963" xr:uid="{00000000-0005-0000-0000-0000F52B0000}"/>
    <cellStyle name="Comma 6 4 6 4" xfId="17087" xr:uid="{00000000-0005-0000-0000-0000F62B0000}"/>
    <cellStyle name="Comma 6 4 6 4 2" xfId="42640" xr:uid="{00000000-0005-0000-0000-0000F72B0000}"/>
    <cellStyle name="Comma 6 4 6 5" xfId="28577" xr:uid="{00000000-0005-0000-0000-0000F82B0000}"/>
    <cellStyle name="Comma 6 4 7" xfId="4179" xr:uid="{00000000-0005-0000-0000-0000F92B0000}"/>
    <cellStyle name="Comma 6 4 7 2" xfId="13017" xr:uid="{00000000-0005-0000-0000-0000FA2B0000}"/>
    <cellStyle name="Comma 6 4 7 2 2" xfId="23268" xr:uid="{00000000-0005-0000-0000-0000FB2B0000}"/>
    <cellStyle name="Comma 6 4 7 2 2 2" xfId="48821" xr:uid="{00000000-0005-0000-0000-0000FC2B0000}"/>
    <cellStyle name="Comma 6 4 7 2 3" xfId="38572" xr:uid="{00000000-0005-0000-0000-0000FD2B0000}"/>
    <cellStyle name="Comma 6 4 7 3" xfId="9438" xr:uid="{00000000-0005-0000-0000-0000FE2B0000}"/>
    <cellStyle name="Comma 6 4 7 3 2" xfId="34995" xr:uid="{00000000-0005-0000-0000-0000FF2B0000}"/>
    <cellStyle name="Comma 6 4 7 4" xfId="18261" xr:uid="{00000000-0005-0000-0000-0000002C0000}"/>
    <cellStyle name="Comma 6 4 7 4 2" xfId="43814" xr:uid="{00000000-0005-0000-0000-0000012C0000}"/>
    <cellStyle name="Comma 6 4 7 5" xfId="29751" xr:uid="{00000000-0005-0000-0000-0000022C0000}"/>
    <cellStyle name="Comma 6 4 8" xfId="1451" xr:uid="{00000000-0005-0000-0000-0000032C0000}"/>
    <cellStyle name="Comma 6 4 8 2" xfId="10828" xr:uid="{00000000-0005-0000-0000-0000042C0000}"/>
    <cellStyle name="Comma 6 4 8 2 2" xfId="36383" xr:uid="{00000000-0005-0000-0000-0000052C0000}"/>
    <cellStyle name="Comma 6 4 8 3" xfId="20832" xr:uid="{00000000-0005-0000-0000-0000062C0000}"/>
    <cellStyle name="Comma 6 4 8 3 2" xfId="46385" xr:uid="{00000000-0005-0000-0000-0000072C0000}"/>
    <cellStyle name="Comma 6 4 8 4" xfId="27315" xr:uid="{00000000-0005-0000-0000-0000082C0000}"/>
    <cellStyle name="Comma 6 4 9" xfId="5635" xr:uid="{00000000-0005-0000-0000-0000092C0000}"/>
    <cellStyle name="Comma 6 4 9 2" xfId="14462" xr:uid="{00000000-0005-0000-0000-00000A2C0000}"/>
    <cellStyle name="Comma 6 4 9 2 2" xfId="40017" xr:uid="{00000000-0005-0000-0000-00000B2C0000}"/>
    <cellStyle name="Comma 6 4 9 3" xfId="24713" xr:uid="{00000000-0005-0000-0000-00000C2C0000}"/>
    <cellStyle name="Comma 6 4 9 3 2" xfId="50266" xr:uid="{00000000-0005-0000-0000-00000D2C0000}"/>
    <cellStyle name="Comma 6 4 9 4" xfId="31196" xr:uid="{00000000-0005-0000-0000-00000E2C0000}"/>
    <cellStyle name="Comma 6 5" xfId="459" xr:uid="{00000000-0005-0000-0000-00000F2C0000}"/>
    <cellStyle name="Comma 6 5 10" xfId="26388" xr:uid="{00000000-0005-0000-0000-0000102C0000}"/>
    <cellStyle name="Comma 6 5 2" xfId="695" xr:uid="{00000000-0005-0000-0000-0000112C0000}"/>
    <cellStyle name="Comma 6 5 2 2" xfId="3181" xr:uid="{00000000-0005-0000-0000-0000122C0000}"/>
    <cellStyle name="Comma 6 5 2 2 2" xfId="12324" xr:uid="{00000000-0005-0000-0000-0000132C0000}"/>
    <cellStyle name="Comma 6 5 2 2 2 2" xfId="22542" xr:uid="{00000000-0005-0000-0000-0000142C0000}"/>
    <cellStyle name="Comma 6 5 2 2 2 2 2" xfId="48095" xr:uid="{00000000-0005-0000-0000-0000152C0000}"/>
    <cellStyle name="Comma 6 5 2 2 2 3" xfId="37879" xr:uid="{00000000-0005-0000-0000-0000162C0000}"/>
    <cellStyle name="Comma 6 5 2 2 3" xfId="8746" xr:uid="{00000000-0005-0000-0000-0000172C0000}"/>
    <cellStyle name="Comma 6 5 2 2 3 2" xfId="34303" xr:uid="{00000000-0005-0000-0000-0000182C0000}"/>
    <cellStyle name="Comma 6 5 2 2 4" xfId="17535" xr:uid="{00000000-0005-0000-0000-0000192C0000}"/>
    <cellStyle name="Comma 6 5 2 2 4 2" xfId="43088" xr:uid="{00000000-0005-0000-0000-00001A2C0000}"/>
    <cellStyle name="Comma 6 5 2 2 5" xfId="29025" xr:uid="{00000000-0005-0000-0000-00001B2C0000}"/>
    <cellStyle name="Comma 6 5 2 3" xfId="4510" xr:uid="{00000000-0005-0000-0000-00001C2C0000}"/>
    <cellStyle name="Comma 6 5 2 3 2" xfId="13348" xr:uid="{00000000-0005-0000-0000-00001D2C0000}"/>
    <cellStyle name="Comma 6 5 2 3 2 2" xfId="23599" xr:uid="{00000000-0005-0000-0000-00001E2C0000}"/>
    <cellStyle name="Comma 6 5 2 3 2 2 2" xfId="49152" xr:uid="{00000000-0005-0000-0000-00001F2C0000}"/>
    <cellStyle name="Comma 6 5 2 3 2 3" xfId="38903" xr:uid="{00000000-0005-0000-0000-0000202C0000}"/>
    <cellStyle name="Comma 6 5 2 3 3" xfId="9769" xr:uid="{00000000-0005-0000-0000-0000212C0000}"/>
    <cellStyle name="Comma 6 5 2 3 3 2" xfId="35326" xr:uid="{00000000-0005-0000-0000-0000222C0000}"/>
    <cellStyle name="Comma 6 5 2 3 4" xfId="18592" xr:uid="{00000000-0005-0000-0000-0000232C0000}"/>
    <cellStyle name="Comma 6 5 2 3 4 2" xfId="44145" xr:uid="{00000000-0005-0000-0000-0000242C0000}"/>
    <cellStyle name="Comma 6 5 2 3 5" xfId="30082" xr:uid="{00000000-0005-0000-0000-0000252C0000}"/>
    <cellStyle name="Comma 6 5 2 4" xfId="2290" xr:uid="{00000000-0005-0000-0000-0000262C0000}"/>
    <cellStyle name="Comma 6 5 2 4 2" xfId="11655" xr:uid="{00000000-0005-0000-0000-0000272C0000}"/>
    <cellStyle name="Comma 6 5 2 4 2 2" xfId="37210" xr:uid="{00000000-0005-0000-0000-0000282C0000}"/>
    <cellStyle name="Comma 6 5 2 4 3" xfId="21659" xr:uid="{00000000-0005-0000-0000-0000292C0000}"/>
    <cellStyle name="Comma 6 5 2 4 3 2" xfId="47212" xr:uid="{00000000-0005-0000-0000-00002A2C0000}"/>
    <cellStyle name="Comma 6 5 2 4 4" xfId="28142" xr:uid="{00000000-0005-0000-0000-00002B2C0000}"/>
    <cellStyle name="Comma 6 5 2 5" xfId="5966" xr:uid="{00000000-0005-0000-0000-00002C2C0000}"/>
    <cellStyle name="Comma 6 5 2 5 2" xfId="14793" xr:uid="{00000000-0005-0000-0000-00002D2C0000}"/>
    <cellStyle name="Comma 6 5 2 5 2 2" xfId="40348" xr:uid="{00000000-0005-0000-0000-00002E2C0000}"/>
    <cellStyle name="Comma 6 5 2 5 3" xfId="25044" xr:uid="{00000000-0005-0000-0000-00002F2C0000}"/>
    <cellStyle name="Comma 6 5 2 5 3 2" xfId="50597" xr:uid="{00000000-0005-0000-0000-0000302C0000}"/>
    <cellStyle name="Comma 6 5 2 5 4" xfId="31527" xr:uid="{00000000-0005-0000-0000-0000312C0000}"/>
    <cellStyle name="Comma 6 5 2 6" xfId="7410" xr:uid="{00000000-0005-0000-0000-0000322C0000}"/>
    <cellStyle name="Comma 6 5 2 6 2" xfId="20141" xr:uid="{00000000-0005-0000-0000-0000332C0000}"/>
    <cellStyle name="Comma 6 5 2 6 2 2" xfId="45694" xr:uid="{00000000-0005-0000-0000-0000342C0000}"/>
    <cellStyle name="Comma 6 5 2 6 3" xfId="32967" xr:uid="{00000000-0005-0000-0000-0000352C0000}"/>
    <cellStyle name="Comma 6 5 2 7" xfId="16652" xr:uid="{00000000-0005-0000-0000-0000362C0000}"/>
    <cellStyle name="Comma 6 5 2 7 2" xfId="42205" xr:uid="{00000000-0005-0000-0000-0000372C0000}"/>
    <cellStyle name="Comma 6 5 2 8" xfId="26624" xr:uid="{00000000-0005-0000-0000-0000382C0000}"/>
    <cellStyle name="Comma 6 5 3" xfId="1231" xr:uid="{00000000-0005-0000-0000-0000392C0000}"/>
    <cellStyle name="Comma 6 5 3 2" xfId="3660" xr:uid="{00000000-0005-0000-0000-00003A2C0000}"/>
    <cellStyle name="Comma 6 5 3 2 2" xfId="12796" xr:uid="{00000000-0005-0000-0000-00003B2C0000}"/>
    <cellStyle name="Comma 6 5 3 2 2 2" xfId="23015" xr:uid="{00000000-0005-0000-0000-00003C2C0000}"/>
    <cellStyle name="Comma 6 5 3 2 2 2 2" xfId="48568" xr:uid="{00000000-0005-0000-0000-00003D2C0000}"/>
    <cellStyle name="Comma 6 5 3 2 2 3" xfId="38351" xr:uid="{00000000-0005-0000-0000-00003E2C0000}"/>
    <cellStyle name="Comma 6 5 3 2 3" xfId="9217" xr:uid="{00000000-0005-0000-0000-00003F2C0000}"/>
    <cellStyle name="Comma 6 5 3 2 3 2" xfId="34774" xr:uid="{00000000-0005-0000-0000-0000402C0000}"/>
    <cellStyle name="Comma 6 5 3 2 4" xfId="18008" xr:uid="{00000000-0005-0000-0000-0000412C0000}"/>
    <cellStyle name="Comma 6 5 3 2 4 2" xfId="43561" xr:uid="{00000000-0005-0000-0000-0000422C0000}"/>
    <cellStyle name="Comma 6 5 3 2 5" xfId="29498" xr:uid="{00000000-0005-0000-0000-0000432C0000}"/>
    <cellStyle name="Comma 6 5 3 3" xfId="4859" xr:uid="{00000000-0005-0000-0000-0000442C0000}"/>
    <cellStyle name="Comma 6 5 3 3 2" xfId="13696" xr:uid="{00000000-0005-0000-0000-0000452C0000}"/>
    <cellStyle name="Comma 6 5 3 3 2 2" xfId="23947" xr:uid="{00000000-0005-0000-0000-0000462C0000}"/>
    <cellStyle name="Comma 6 5 3 3 2 2 2" xfId="49500" xr:uid="{00000000-0005-0000-0000-0000472C0000}"/>
    <cellStyle name="Comma 6 5 3 3 2 3" xfId="39251" xr:uid="{00000000-0005-0000-0000-0000482C0000}"/>
    <cellStyle name="Comma 6 5 3 3 3" xfId="10117" xr:uid="{00000000-0005-0000-0000-0000492C0000}"/>
    <cellStyle name="Comma 6 5 3 3 3 2" xfId="35674" xr:uid="{00000000-0005-0000-0000-00004A2C0000}"/>
    <cellStyle name="Comma 6 5 3 3 4" xfId="18940" xr:uid="{00000000-0005-0000-0000-00004B2C0000}"/>
    <cellStyle name="Comma 6 5 3 3 4 2" xfId="44493" xr:uid="{00000000-0005-0000-0000-00004C2C0000}"/>
    <cellStyle name="Comma 6 5 3 3 5" xfId="30430" xr:uid="{00000000-0005-0000-0000-00004D2C0000}"/>
    <cellStyle name="Comma 6 5 3 4" xfId="2054" xr:uid="{00000000-0005-0000-0000-00004E2C0000}"/>
    <cellStyle name="Comma 6 5 3 4 2" xfId="11419" xr:uid="{00000000-0005-0000-0000-00004F2C0000}"/>
    <cellStyle name="Comma 6 5 3 4 2 2" xfId="36974" xr:uid="{00000000-0005-0000-0000-0000502C0000}"/>
    <cellStyle name="Comma 6 5 3 4 3" xfId="21423" xr:uid="{00000000-0005-0000-0000-0000512C0000}"/>
    <cellStyle name="Comma 6 5 3 4 3 2" xfId="46976" xr:uid="{00000000-0005-0000-0000-0000522C0000}"/>
    <cellStyle name="Comma 6 5 3 4 4" xfId="27906" xr:uid="{00000000-0005-0000-0000-0000532C0000}"/>
    <cellStyle name="Comma 6 5 3 5" xfId="6314" xr:uid="{00000000-0005-0000-0000-0000542C0000}"/>
    <cellStyle name="Comma 6 5 3 5 2" xfId="15141" xr:uid="{00000000-0005-0000-0000-0000552C0000}"/>
    <cellStyle name="Comma 6 5 3 5 2 2" xfId="40696" xr:uid="{00000000-0005-0000-0000-0000562C0000}"/>
    <cellStyle name="Comma 6 5 3 5 3" xfId="25392" xr:uid="{00000000-0005-0000-0000-0000572C0000}"/>
    <cellStyle name="Comma 6 5 3 5 3 2" xfId="50945" xr:uid="{00000000-0005-0000-0000-0000582C0000}"/>
    <cellStyle name="Comma 6 5 3 5 4" xfId="31875" xr:uid="{00000000-0005-0000-0000-0000592C0000}"/>
    <cellStyle name="Comma 6 5 3 6" xfId="7760" xr:uid="{00000000-0005-0000-0000-00005A2C0000}"/>
    <cellStyle name="Comma 6 5 3 6 2" xfId="20614" xr:uid="{00000000-0005-0000-0000-00005B2C0000}"/>
    <cellStyle name="Comma 6 5 3 6 2 2" xfId="46167" xr:uid="{00000000-0005-0000-0000-00005C2C0000}"/>
    <cellStyle name="Comma 6 5 3 6 3" xfId="33317" xr:uid="{00000000-0005-0000-0000-00005D2C0000}"/>
    <cellStyle name="Comma 6 5 3 7" xfId="16416" xr:uid="{00000000-0005-0000-0000-00005E2C0000}"/>
    <cellStyle name="Comma 6 5 3 7 2" xfId="41969" xr:uid="{00000000-0005-0000-0000-00005F2C0000}"/>
    <cellStyle name="Comma 6 5 3 8" xfId="27097" xr:uid="{00000000-0005-0000-0000-0000602C0000}"/>
    <cellStyle name="Comma 6 5 4" xfId="2945" xr:uid="{00000000-0005-0000-0000-0000612C0000}"/>
    <cellStyle name="Comma 6 5 4 2" xfId="5323" xr:uid="{00000000-0005-0000-0000-0000622C0000}"/>
    <cellStyle name="Comma 6 5 4 2 2" xfId="14160" xr:uid="{00000000-0005-0000-0000-0000632C0000}"/>
    <cellStyle name="Comma 6 5 4 2 2 2" xfId="24411" xr:uid="{00000000-0005-0000-0000-0000642C0000}"/>
    <cellStyle name="Comma 6 5 4 2 2 2 2" xfId="49964" xr:uid="{00000000-0005-0000-0000-0000652C0000}"/>
    <cellStyle name="Comma 6 5 4 2 2 3" xfId="39715" xr:uid="{00000000-0005-0000-0000-0000662C0000}"/>
    <cellStyle name="Comma 6 5 4 2 3" xfId="10581" xr:uid="{00000000-0005-0000-0000-0000672C0000}"/>
    <cellStyle name="Comma 6 5 4 2 3 2" xfId="36138" xr:uid="{00000000-0005-0000-0000-0000682C0000}"/>
    <cellStyle name="Comma 6 5 4 2 4" xfId="19404" xr:uid="{00000000-0005-0000-0000-0000692C0000}"/>
    <cellStyle name="Comma 6 5 4 2 4 2" xfId="44957" xr:uid="{00000000-0005-0000-0000-00006A2C0000}"/>
    <cellStyle name="Comma 6 5 4 2 5" xfId="30894" xr:uid="{00000000-0005-0000-0000-00006B2C0000}"/>
    <cellStyle name="Comma 6 5 4 3" xfId="6778" xr:uid="{00000000-0005-0000-0000-00006C2C0000}"/>
    <cellStyle name="Comma 6 5 4 3 2" xfId="15605" xr:uid="{00000000-0005-0000-0000-00006D2C0000}"/>
    <cellStyle name="Comma 6 5 4 3 2 2" xfId="41160" xr:uid="{00000000-0005-0000-0000-00006E2C0000}"/>
    <cellStyle name="Comma 6 5 4 3 3" xfId="25856" xr:uid="{00000000-0005-0000-0000-00006F2C0000}"/>
    <cellStyle name="Comma 6 5 4 3 3 2" xfId="51409" xr:uid="{00000000-0005-0000-0000-0000702C0000}"/>
    <cellStyle name="Comma 6 5 4 3 4" xfId="32339" xr:uid="{00000000-0005-0000-0000-0000712C0000}"/>
    <cellStyle name="Comma 6 5 4 4" xfId="8224" xr:uid="{00000000-0005-0000-0000-0000722C0000}"/>
    <cellStyle name="Comma 6 5 4 4 2" xfId="22306" xr:uid="{00000000-0005-0000-0000-0000732C0000}"/>
    <cellStyle name="Comma 6 5 4 4 2 2" xfId="47859" xr:uid="{00000000-0005-0000-0000-0000742C0000}"/>
    <cellStyle name="Comma 6 5 4 4 3" xfId="33781" xr:uid="{00000000-0005-0000-0000-0000752C0000}"/>
    <cellStyle name="Comma 6 5 4 5" xfId="17299" xr:uid="{00000000-0005-0000-0000-0000762C0000}"/>
    <cellStyle name="Comma 6 5 4 5 2" xfId="42852" xr:uid="{00000000-0005-0000-0000-0000772C0000}"/>
    <cellStyle name="Comma 6 5 4 6" xfId="28789" xr:uid="{00000000-0005-0000-0000-0000782C0000}"/>
    <cellStyle name="Comma 6 5 5" xfId="4279" xr:uid="{00000000-0005-0000-0000-0000792C0000}"/>
    <cellStyle name="Comma 6 5 5 2" xfId="13117" xr:uid="{00000000-0005-0000-0000-00007A2C0000}"/>
    <cellStyle name="Comma 6 5 5 2 2" xfId="23368" xr:uid="{00000000-0005-0000-0000-00007B2C0000}"/>
    <cellStyle name="Comma 6 5 5 2 2 2" xfId="48921" xr:uid="{00000000-0005-0000-0000-00007C2C0000}"/>
    <cellStyle name="Comma 6 5 5 2 3" xfId="38672" xr:uid="{00000000-0005-0000-0000-00007D2C0000}"/>
    <cellStyle name="Comma 6 5 5 3" xfId="9538" xr:uid="{00000000-0005-0000-0000-00007E2C0000}"/>
    <cellStyle name="Comma 6 5 5 3 2" xfId="35095" xr:uid="{00000000-0005-0000-0000-00007F2C0000}"/>
    <cellStyle name="Comma 6 5 5 4" xfId="18361" xr:uid="{00000000-0005-0000-0000-0000802C0000}"/>
    <cellStyle name="Comma 6 5 5 4 2" xfId="43914" xr:uid="{00000000-0005-0000-0000-0000812C0000}"/>
    <cellStyle name="Comma 6 5 5 5" xfId="29851" xr:uid="{00000000-0005-0000-0000-0000822C0000}"/>
    <cellStyle name="Comma 6 5 6" xfId="1551" xr:uid="{00000000-0005-0000-0000-0000832C0000}"/>
    <cellStyle name="Comma 6 5 6 2" xfId="10928" xr:uid="{00000000-0005-0000-0000-0000842C0000}"/>
    <cellStyle name="Comma 6 5 6 2 2" xfId="36483" xr:uid="{00000000-0005-0000-0000-0000852C0000}"/>
    <cellStyle name="Comma 6 5 6 3" xfId="20932" xr:uid="{00000000-0005-0000-0000-0000862C0000}"/>
    <cellStyle name="Comma 6 5 6 3 2" xfId="46485" xr:uid="{00000000-0005-0000-0000-0000872C0000}"/>
    <cellStyle name="Comma 6 5 6 4" xfId="27415" xr:uid="{00000000-0005-0000-0000-0000882C0000}"/>
    <cellStyle name="Comma 6 5 7" xfId="5735" xr:uid="{00000000-0005-0000-0000-0000892C0000}"/>
    <cellStyle name="Comma 6 5 7 2" xfId="14562" xr:uid="{00000000-0005-0000-0000-00008A2C0000}"/>
    <cellStyle name="Comma 6 5 7 2 2" xfId="40117" xr:uid="{00000000-0005-0000-0000-00008B2C0000}"/>
    <cellStyle name="Comma 6 5 7 3" xfId="24813" xr:uid="{00000000-0005-0000-0000-00008C2C0000}"/>
    <cellStyle name="Comma 6 5 7 3 2" xfId="50366" xr:uid="{00000000-0005-0000-0000-00008D2C0000}"/>
    <cellStyle name="Comma 6 5 7 4" xfId="31296" xr:uid="{00000000-0005-0000-0000-00008E2C0000}"/>
    <cellStyle name="Comma 6 5 8" xfId="7179" xr:uid="{00000000-0005-0000-0000-00008F2C0000}"/>
    <cellStyle name="Comma 6 5 8 2" xfId="19905" xr:uid="{00000000-0005-0000-0000-0000902C0000}"/>
    <cellStyle name="Comma 6 5 8 2 2" xfId="45458" xr:uid="{00000000-0005-0000-0000-0000912C0000}"/>
    <cellStyle name="Comma 6 5 8 3" xfId="32736" xr:uid="{00000000-0005-0000-0000-0000922C0000}"/>
    <cellStyle name="Comma 6 5 9" xfId="15925" xr:uid="{00000000-0005-0000-0000-0000932C0000}"/>
    <cellStyle name="Comma 6 5 9 2" xfId="41478" xr:uid="{00000000-0005-0000-0000-0000942C0000}"/>
    <cellStyle name="Comma 6 6" xfId="296" xr:uid="{00000000-0005-0000-0000-0000952C0000}"/>
    <cellStyle name="Comma 6 6 10" xfId="26225" xr:uid="{00000000-0005-0000-0000-0000962C0000}"/>
    <cellStyle name="Comma 6 6 2" xfId="696" xr:uid="{00000000-0005-0000-0000-0000972C0000}"/>
    <cellStyle name="Comma 6 6 2 2" xfId="3182" xr:uid="{00000000-0005-0000-0000-0000982C0000}"/>
    <cellStyle name="Comma 6 6 2 2 2" xfId="12325" xr:uid="{00000000-0005-0000-0000-0000992C0000}"/>
    <cellStyle name="Comma 6 6 2 2 2 2" xfId="22543" xr:uid="{00000000-0005-0000-0000-00009A2C0000}"/>
    <cellStyle name="Comma 6 6 2 2 2 2 2" xfId="48096" xr:uid="{00000000-0005-0000-0000-00009B2C0000}"/>
    <cellStyle name="Comma 6 6 2 2 2 3" xfId="37880" xr:uid="{00000000-0005-0000-0000-00009C2C0000}"/>
    <cellStyle name="Comma 6 6 2 2 3" xfId="8747" xr:uid="{00000000-0005-0000-0000-00009D2C0000}"/>
    <cellStyle name="Comma 6 6 2 2 3 2" xfId="34304" xr:uid="{00000000-0005-0000-0000-00009E2C0000}"/>
    <cellStyle name="Comma 6 6 2 2 4" xfId="17536" xr:uid="{00000000-0005-0000-0000-00009F2C0000}"/>
    <cellStyle name="Comma 6 6 2 2 4 2" xfId="43089" xr:uid="{00000000-0005-0000-0000-0000A02C0000}"/>
    <cellStyle name="Comma 6 6 2 2 5" xfId="29026" xr:uid="{00000000-0005-0000-0000-0000A12C0000}"/>
    <cellStyle name="Comma 6 6 2 3" xfId="4511" xr:uid="{00000000-0005-0000-0000-0000A22C0000}"/>
    <cellStyle name="Comma 6 6 2 3 2" xfId="13349" xr:uid="{00000000-0005-0000-0000-0000A32C0000}"/>
    <cellStyle name="Comma 6 6 2 3 2 2" xfId="23600" xr:uid="{00000000-0005-0000-0000-0000A42C0000}"/>
    <cellStyle name="Comma 6 6 2 3 2 2 2" xfId="49153" xr:uid="{00000000-0005-0000-0000-0000A52C0000}"/>
    <cellStyle name="Comma 6 6 2 3 2 3" xfId="38904" xr:uid="{00000000-0005-0000-0000-0000A62C0000}"/>
    <cellStyle name="Comma 6 6 2 3 3" xfId="9770" xr:uid="{00000000-0005-0000-0000-0000A72C0000}"/>
    <cellStyle name="Comma 6 6 2 3 3 2" xfId="35327" xr:uid="{00000000-0005-0000-0000-0000A82C0000}"/>
    <cellStyle name="Comma 6 6 2 3 4" xfId="18593" xr:uid="{00000000-0005-0000-0000-0000A92C0000}"/>
    <cellStyle name="Comma 6 6 2 3 4 2" xfId="44146" xr:uid="{00000000-0005-0000-0000-0000AA2C0000}"/>
    <cellStyle name="Comma 6 6 2 3 5" xfId="30083" xr:uid="{00000000-0005-0000-0000-0000AB2C0000}"/>
    <cellStyle name="Comma 6 6 2 4" xfId="2291" xr:uid="{00000000-0005-0000-0000-0000AC2C0000}"/>
    <cellStyle name="Comma 6 6 2 4 2" xfId="11656" xr:uid="{00000000-0005-0000-0000-0000AD2C0000}"/>
    <cellStyle name="Comma 6 6 2 4 2 2" xfId="37211" xr:uid="{00000000-0005-0000-0000-0000AE2C0000}"/>
    <cellStyle name="Comma 6 6 2 4 3" xfId="21660" xr:uid="{00000000-0005-0000-0000-0000AF2C0000}"/>
    <cellStyle name="Comma 6 6 2 4 3 2" xfId="47213" xr:uid="{00000000-0005-0000-0000-0000B02C0000}"/>
    <cellStyle name="Comma 6 6 2 4 4" xfId="28143" xr:uid="{00000000-0005-0000-0000-0000B12C0000}"/>
    <cellStyle name="Comma 6 6 2 5" xfId="5967" xr:uid="{00000000-0005-0000-0000-0000B22C0000}"/>
    <cellStyle name="Comma 6 6 2 5 2" xfId="14794" xr:uid="{00000000-0005-0000-0000-0000B32C0000}"/>
    <cellStyle name="Comma 6 6 2 5 2 2" xfId="40349" xr:uid="{00000000-0005-0000-0000-0000B42C0000}"/>
    <cellStyle name="Comma 6 6 2 5 3" xfId="25045" xr:uid="{00000000-0005-0000-0000-0000B52C0000}"/>
    <cellStyle name="Comma 6 6 2 5 3 2" xfId="50598" xr:uid="{00000000-0005-0000-0000-0000B62C0000}"/>
    <cellStyle name="Comma 6 6 2 5 4" xfId="31528" xr:uid="{00000000-0005-0000-0000-0000B72C0000}"/>
    <cellStyle name="Comma 6 6 2 6" xfId="7411" xr:uid="{00000000-0005-0000-0000-0000B82C0000}"/>
    <cellStyle name="Comma 6 6 2 6 2" xfId="20142" xr:uid="{00000000-0005-0000-0000-0000B92C0000}"/>
    <cellStyle name="Comma 6 6 2 6 2 2" xfId="45695" xr:uid="{00000000-0005-0000-0000-0000BA2C0000}"/>
    <cellStyle name="Comma 6 6 2 6 3" xfId="32968" xr:uid="{00000000-0005-0000-0000-0000BB2C0000}"/>
    <cellStyle name="Comma 6 6 2 7" xfId="16653" xr:uid="{00000000-0005-0000-0000-0000BC2C0000}"/>
    <cellStyle name="Comma 6 6 2 7 2" xfId="42206" xr:uid="{00000000-0005-0000-0000-0000BD2C0000}"/>
    <cellStyle name="Comma 6 6 2 8" xfId="26625" xr:uid="{00000000-0005-0000-0000-0000BE2C0000}"/>
    <cellStyle name="Comma 6 6 3" xfId="1068" xr:uid="{00000000-0005-0000-0000-0000BF2C0000}"/>
    <cellStyle name="Comma 6 6 3 2" xfId="3497" xr:uid="{00000000-0005-0000-0000-0000C02C0000}"/>
    <cellStyle name="Comma 6 6 3 2 2" xfId="12633" xr:uid="{00000000-0005-0000-0000-0000C12C0000}"/>
    <cellStyle name="Comma 6 6 3 2 2 2" xfId="22852" xr:uid="{00000000-0005-0000-0000-0000C22C0000}"/>
    <cellStyle name="Comma 6 6 3 2 2 2 2" xfId="48405" xr:uid="{00000000-0005-0000-0000-0000C32C0000}"/>
    <cellStyle name="Comma 6 6 3 2 2 3" xfId="38188" xr:uid="{00000000-0005-0000-0000-0000C42C0000}"/>
    <cellStyle name="Comma 6 6 3 2 3" xfId="9055" xr:uid="{00000000-0005-0000-0000-0000C52C0000}"/>
    <cellStyle name="Comma 6 6 3 2 3 2" xfId="34612" xr:uid="{00000000-0005-0000-0000-0000C62C0000}"/>
    <cellStyle name="Comma 6 6 3 2 4" xfId="17845" xr:uid="{00000000-0005-0000-0000-0000C72C0000}"/>
    <cellStyle name="Comma 6 6 3 2 4 2" xfId="43398" xr:uid="{00000000-0005-0000-0000-0000C82C0000}"/>
    <cellStyle name="Comma 6 6 3 2 5" xfId="29335" xr:uid="{00000000-0005-0000-0000-0000C92C0000}"/>
    <cellStyle name="Comma 6 6 3 3" xfId="4860" xr:uid="{00000000-0005-0000-0000-0000CA2C0000}"/>
    <cellStyle name="Comma 6 6 3 3 2" xfId="13697" xr:uid="{00000000-0005-0000-0000-0000CB2C0000}"/>
    <cellStyle name="Comma 6 6 3 3 2 2" xfId="23948" xr:uid="{00000000-0005-0000-0000-0000CC2C0000}"/>
    <cellStyle name="Comma 6 6 3 3 2 2 2" xfId="49501" xr:uid="{00000000-0005-0000-0000-0000CD2C0000}"/>
    <cellStyle name="Comma 6 6 3 3 2 3" xfId="39252" xr:uid="{00000000-0005-0000-0000-0000CE2C0000}"/>
    <cellStyle name="Comma 6 6 3 3 3" xfId="10118" xr:uid="{00000000-0005-0000-0000-0000CF2C0000}"/>
    <cellStyle name="Comma 6 6 3 3 3 2" xfId="35675" xr:uid="{00000000-0005-0000-0000-0000D02C0000}"/>
    <cellStyle name="Comma 6 6 3 3 4" xfId="18941" xr:uid="{00000000-0005-0000-0000-0000D12C0000}"/>
    <cellStyle name="Comma 6 6 3 3 4 2" xfId="44494" xr:uid="{00000000-0005-0000-0000-0000D22C0000}"/>
    <cellStyle name="Comma 6 6 3 3 5" xfId="30431" xr:uid="{00000000-0005-0000-0000-0000D32C0000}"/>
    <cellStyle name="Comma 6 6 3 4" xfId="2589" xr:uid="{00000000-0005-0000-0000-0000D42C0000}"/>
    <cellStyle name="Comma 6 6 3 4 2" xfId="11953" xr:uid="{00000000-0005-0000-0000-0000D52C0000}"/>
    <cellStyle name="Comma 6 6 3 4 2 2" xfId="37508" xr:uid="{00000000-0005-0000-0000-0000D62C0000}"/>
    <cellStyle name="Comma 6 6 3 4 3" xfId="21957" xr:uid="{00000000-0005-0000-0000-0000D72C0000}"/>
    <cellStyle name="Comma 6 6 3 4 3 2" xfId="47510" xr:uid="{00000000-0005-0000-0000-0000D82C0000}"/>
    <cellStyle name="Comma 6 6 3 4 4" xfId="28440" xr:uid="{00000000-0005-0000-0000-0000D92C0000}"/>
    <cellStyle name="Comma 6 6 3 5" xfId="6315" xr:uid="{00000000-0005-0000-0000-0000DA2C0000}"/>
    <cellStyle name="Comma 6 6 3 5 2" xfId="15142" xr:uid="{00000000-0005-0000-0000-0000DB2C0000}"/>
    <cellStyle name="Comma 6 6 3 5 2 2" xfId="40697" xr:uid="{00000000-0005-0000-0000-0000DC2C0000}"/>
    <cellStyle name="Comma 6 6 3 5 3" xfId="25393" xr:uid="{00000000-0005-0000-0000-0000DD2C0000}"/>
    <cellStyle name="Comma 6 6 3 5 3 2" xfId="50946" xr:uid="{00000000-0005-0000-0000-0000DE2C0000}"/>
    <cellStyle name="Comma 6 6 3 5 4" xfId="31876" xr:uid="{00000000-0005-0000-0000-0000DF2C0000}"/>
    <cellStyle name="Comma 6 6 3 6" xfId="7761" xr:uid="{00000000-0005-0000-0000-0000E02C0000}"/>
    <cellStyle name="Comma 6 6 3 6 2" xfId="20451" xr:uid="{00000000-0005-0000-0000-0000E12C0000}"/>
    <cellStyle name="Comma 6 6 3 6 2 2" xfId="46004" xr:uid="{00000000-0005-0000-0000-0000E22C0000}"/>
    <cellStyle name="Comma 6 6 3 6 3" xfId="33318" xr:uid="{00000000-0005-0000-0000-0000E32C0000}"/>
    <cellStyle name="Comma 6 6 3 7" xfId="16950" xr:uid="{00000000-0005-0000-0000-0000E42C0000}"/>
    <cellStyle name="Comma 6 6 3 7 2" xfId="42503" xr:uid="{00000000-0005-0000-0000-0000E52C0000}"/>
    <cellStyle name="Comma 6 6 3 8" xfId="26934" xr:uid="{00000000-0005-0000-0000-0000E62C0000}"/>
    <cellStyle name="Comma 6 6 4" xfId="2782" xr:uid="{00000000-0005-0000-0000-0000E72C0000}"/>
    <cellStyle name="Comma 6 6 4 2" xfId="5160" xr:uid="{00000000-0005-0000-0000-0000E82C0000}"/>
    <cellStyle name="Comma 6 6 4 2 2" xfId="13997" xr:uid="{00000000-0005-0000-0000-0000E92C0000}"/>
    <cellStyle name="Comma 6 6 4 2 2 2" xfId="24248" xr:uid="{00000000-0005-0000-0000-0000EA2C0000}"/>
    <cellStyle name="Comma 6 6 4 2 2 2 2" xfId="49801" xr:uid="{00000000-0005-0000-0000-0000EB2C0000}"/>
    <cellStyle name="Comma 6 6 4 2 2 3" xfId="39552" xr:uid="{00000000-0005-0000-0000-0000EC2C0000}"/>
    <cellStyle name="Comma 6 6 4 2 3" xfId="10418" xr:uid="{00000000-0005-0000-0000-0000ED2C0000}"/>
    <cellStyle name="Comma 6 6 4 2 3 2" xfId="35975" xr:uid="{00000000-0005-0000-0000-0000EE2C0000}"/>
    <cellStyle name="Comma 6 6 4 2 4" xfId="19241" xr:uid="{00000000-0005-0000-0000-0000EF2C0000}"/>
    <cellStyle name="Comma 6 6 4 2 4 2" xfId="44794" xr:uid="{00000000-0005-0000-0000-0000F02C0000}"/>
    <cellStyle name="Comma 6 6 4 2 5" xfId="30731" xr:uid="{00000000-0005-0000-0000-0000F12C0000}"/>
    <cellStyle name="Comma 6 6 4 3" xfId="6615" xr:uid="{00000000-0005-0000-0000-0000F22C0000}"/>
    <cellStyle name="Comma 6 6 4 3 2" xfId="15442" xr:uid="{00000000-0005-0000-0000-0000F32C0000}"/>
    <cellStyle name="Comma 6 6 4 3 2 2" xfId="40997" xr:uid="{00000000-0005-0000-0000-0000F42C0000}"/>
    <cellStyle name="Comma 6 6 4 3 3" xfId="25693" xr:uid="{00000000-0005-0000-0000-0000F52C0000}"/>
    <cellStyle name="Comma 6 6 4 3 3 2" xfId="51246" xr:uid="{00000000-0005-0000-0000-0000F62C0000}"/>
    <cellStyle name="Comma 6 6 4 3 4" xfId="32176" xr:uid="{00000000-0005-0000-0000-0000F72C0000}"/>
    <cellStyle name="Comma 6 6 4 4" xfId="8061" xr:uid="{00000000-0005-0000-0000-0000F82C0000}"/>
    <cellStyle name="Comma 6 6 4 4 2" xfId="22143" xr:uid="{00000000-0005-0000-0000-0000F92C0000}"/>
    <cellStyle name="Comma 6 6 4 4 2 2" xfId="47696" xr:uid="{00000000-0005-0000-0000-0000FA2C0000}"/>
    <cellStyle name="Comma 6 6 4 4 3" xfId="33618" xr:uid="{00000000-0005-0000-0000-0000FB2C0000}"/>
    <cellStyle name="Comma 6 6 4 5" xfId="17136" xr:uid="{00000000-0005-0000-0000-0000FC2C0000}"/>
    <cellStyle name="Comma 6 6 4 5 2" xfId="42689" xr:uid="{00000000-0005-0000-0000-0000FD2C0000}"/>
    <cellStyle name="Comma 6 6 4 6" xfId="28626" xr:uid="{00000000-0005-0000-0000-0000FE2C0000}"/>
    <cellStyle name="Comma 6 6 5" xfId="4114" xr:uid="{00000000-0005-0000-0000-0000FF2C0000}"/>
    <cellStyle name="Comma 6 6 5 2" xfId="12952" xr:uid="{00000000-0005-0000-0000-0000002D0000}"/>
    <cellStyle name="Comma 6 6 5 2 2" xfId="23203" xr:uid="{00000000-0005-0000-0000-0000012D0000}"/>
    <cellStyle name="Comma 6 6 5 2 2 2" xfId="48756" xr:uid="{00000000-0005-0000-0000-0000022D0000}"/>
    <cellStyle name="Comma 6 6 5 2 3" xfId="38507" xr:uid="{00000000-0005-0000-0000-0000032D0000}"/>
    <cellStyle name="Comma 6 6 5 3" xfId="9373" xr:uid="{00000000-0005-0000-0000-0000042D0000}"/>
    <cellStyle name="Comma 6 6 5 3 2" xfId="34930" xr:uid="{00000000-0005-0000-0000-0000052D0000}"/>
    <cellStyle name="Comma 6 6 5 4" xfId="18196" xr:uid="{00000000-0005-0000-0000-0000062D0000}"/>
    <cellStyle name="Comma 6 6 5 4 2" xfId="43749" xr:uid="{00000000-0005-0000-0000-0000072D0000}"/>
    <cellStyle name="Comma 6 6 5 5" xfId="29686" xr:uid="{00000000-0005-0000-0000-0000082D0000}"/>
    <cellStyle name="Comma 6 6 6" xfId="1891" xr:uid="{00000000-0005-0000-0000-0000092D0000}"/>
    <cellStyle name="Comma 6 6 6 2" xfId="11256" xr:uid="{00000000-0005-0000-0000-00000A2D0000}"/>
    <cellStyle name="Comma 6 6 6 2 2" xfId="36811" xr:uid="{00000000-0005-0000-0000-00000B2D0000}"/>
    <cellStyle name="Comma 6 6 6 3" xfId="21260" xr:uid="{00000000-0005-0000-0000-00000C2D0000}"/>
    <cellStyle name="Comma 6 6 6 3 2" xfId="46813" xr:uid="{00000000-0005-0000-0000-00000D2D0000}"/>
    <cellStyle name="Comma 6 6 6 4" xfId="27743" xr:uid="{00000000-0005-0000-0000-00000E2D0000}"/>
    <cellStyle name="Comma 6 6 7" xfId="5572" xr:uid="{00000000-0005-0000-0000-00000F2D0000}"/>
    <cellStyle name="Comma 6 6 7 2" xfId="14399" xr:uid="{00000000-0005-0000-0000-0000102D0000}"/>
    <cellStyle name="Comma 6 6 7 2 2" xfId="39954" xr:uid="{00000000-0005-0000-0000-0000112D0000}"/>
    <cellStyle name="Comma 6 6 7 3" xfId="24650" xr:uid="{00000000-0005-0000-0000-0000122D0000}"/>
    <cellStyle name="Comma 6 6 7 3 2" xfId="50203" xr:uid="{00000000-0005-0000-0000-0000132D0000}"/>
    <cellStyle name="Comma 6 6 7 4" xfId="31133" xr:uid="{00000000-0005-0000-0000-0000142D0000}"/>
    <cellStyle name="Comma 6 6 8" xfId="7016" xr:uid="{00000000-0005-0000-0000-0000152D0000}"/>
    <cellStyle name="Comma 6 6 8 2" xfId="19742" xr:uid="{00000000-0005-0000-0000-0000162D0000}"/>
    <cellStyle name="Comma 6 6 8 2 2" xfId="45295" xr:uid="{00000000-0005-0000-0000-0000172D0000}"/>
    <cellStyle name="Comma 6 6 8 3" xfId="32573" xr:uid="{00000000-0005-0000-0000-0000182D0000}"/>
    <cellStyle name="Comma 6 6 9" xfId="16253" xr:uid="{00000000-0005-0000-0000-0000192D0000}"/>
    <cellStyle name="Comma 6 6 9 2" xfId="41806" xr:uid="{00000000-0005-0000-0000-00001A2D0000}"/>
    <cellStyle name="Comma 6 7" xfId="685" xr:uid="{00000000-0005-0000-0000-00001B2D0000}"/>
    <cellStyle name="Comma 6 7 2" xfId="3171" xr:uid="{00000000-0005-0000-0000-00001C2D0000}"/>
    <cellStyle name="Comma 6 7 2 2" xfId="12314" xr:uid="{00000000-0005-0000-0000-00001D2D0000}"/>
    <cellStyle name="Comma 6 7 2 2 2" xfId="22532" xr:uid="{00000000-0005-0000-0000-00001E2D0000}"/>
    <cellStyle name="Comma 6 7 2 2 2 2" xfId="48085" xr:uid="{00000000-0005-0000-0000-00001F2D0000}"/>
    <cellStyle name="Comma 6 7 2 2 3" xfId="37869" xr:uid="{00000000-0005-0000-0000-0000202D0000}"/>
    <cellStyle name="Comma 6 7 2 3" xfId="8736" xr:uid="{00000000-0005-0000-0000-0000212D0000}"/>
    <cellStyle name="Comma 6 7 2 3 2" xfId="34293" xr:uid="{00000000-0005-0000-0000-0000222D0000}"/>
    <cellStyle name="Comma 6 7 2 4" xfId="17525" xr:uid="{00000000-0005-0000-0000-0000232D0000}"/>
    <cellStyle name="Comma 6 7 2 4 2" xfId="43078" xr:uid="{00000000-0005-0000-0000-0000242D0000}"/>
    <cellStyle name="Comma 6 7 2 5" xfId="29015" xr:uid="{00000000-0005-0000-0000-0000252D0000}"/>
    <cellStyle name="Comma 6 7 3" xfId="4500" xr:uid="{00000000-0005-0000-0000-0000262D0000}"/>
    <cellStyle name="Comma 6 7 3 2" xfId="13338" xr:uid="{00000000-0005-0000-0000-0000272D0000}"/>
    <cellStyle name="Comma 6 7 3 2 2" xfId="23589" xr:uid="{00000000-0005-0000-0000-0000282D0000}"/>
    <cellStyle name="Comma 6 7 3 2 2 2" xfId="49142" xr:uid="{00000000-0005-0000-0000-0000292D0000}"/>
    <cellStyle name="Comma 6 7 3 2 3" xfId="38893" xr:uid="{00000000-0005-0000-0000-00002A2D0000}"/>
    <cellStyle name="Comma 6 7 3 3" xfId="9759" xr:uid="{00000000-0005-0000-0000-00002B2D0000}"/>
    <cellStyle name="Comma 6 7 3 3 2" xfId="35316" xr:uid="{00000000-0005-0000-0000-00002C2D0000}"/>
    <cellStyle name="Comma 6 7 3 4" xfId="18582" xr:uid="{00000000-0005-0000-0000-00002D2D0000}"/>
    <cellStyle name="Comma 6 7 3 4 2" xfId="44135" xr:uid="{00000000-0005-0000-0000-00002E2D0000}"/>
    <cellStyle name="Comma 6 7 3 5" xfId="30072" xr:uid="{00000000-0005-0000-0000-00002F2D0000}"/>
    <cellStyle name="Comma 6 7 4" xfId="2280" xr:uid="{00000000-0005-0000-0000-0000302D0000}"/>
    <cellStyle name="Comma 6 7 4 2" xfId="11645" xr:uid="{00000000-0005-0000-0000-0000312D0000}"/>
    <cellStyle name="Comma 6 7 4 2 2" xfId="37200" xr:uid="{00000000-0005-0000-0000-0000322D0000}"/>
    <cellStyle name="Comma 6 7 4 3" xfId="21649" xr:uid="{00000000-0005-0000-0000-0000332D0000}"/>
    <cellStyle name="Comma 6 7 4 3 2" xfId="47202" xr:uid="{00000000-0005-0000-0000-0000342D0000}"/>
    <cellStyle name="Comma 6 7 4 4" xfId="28132" xr:uid="{00000000-0005-0000-0000-0000352D0000}"/>
    <cellStyle name="Comma 6 7 5" xfId="5956" xr:uid="{00000000-0005-0000-0000-0000362D0000}"/>
    <cellStyle name="Comma 6 7 5 2" xfId="14783" xr:uid="{00000000-0005-0000-0000-0000372D0000}"/>
    <cellStyle name="Comma 6 7 5 2 2" xfId="40338" xr:uid="{00000000-0005-0000-0000-0000382D0000}"/>
    <cellStyle name="Comma 6 7 5 3" xfId="25034" xr:uid="{00000000-0005-0000-0000-0000392D0000}"/>
    <cellStyle name="Comma 6 7 5 3 2" xfId="50587" xr:uid="{00000000-0005-0000-0000-00003A2D0000}"/>
    <cellStyle name="Comma 6 7 5 4" xfId="31517" xr:uid="{00000000-0005-0000-0000-00003B2D0000}"/>
    <cellStyle name="Comma 6 7 6" xfId="7400" xr:uid="{00000000-0005-0000-0000-00003C2D0000}"/>
    <cellStyle name="Comma 6 7 6 2" xfId="20131" xr:uid="{00000000-0005-0000-0000-00003D2D0000}"/>
    <cellStyle name="Comma 6 7 6 2 2" xfId="45684" xr:uid="{00000000-0005-0000-0000-00003E2D0000}"/>
    <cellStyle name="Comma 6 7 6 3" xfId="32957" xr:uid="{00000000-0005-0000-0000-00003F2D0000}"/>
    <cellStyle name="Comma 6 7 7" xfId="16642" xr:uid="{00000000-0005-0000-0000-0000402D0000}"/>
    <cellStyle name="Comma 6 7 7 2" xfId="42195" xr:uid="{00000000-0005-0000-0000-0000412D0000}"/>
    <cellStyle name="Comma 6 7 8" xfId="26614" xr:uid="{00000000-0005-0000-0000-0000422D0000}"/>
    <cellStyle name="Comma 6 8" xfId="1048" xr:uid="{00000000-0005-0000-0000-0000432D0000}"/>
    <cellStyle name="Comma 6 8 2" xfId="3477" xr:uid="{00000000-0005-0000-0000-0000442D0000}"/>
    <cellStyle name="Comma 6 8 2 2" xfId="12613" xr:uid="{00000000-0005-0000-0000-0000452D0000}"/>
    <cellStyle name="Comma 6 8 2 2 2" xfId="22832" xr:uid="{00000000-0005-0000-0000-0000462D0000}"/>
    <cellStyle name="Comma 6 8 2 2 2 2" xfId="48385" xr:uid="{00000000-0005-0000-0000-0000472D0000}"/>
    <cellStyle name="Comma 6 8 2 2 3" xfId="38168" xr:uid="{00000000-0005-0000-0000-0000482D0000}"/>
    <cellStyle name="Comma 6 8 2 3" xfId="9035" xr:uid="{00000000-0005-0000-0000-0000492D0000}"/>
    <cellStyle name="Comma 6 8 2 3 2" xfId="34592" xr:uid="{00000000-0005-0000-0000-00004A2D0000}"/>
    <cellStyle name="Comma 6 8 2 4" xfId="17825" xr:uid="{00000000-0005-0000-0000-00004B2D0000}"/>
    <cellStyle name="Comma 6 8 2 4 2" xfId="43378" xr:uid="{00000000-0005-0000-0000-00004C2D0000}"/>
    <cellStyle name="Comma 6 8 2 5" xfId="29315" xr:uid="{00000000-0005-0000-0000-00004D2D0000}"/>
    <cellStyle name="Comma 6 8 3" xfId="4849" xr:uid="{00000000-0005-0000-0000-00004E2D0000}"/>
    <cellStyle name="Comma 6 8 3 2" xfId="13686" xr:uid="{00000000-0005-0000-0000-00004F2D0000}"/>
    <cellStyle name="Comma 6 8 3 2 2" xfId="23937" xr:uid="{00000000-0005-0000-0000-0000502D0000}"/>
    <cellStyle name="Comma 6 8 3 2 2 2" xfId="49490" xr:uid="{00000000-0005-0000-0000-0000512D0000}"/>
    <cellStyle name="Comma 6 8 3 2 3" xfId="39241" xr:uid="{00000000-0005-0000-0000-0000522D0000}"/>
    <cellStyle name="Comma 6 8 3 3" xfId="10107" xr:uid="{00000000-0005-0000-0000-0000532D0000}"/>
    <cellStyle name="Comma 6 8 3 3 2" xfId="35664" xr:uid="{00000000-0005-0000-0000-0000542D0000}"/>
    <cellStyle name="Comma 6 8 3 4" xfId="18930" xr:uid="{00000000-0005-0000-0000-0000552D0000}"/>
    <cellStyle name="Comma 6 8 3 4 2" xfId="44483" xr:uid="{00000000-0005-0000-0000-0000562D0000}"/>
    <cellStyle name="Comma 6 8 3 5" xfId="30420" xr:uid="{00000000-0005-0000-0000-0000572D0000}"/>
    <cellStyle name="Comma 6 8 4" xfId="1727" xr:uid="{00000000-0005-0000-0000-0000582D0000}"/>
    <cellStyle name="Comma 6 8 4 2" xfId="11101" xr:uid="{00000000-0005-0000-0000-0000592D0000}"/>
    <cellStyle name="Comma 6 8 4 2 2" xfId="36656" xr:uid="{00000000-0005-0000-0000-00005A2D0000}"/>
    <cellStyle name="Comma 6 8 4 3" xfId="21105" xr:uid="{00000000-0005-0000-0000-00005B2D0000}"/>
    <cellStyle name="Comma 6 8 4 3 2" xfId="46658" xr:uid="{00000000-0005-0000-0000-00005C2D0000}"/>
    <cellStyle name="Comma 6 8 4 4" xfId="27588" xr:uid="{00000000-0005-0000-0000-00005D2D0000}"/>
    <cellStyle name="Comma 6 8 5" xfId="6304" xr:uid="{00000000-0005-0000-0000-00005E2D0000}"/>
    <cellStyle name="Comma 6 8 5 2" xfId="15131" xr:uid="{00000000-0005-0000-0000-00005F2D0000}"/>
    <cellStyle name="Comma 6 8 5 2 2" xfId="40686" xr:uid="{00000000-0005-0000-0000-0000602D0000}"/>
    <cellStyle name="Comma 6 8 5 3" xfId="25382" xr:uid="{00000000-0005-0000-0000-0000612D0000}"/>
    <cellStyle name="Comma 6 8 5 3 2" xfId="50935" xr:uid="{00000000-0005-0000-0000-0000622D0000}"/>
    <cellStyle name="Comma 6 8 5 4" xfId="31865" xr:uid="{00000000-0005-0000-0000-0000632D0000}"/>
    <cellStyle name="Comma 6 8 6" xfId="7750" xr:uid="{00000000-0005-0000-0000-0000642D0000}"/>
    <cellStyle name="Comma 6 8 6 2" xfId="20431" xr:uid="{00000000-0005-0000-0000-0000652D0000}"/>
    <cellStyle name="Comma 6 8 6 2 2" xfId="45984" xr:uid="{00000000-0005-0000-0000-0000662D0000}"/>
    <cellStyle name="Comma 6 8 6 3" xfId="33307" xr:uid="{00000000-0005-0000-0000-0000672D0000}"/>
    <cellStyle name="Comma 6 8 7" xfId="16098" xr:uid="{00000000-0005-0000-0000-0000682D0000}"/>
    <cellStyle name="Comma 6 8 7 2" xfId="41651" xr:uid="{00000000-0005-0000-0000-0000692D0000}"/>
    <cellStyle name="Comma 6 8 8" xfId="26914" xr:uid="{00000000-0005-0000-0000-00006A2D0000}"/>
    <cellStyle name="Comma 6 9" xfId="2625" xr:uid="{00000000-0005-0000-0000-00006B2D0000}"/>
    <cellStyle name="Comma 6 9 2" xfId="5140" xr:uid="{00000000-0005-0000-0000-00006C2D0000}"/>
    <cellStyle name="Comma 6 9 2 2" xfId="13977" xr:uid="{00000000-0005-0000-0000-00006D2D0000}"/>
    <cellStyle name="Comma 6 9 2 2 2" xfId="24228" xr:uid="{00000000-0005-0000-0000-00006E2D0000}"/>
    <cellStyle name="Comma 6 9 2 2 2 2" xfId="49781" xr:uid="{00000000-0005-0000-0000-00006F2D0000}"/>
    <cellStyle name="Comma 6 9 2 2 3" xfId="39532" xr:uid="{00000000-0005-0000-0000-0000702D0000}"/>
    <cellStyle name="Comma 6 9 2 3" xfId="10398" xr:uid="{00000000-0005-0000-0000-0000712D0000}"/>
    <cellStyle name="Comma 6 9 2 3 2" xfId="35955" xr:uid="{00000000-0005-0000-0000-0000722D0000}"/>
    <cellStyle name="Comma 6 9 2 4" xfId="19221" xr:uid="{00000000-0005-0000-0000-0000732D0000}"/>
    <cellStyle name="Comma 6 9 2 4 2" xfId="44774" xr:uid="{00000000-0005-0000-0000-0000742D0000}"/>
    <cellStyle name="Comma 6 9 2 5" xfId="30711" xr:uid="{00000000-0005-0000-0000-0000752D0000}"/>
    <cellStyle name="Comma 6 9 3" xfId="6595" xr:uid="{00000000-0005-0000-0000-0000762D0000}"/>
    <cellStyle name="Comma 6 9 3 2" xfId="15422" xr:uid="{00000000-0005-0000-0000-0000772D0000}"/>
    <cellStyle name="Comma 6 9 3 2 2" xfId="40977" xr:uid="{00000000-0005-0000-0000-0000782D0000}"/>
    <cellStyle name="Comma 6 9 3 3" xfId="25673" xr:uid="{00000000-0005-0000-0000-0000792D0000}"/>
    <cellStyle name="Comma 6 9 3 3 2" xfId="51226" xr:uid="{00000000-0005-0000-0000-00007A2D0000}"/>
    <cellStyle name="Comma 6 9 3 4" xfId="32156" xr:uid="{00000000-0005-0000-0000-00007B2D0000}"/>
    <cellStyle name="Comma 6 9 4" xfId="8041" xr:uid="{00000000-0005-0000-0000-00007C2D0000}"/>
    <cellStyle name="Comma 6 9 4 2" xfId="21988" xr:uid="{00000000-0005-0000-0000-00007D2D0000}"/>
    <cellStyle name="Comma 6 9 4 2 2" xfId="47541" xr:uid="{00000000-0005-0000-0000-00007E2D0000}"/>
    <cellStyle name="Comma 6 9 4 3" xfId="33598" xr:uid="{00000000-0005-0000-0000-00007F2D0000}"/>
    <cellStyle name="Comma 6 9 5" xfId="16981" xr:uid="{00000000-0005-0000-0000-0000802D0000}"/>
    <cellStyle name="Comma 6 9 5 2" xfId="42534" xr:uid="{00000000-0005-0000-0000-0000812D0000}"/>
    <cellStyle name="Comma 6 9 6" xfId="28471" xr:uid="{00000000-0005-0000-0000-0000822D0000}"/>
    <cellStyle name="Comma 7" xfId="117" xr:uid="{00000000-0005-0000-0000-0000832D0000}"/>
    <cellStyle name="DataNew" xfId="51602" xr:uid="{F35A38D5-2C9F-4B01-B402-5116FA1C80C6}"/>
    <cellStyle name="DataOld" xfId="51601" xr:uid="{3EC78CC2-822B-4D51-9C81-58E3C30FB748}"/>
    <cellStyle name="Explanatory Text 2" xfId="1012" xr:uid="{00000000-0005-0000-0000-0000842D0000}"/>
    <cellStyle name="Good 2" xfId="1013" xr:uid="{00000000-0005-0000-0000-0000852D0000}"/>
    <cellStyle name="Heading 1 2" xfId="1014" xr:uid="{00000000-0005-0000-0000-0000862D0000}"/>
    <cellStyle name="Heading 2 2" xfId="1015" xr:uid="{00000000-0005-0000-0000-0000872D0000}"/>
    <cellStyle name="Heading 3 2" xfId="1016" xr:uid="{00000000-0005-0000-0000-0000882D0000}"/>
    <cellStyle name="Heading 4 2" xfId="1017" xr:uid="{00000000-0005-0000-0000-0000892D0000}"/>
    <cellStyle name="Input 2" xfId="1018" xr:uid="{00000000-0005-0000-0000-00008A2D0000}"/>
    <cellStyle name="Input 3" xfId="1032" xr:uid="{00000000-0005-0000-0000-00008B2D0000}"/>
    <cellStyle name="Linked Cell 2" xfId="1019" xr:uid="{00000000-0005-0000-0000-00008C2D0000}"/>
    <cellStyle name="Neutral 2" xfId="1020" xr:uid="{00000000-0005-0000-0000-00008D2D0000}"/>
    <cellStyle name="Normal" xfId="0" builtinId="0"/>
    <cellStyle name="Normal 10" xfId="16" xr:uid="{00000000-0005-0000-0000-00008F2D0000}"/>
    <cellStyle name="Normal 10 10" xfId="5500" xr:uid="{00000000-0005-0000-0000-0000902D0000}"/>
    <cellStyle name="Normal 10 10 2" xfId="14327" xr:uid="{00000000-0005-0000-0000-0000912D0000}"/>
    <cellStyle name="Normal 10 10 2 2" xfId="39882" xr:uid="{00000000-0005-0000-0000-0000922D0000}"/>
    <cellStyle name="Normal 10 10 3" xfId="24578" xr:uid="{00000000-0005-0000-0000-0000932D0000}"/>
    <cellStyle name="Normal 10 10 3 2" xfId="50131" xr:uid="{00000000-0005-0000-0000-0000942D0000}"/>
    <cellStyle name="Normal 10 10 4" xfId="31061" xr:uid="{00000000-0005-0000-0000-0000952D0000}"/>
    <cellStyle name="Normal 10 11" xfId="6938" xr:uid="{00000000-0005-0000-0000-0000962D0000}"/>
    <cellStyle name="Normal 10 11 2" xfId="32496" xr:uid="{00000000-0005-0000-0000-0000972D0000}"/>
    <cellStyle name="Normal 10 2" xfId="106" xr:uid="{00000000-0005-0000-0000-0000982D0000}"/>
    <cellStyle name="Normal 10 2 10" xfId="4105" xr:uid="{00000000-0005-0000-0000-0000992D0000}"/>
    <cellStyle name="Normal 10 2 10 2" xfId="5563" xr:uid="{00000000-0005-0000-0000-00009A2D0000}"/>
    <cellStyle name="Normal 10 2 10 2 2" xfId="14390" xr:uid="{00000000-0005-0000-0000-00009B2D0000}"/>
    <cellStyle name="Normal 10 2 10 2 2 2" xfId="39945" xr:uid="{00000000-0005-0000-0000-00009C2D0000}"/>
    <cellStyle name="Normal 10 2 10 2 3" xfId="24641" xr:uid="{00000000-0005-0000-0000-00009D2D0000}"/>
    <cellStyle name="Normal 10 2 10 2 3 2" xfId="50194" xr:uid="{00000000-0005-0000-0000-00009E2D0000}"/>
    <cellStyle name="Normal 10 2 10 2 4" xfId="31124" xr:uid="{00000000-0005-0000-0000-00009F2D0000}"/>
    <cellStyle name="Normal 10 2 10 3" xfId="7007" xr:uid="{00000000-0005-0000-0000-0000A02D0000}"/>
    <cellStyle name="Normal 10 2 10 3 2" xfId="23194" xr:uid="{00000000-0005-0000-0000-0000A12D0000}"/>
    <cellStyle name="Normal 10 2 10 3 2 2" xfId="48747" xr:uid="{00000000-0005-0000-0000-0000A22D0000}"/>
    <cellStyle name="Normal 10 2 10 3 3" xfId="32564" xr:uid="{00000000-0005-0000-0000-0000A32D0000}"/>
    <cellStyle name="Normal 10 2 10 4" xfId="18187" xr:uid="{00000000-0005-0000-0000-0000A42D0000}"/>
    <cellStyle name="Normal 10 2 10 4 2" xfId="43740" xr:uid="{00000000-0005-0000-0000-0000A52D0000}"/>
    <cellStyle name="Normal 10 2 10 5" xfId="29677" xr:uid="{00000000-0005-0000-0000-0000A62D0000}"/>
    <cellStyle name="Normal 10 2 11" xfId="1399" xr:uid="{00000000-0005-0000-0000-0000A72D0000}"/>
    <cellStyle name="Normal 10 2 11 2" xfId="10776" xr:uid="{00000000-0005-0000-0000-0000A82D0000}"/>
    <cellStyle name="Normal 10 2 11 2 2" xfId="36331" xr:uid="{00000000-0005-0000-0000-0000A92D0000}"/>
    <cellStyle name="Normal 10 2 11 3" xfId="20780" xr:uid="{00000000-0005-0000-0000-0000AA2D0000}"/>
    <cellStyle name="Normal 10 2 11 3 2" xfId="46333" xr:uid="{00000000-0005-0000-0000-0000AB2D0000}"/>
    <cellStyle name="Normal 10 2 11 4" xfId="27263" xr:uid="{00000000-0005-0000-0000-0000AC2D0000}"/>
    <cellStyle name="Normal 10 2 12" xfId="5504" xr:uid="{00000000-0005-0000-0000-0000AD2D0000}"/>
    <cellStyle name="Normal 10 2 12 2" xfId="14331" xr:uid="{00000000-0005-0000-0000-0000AE2D0000}"/>
    <cellStyle name="Normal 10 2 12 2 2" xfId="39886" xr:uid="{00000000-0005-0000-0000-0000AF2D0000}"/>
    <cellStyle name="Normal 10 2 12 3" xfId="24582" xr:uid="{00000000-0005-0000-0000-0000B02D0000}"/>
    <cellStyle name="Normal 10 2 12 3 2" xfId="50135" xr:uid="{00000000-0005-0000-0000-0000B12D0000}"/>
    <cellStyle name="Normal 10 2 12 4" xfId="31065" xr:uid="{00000000-0005-0000-0000-0000B22D0000}"/>
    <cellStyle name="Normal 10 2 13" xfId="6943" xr:uid="{00000000-0005-0000-0000-0000B32D0000}"/>
    <cellStyle name="Normal 10 2 13 2" xfId="19581" xr:uid="{00000000-0005-0000-0000-0000B42D0000}"/>
    <cellStyle name="Normal 10 2 13 2 2" xfId="45134" xr:uid="{00000000-0005-0000-0000-0000B52D0000}"/>
    <cellStyle name="Normal 10 2 13 3" xfId="32501" xr:uid="{00000000-0005-0000-0000-0000B62D0000}"/>
    <cellStyle name="Normal 10 2 14" xfId="15773" xr:uid="{00000000-0005-0000-0000-0000B72D0000}"/>
    <cellStyle name="Normal 10 2 14 2" xfId="41326" xr:uid="{00000000-0005-0000-0000-0000B82D0000}"/>
    <cellStyle name="Normal 10 2 15" xfId="26064" xr:uid="{00000000-0005-0000-0000-0000B92D0000}"/>
    <cellStyle name="Normal 10 2 2" xfId="159" xr:uid="{00000000-0005-0000-0000-0000BA2D0000}"/>
    <cellStyle name="Normal 10 2 2 10" xfId="1424" xr:uid="{00000000-0005-0000-0000-0000BB2D0000}"/>
    <cellStyle name="Normal 10 2 2 10 2" xfId="10801" xr:uid="{00000000-0005-0000-0000-0000BC2D0000}"/>
    <cellStyle name="Normal 10 2 2 10 2 2" xfId="36356" xr:uid="{00000000-0005-0000-0000-0000BD2D0000}"/>
    <cellStyle name="Normal 10 2 2 10 3" xfId="20805" xr:uid="{00000000-0005-0000-0000-0000BE2D0000}"/>
    <cellStyle name="Normal 10 2 2 10 3 2" xfId="46358" xr:uid="{00000000-0005-0000-0000-0000BF2D0000}"/>
    <cellStyle name="Normal 10 2 2 10 4" xfId="27288" xr:uid="{00000000-0005-0000-0000-0000C02D0000}"/>
    <cellStyle name="Normal 10 2 2 11" xfId="5533" xr:uid="{00000000-0005-0000-0000-0000C12D0000}"/>
    <cellStyle name="Normal 10 2 2 11 2" xfId="14360" xr:uid="{00000000-0005-0000-0000-0000C22D0000}"/>
    <cellStyle name="Normal 10 2 2 11 2 2" xfId="39915" xr:uid="{00000000-0005-0000-0000-0000C32D0000}"/>
    <cellStyle name="Normal 10 2 2 11 3" xfId="24611" xr:uid="{00000000-0005-0000-0000-0000C42D0000}"/>
    <cellStyle name="Normal 10 2 2 11 3 2" xfId="50164" xr:uid="{00000000-0005-0000-0000-0000C52D0000}"/>
    <cellStyle name="Normal 10 2 2 11 4" xfId="31094" xr:uid="{00000000-0005-0000-0000-0000C62D0000}"/>
    <cellStyle name="Normal 10 2 2 12" xfId="6977" xr:uid="{00000000-0005-0000-0000-0000C72D0000}"/>
    <cellStyle name="Normal 10 2 2 12 2" xfId="19618" xr:uid="{00000000-0005-0000-0000-0000C82D0000}"/>
    <cellStyle name="Normal 10 2 2 12 2 2" xfId="45171" xr:uid="{00000000-0005-0000-0000-0000C92D0000}"/>
    <cellStyle name="Normal 10 2 2 12 3" xfId="32534" xr:uid="{00000000-0005-0000-0000-0000CA2D0000}"/>
    <cellStyle name="Normal 10 2 2 13" xfId="15798" xr:uid="{00000000-0005-0000-0000-0000CB2D0000}"/>
    <cellStyle name="Normal 10 2 2 13 2" xfId="41351" xr:uid="{00000000-0005-0000-0000-0000CC2D0000}"/>
    <cellStyle name="Normal 10 2 2 14" xfId="26101" xr:uid="{00000000-0005-0000-0000-0000CD2D0000}"/>
    <cellStyle name="Normal 10 2 2 2" xfId="206" xr:uid="{00000000-0005-0000-0000-0000CE2D0000}"/>
    <cellStyle name="Normal 10 2 2 2 10" xfId="7152" xr:uid="{00000000-0005-0000-0000-0000CF2D0000}"/>
    <cellStyle name="Normal 10 2 2 2 10 2" xfId="19661" xr:uid="{00000000-0005-0000-0000-0000D02D0000}"/>
    <cellStyle name="Normal 10 2 2 2 10 2 2" xfId="45214" xr:uid="{00000000-0005-0000-0000-0000D12D0000}"/>
    <cellStyle name="Normal 10 2 2 2 10 3" xfId="32709" xr:uid="{00000000-0005-0000-0000-0000D22D0000}"/>
    <cellStyle name="Normal 10 2 2 2 11" xfId="15898" xr:uid="{00000000-0005-0000-0000-0000D32D0000}"/>
    <cellStyle name="Normal 10 2 2 2 11 2" xfId="41451" xr:uid="{00000000-0005-0000-0000-0000D42D0000}"/>
    <cellStyle name="Normal 10 2 2 2 12" xfId="26144" xr:uid="{00000000-0005-0000-0000-0000D52D0000}"/>
    <cellStyle name="Normal 10 2 2 2 2" xfId="532" xr:uid="{00000000-0005-0000-0000-0000D62D0000}"/>
    <cellStyle name="Normal 10 2 2 2 2 10" xfId="26461" xr:uid="{00000000-0005-0000-0000-0000D72D0000}"/>
    <cellStyle name="Normal 10 2 2 2 2 2" xfId="701" xr:uid="{00000000-0005-0000-0000-0000D82D0000}"/>
    <cellStyle name="Normal 10 2 2 2 2 2 2" xfId="3187" xr:uid="{00000000-0005-0000-0000-0000D92D0000}"/>
    <cellStyle name="Normal 10 2 2 2 2 2 2 2" xfId="12330" xr:uid="{00000000-0005-0000-0000-0000DA2D0000}"/>
    <cellStyle name="Normal 10 2 2 2 2 2 2 2 2" xfId="22548" xr:uid="{00000000-0005-0000-0000-0000DB2D0000}"/>
    <cellStyle name="Normal 10 2 2 2 2 2 2 2 2 2" xfId="48101" xr:uid="{00000000-0005-0000-0000-0000DC2D0000}"/>
    <cellStyle name="Normal 10 2 2 2 2 2 2 2 3" xfId="37885" xr:uid="{00000000-0005-0000-0000-0000DD2D0000}"/>
    <cellStyle name="Normal 10 2 2 2 2 2 2 3" xfId="8752" xr:uid="{00000000-0005-0000-0000-0000DE2D0000}"/>
    <cellStyle name="Normal 10 2 2 2 2 2 2 3 2" xfId="34309" xr:uid="{00000000-0005-0000-0000-0000DF2D0000}"/>
    <cellStyle name="Normal 10 2 2 2 2 2 2 4" xfId="17541" xr:uid="{00000000-0005-0000-0000-0000E02D0000}"/>
    <cellStyle name="Normal 10 2 2 2 2 2 2 4 2" xfId="43094" xr:uid="{00000000-0005-0000-0000-0000E12D0000}"/>
    <cellStyle name="Normal 10 2 2 2 2 2 2 5" xfId="29031" xr:uid="{00000000-0005-0000-0000-0000E22D0000}"/>
    <cellStyle name="Normal 10 2 2 2 2 2 3" xfId="4516" xr:uid="{00000000-0005-0000-0000-0000E32D0000}"/>
    <cellStyle name="Normal 10 2 2 2 2 2 3 2" xfId="13354" xr:uid="{00000000-0005-0000-0000-0000E42D0000}"/>
    <cellStyle name="Normal 10 2 2 2 2 2 3 2 2" xfId="23605" xr:uid="{00000000-0005-0000-0000-0000E52D0000}"/>
    <cellStyle name="Normal 10 2 2 2 2 2 3 2 2 2" xfId="49158" xr:uid="{00000000-0005-0000-0000-0000E62D0000}"/>
    <cellStyle name="Normal 10 2 2 2 2 2 3 2 3" xfId="38909" xr:uid="{00000000-0005-0000-0000-0000E72D0000}"/>
    <cellStyle name="Normal 10 2 2 2 2 2 3 3" xfId="9775" xr:uid="{00000000-0005-0000-0000-0000E82D0000}"/>
    <cellStyle name="Normal 10 2 2 2 2 2 3 3 2" xfId="35332" xr:uid="{00000000-0005-0000-0000-0000E92D0000}"/>
    <cellStyle name="Normal 10 2 2 2 2 2 3 4" xfId="18598" xr:uid="{00000000-0005-0000-0000-0000EA2D0000}"/>
    <cellStyle name="Normal 10 2 2 2 2 2 3 4 2" xfId="44151" xr:uid="{00000000-0005-0000-0000-0000EB2D0000}"/>
    <cellStyle name="Normal 10 2 2 2 2 2 3 5" xfId="30088" xr:uid="{00000000-0005-0000-0000-0000EC2D0000}"/>
    <cellStyle name="Normal 10 2 2 2 2 2 4" xfId="2296" xr:uid="{00000000-0005-0000-0000-0000ED2D0000}"/>
    <cellStyle name="Normal 10 2 2 2 2 2 4 2" xfId="11661" xr:uid="{00000000-0005-0000-0000-0000EE2D0000}"/>
    <cellStyle name="Normal 10 2 2 2 2 2 4 2 2" xfId="37216" xr:uid="{00000000-0005-0000-0000-0000EF2D0000}"/>
    <cellStyle name="Normal 10 2 2 2 2 2 4 3" xfId="21665" xr:uid="{00000000-0005-0000-0000-0000F02D0000}"/>
    <cellStyle name="Normal 10 2 2 2 2 2 4 3 2" xfId="47218" xr:uid="{00000000-0005-0000-0000-0000F12D0000}"/>
    <cellStyle name="Normal 10 2 2 2 2 2 4 4" xfId="28148" xr:uid="{00000000-0005-0000-0000-0000F22D0000}"/>
    <cellStyle name="Normal 10 2 2 2 2 2 5" xfId="5972" xr:uid="{00000000-0005-0000-0000-0000F32D0000}"/>
    <cellStyle name="Normal 10 2 2 2 2 2 5 2" xfId="14799" xr:uid="{00000000-0005-0000-0000-0000F42D0000}"/>
    <cellStyle name="Normal 10 2 2 2 2 2 5 2 2" xfId="40354" xr:uid="{00000000-0005-0000-0000-0000F52D0000}"/>
    <cellStyle name="Normal 10 2 2 2 2 2 5 3" xfId="25050" xr:uid="{00000000-0005-0000-0000-0000F62D0000}"/>
    <cellStyle name="Normal 10 2 2 2 2 2 5 3 2" xfId="50603" xr:uid="{00000000-0005-0000-0000-0000F72D0000}"/>
    <cellStyle name="Normal 10 2 2 2 2 2 5 4" xfId="31533" xr:uid="{00000000-0005-0000-0000-0000F82D0000}"/>
    <cellStyle name="Normal 10 2 2 2 2 2 6" xfId="7416" xr:uid="{00000000-0005-0000-0000-0000F92D0000}"/>
    <cellStyle name="Normal 10 2 2 2 2 2 6 2" xfId="20147" xr:uid="{00000000-0005-0000-0000-0000FA2D0000}"/>
    <cellStyle name="Normal 10 2 2 2 2 2 6 2 2" xfId="45700" xr:uid="{00000000-0005-0000-0000-0000FB2D0000}"/>
    <cellStyle name="Normal 10 2 2 2 2 2 6 3" xfId="32973" xr:uid="{00000000-0005-0000-0000-0000FC2D0000}"/>
    <cellStyle name="Normal 10 2 2 2 2 2 7" xfId="16658" xr:uid="{00000000-0005-0000-0000-0000FD2D0000}"/>
    <cellStyle name="Normal 10 2 2 2 2 2 7 2" xfId="42211" xr:uid="{00000000-0005-0000-0000-0000FE2D0000}"/>
    <cellStyle name="Normal 10 2 2 2 2 2 8" xfId="26630" xr:uid="{00000000-0005-0000-0000-0000FF2D0000}"/>
    <cellStyle name="Normal 10 2 2 2 2 3" xfId="1304" xr:uid="{00000000-0005-0000-0000-0000002E0000}"/>
    <cellStyle name="Normal 10 2 2 2 2 3 2" xfId="3733" xr:uid="{00000000-0005-0000-0000-0000012E0000}"/>
    <cellStyle name="Normal 10 2 2 2 2 3 2 2" xfId="12869" xr:uid="{00000000-0005-0000-0000-0000022E0000}"/>
    <cellStyle name="Normal 10 2 2 2 2 3 2 2 2" xfId="23088" xr:uid="{00000000-0005-0000-0000-0000032E0000}"/>
    <cellStyle name="Normal 10 2 2 2 2 3 2 2 2 2" xfId="48641" xr:uid="{00000000-0005-0000-0000-0000042E0000}"/>
    <cellStyle name="Normal 10 2 2 2 2 3 2 2 3" xfId="38424" xr:uid="{00000000-0005-0000-0000-0000052E0000}"/>
    <cellStyle name="Normal 10 2 2 2 2 3 2 3" xfId="9290" xr:uid="{00000000-0005-0000-0000-0000062E0000}"/>
    <cellStyle name="Normal 10 2 2 2 2 3 2 3 2" xfId="34847" xr:uid="{00000000-0005-0000-0000-0000072E0000}"/>
    <cellStyle name="Normal 10 2 2 2 2 3 2 4" xfId="18081" xr:uid="{00000000-0005-0000-0000-0000082E0000}"/>
    <cellStyle name="Normal 10 2 2 2 2 3 2 4 2" xfId="43634" xr:uid="{00000000-0005-0000-0000-0000092E0000}"/>
    <cellStyle name="Normal 10 2 2 2 2 3 2 5" xfId="29571" xr:uid="{00000000-0005-0000-0000-00000A2E0000}"/>
    <cellStyle name="Normal 10 2 2 2 2 3 3" xfId="4865" xr:uid="{00000000-0005-0000-0000-00000B2E0000}"/>
    <cellStyle name="Normal 10 2 2 2 2 3 3 2" xfId="13702" xr:uid="{00000000-0005-0000-0000-00000C2E0000}"/>
    <cellStyle name="Normal 10 2 2 2 2 3 3 2 2" xfId="23953" xr:uid="{00000000-0005-0000-0000-00000D2E0000}"/>
    <cellStyle name="Normal 10 2 2 2 2 3 3 2 2 2" xfId="49506" xr:uid="{00000000-0005-0000-0000-00000E2E0000}"/>
    <cellStyle name="Normal 10 2 2 2 2 3 3 2 3" xfId="39257" xr:uid="{00000000-0005-0000-0000-00000F2E0000}"/>
    <cellStyle name="Normal 10 2 2 2 2 3 3 3" xfId="10123" xr:uid="{00000000-0005-0000-0000-0000102E0000}"/>
    <cellStyle name="Normal 10 2 2 2 2 3 3 3 2" xfId="35680" xr:uid="{00000000-0005-0000-0000-0000112E0000}"/>
    <cellStyle name="Normal 10 2 2 2 2 3 3 4" xfId="18946" xr:uid="{00000000-0005-0000-0000-0000122E0000}"/>
    <cellStyle name="Normal 10 2 2 2 2 3 3 4 2" xfId="44499" xr:uid="{00000000-0005-0000-0000-0000132E0000}"/>
    <cellStyle name="Normal 10 2 2 2 2 3 3 5" xfId="30436" xr:uid="{00000000-0005-0000-0000-0000142E0000}"/>
    <cellStyle name="Normal 10 2 2 2 2 3 4" xfId="2127" xr:uid="{00000000-0005-0000-0000-0000152E0000}"/>
    <cellStyle name="Normal 10 2 2 2 2 3 4 2" xfId="11492" xr:uid="{00000000-0005-0000-0000-0000162E0000}"/>
    <cellStyle name="Normal 10 2 2 2 2 3 4 2 2" xfId="37047" xr:uid="{00000000-0005-0000-0000-0000172E0000}"/>
    <cellStyle name="Normal 10 2 2 2 2 3 4 3" xfId="21496" xr:uid="{00000000-0005-0000-0000-0000182E0000}"/>
    <cellStyle name="Normal 10 2 2 2 2 3 4 3 2" xfId="47049" xr:uid="{00000000-0005-0000-0000-0000192E0000}"/>
    <cellStyle name="Normal 10 2 2 2 2 3 4 4" xfId="27979" xr:uid="{00000000-0005-0000-0000-00001A2E0000}"/>
    <cellStyle name="Normal 10 2 2 2 2 3 5" xfId="6320" xr:uid="{00000000-0005-0000-0000-00001B2E0000}"/>
    <cellStyle name="Normal 10 2 2 2 2 3 5 2" xfId="15147" xr:uid="{00000000-0005-0000-0000-00001C2E0000}"/>
    <cellStyle name="Normal 10 2 2 2 2 3 5 2 2" xfId="40702" xr:uid="{00000000-0005-0000-0000-00001D2E0000}"/>
    <cellStyle name="Normal 10 2 2 2 2 3 5 3" xfId="25398" xr:uid="{00000000-0005-0000-0000-00001E2E0000}"/>
    <cellStyle name="Normal 10 2 2 2 2 3 5 3 2" xfId="50951" xr:uid="{00000000-0005-0000-0000-00001F2E0000}"/>
    <cellStyle name="Normal 10 2 2 2 2 3 5 4" xfId="31881" xr:uid="{00000000-0005-0000-0000-0000202E0000}"/>
    <cellStyle name="Normal 10 2 2 2 2 3 6" xfId="7766" xr:uid="{00000000-0005-0000-0000-0000212E0000}"/>
    <cellStyle name="Normal 10 2 2 2 2 3 6 2" xfId="20687" xr:uid="{00000000-0005-0000-0000-0000222E0000}"/>
    <cellStyle name="Normal 10 2 2 2 2 3 6 2 2" xfId="46240" xr:uid="{00000000-0005-0000-0000-0000232E0000}"/>
    <cellStyle name="Normal 10 2 2 2 2 3 6 3" xfId="33323" xr:uid="{00000000-0005-0000-0000-0000242E0000}"/>
    <cellStyle name="Normal 10 2 2 2 2 3 7" xfId="16489" xr:uid="{00000000-0005-0000-0000-0000252E0000}"/>
    <cellStyle name="Normal 10 2 2 2 2 3 7 2" xfId="42042" xr:uid="{00000000-0005-0000-0000-0000262E0000}"/>
    <cellStyle name="Normal 10 2 2 2 2 3 8" xfId="27170" xr:uid="{00000000-0005-0000-0000-0000272E0000}"/>
    <cellStyle name="Normal 10 2 2 2 2 4" xfId="3018" xr:uid="{00000000-0005-0000-0000-0000282E0000}"/>
    <cellStyle name="Normal 10 2 2 2 2 4 2" xfId="5396" xr:uid="{00000000-0005-0000-0000-0000292E0000}"/>
    <cellStyle name="Normal 10 2 2 2 2 4 2 2" xfId="14233" xr:uid="{00000000-0005-0000-0000-00002A2E0000}"/>
    <cellStyle name="Normal 10 2 2 2 2 4 2 2 2" xfId="24484" xr:uid="{00000000-0005-0000-0000-00002B2E0000}"/>
    <cellStyle name="Normal 10 2 2 2 2 4 2 2 2 2" xfId="50037" xr:uid="{00000000-0005-0000-0000-00002C2E0000}"/>
    <cellStyle name="Normal 10 2 2 2 2 4 2 2 3" xfId="39788" xr:uid="{00000000-0005-0000-0000-00002D2E0000}"/>
    <cellStyle name="Normal 10 2 2 2 2 4 2 3" xfId="10654" xr:uid="{00000000-0005-0000-0000-00002E2E0000}"/>
    <cellStyle name="Normal 10 2 2 2 2 4 2 3 2" xfId="36211" xr:uid="{00000000-0005-0000-0000-00002F2E0000}"/>
    <cellStyle name="Normal 10 2 2 2 2 4 2 4" xfId="19477" xr:uid="{00000000-0005-0000-0000-0000302E0000}"/>
    <cellStyle name="Normal 10 2 2 2 2 4 2 4 2" xfId="45030" xr:uid="{00000000-0005-0000-0000-0000312E0000}"/>
    <cellStyle name="Normal 10 2 2 2 2 4 2 5" xfId="30967" xr:uid="{00000000-0005-0000-0000-0000322E0000}"/>
    <cellStyle name="Normal 10 2 2 2 2 4 3" xfId="6851" xr:uid="{00000000-0005-0000-0000-0000332E0000}"/>
    <cellStyle name="Normal 10 2 2 2 2 4 3 2" xfId="15678" xr:uid="{00000000-0005-0000-0000-0000342E0000}"/>
    <cellStyle name="Normal 10 2 2 2 2 4 3 2 2" xfId="41233" xr:uid="{00000000-0005-0000-0000-0000352E0000}"/>
    <cellStyle name="Normal 10 2 2 2 2 4 3 3" xfId="25929" xr:uid="{00000000-0005-0000-0000-0000362E0000}"/>
    <cellStyle name="Normal 10 2 2 2 2 4 3 3 2" xfId="51482" xr:uid="{00000000-0005-0000-0000-0000372E0000}"/>
    <cellStyle name="Normal 10 2 2 2 2 4 3 4" xfId="32412" xr:uid="{00000000-0005-0000-0000-0000382E0000}"/>
    <cellStyle name="Normal 10 2 2 2 2 4 4" xfId="8297" xr:uid="{00000000-0005-0000-0000-0000392E0000}"/>
    <cellStyle name="Normal 10 2 2 2 2 4 4 2" xfId="22379" xr:uid="{00000000-0005-0000-0000-00003A2E0000}"/>
    <cellStyle name="Normal 10 2 2 2 2 4 4 2 2" xfId="47932" xr:uid="{00000000-0005-0000-0000-00003B2E0000}"/>
    <cellStyle name="Normal 10 2 2 2 2 4 4 3" xfId="33854" xr:uid="{00000000-0005-0000-0000-00003C2E0000}"/>
    <cellStyle name="Normal 10 2 2 2 2 4 5" xfId="17372" xr:uid="{00000000-0005-0000-0000-00003D2E0000}"/>
    <cellStyle name="Normal 10 2 2 2 2 4 5 2" xfId="42925" xr:uid="{00000000-0005-0000-0000-00003E2E0000}"/>
    <cellStyle name="Normal 10 2 2 2 2 4 6" xfId="28862" xr:uid="{00000000-0005-0000-0000-00003F2E0000}"/>
    <cellStyle name="Normal 10 2 2 2 2 5" xfId="4352" xr:uid="{00000000-0005-0000-0000-0000402E0000}"/>
    <cellStyle name="Normal 10 2 2 2 2 5 2" xfId="13190" xr:uid="{00000000-0005-0000-0000-0000412E0000}"/>
    <cellStyle name="Normal 10 2 2 2 2 5 2 2" xfId="23441" xr:uid="{00000000-0005-0000-0000-0000422E0000}"/>
    <cellStyle name="Normal 10 2 2 2 2 5 2 2 2" xfId="48994" xr:uid="{00000000-0005-0000-0000-0000432E0000}"/>
    <cellStyle name="Normal 10 2 2 2 2 5 2 3" xfId="38745" xr:uid="{00000000-0005-0000-0000-0000442E0000}"/>
    <cellStyle name="Normal 10 2 2 2 2 5 3" xfId="9611" xr:uid="{00000000-0005-0000-0000-0000452E0000}"/>
    <cellStyle name="Normal 10 2 2 2 2 5 3 2" xfId="35168" xr:uid="{00000000-0005-0000-0000-0000462E0000}"/>
    <cellStyle name="Normal 10 2 2 2 2 5 4" xfId="18434" xr:uid="{00000000-0005-0000-0000-0000472E0000}"/>
    <cellStyle name="Normal 10 2 2 2 2 5 4 2" xfId="43987" xr:uid="{00000000-0005-0000-0000-0000482E0000}"/>
    <cellStyle name="Normal 10 2 2 2 2 5 5" xfId="29924" xr:uid="{00000000-0005-0000-0000-0000492E0000}"/>
    <cellStyle name="Normal 10 2 2 2 2 6" xfId="1624" xr:uid="{00000000-0005-0000-0000-00004A2E0000}"/>
    <cellStyle name="Normal 10 2 2 2 2 6 2" xfId="11001" xr:uid="{00000000-0005-0000-0000-00004B2E0000}"/>
    <cellStyle name="Normal 10 2 2 2 2 6 2 2" xfId="36556" xr:uid="{00000000-0005-0000-0000-00004C2E0000}"/>
    <cellStyle name="Normal 10 2 2 2 2 6 3" xfId="21005" xr:uid="{00000000-0005-0000-0000-00004D2E0000}"/>
    <cellStyle name="Normal 10 2 2 2 2 6 3 2" xfId="46558" xr:uid="{00000000-0005-0000-0000-00004E2E0000}"/>
    <cellStyle name="Normal 10 2 2 2 2 6 4" xfId="27488" xr:uid="{00000000-0005-0000-0000-00004F2E0000}"/>
    <cellStyle name="Normal 10 2 2 2 2 7" xfId="5808" xr:uid="{00000000-0005-0000-0000-0000502E0000}"/>
    <cellStyle name="Normal 10 2 2 2 2 7 2" xfId="14635" xr:uid="{00000000-0005-0000-0000-0000512E0000}"/>
    <cellStyle name="Normal 10 2 2 2 2 7 2 2" xfId="40190" xr:uid="{00000000-0005-0000-0000-0000522E0000}"/>
    <cellStyle name="Normal 10 2 2 2 2 7 3" xfId="24886" xr:uid="{00000000-0005-0000-0000-0000532E0000}"/>
    <cellStyle name="Normal 10 2 2 2 2 7 3 2" xfId="50439" xr:uid="{00000000-0005-0000-0000-0000542E0000}"/>
    <cellStyle name="Normal 10 2 2 2 2 7 4" xfId="31369" xr:uid="{00000000-0005-0000-0000-0000552E0000}"/>
    <cellStyle name="Normal 10 2 2 2 2 8" xfId="7252" xr:uid="{00000000-0005-0000-0000-0000562E0000}"/>
    <cellStyle name="Normal 10 2 2 2 2 8 2" xfId="19978" xr:uid="{00000000-0005-0000-0000-0000572E0000}"/>
    <cellStyle name="Normal 10 2 2 2 2 8 2 2" xfId="45531" xr:uid="{00000000-0005-0000-0000-0000582E0000}"/>
    <cellStyle name="Normal 10 2 2 2 2 8 3" xfId="32809" xr:uid="{00000000-0005-0000-0000-0000592E0000}"/>
    <cellStyle name="Normal 10 2 2 2 2 9" xfId="15998" xr:uid="{00000000-0005-0000-0000-00005A2E0000}"/>
    <cellStyle name="Normal 10 2 2 2 2 9 2" xfId="41551" xr:uid="{00000000-0005-0000-0000-00005B2E0000}"/>
    <cellStyle name="Normal 10 2 2 2 2_Degree data" xfId="3898" xr:uid="{00000000-0005-0000-0000-00005C2E0000}"/>
    <cellStyle name="Normal 10 2 2 2 3" xfId="432" xr:uid="{00000000-0005-0000-0000-00005D2E0000}"/>
    <cellStyle name="Normal 10 2 2 2 3 2" xfId="2918" xr:uid="{00000000-0005-0000-0000-00005E2E0000}"/>
    <cellStyle name="Normal 10 2 2 2 3 2 2" xfId="12206" xr:uid="{00000000-0005-0000-0000-00005F2E0000}"/>
    <cellStyle name="Normal 10 2 2 2 3 2 2 2" xfId="22279" xr:uid="{00000000-0005-0000-0000-0000602E0000}"/>
    <cellStyle name="Normal 10 2 2 2 3 2 2 2 2" xfId="47832" xr:uid="{00000000-0005-0000-0000-0000612E0000}"/>
    <cellStyle name="Normal 10 2 2 2 3 2 2 3" xfId="37761" xr:uid="{00000000-0005-0000-0000-0000622E0000}"/>
    <cellStyle name="Normal 10 2 2 2 3 2 3" xfId="8444" xr:uid="{00000000-0005-0000-0000-0000632E0000}"/>
    <cellStyle name="Normal 10 2 2 2 3 2 3 2" xfId="34001" xr:uid="{00000000-0005-0000-0000-0000642E0000}"/>
    <cellStyle name="Normal 10 2 2 2 3 2 4" xfId="17272" xr:uid="{00000000-0005-0000-0000-0000652E0000}"/>
    <cellStyle name="Normal 10 2 2 2 3 2 4 2" xfId="42825" xr:uid="{00000000-0005-0000-0000-0000662E0000}"/>
    <cellStyle name="Normal 10 2 2 2 3 2 5" xfId="28762" xr:uid="{00000000-0005-0000-0000-0000672E0000}"/>
    <cellStyle name="Normal 10 2 2 2 3 3" xfId="4515" xr:uid="{00000000-0005-0000-0000-0000682E0000}"/>
    <cellStyle name="Normal 10 2 2 2 3 3 2" xfId="13353" xr:uid="{00000000-0005-0000-0000-0000692E0000}"/>
    <cellStyle name="Normal 10 2 2 2 3 3 2 2" xfId="23604" xr:uid="{00000000-0005-0000-0000-00006A2E0000}"/>
    <cellStyle name="Normal 10 2 2 2 3 3 2 2 2" xfId="49157" xr:uid="{00000000-0005-0000-0000-00006B2E0000}"/>
    <cellStyle name="Normal 10 2 2 2 3 3 2 3" xfId="38908" xr:uid="{00000000-0005-0000-0000-00006C2E0000}"/>
    <cellStyle name="Normal 10 2 2 2 3 3 3" xfId="9774" xr:uid="{00000000-0005-0000-0000-00006D2E0000}"/>
    <cellStyle name="Normal 10 2 2 2 3 3 3 2" xfId="35331" xr:uid="{00000000-0005-0000-0000-00006E2E0000}"/>
    <cellStyle name="Normal 10 2 2 2 3 3 4" xfId="18597" xr:uid="{00000000-0005-0000-0000-00006F2E0000}"/>
    <cellStyle name="Normal 10 2 2 2 3 3 4 2" xfId="44150" xr:uid="{00000000-0005-0000-0000-0000702E0000}"/>
    <cellStyle name="Normal 10 2 2 2 3 3 5" xfId="30087" xr:uid="{00000000-0005-0000-0000-0000712E0000}"/>
    <cellStyle name="Normal 10 2 2 2 3 4" xfId="2027" xr:uid="{00000000-0005-0000-0000-0000722E0000}"/>
    <cellStyle name="Normal 10 2 2 2 3 4 2" xfId="11392" xr:uid="{00000000-0005-0000-0000-0000732E0000}"/>
    <cellStyle name="Normal 10 2 2 2 3 4 2 2" xfId="36947" xr:uid="{00000000-0005-0000-0000-0000742E0000}"/>
    <cellStyle name="Normal 10 2 2 2 3 4 3" xfId="21396" xr:uid="{00000000-0005-0000-0000-0000752E0000}"/>
    <cellStyle name="Normal 10 2 2 2 3 4 3 2" xfId="46949" xr:uid="{00000000-0005-0000-0000-0000762E0000}"/>
    <cellStyle name="Normal 10 2 2 2 3 4 4" xfId="27879" xr:uid="{00000000-0005-0000-0000-0000772E0000}"/>
    <cellStyle name="Normal 10 2 2 2 3 5" xfId="5971" xr:uid="{00000000-0005-0000-0000-0000782E0000}"/>
    <cellStyle name="Normal 10 2 2 2 3 5 2" xfId="14798" xr:uid="{00000000-0005-0000-0000-0000792E0000}"/>
    <cellStyle name="Normal 10 2 2 2 3 5 2 2" xfId="40353" xr:uid="{00000000-0005-0000-0000-00007A2E0000}"/>
    <cellStyle name="Normal 10 2 2 2 3 5 3" xfId="25049" xr:uid="{00000000-0005-0000-0000-00007B2E0000}"/>
    <cellStyle name="Normal 10 2 2 2 3 5 3 2" xfId="50602" xr:uid="{00000000-0005-0000-0000-00007C2E0000}"/>
    <cellStyle name="Normal 10 2 2 2 3 5 4" xfId="31532" xr:uid="{00000000-0005-0000-0000-00007D2E0000}"/>
    <cellStyle name="Normal 10 2 2 2 3 6" xfId="7415" xr:uid="{00000000-0005-0000-0000-00007E2E0000}"/>
    <cellStyle name="Normal 10 2 2 2 3 6 2" xfId="19878" xr:uid="{00000000-0005-0000-0000-00007F2E0000}"/>
    <cellStyle name="Normal 10 2 2 2 3 6 2 2" xfId="45431" xr:uid="{00000000-0005-0000-0000-0000802E0000}"/>
    <cellStyle name="Normal 10 2 2 2 3 6 3" xfId="32972" xr:uid="{00000000-0005-0000-0000-0000812E0000}"/>
    <cellStyle name="Normal 10 2 2 2 3 7" xfId="16389" xr:uid="{00000000-0005-0000-0000-0000822E0000}"/>
    <cellStyle name="Normal 10 2 2 2 3 7 2" xfId="41942" xr:uid="{00000000-0005-0000-0000-0000832E0000}"/>
    <cellStyle name="Normal 10 2 2 2 3 8" xfId="26361" xr:uid="{00000000-0005-0000-0000-0000842E0000}"/>
    <cellStyle name="Normal 10 2 2 2 4" xfId="700" xr:uid="{00000000-0005-0000-0000-0000852E0000}"/>
    <cellStyle name="Normal 10 2 2 2 4 2" xfId="3186" xr:uid="{00000000-0005-0000-0000-0000862E0000}"/>
    <cellStyle name="Normal 10 2 2 2 4 2 2" xfId="12329" xr:uid="{00000000-0005-0000-0000-0000872E0000}"/>
    <cellStyle name="Normal 10 2 2 2 4 2 2 2" xfId="22547" xr:uid="{00000000-0005-0000-0000-0000882E0000}"/>
    <cellStyle name="Normal 10 2 2 2 4 2 2 2 2" xfId="48100" xr:uid="{00000000-0005-0000-0000-0000892E0000}"/>
    <cellStyle name="Normal 10 2 2 2 4 2 2 3" xfId="37884" xr:uid="{00000000-0005-0000-0000-00008A2E0000}"/>
    <cellStyle name="Normal 10 2 2 2 4 2 3" xfId="8751" xr:uid="{00000000-0005-0000-0000-00008B2E0000}"/>
    <cellStyle name="Normal 10 2 2 2 4 2 3 2" xfId="34308" xr:uid="{00000000-0005-0000-0000-00008C2E0000}"/>
    <cellStyle name="Normal 10 2 2 2 4 2 4" xfId="17540" xr:uid="{00000000-0005-0000-0000-00008D2E0000}"/>
    <cellStyle name="Normal 10 2 2 2 4 2 4 2" xfId="43093" xr:uid="{00000000-0005-0000-0000-00008E2E0000}"/>
    <cellStyle name="Normal 10 2 2 2 4 2 5" xfId="29030" xr:uid="{00000000-0005-0000-0000-00008F2E0000}"/>
    <cellStyle name="Normal 10 2 2 2 4 3" xfId="4864" xr:uid="{00000000-0005-0000-0000-0000902E0000}"/>
    <cellStyle name="Normal 10 2 2 2 4 3 2" xfId="13701" xr:uid="{00000000-0005-0000-0000-0000912E0000}"/>
    <cellStyle name="Normal 10 2 2 2 4 3 2 2" xfId="23952" xr:uid="{00000000-0005-0000-0000-0000922E0000}"/>
    <cellStyle name="Normal 10 2 2 2 4 3 2 2 2" xfId="49505" xr:uid="{00000000-0005-0000-0000-0000932E0000}"/>
    <cellStyle name="Normal 10 2 2 2 4 3 2 3" xfId="39256" xr:uid="{00000000-0005-0000-0000-0000942E0000}"/>
    <cellStyle name="Normal 10 2 2 2 4 3 3" xfId="10122" xr:uid="{00000000-0005-0000-0000-0000952E0000}"/>
    <cellStyle name="Normal 10 2 2 2 4 3 3 2" xfId="35679" xr:uid="{00000000-0005-0000-0000-0000962E0000}"/>
    <cellStyle name="Normal 10 2 2 2 4 3 4" xfId="18945" xr:uid="{00000000-0005-0000-0000-0000972E0000}"/>
    <cellStyle name="Normal 10 2 2 2 4 3 4 2" xfId="44498" xr:uid="{00000000-0005-0000-0000-0000982E0000}"/>
    <cellStyle name="Normal 10 2 2 2 4 3 5" xfId="30435" xr:uid="{00000000-0005-0000-0000-0000992E0000}"/>
    <cellStyle name="Normal 10 2 2 2 4 4" xfId="2295" xr:uid="{00000000-0005-0000-0000-00009A2E0000}"/>
    <cellStyle name="Normal 10 2 2 2 4 4 2" xfId="11660" xr:uid="{00000000-0005-0000-0000-00009B2E0000}"/>
    <cellStyle name="Normal 10 2 2 2 4 4 2 2" xfId="37215" xr:uid="{00000000-0005-0000-0000-00009C2E0000}"/>
    <cellStyle name="Normal 10 2 2 2 4 4 3" xfId="21664" xr:uid="{00000000-0005-0000-0000-00009D2E0000}"/>
    <cellStyle name="Normal 10 2 2 2 4 4 3 2" xfId="47217" xr:uid="{00000000-0005-0000-0000-00009E2E0000}"/>
    <cellStyle name="Normal 10 2 2 2 4 4 4" xfId="28147" xr:uid="{00000000-0005-0000-0000-00009F2E0000}"/>
    <cellStyle name="Normal 10 2 2 2 4 5" xfId="6319" xr:uid="{00000000-0005-0000-0000-0000A02E0000}"/>
    <cellStyle name="Normal 10 2 2 2 4 5 2" xfId="15146" xr:uid="{00000000-0005-0000-0000-0000A12E0000}"/>
    <cellStyle name="Normal 10 2 2 2 4 5 2 2" xfId="40701" xr:uid="{00000000-0005-0000-0000-0000A22E0000}"/>
    <cellStyle name="Normal 10 2 2 2 4 5 3" xfId="25397" xr:uid="{00000000-0005-0000-0000-0000A32E0000}"/>
    <cellStyle name="Normal 10 2 2 2 4 5 3 2" xfId="50950" xr:uid="{00000000-0005-0000-0000-0000A42E0000}"/>
    <cellStyle name="Normal 10 2 2 2 4 5 4" xfId="31880" xr:uid="{00000000-0005-0000-0000-0000A52E0000}"/>
    <cellStyle name="Normal 10 2 2 2 4 6" xfId="7765" xr:uid="{00000000-0005-0000-0000-0000A62E0000}"/>
    <cellStyle name="Normal 10 2 2 2 4 6 2" xfId="20146" xr:uid="{00000000-0005-0000-0000-0000A72E0000}"/>
    <cellStyle name="Normal 10 2 2 2 4 6 2 2" xfId="45699" xr:uid="{00000000-0005-0000-0000-0000A82E0000}"/>
    <cellStyle name="Normal 10 2 2 2 4 6 3" xfId="33322" xr:uid="{00000000-0005-0000-0000-0000A92E0000}"/>
    <cellStyle name="Normal 10 2 2 2 4 7" xfId="16657" xr:uid="{00000000-0005-0000-0000-0000AA2E0000}"/>
    <cellStyle name="Normal 10 2 2 2 4 7 2" xfId="42210" xr:uid="{00000000-0005-0000-0000-0000AB2E0000}"/>
    <cellStyle name="Normal 10 2 2 2 4 8" xfId="26629" xr:uid="{00000000-0005-0000-0000-0000AC2E0000}"/>
    <cellStyle name="Normal 10 2 2 2 5" xfId="1204" xr:uid="{00000000-0005-0000-0000-0000AD2E0000}"/>
    <cellStyle name="Normal 10 2 2 2 5 2" xfId="3633" xr:uid="{00000000-0005-0000-0000-0000AE2E0000}"/>
    <cellStyle name="Normal 10 2 2 2 5 2 2" xfId="12769" xr:uid="{00000000-0005-0000-0000-0000AF2E0000}"/>
    <cellStyle name="Normal 10 2 2 2 5 2 2 2" xfId="22988" xr:uid="{00000000-0005-0000-0000-0000B02E0000}"/>
    <cellStyle name="Normal 10 2 2 2 5 2 2 2 2" xfId="48541" xr:uid="{00000000-0005-0000-0000-0000B12E0000}"/>
    <cellStyle name="Normal 10 2 2 2 5 2 2 3" xfId="38324" xr:uid="{00000000-0005-0000-0000-0000B22E0000}"/>
    <cellStyle name="Normal 10 2 2 2 5 2 3" xfId="9190" xr:uid="{00000000-0005-0000-0000-0000B32E0000}"/>
    <cellStyle name="Normal 10 2 2 2 5 2 3 2" xfId="34747" xr:uid="{00000000-0005-0000-0000-0000B42E0000}"/>
    <cellStyle name="Normal 10 2 2 2 5 2 4" xfId="17981" xr:uid="{00000000-0005-0000-0000-0000B52E0000}"/>
    <cellStyle name="Normal 10 2 2 2 5 2 4 2" xfId="43534" xr:uid="{00000000-0005-0000-0000-0000B62E0000}"/>
    <cellStyle name="Normal 10 2 2 2 5 2 5" xfId="29471" xr:uid="{00000000-0005-0000-0000-0000B72E0000}"/>
    <cellStyle name="Normal 10 2 2 2 5 3" xfId="5296" xr:uid="{00000000-0005-0000-0000-0000B82E0000}"/>
    <cellStyle name="Normal 10 2 2 2 5 3 2" xfId="14133" xr:uid="{00000000-0005-0000-0000-0000B92E0000}"/>
    <cellStyle name="Normal 10 2 2 2 5 3 2 2" xfId="24384" xr:uid="{00000000-0005-0000-0000-0000BA2E0000}"/>
    <cellStyle name="Normal 10 2 2 2 5 3 2 2 2" xfId="49937" xr:uid="{00000000-0005-0000-0000-0000BB2E0000}"/>
    <cellStyle name="Normal 10 2 2 2 5 3 2 3" xfId="39688" xr:uid="{00000000-0005-0000-0000-0000BC2E0000}"/>
    <cellStyle name="Normal 10 2 2 2 5 3 3" xfId="10554" xr:uid="{00000000-0005-0000-0000-0000BD2E0000}"/>
    <cellStyle name="Normal 10 2 2 2 5 3 3 2" xfId="36111" xr:uid="{00000000-0005-0000-0000-0000BE2E0000}"/>
    <cellStyle name="Normal 10 2 2 2 5 3 4" xfId="19377" xr:uid="{00000000-0005-0000-0000-0000BF2E0000}"/>
    <cellStyle name="Normal 10 2 2 2 5 3 4 2" xfId="44930" xr:uid="{00000000-0005-0000-0000-0000C02E0000}"/>
    <cellStyle name="Normal 10 2 2 2 5 3 5" xfId="30867" xr:uid="{00000000-0005-0000-0000-0000C12E0000}"/>
    <cellStyle name="Normal 10 2 2 2 5 4" xfId="1807" xr:uid="{00000000-0005-0000-0000-0000C22E0000}"/>
    <cellStyle name="Normal 10 2 2 2 5 4 2" xfId="11175" xr:uid="{00000000-0005-0000-0000-0000C32E0000}"/>
    <cellStyle name="Normal 10 2 2 2 5 4 2 2" xfId="36730" xr:uid="{00000000-0005-0000-0000-0000C42E0000}"/>
    <cellStyle name="Normal 10 2 2 2 5 4 3" xfId="21179" xr:uid="{00000000-0005-0000-0000-0000C52E0000}"/>
    <cellStyle name="Normal 10 2 2 2 5 4 3 2" xfId="46732" xr:uid="{00000000-0005-0000-0000-0000C62E0000}"/>
    <cellStyle name="Normal 10 2 2 2 5 4 4" xfId="27662" xr:uid="{00000000-0005-0000-0000-0000C72E0000}"/>
    <cellStyle name="Normal 10 2 2 2 5 5" xfId="6751" xr:uid="{00000000-0005-0000-0000-0000C82E0000}"/>
    <cellStyle name="Normal 10 2 2 2 5 5 2" xfId="15578" xr:uid="{00000000-0005-0000-0000-0000C92E0000}"/>
    <cellStyle name="Normal 10 2 2 2 5 5 2 2" xfId="41133" xr:uid="{00000000-0005-0000-0000-0000CA2E0000}"/>
    <cellStyle name="Normal 10 2 2 2 5 5 3" xfId="25829" xr:uid="{00000000-0005-0000-0000-0000CB2E0000}"/>
    <cellStyle name="Normal 10 2 2 2 5 5 3 2" xfId="51382" xr:uid="{00000000-0005-0000-0000-0000CC2E0000}"/>
    <cellStyle name="Normal 10 2 2 2 5 5 4" xfId="32312" xr:uid="{00000000-0005-0000-0000-0000CD2E0000}"/>
    <cellStyle name="Normal 10 2 2 2 5 6" xfId="8197" xr:uid="{00000000-0005-0000-0000-0000CE2E0000}"/>
    <cellStyle name="Normal 10 2 2 2 5 6 2" xfId="20587" xr:uid="{00000000-0005-0000-0000-0000CF2E0000}"/>
    <cellStyle name="Normal 10 2 2 2 5 6 2 2" xfId="46140" xr:uid="{00000000-0005-0000-0000-0000D02E0000}"/>
    <cellStyle name="Normal 10 2 2 2 5 6 3" xfId="33754" xr:uid="{00000000-0005-0000-0000-0000D12E0000}"/>
    <cellStyle name="Normal 10 2 2 2 5 7" xfId="16172" xr:uid="{00000000-0005-0000-0000-0000D22E0000}"/>
    <cellStyle name="Normal 10 2 2 2 5 7 2" xfId="41725" xr:uid="{00000000-0005-0000-0000-0000D32E0000}"/>
    <cellStyle name="Normal 10 2 2 2 5 8" xfId="27070" xr:uid="{00000000-0005-0000-0000-0000D42E0000}"/>
    <cellStyle name="Normal 10 2 2 2 6" xfId="2701" xr:uid="{00000000-0005-0000-0000-0000D52E0000}"/>
    <cellStyle name="Normal 10 2 2 2 6 2" xfId="12018" xr:uid="{00000000-0005-0000-0000-0000D62E0000}"/>
    <cellStyle name="Normal 10 2 2 2 6 2 2" xfId="22062" xr:uid="{00000000-0005-0000-0000-0000D72E0000}"/>
    <cellStyle name="Normal 10 2 2 2 6 2 2 2" xfId="47615" xr:uid="{00000000-0005-0000-0000-0000D82E0000}"/>
    <cellStyle name="Normal 10 2 2 2 6 2 3" xfId="37573" xr:uid="{00000000-0005-0000-0000-0000D92E0000}"/>
    <cellStyle name="Normal 10 2 2 2 6 3" xfId="8408" xr:uid="{00000000-0005-0000-0000-0000DA2E0000}"/>
    <cellStyle name="Normal 10 2 2 2 6 3 2" xfId="33965" xr:uid="{00000000-0005-0000-0000-0000DB2E0000}"/>
    <cellStyle name="Normal 10 2 2 2 6 4" xfId="17055" xr:uid="{00000000-0005-0000-0000-0000DC2E0000}"/>
    <cellStyle name="Normal 10 2 2 2 6 4 2" xfId="42608" xr:uid="{00000000-0005-0000-0000-0000DD2E0000}"/>
    <cellStyle name="Normal 10 2 2 2 6 5" xfId="28545" xr:uid="{00000000-0005-0000-0000-0000DE2E0000}"/>
    <cellStyle name="Normal 10 2 2 2 7" xfId="4252" xr:uid="{00000000-0005-0000-0000-0000DF2E0000}"/>
    <cellStyle name="Normal 10 2 2 2 7 2" xfId="13090" xr:uid="{00000000-0005-0000-0000-0000E02E0000}"/>
    <cellStyle name="Normal 10 2 2 2 7 2 2" xfId="23341" xr:uid="{00000000-0005-0000-0000-0000E12E0000}"/>
    <cellStyle name="Normal 10 2 2 2 7 2 2 2" xfId="48894" xr:uid="{00000000-0005-0000-0000-0000E22E0000}"/>
    <cellStyle name="Normal 10 2 2 2 7 2 3" xfId="38645" xr:uid="{00000000-0005-0000-0000-0000E32E0000}"/>
    <cellStyle name="Normal 10 2 2 2 7 3" xfId="9511" xr:uid="{00000000-0005-0000-0000-0000E42E0000}"/>
    <cellStyle name="Normal 10 2 2 2 7 3 2" xfId="35068" xr:uid="{00000000-0005-0000-0000-0000E52E0000}"/>
    <cellStyle name="Normal 10 2 2 2 7 4" xfId="18334" xr:uid="{00000000-0005-0000-0000-0000E62E0000}"/>
    <cellStyle name="Normal 10 2 2 2 7 4 2" xfId="43887" xr:uid="{00000000-0005-0000-0000-0000E72E0000}"/>
    <cellStyle name="Normal 10 2 2 2 7 5" xfId="29824" xr:uid="{00000000-0005-0000-0000-0000E82E0000}"/>
    <cellStyle name="Normal 10 2 2 2 8" xfId="1524" xr:uid="{00000000-0005-0000-0000-0000E92E0000}"/>
    <cellStyle name="Normal 10 2 2 2 8 2" xfId="10901" xr:uid="{00000000-0005-0000-0000-0000EA2E0000}"/>
    <cellStyle name="Normal 10 2 2 2 8 2 2" xfId="36456" xr:uid="{00000000-0005-0000-0000-0000EB2E0000}"/>
    <cellStyle name="Normal 10 2 2 2 8 3" xfId="20905" xr:uid="{00000000-0005-0000-0000-0000EC2E0000}"/>
    <cellStyle name="Normal 10 2 2 2 8 3 2" xfId="46458" xr:uid="{00000000-0005-0000-0000-0000ED2E0000}"/>
    <cellStyle name="Normal 10 2 2 2 8 4" xfId="27388" xr:uid="{00000000-0005-0000-0000-0000EE2E0000}"/>
    <cellStyle name="Normal 10 2 2 2 9" xfId="5708" xr:uid="{00000000-0005-0000-0000-0000EF2E0000}"/>
    <cellStyle name="Normal 10 2 2 2 9 2" xfId="14535" xr:uid="{00000000-0005-0000-0000-0000F02E0000}"/>
    <cellStyle name="Normal 10 2 2 2 9 2 2" xfId="40090" xr:uid="{00000000-0005-0000-0000-0000F12E0000}"/>
    <cellStyle name="Normal 10 2 2 2 9 3" xfId="24786" xr:uid="{00000000-0005-0000-0000-0000F22E0000}"/>
    <cellStyle name="Normal 10 2 2 2 9 3 2" xfId="50339" xr:uid="{00000000-0005-0000-0000-0000F32E0000}"/>
    <cellStyle name="Normal 10 2 2 2 9 4" xfId="31269" xr:uid="{00000000-0005-0000-0000-0000F42E0000}"/>
    <cellStyle name="Normal 10 2 2 2_Degree data" xfId="3894" xr:uid="{00000000-0005-0000-0000-0000F52E0000}"/>
    <cellStyle name="Normal 10 2 2 3" xfId="271" xr:uid="{00000000-0005-0000-0000-0000F62E0000}"/>
    <cellStyle name="Normal 10 2 2 3 10" xfId="7109" xr:uid="{00000000-0005-0000-0000-0000F72E0000}"/>
    <cellStyle name="Normal 10 2 2 3 10 2" xfId="19722" xr:uid="{00000000-0005-0000-0000-0000F82E0000}"/>
    <cellStyle name="Normal 10 2 2 3 10 2 2" xfId="45275" xr:uid="{00000000-0005-0000-0000-0000F92E0000}"/>
    <cellStyle name="Normal 10 2 2 3 10 3" xfId="32666" xr:uid="{00000000-0005-0000-0000-0000FA2E0000}"/>
    <cellStyle name="Normal 10 2 2 3 11" xfId="15855" xr:uid="{00000000-0005-0000-0000-0000FB2E0000}"/>
    <cellStyle name="Normal 10 2 2 3 11 2" xfId="41408" xr:uid="{00000000-0005-0000-0000-0000FC2E0000}"/>
    <cellStyle name="Normal 10 2 2 3 12" xfId="26205" xr:uid="{00000000-0005-0000-0000-0000FD2E0000}"/>
    <cellStyle name="Normal 10 2 2 3 2" xfId="593" xr:uid="{00000000-0005-0000-0000-0000FE2E0000}"/>
    <cellStyle name="Normal 10 2 2 3 2 10" xfId="26522" xr:uid="{00000000-0005-0000-0000-0000FF2E0000}"/>
    <cellStyle name="Normal 10 2 2 3 2 2" xfId="703" xr:uid="{00000000-0005-0000-0000-0000002F0000}"/>
    <cellStyle name="Normal 10 2 2 3 2 2 2" xfId="3189" xr:uid="{00000000-0005-0000-0000-0000012F0000}"/>
    <cellStyle name="Normal 10 2 2 3 2 2 2 2" xfId="12332" xr:uid="{00000000-0005-0000-0000-0000022F0000}"/>
    <cellStyle name="Normal 10 2 2 3 2 2 2 2 2" xfId="22550" xr:uid="{00000000-0005-0000-0000-0000032F0000}"/>
    <cellStyle name="Normal 10 2 2 3 2 2 2 2 2 2" xfId="48103" xr:uid="{00000000-0005-0000-0000-0000042F0000}"/>
    <cellStyle name="Normal 10 2 2 3 2 2 2 2 3" xfId="37887" xr:uid="{00000000-0005-0000-0000-0000052F0000}"/>
    <cellStyle name="Normal 10 2 2 3 2 2 2 3" xfId="8754" xr:uid="{00000000-0005-0000-0000-0000062F0000}"/>
    <cellStyle name="Normal 10 2 2 3 2 2 2 3 2" xfId="34311" xr:uid="{00000000-0005-0000-0000-0000072F0000}"/>
    <cellStyle name="Normal 10 2 2 3 2 2 2 4" xfId="17543" xr:uid="{00000000-0005-0000-0000-0000082F0000}"/>
    <cellStyle name="Normal 10 2 2 3 2 2 2 4 2" xfId="43096" xr:uid="{00000000-0005-0000-0000-0000092F0000}"/>
    <cellStyle name="Normal 10 2 2 3 2 2 2 5" xfId="29033" xr:uid="{00000000-0005-0000-0000-00000A2F0000}"/>
    <cellStyle name="Normal 10 2 2 3 2 2 3" xfId="4518" xr:uid="{00000000-0005-0000-0000-00000B2F0000}"/>
    <cellStyle name="Normal 10 2 2 3 2 2 3 2" xfId="13356" xr:uid="{00000000-0005-0000-0000-00000C2F0000}"/>
    <cellStyle name="Normal 10 2 2 3 2 2 3 2 2" xfId="23607" xr:uid="{00000000-0005-0000-0000-00000D2F0000}"/>
    <cellStyle name="Normal 10 2 2 3 2 2 3 2 2 2" xfId="49160" xr:uid="{00000000-0005-0000-0000-00000E2F0000}"/>
    <cellStyle name="Normal 10 2 2 3 2 2 3 2 3" xfId="38911" xr:uid="{00000000-0005-0000-0000-00000F2F0000}"/>
    <cellStyle name="Normal 10 2 2 3 2 2 3 3" xfId="9777" xr:uid="{00000000-0005-0000-0000-0000102F0000}"/>
    <cellStyle name="Normal 10 2 2 3 2 2 3 3 2" xfId="35334" xr:uid="{00000000-0005-0000-0000-0000112F0000}"/>
    <cellStyle name="Normal 10 2 2 3 2 2 3 4" xfId="18600" xr:uid="{00000000-0005-0000-0000-0000122F0000}"/>
    <cellStyle name="Normal 10 2 2 3 2 2 3 4 2" xfId="44153" xr:uid="{00000000-0005-0000-0000-0000132F0000}"/>
    <cellStyle name="Normal 10 2 2 3 2 2 3 5" xfId="30090" xr:uid="{00000000-0005-0000-0000-0000142F0000}"/>
    <cellStyle name="Normal 10 2 2 3 2 2 4" xfId="2298" xr:uid="{00000000-0005-0000-0000-0000152F0000}"/>
    <cellStyle name="Normal 10 2 2 3 2 2 4 2" xfId="11663" xr:uid="{00000000-0005-0000-0000-0000162F0000}"/>
    <cellStyle name="Normal 10 2 2 3 2 2 4 2 2" xfId="37218" xr:uid="{00000000-0005-0000-0000-0000172F0000}"/>
    <cellStyle name="Normal 10 2 2 3 2 2 4 3" xfId="21667" xr:uid="{00000000-0005-0000-0000-0000182F0000}"/>
    <cellStyle name="Normal 10 2 2 3 2 2 4 3 2" xfId="47220" xr:uid="{00000000-0005-0000-0000-0000192F0000}"/>
    <cellStyle name="Normal 10 2 2 3 2 2 4 4" xfId="28150" xr:uid="{00000000-0005-0000-0000-00001A2F0000}"/>
    <cellStyle name="Normal 10 2 2 3 2 2 5" xfId="5974" xr:uid="{00000000-0005-0000-0000-00001B2F0000}"/>
    <cellStyle name="Normal 10 2 2 3 2 2 5 2" xfId="14801" xr:uid="{00000000-0005-0000-0000-00001C2F0000}"/>
    <cellStyle name="Normal 10 2 2 3 2 2 5 2 2" xfId="40356" xr:uid="{00000000-0005-0000-0000-00001D2F0000}"/>
    <cellStyle name="Normal 10 2 2 3 2 2 5 3" xfId="25052" xr:uid="{00000000-0005-0000-0000-00001E2F0000}"/>
    <cellStyle name="Normal 10 2 2 3 2 2 5 3 2" xfId="50605" xr:uid="{00000000-0005-0000-0000-00001F2F0000}"/>
    <cellStyle name="Normal 10 2 2 3 2 2 5 4" xfId="31535" xr:uid="{00000000-0005-0000-0000-0000202F0000}"/>
    <cellStyle name="Normal 10 2 2 3 2 2 6" xfId="7418" xr:uid="{00000000-0005-0000-0000-0000212F0000}"/>
    <cellStyle name="Normal 10 2 2 3 2 2 6 2" xfId="20149" xr:uid="{00000000-0005-0000-0000-0000222F0000}"/>
    <cellStyle name="Normal 10 2 2 3 2 2 6 2 2" xfId="45702" xr:uid="{00000000-0005-0000-0000-0000232F0000}"/>
    <cellStyle name="Normal 10 2 2 3 2 2 6 3" xfId="32975" xr:uid="{00000000-0005-0000-0000-0000242F0000}"/>
    <cellStyle name="Normal 10 2 2 3 2 2 7" xfId="16660" xr:uid="{00000000-0005-0000-0000-0000252F0000}"/>
    <cellStyle name="Normal 10 2 2 3 2 2 7 2" xfId="42213" xr:uid="{00000000-0005-0000-0000-0000262F0000}"/>
    <cellStyle name="Normal 10 2 2 3 2 2 8" xfId="26632" xr:uid="{00000000-0005-0000-0000-0000272F0000}"/>
    <cellStyle name="Normal 10 2 2 3 2 3" xfId="1365" xr:uid="{00000000-0005-0000-0000-0000282F0000}"/>
    <cellStyle name="Normal 10 2 2 3 2 3 2" xfId="3794" xr:uid="{00000000-0005-0000-0000-0000292F0000}"/>
    <cellStyle name="Normal 10 2 2 3 2 3 2 2" xfId="12930" xr:uid="{00000000-0005-0000-0000-00002A2F0000}"/>
    <cellStyle name="Normal 10 2 2 3 2 3 2 2 2" xfId="23149" xr:uid="{00000000-0005-0000-0000-00002B2F0000}"/>
    <cellStyle name="Normal 10 2 2 3 2 3 2 2 2 2" xfId="48702" xr:uid="{00000000-0005-0000-0000-00002C2F0000}"/>
    <cellStyle name="Normal 10 2 2 3 2 3 2 2 3" xfId="38485" xr:uid="{00000000-0005-0000-0000-00002D2F0000}"/>
    <cellStyle name="Normal 10 2 2 3 2 3 2 3" xfId="9351" xr:uid="{00000000-0005-0000-0000-00002E2F0000}"/>
    <cellStyle name="Normal 10 2 2 3 2 3 2 3 2" xfId="34908" xr:uid="{00000000-0005-0000-0000-00002F2F0000}"/>
    <cellStyle name="Normal 10 2 2 3 2 3 2 4" xfId="18142" xr:uid="{00000000-0005-0000-0000-0000302F0000}"/>
    <cellStyle name="Normal 10 2 2 3 2 3 2 4 2" xfId="43695" xr:uid="{00000000-0005-0000-0000-0000312F0000}"/>
    <cellStyle name="Normal 10 2 2 3 2 3 2 5" xfId="29632" xr:uid="{00000000-0005-0000-0000-0000322F0000}"/>
    <cellStyle name="Normal 10 2 2 3 2 3 3" xfId="4867" xr:uid="{00000000-0005-0000-0000-0000332F0000}"/>
    <cellStyle name="Normal 10 2 2 3 2 3 3 2" xfId="13704" xr:uid="{00000000-0005-0000-0000-0000342F0000}"/>
    <cellStyle name="Normal 10 2 2 3 2 3 3 2 2" xfId="23955" xr:uid="{00000000-0005-0000-0000-0000352F0000}"/>
    <cellStyle name="Normal 10 2 2 3 2 3 3 2 2 2" xfId="49508" xr:uid="{00000000-0005-0000-0000-0000362F0000}"/>
    <cellStyle name="Normal 10 2 2 3 2 3 3 2 3" xfId="39259" xr:uid="{00000000-0005-0000-0000-0000372F0000}"/>
    <cellStyle name="Normal 10 2 2 3 2 3 3 3" xfId="10125" xr:uid="{00000000-0005-0000-0000-0000382F0000}"/>
    <cellStyle name="Normal 10 2 2 3 2 3 3 3 2" xfId="35682" xr:uid="{00000000-0005-0000-0000-0000392F0000}"/>
    <cellStyle name="Normal 10 2 2 3 2 3 3 4" xfId="18948" xr:uid="{00000000-0005-0000-0000-00003A2F0000}"/>
    <cellStyle name="Normal 10 2 2 3 2 3 3 4 2" xfId="44501" xr:uid="{00000000-0005-0000-0000-00003B2F0000}"/>
    <cellStyle name="Normal 10 2 2 3 2 3 3 5" xfId="30438" xr:uid="{00000000-0005-0000-0000-00003C2F0000}"/>
    <cellStyle name="Normal 10 2 2 3 2 3 4" xfId="2188" xr:uid="{00000000-0005-0000-0000-00003D2F0000}"/>
    <cellStyle name="Normal 10 2 2 3 2 3 4 2" xfId="11553" xr:uid="{00000000-0005-0000-0000-00003E2F0000}"/>
    <cellStyle name="Normal 10 2 2 3 2 3 4 2 2" xfId="37108" xr:uid="{00000000-0005-0000-0000-00003F2F0000}"/>
    <cellStyle name="Normal 10 2 2 3 2 3 4 3" xfId="21557" xr:uid="{00000000-0005-0000-0000-0000402F0000}"/>
    <cellStyle name="Normal 10 2 2 3 2 3 4 3 2" xfId="47110" xr:uid="{00000000-0005-0000-0000-0000412F0000}"/>
    <cellStyle name="Normal 10 2 2 3 2 3 4 4" xfId="28040" xr:uid="{00000000-0005-0000-0000-0000422F0000}"/>
    <cellStyle name="Normal 10 2 2 3 2 3 5" xfId="6322" xr:uid="{00000000-0005-0000-0000-0000432F0000}"/>
    <cellStyle name="Normal 10 2 2 3 2 3 5 2" xfId="15149" xr:uid="{00000000-0005-0000-0000-0000442F0000}"/>
    <cellStyle name="Normal 10 2 2 3 2 3 5 2 2" xfId="40704" xr:uid="{00000000-0005-0000-0000-0000452F0000}"/>
    <cellStyle name="Normal 10 2 2 3 2 3 5 3" xfId="25400" xr:uid="{00000000-0005-0000-0000-0000462F0000}"/>
    <cellStyle name="Normal 10 2 2 3 2 3 5 3 2" xfId="50953" xr:uid="{00000000-0005-0000-0000-0000472F0000}"/>
    <cellStyle name="Normal 10 2 2 3 2 3 5 4" xfId="31883" xr:uid="{00000000-0005-0000-0000-0000482F0000}"/>
    <cellStyle name="Normal 10 2 2 3 2 3 6" xfId="7768" xr:uid="{00000000-0005-0000-0000-0000492F0000}"/>
    <cellStyle name="Normal 10 2 2 3 2 3 6 2" xfId="20748" xr:uid="{00000000-0005-0000-0000-00004A2F0000}"/>
    <cellStyle name="Normal 10 2 2 3 2 3 6 2 2" xfId="46301" xr:uid="{00000000-0005-0000-0000-00004B2F0000}"/>
    <cellStyle name="Normal 10 2 2 3 2 3 6 3" xfId="33325" xr:uid="{00000000-0005-0000-0000-00004C2F0000}"/>
    <cellStyle name="Normal 10 2 2 3 2 3 7" xfId="16550" xr:uid="{00000000-0005-0000-0000-00004D2F0000}"/>
    <cellStyle name="Normal 10 2 2 3 2 3 7 2" xfId="42103" xr:uid="{00000000-0005-0000-0000-00004E2F0000}"/>
    <cellStyle name="Normal 10 2 2 3 2 3 8" xfId="27231" xr:uid="{00000000-0005-0000-0000-00004F2F0000}"/>
    <cellStyle name="Normal 10 2 2 3 2 4" xfId="3079" xr:uid="{00000000-0005-0000-0000-0000502F0000}"/>
    <cellStyle name="Normal 10 2 2 3 2 4 2" xfId="5457" xr:uid="{00000000-0005-0000-0000-0000512F0000}"/>
    <cellStyle name="Normal 10 2 2 3 2 4 2 2" xfId="14294" xr:uid="{00000000-0005-0000-0000-0000522F0000}"/>
    <cellStyle name="Normal 10 2 2 3 2 4 2 2 2" xfId="24545" xr:uid="{00000000-0005-0000-0000-0000532F0000}"/>
    <cellStyle name="Normal 10 2 2 3 2 4 2 2 2 2" xfId="50098" xr:uid="{00000000-0005-0000-0000-0000542F0000}"/>
    <cellStyle name="Normal 10 2 2 3 2 4 2 2 3" xfId="39849" xr:uid="{00000000-0005-0000-0000-0000552F0000}"/>
    <cellStyle name="Normal 10 2 2 3 2 4 2 3" xfId="10715" xr:uid="{00000000-0005-0000-0000-0000562F0000}"/>
    <cellStyle name="Normal 10 2 2 3 2 4 2 3 2" xfId="36272" xr:uid="{00000000-0005-0000-0000-0000572F0000}"/>
    <cellStyle name="Normal 10 2 2 3 2 4 2 4" xfId="19538" xr:uid="{00000000-0005-0000-0000-0000582F0000}"/>
    <cellStyle name="Normal 10 2 2 3 2 4 2 4 2" xfId="45091" xr:uid="{00000000-0005-0000-0000-0000592F0000}"/>
    <cellStyle name="Normal 10 2 2 3 2 4 2 5" xfId="31028" xr:uid="{00000000-0005-0000-0000-00005A2F0000}"/>
    <cellStyle name="Normal 10 2 2 3 2 4 3" xfId="6912" xr:uid="{00000000-0005-0000-0000-00005B2F0000}"/>
    <cellStyle name="Normal 10 2 2 3 2 4 3 2" xfId="15739" xr:uid="{00000000-0005-0000-0000-00005C2F0000}"/>
    <cellStyle name="Normal 10 2 2 3 2 4 3 2 2" xfId="41294" xr:uid="{00000000-0005-0000-0000-00005D2F0000}"/>
    <cellStyle name="Normal 10 2 2 3 2 4 3 3" xfId="25990" xr:uid="{00000000-0005-0000-0000-00005E2F0000}"/>
    <cellStyle name="Normal 10 2 2 3 2 4 3 3 2" xfId="51543" xr:uid="{00000000-0005-0000-0000-00005F2F0000}"/>
    <cellStyle name="Normal 10 2 2 3 2 4 3 4" xfId="32473" xr:uid="{00000000-0005-0000-0000-0000602F0000}"/>
    <cellStyle name="Normal 10 2 2 3 2 4 4" xfId="8358" xr:uid="{00000000-0005-0000-0000-0000612F0000}"/>
    <cellStyle name="Normal 10 2 2 3 2 4 4 2" xfId="22440" xr:uid="{00000000-0005-0000-0000-0000622F0000}"/>
    <cellStyle name="Normal 10 2 2 3 2 4 4 2 2" xfId="47993" xr:uid="{00000000-0005-0000-0000-0000632F0000}"/>
    <cellStyle name="Normal 10 2 2 3 2 4 4 3" xfId="33915" xr:uid="{00000000-0005-0000-0000-0000642F0000}"/>
    <cellStyle name="Normal 10 2 2 3 2 4 5" xfId="17433" xr:uid="{00000000-0005-0000-0000-0000652F0000}"/>
    <cellStyle name="Normal 10 2 2 3 2 4 5 2" xfId="42986" xr:uid="{00000000-0005-0000-0000-0000662F0000}"/>
    <cellStyle name="Normal 10 2 2 3 2 4 6" xfId="28923" xr:uid="{00000000-0005-0000-0000-0000672F0000}"/>
    <cellStyle name="Normal 10 2 2 3 2 5" xfId="4413" xr:uid="{00000000-0005-0000-0000-0000682F0000}"/>
    <cellStyle name="Normal 10 2 2 3 2 5 2" xfId="13251" xr:uid="{00000000-0005-0000-0000-0000692F0000}"/>
    <cellStyle name="Normal 10 2 2 3 2 5 2 2" xfId="23502" xr:uid="{00000000-0005-0000-0000-00006A2F0000}"/>
    <cellStyle name="Normal 10 2 2 3 2 5 2 2 2" xfId="49055" xr:uid="{00000000-0005-0000-0000-00006B2F0000}"/>
    <cellStyle name="Normal 10 2 2 3 2 5 2 3" xfId="38806" xr:uid="{00000000-0005-0000-0000-00006C2F0000}"/>
    <cellStyle name="Normal 10 2 2 3 2 5 3" xfId="9672" xr:uid="{00000000-0005-0000-0000-00006D2F0000}"/>
    <cellStyle name="Normal 10 2 2 3 2 5 3 2" xfId="35229" xr:uid="{00000000-0005-0000-0000-00006E2F0000}"/>
    <cellStyle name="Normal 10 2 2 3 2 5 4" xfId="18495" xr:uid="{00000000-0005-0000-0000-00006F2F0000}"/>
    <cellStyle name="Normal 10 2 2 3 2 5 4 2" xfId="44048" xr:uid="{00000000-0005-0000-0000-0000702F0000}"/>
    <cellStyle name="Normal 10 2 2 3 2 5 5" xfId="29985" xr:uid="{00000000-0005-0000-0000-0000712F0000}"/>
    <cellStyle name="Normal 10 2 2 3 2 6" xfId="1685" xr:uid="{00000000-0005-0000-0000-0000722F0000}"/>
    <cellStyle name="Normal 10 2 2 3 2 6 2" xfId="11062" xr:uid="{00000000-0005-0000-0000-0000732F0000}"/>
    <cellStyle name="Normal 10 2 2 3 2 6 2 2" xfId="36617" xr:uid="{00000000-0005-0000-0000-0000742F0000}"/>
    <cellStyle name="Normal 10 2 2 3 2 6 3" xfId="21066" xr:uid="{00000000-0005-0000-0000-0000752F0000}"/>
    <cellStyle name="Normal 10 2 2 3 2 6 3 2" xfId="46619" xr:uid="{00000000-0005-0000-0000-0000762F0000}"/>
    <cellStyle name="Normal 10 2 2 3 2 6 4" xfId="27549" xr:uid="{00000000-0005-0000-0000-0000772F0000}"/>
    <cellStyle name="Normal 10 2 2 3 2 7" xfId="5869" xr:uid="{00000000-0005-0000-0000-0000782F0000}"/>
    <cellStyle name="Normal 10 2 2 3 2 7 2" xfId="14696" xr:uid="{00000000-0005-0000-0000-0000792F0000}"/>
    <cellStyle name="Normal 10 2 2 3 2 7 2 2" xfId="40251" xr:uid="{00000000-0005-0000-0000-00007A2F0000}"/>
    <cellStyle name="Normal 10 2 2 3 2 7 3" xfId="24947" xr:uid="{00000000-0005-0000-0000-00007B2F0000}"/>
    <cellStyle name="Normal 10 2 2 3 2 7 3 2" xfId="50500" xr:uid="{00000000-0005-0000-0000-00007C2F0000}"/>
    <cellStyle name="Normal 10 2 2 3 2 7 4" xfId="31430" xr:uid="{00000000-0005-0000-0000-00007D2F0000}"/>
    <cellStyle name="Normal 10 2 2 3 2 8" xfId="7313" xr:uid="{00000000-0005-0000-0000-00007E2F0000}"/>
    <cellStyle name="Normal 10 2 2 3 2 8 2" xfId="20039" xr:uid="{00000000-0005-0000-0000-00007F2F0000}"/>
    <cellStyle name="Normal 10 2 2 3 2 8 2 2" xfId="45592" xr:uid="{00000000-0005-0000-0000-0000802F0000}"/>
    <cellStyle name="Normal 10 2 2 3 2 8 3" xfId="32870" xr:uid="{00000000-0005-0000-0000-0000812F0000}"/>
    <cellStyle name="Normal 10 2 2 3 2 9" xfId="16059" xr:uid="{00000000-0005-0000-0000-0000822F0000}"/>
    <cellStyle name="Normal 10 2 2 3 2 9 2" xfId="41612" xr:uid="{00000000-0005-0000-0000-0000832F0000}"/>
    <cellStyle name="Normal 10 2 2 3 2_Degree data" xfId="2605" xr:uid="{00000000-0005-0000-0000-0000842F0000}"/>
    <cellStyle name="Normal 10 2 2 3 3" xfId="389" xr:uid="{00000000-0005-0000-0000-0000852F0000}"/>
    <cellStyle name="Normal 10 2 2 3 3 2" xfId="2875" xr:uid="{00000000-0005-0000-0000-0000862F0000}"/>
    <cellStyle name="Normal 10 2 2 3 3 2 2" xfId="12163" xr:uid="{00000000-0005-0000-0000-0000872F0000}"/>
    <cellStyle name="Normal 10 2 2 3 3 2 2 2" xfId="22236" xr:uid="{00000000-0005-0000-0000-0000882F0000}"/>
    <cellStyle name="Normal 10 2 2 3 3 2 2 2 2" xfId="47789" xr:uid="{00000000-0005-0000-0000-0000892F0000}"/>
    <cellStyle name="Normal 10 2 2 3 3 2 2 3" xfId="37718" xr:uid="{00000000-0005-0000-0000-00008A2F0000}"/>
    <cellStyle name="Normal 10 2 2 3 3 2 3" xfId="8455" xr:uid="{00000000-0005-0000-0000-00008B2F0000}"/>
    <cellStyle name="Normal 10 2 2 3 3 2 3 2" xfId="34012" xr:uid="{00000000-0005-0000-0000-00008C2F0000}"/>
    <cellStyle name="Normal 10 2 2 3 3 2 4" xfId="17229" xr:uid="{00000000-0005-0000-0000-00008D2F0000}"/>
    <cellStyle name="Normal 10 2 2 3 3 2 4 2" xfId="42782" xr:uid="{00000000-0005-0000-0000-00008E2F0000}"/>
    <cellStyle name="Normal 10 2 2 3 3 2 5" xfId="28719" xr:uid="{00000000-0005-0000-0000-00008F2F0000}"/>
    <cellStyle name="Normal 10 2 2 3 3 3" xfId="4517" xr:uid="{00000000-0005-0000-0000-0000902F0000}"/>
    <cellStyle name="Normal 10 2 2 3 3 3 2" xfId="13355" xr:uid="{00000000-0005-0000-0000-0000912F0000}"/>
    <cellStyle name="Normal 10 2 2 3 3 3 2 2" xfId="23606" xr:uid="{00000000-0005-0000-0000-0000922F0000}"/>
    <cellStyle name="Normal 10 2 2 3 3 3 2 2 2" xfId="49159" xr:uid="{00000000-0005-0000-0000-0000932F0000}"/>
    <cellStyle name="Normal 10 2 2 3 3 3 2 3" xfId="38910" xr:uid="{00000000-0005-0000-0000-0000942F0000}"/>
    <cellStyle name="Normal 10 2 2 3 3 3 3" xfId="9776" xr:uid="{00000000-0005-0000-0000-0000952F0000}"/>
    <cellStyle name="Normal 10 2 2 3 3 3 3 2" xfId="35333" xr:uid="{00000000-0005-0000-0000-0000962F0000}"/>
    <cellStyle name="Normal 10 2 2 3 3 3 4" xfId="18599" xr:uid="{00000000-0005-0000-0000-0000972F0000}"/>
    <cellStyle name="Normal 10 2 2 3 3 3 4 2" xfId="44152" xr:uid="{00000000-0005-0000-0000-0000982F0000}"/>
    <cellStyle name="Normal 10 2 2 3 3 3 5" xfId="30089" xr:uid="{00000000-0005-0000-0000-0000992F0000}"/>
    <cellStyle name="Normal 10 2 2 3 3 4" xfId="1984" xr:uid="{00000000-0005-0000-0000-00009A2F0000}"/>
    <cellStyle name="Normal 10 2 2 3 3 4 2" xfId="11349" xr:uid="{00000000-0005-0000-0000-00009B2F0000}"/>
    <cellStyle name="Normal 10 2 2 3 3 4 2 2" xfId="36904" xr:uid="{00000000-0005-0000-0000-00009C2F0000}"/>
    <cellStyle name="Normal 10 2 2 3 3 4 3" xfId="21353" xr:uid="{00000000-0005-0000-0000-00009D2F0000}"/>
    <cellStyle name="Normal 10 2 2 3 3 4 3 2" xfId="46906" xr:uid="{00000000-0005-0000-0000-00009E2F0000}"/>
    <cellStyle name="Normal 10 2 2 3 3 4 4" xfId="27836" xr:uid="{00000000-0005-0000-0000-00009F2F0000}"/>
    <cellStyle name="Normal 10 2 2 3 3 5" xfId="5973" xr:uid="{00000000-0005-0000-0000-0000A02F0000}"/>
    <cellStyle name="Normal 10 2 2 3 3 5 2" xfId="14800" xr:uid="{00000000-0005-0000-0000-0000A12F0000}"/>
    <cellStyle name="Normal 10 2 2 3 3 5 2 2" xfId="40355" xr:uid="{00000000-0005-0000-0000-0000A22F0000}"/>
    <cellStyle name="Normal 10 2 2 3 3 5 3" xfId="25051" xr:uid="{00000000-0005-0000-0000-0000A32F0000}"/>
    <cellStyle name="Normal 10 2 2 3 3 5 3 2" xfId="50604" xr:uid="{00000000-0005-0000-0000-0000A42F0000}"/>
    <cellStyle name="Normal 10 2 2 3 3 5 4" xfId="31534" xr:uid="{00000000-0005-0000-0000-0000A52F0000}"/>
    <cellStyle name="Normal 10 2 2 3 3 6" xfId="7417" xr:uid="{00000000-0005-0000-0000-0000A62F0000}"/>
    <cellStyle name="Normal 10 2 2 3 3 6 2" xfId="19835" xr:uid="{00000000-0005-0000-0000-0000A72F0000}"/>
    <cellStyle name="Normal 10 2 2 3 3 6 2 2" xfId="45388" xr:uid="{00000000-0005-0000-0000-0000A82F0000}"/>
    <cellStyle name="Normal 10 2 2 3 3 6 3" xfId="32974" xr:uid="{00000000-0005-0000-0000-0000A92F0000}"/>
    <cellStyle name="Normal 10 2 2 3 3 7" xfId="16346" xr:uid="{00000000-0005-0000-0000-0000AA2F0000}"/>
    <cellStyle name="Normal 10 2 2 3 3 7 2" xfId="41899" xr:uid="{00000000-0005-0000-0000-0000AB2F0000}"/>
    <cellStyle name="Normal 10 2 2 3 3 8" xfId="26318" xr:uid="{00000000-0005-0000-0000-0000AC2F0000}"/>
    <cellStyle name="Normal 10 2 2 3 4" xfId="702" xr:uid="{00000000-0005-0000-0000-0000AD2F0000}"/>
    <cellStyle name="Normal 10 2 2 3 4 2" xfId="3188" xr:uid="{00000000-0005-0000-0000-0000AE2F0000}"/>
    <cellStyle name="Normal 10 2 2 3 4 2 2" xfId="12331" xr:uid="{00000000-0005-0000-0000-0000AF2F0000}"/>
    <cellStyle name="Normal 10 2 2 3 4 2 2 2" xfId="22549" xr:uid="{00000000-0005-0000-0000-0000B02F0000}"/>
    <cellStyle name="Normal 10 2 2 3 4 2 2 2 2" xfId="48102" xr:uid="{00000000-0005-0000-0000-0000B12F0000}"/>
    <cellStyle name="Normal 10 2 2 3 4 2 2 3" xfId="37886" xr:uid="{00000000-0005-0000-0000-0000B22F0000}"/>
    <cellStyle name="Normal 10 2 2 3 4 2 3" xfId="8753" xr:uid="{00000000-0005-0000-0000-0000B32F0000}"/>
    <cellStyle name="Normal 10 2 2 3 4 2 3 2" xfId="34310" xr:uid="{00000000-0005-0000-0000-0000B42F0000}"/>
    <cellStyle name="Normal 10 2 2 3 4 2 4" xfId="17542" xr:uid="{00000000-0005-0000-0000-0000B52F0000}"/>
    <cellStyle name="Normal 10 2 2 3 4 2 4 2" xfId="43095" xr:uid="{00000000-0005-0000-0000-0000B62F0000}"/>
    <cellStyle name="Normal 10 2 2 3 4 2 5" xfId="29032" xr:uid="{00000000-0005-0000-0000-0000B72F0000}"/>
    <cellStyle name="Normal 10 2 2 3 4 3" xfId="4866" xr:uid="{00000000-0005-0000-0000-0000B82F0000}"/>
    <cellStyle name="Normal 10 2 2 3 4 3 2" xfId="13703" xr:uid="{00000000-0005-0000-0000-0000B92F0000}"/>
    <cellStyle name="Normal 10 2 2 3 4 3 2 2" xfId="23954" xr:uid="{00000000-0005-0000-0000-0000BA2F0000}"/>
    <cellStyle name="Normal 10 2 2 3 4 3 2 2 2" xfId="49507" xr:uid="{00000000-0005-0000-0000-0000BB2F0000}"/>
    <cellStyle name="Normal 10 2 2 3 4 3 2 3" xfId="39258" xr:uid="{00000000-0005-0000-0000-0000BC2F0000}"/>
    <cellStyle name="Normal 10 2 2 3 4 3 3" xfId="10124" xr:uid="{00000000-0005-0000-0000-0000BD2F0000}"/>
    <cellStyle name="Normal 10 2 2 3 4 3 3 2" xfId="35681" xr:uid="{00000000-0005-0000-0000-0000BE2F0000}"/>
    <cellStyle name="Normal 10 2 2 3 4 3 4" xfId="18947" xr:uid="{00000000-0005-0000-0000-0000BF2F0000}"/>
    <cellStyle name="Normal 10 2 2 3 4 3 4 2" xfId="44500" xr:uid="{00000000-0005-0000-0000-0000C02F0000}"/>
    <cellStyle name="Normal 10 2 2 3 4 3 5" xfId="30437" xr:uid="{00000000-0005-0000-0000-0000C12F0000}"/>
    <cellStyle name="Normal 10 2 2 3 4 4" xfId="2297" xr:uid="{00000000-0005-0000-0000-0000C22F0000}"/>
    <cellStyle name="Normal 10 2 2 3 4 4 2" xfId="11662" xr:uid="{00000000-0005-0000-0000-0000C32F0000}"/>
    <cellStyle name="Normal 10 2 2 3 4 4 2 2" xfId="37217" xr:uid="{00000000-0005-0000-0000-0000C42F0000}"/>
    <cellStyle name="Normal 10 2 2 3 4 4 3" xfId="21666" xr:uid="{00000000-0005-0000-0000-0000C52F0000}"/>
    <cellStyle name="Normal 10 2 2 3 4 4 3 2" xfId="47219" xr:uid="{00000000-0005-0000-0000-0000C62F0000}"/>
    <cellStyle name="Normal 10 2 2 3 4 4 4" xfId="28149" xr:uid="{00000000-0005-0000-0000-0000C72F0000}"/>
    <cellStyle name="Normal 10 2 2 3 4 5" xfId="6321" xr:uid="{00000000-0005-0000-0000-0000C82F0000}"/>
    <cellStyle name="Normal 10 2 2 3 4 5 2" xfId="15148" xr:uid="{00000000-0005-0000-0000-0000C92F0000}"/>
    <cellStyle name="Normal 10 2 2 3 4 5 2 2" xfId="40703" xr:uid="{00000000-0005-0000-0000-0000CA2F0000}"/>
    <cellStyle name="Normal 10 2 2 3 4 5 3" xfId="25399" xr:uid="{00000000-0005-0000-0000-0000CB2F0000}"/>
    <cellStyle name="Normal 10 2 2 3 4 5 3 2" xfId="50952" xr:uid="{00000000-0005-0000-0000-0000CC2F0000}"/>
    <cellStyle name="Normal 10 2 2 3 4 5 4" xfId="31882" xr:uid="{00000000-0005-0000-0000-0000CD2F0000}"/>
    <cellStyle name="Normal 10 2 2 3 4 6" xfId="7767" xr:uid="{00000000-0005-0000-0000-0000CE2F0000}"/>
    <cellStyle name="Normal 10 2 2 3 4 6 2" xfId="20148" xr:uid="{00000000-0005-0000-0000-0000CF2F0000}"/>
    <cellStyle name="Normal 10 2 2 3 4 6 2 2" xfId="45701" xr:uid="{00000000-0005-0000-0000-0000D02F0000}"/>
    <cellStyle name="Normal 10 2 2 3 4 6 3" xfId="33324" xr:uid="{00000000-0005-0000-0000-0000D12F0000}"/>
    <cellStyle name="Normal 10 2 2 3 4 7" xfId="16659" xr:uid="{00000000-0005-0000-0000-0000D22F0000}"/>
    <cellStyle name="Normal 10 2 2 3 4 7 2" xfId="42212" xr:uid="{00000000-0005-0000-0000-0000D32F0000}"/>
    <cellStyle name="Normal 10 2 2 3 4 8" xfId="26631" xr:uid="{00000000-0005-0000-0000-0000D42F0000}"/>
    <cellStyle name="Normal 10 2 2 3 5" xfId="1161" xr:uid="{00000000-0005-0000-0000-0000D52F0000}"/>
    <cellStyle name="Normal 10 2 2 3 5 2" xfId="3590" xr:uid="{00000000-0005-0000-0000-0000D62F0000}"/>
    <cellStyle name="Normal 10 2 2 3 5 2 2" xfId="12726" xr:uid="{00000000-0005-0000-0000-0000D72F0000}"/>
    <cellStyle name="Normal 10 2 2 3 5 2 2 2" xfId="22945" xr:uid="{00000000-0005-0000-0000-0000D82F0000}"/>
    <cellStyle name="Normal 10 2 2 3 5 2 2 2 2" xfId="48498" xr:uid="{00000000-0005-0000-0000-0000D92F0000}"/>
    <cellStyle name="Normal 10 2 2 3 5 2 2 3" xfId="38281" xr:uid="{00000000-0005-0000-0000-0000DA2F0000}"/>
    <cellStyle name="Normal 10 2 2 3 5 2 3" xfId="9147" xr:uid="{00000000-0005-0000-0000-0000DB2F0000}"/>
    <cellStyle name="Normal 10 2 2 3 5 2 3 2" xfId="34704" xr:uid="{00000000-0005-0000-0000-0000DC2F0000}"/>
    <cellStyle name="Normal 10 2 2 3 5 2 4" xfId="17938" xr:uid="{00000000-0005-0000-0000-0000DD2F0000}"/>
    <cellStyle name="Normal 10 2 2 3 5 2 4 2" xfId="43491" xr:uid="{00000000-0005-0000-0000-0000DE2F0000}"/>
    <cellStyle name="Normal 10 2 2 3 5 2 5" xfId="29428" xr:uid="{00000000-0005-0000-0000-0000DF2F0000}"/>
    <cellStyle name="Normal 10 2 2 3 5 3" xfId="5253" xr:uid="{00000000-0005-0000-0000-0000E02F0000}"/>
    <cellStyle name="Normal 10 2 2 3 5 3 2" xfId="14090" xr:uid="{00000000-0005-0000-0000-0000E12F0000}"/>
    <cellStyle name="Normal 10 2 2 3 5 3 2 2" xfId="24341" xr:uid="{00000000-0005-0000-0000-0000E22F0000}"/>
    <cellStyle name="Normal 10 2 2 3 5 3 2 2 2" xfId="49894" xr:uid="{00000000-0005-0000-0000-0000E32F0000}"/>
    <cellStyle name="Normal 10 2 2 3 5 3 2 3" xfId="39645" xr:uid="{00000000-0005-0000-0000-0000E42F0000}"/>
    <cellStyle name="Normal 10 2 2 3 5 3 3" xfId="10511" xr:uid="{00000000-0005-0000-0000-0000E52F0000}"/>
    <cellStyle name="Normal 10 2 2 3 5 3 3 2" xfId="36068" xr:uid="{00000000-0005-0000-0000-0000E62F0000}"/>
    <cellStyle name="Normal 10 2 2 3 5 3 4" xfId="19334" xr:uid="{00000000-0005-0000-0000-0000E72F0000}"/>
    <cellStyle name="Normal 10 2 2 3 5 3 4 2" xfId="44887" xr:uid="{00000000-0005-0000-0000-0000E82F0000}"/>
    <cellStyle name="Normal 10 2 2 3 5 3 5" xfId="30824" xr:uid="{00000000-0005-0000-0000-0000E92F0000}"/>
    <cellStyle name="Normal 10 2 2 3 5 4" xfId="1868" xr:uid="{00000000-0005-0000-0000-0000EA2F0000}"/>
    <cellStyle name="Normal 10 2 2 3 5 4 2" xfId="11236" xr:uid="{00000000-0005-0000-0000-0000EB2F0000}"/>
    <cellStyle name="Normal 10 2 2 3 5 4 2 2" xfId="36791" xr:uid="{00000000-0005-0000-0000-0000EC2F0000}"/>
    <cellStyle name="Normal 10 2 2 3 5 4 3" xfId="21240" xr:uid="{00000000-0005-0000-0000-0000ED2F0000}"/>
    <cellStyle name="Normal 10 2 2 3 5 4 3 2" xfId="46793" xr:uid="{00000000-0005-0000-0000-0000EE2F0000}"/>
    <cellStyle name="Normal 10 2 2 3 5 4 4" xfId="27723" xr:uid="{00000000-0005-0000-0000-0000EF2F0000}"/>
    <cellStyle name="Normal 10 2 2 3 5 5" xfId="6708" xr:uid="{00000000-0005-0000-0000-0000F02F0000}"/>
    <cellStyle name="Normal 10 2 2 3 5 5 2" xfId="15535" xr:uid="{00000000-0005-0000-0000-0000F12F0000}"/>
    <cellStyle name="Normal 10 2 2 3 5 5 2 2" xfId="41090" xr:uid="{00000000-0005-0000-0000-0000F22F0000}"/>
    <cellStyle name="Normal 10 2 2 3 5 5 3" xfId="25786" xr:uid="{00000000-0005-0000-0000-0000F32F0000}"/>
    <cellStyle name="Normal 10 2 2 3 5 5 3 2" xfId="51339" xr:uid="{00000000-0005-0000-0000-0000F42F0000}"/>
    <cellStyle name="Normal 10 2 2 3 5 5 4" xfId="32269" xr:uid="{00000000-0005-0000-0000-0000F52F0000}"/>
    <cellStyle name="Normal 10 2 2 3 5 6" xfId="8154" xr:uid="{00000000-0005-0000-0000-0000F62F0000}"/>
    <cellStyle name="Normal 10 2 2 3 5 6 2" xfId="20544" xr:uid="{00000000-0005-0000-0000-0000F72F0000}"/>
    <cellStyle name="Normal 10 2 2 3 5 6 2 2" xfId="46097" xr:uid="{00000000-0005-0000-0000-0000F82F0000}"/>
    <cellStyle name="Normal 10 2 2 3 5 6 3" xfId="33711" xr:uid="{00000000-0005-0000-0000-0000F92F0000}"/>
    <cellStyle name="Normal 10 2 2 3 5 7" xfId="16233" xr:uid="{00000000-0005-0000-0000-0000FA2F0000}"/>
    <cellStyle name="Normal 10 2 2 3 5 7 2" xfId="41786" xr:uid="{00000000-0005-0000-0000-0000FB2F0000}"/>
    <cellStyle name="Normal 10 2 2 3 5 8" xfId="27027" xr:uid="{00000000-0005-0000-0000-0000FC2F0000}"/>
    <cellStyle name="Normal 10 2 2 3 6" xfId="2762" xr:uid="{00000000-0005-0000-0000-0000FD2F0000}"/>
    <cellStyle name="Normal 10 2 2 3 6 2" xfId="12079" xr:uid="{00000000-0005-0000-0000-0000FE2F0000}"/>
    <cellStyle name="Normal 10 2 2 3 6 2 2" xfId="22123" xr:uid="{00000000-0005-0000-0000-0000FF2F0000}"/>
    <cellStyle name="Normal 10 2 2 3 6 2 2 2" xfId="47676" xr:uid="{00000000-0005-0000-0000-000000300000}"/>
    <cellStyle name="Normal 10 2 2 3 6 2 3" xfId="37634" xr:uid="{00000000-0005-0000-0000-000001300000}"/>
    <cellStyle name="Normal 10 2 2 3 6 3" xfId="8477" xr:uid="{00000000-0005-0000-0000-000002300000}"/>
    <cellStyle name="Normal 10 2 2 3 6 3 2" xfId="34034" xr:uid="{00000000-0005-0000-0000-000003300000}"/>
    <cellStyle name="Normal 10 2 2 3 6 4" xfId="17116" xr:uid="{00000000-0005-0000-0000-000004300000}"/>
    <cellStyle name="Normal 10 2 2 3 6 4 2" xfId="42669" xr:uid="{00000000-0005-0000-0000-000005300000}"/>
    <cellStyle name="Normal 10 2 2 3 6 5" xfId="28606" xr:uid="{00000000-0005-0000-0000-000006300000}"/>
    <cellStyle name="Normal 10 2 2 3 7" xfId="4209" xr:uid="{00000000-0005-0000-0000-000007300000}"/>
    <cellStyle name="Normal 10 2 2 3 7 2" xfId="13047" xr:uid="{00000000-0005-0000-0000-000008300000}"/>
    <cellStyle name="Normal 10 2 2 3 7 2 2" xfId="23298" xr:uid="{00000000-0005-0000-0000-000009300000}"/>
    <cellStyle name="Normal 10 2 2 3 7 2 2 2" xfId="48851" xr:uid="{00000000-0005-0000-0000-00000A300000}"/>
    <cellStyle name="Normal 10 2 2 3 7 2 3" xfId="38602" xr:uid="{00000000-0005-0000-0000-00000B300000}"/>
    <cellStyle name="Normal 10 2 2 3 7 3" xfId="9468" xr:uid="{00000000-0005-0000-0000-00000C300000}"/>
    <cellStyle name="Normal 10 2 2 3 7 3 2" xfId="35025" xr:uid="{00000000-0005-0000-0000-00000D300000}"/>
    <cellStyle name="Normal 10 2 2 3 7 4" xfId="18291" xr:uid="{00000000-0005-0000-0000-00000E300000}"/>
    <cellStyle name="Normal 10 2 2 3 7 4 2" xfId="43844" xr:uid="{00000000-0005-0000-0000-00000F300000}"/>
    <cellStyle name="Normal 10 2 2 3 7 5" xfId="29781" xr:uid="{00000000-0005-0000-0000-000010300000}"/>
    <cellStyle name="Normal 10 2 2 3 8" xfId="1481" xr:uid="{00000000-0005-0000-0000-000011300000}"/>
    <cellStyle name="Normal 10 2 2 3 8 2" xfId="10858" xr:uid="{00000000-0005-0000-0000-000012300000}"/>
    <cellStyle name="Normal 10 2 2 3 8 2 2" xfId="36413" xr:uid="{00000000-0005-0000-0000-000013300000}"/>
    <cellStyle name="Normal 10 2 2 3 8 3" xfId="20862" xr:uid="{00000000-0005-0000-0000-000014300000}"/>
    <cellStyle name="Normal 10 2 2 3 8 3 2" xfId="46415" xr:uid="{00000000-0005-0000-0000-000015300000}"/>
    <cellStyle name="Normal 10 2 2 3 8 4" xfId="27345" xr:uid="{00000000-0005-0000-0000-000016300000}"/>
    <cellStyle name="Normal 10 2 2 3 9" xfId="5665" xr:uid="{00000000-0005-0000-0000-000017300000}"/>
    <cellStyle name="Normal 10 2 2 3 9 2" xfId="14492" xr:uid="{00000000-0005-0000-0000-000018300000}"/>
    <cellStyle name="Normal 10 2 2 3 9 2 2" xfId="40047" xr:uid="{00000000-0005-0000-0000-000019300000}"/>
    <cellStyle name="Normal 10 2 2 3 9 3" xfId="24743" xr:uid="{00000000-0005-0000-0000-00001A300000}"/>
    <cellStyle name="Normal 10 2 2 3 9 3 2" xfId="50296" xr:uid="{00000000-0005-0000-0000-00001B300000}"/>
    <cellStyle name="Normal 10 2 2 3 9 4" xfId="31226" xr:uid="{00000000-0005-0000-0000-00001C300000}"/>
    <cellStyle name="Normal 10 2 2 3_Degree data" xfId="3848" xr:uid="{00000000-0005-0000-0000-00001D300000}"/>
    <cellStyle name="Normal 10 2 2 4" xfId="489" xr:uid="{00000000-0005-0000-0000-00001E300000}"/>
    <cellStyle name="Normal 10 2 2 4 10" xfId="26418" xr:uid="{00000000-0005-0000-0000-00001F300000}"/>
    <cellStyle name="Normal 10 2 2 4 2" xfId="704" xr:uid="{00000000-0005-0000-0000-000020300000}"/>
    <cellStyle name="Normal 10 2 2 4 2 2" xfId="3190" xr:uid="{00000000-0005-0000-0000-000021300000}"/>
    <cellStyle name="Normal 10 2 2 4 2 2 2" xfId="12333" xr:uid="{00000000-0005-0000-0000-000022300000}"/>
    <cellStyle name="Normal 10 2 2 4 2 2 2 2" xfId="22551" xr:uid="{00000000-0005-0000-0000-000023300000}"/>
    <cellStyle name="Normal 10 2 2 4 2 2 2 2 2" xfId="48104" xr:uid="{00000000-0005-0000-0000-000024300000}"/>
    <cellStyle name="Normal 10 2 2 4 2 2 2 3" xfId="37888" xr:uid="{00000000-0005-0000-0000-000025300000}"/>
    <cellStyle name="Normal 10 2 2 4 2 2 3" xfId="8755" xr:uid="{00000000-0005-0000-0000-000026300000}"/>
    <cellStyle name="Normal 10 2 2 4 2 2 3 2" xfId="34312" xr:uid="{00000000-0005-0000-0000-000027300000}"/>
    <cellStyle name="Normal 10 2 2 4 2 2 4" xfId="17544" xr:uid="{00000000-0005-0000-0000-000028300000}"/>
    <cellStyle name="Normal 10 2 2 4 2 2 4 2" xfId="43097" xr:uid="{00000000-0005-0000-0000-000029300000}"/>
    <cellStyle name="Normal 10 2 2 4 2 2 5" xfId="29034" xr:uid="{00000000-0005-0000-0000-00002A300000}"/>
    <cellStyle name="Normal 10 2 2 4 2 3" xfId="4519" xr:uid="{00000000-0005-0000-0000-00002B300000}"/>
    <cellStyle name="Normal 10 2 2 4 2 3 2" xfId="13357" xr:uid="{00000000-0005-0000-0000-00002C300000}"/>
    <cellStyle name="Normal 10 2 2 4 2 3 2 2" xfId="23608" xr:uid="{00000000-0005-0000-0000-00002D300000}"/>
    <cellStyle name="Normal 10 2 2 4 2 3 2 2 2" xfId="49161" xr:uid="{00000000-0005-0000-0000-00002E300000}"/>
    <cellStyle name="Normal 10 2 2 4 2 3 2 3" xfId="38912" xr:uid="{00000000-0005-0000-0000-00002F300000}"/>
    <cellStyle name="Normal 10 2 2 4 2 3 3" xfId="9778" xr:uid="{00000000-0005-0000-0000-000030300000}"/>
    <cellStyle name="Normal 10 2 2 4 2 3 3 2" xfId="35335" xr:uid="{00000000-0005-0000-0000-000031300000}"/>
    <cellStyle name="Normal 10 2 2 4 2 3 4" xfId="18601" xr:uid="{00000000-0005-0000-0000-000032300000}"/>
    <cellStyle name="Normal 10 2 2 4 2 3 4 2" xfId="44154" xr:uid="{00000000-0005-0000-0000-000033300000}"/>
    <cellStyle name="Normal 10 2 2 4 2 3 5" xfId="30091" xr:uid="{00000000-0005-0000-0000-000034300000}"/>
    <cellStyle name="Normal 10 2 2 4 2 4" xfId="2299" xr:uid="{00000000-0005-0000-0000-000035300000}"/>
    <cellStyle name="Normal 10 2 2 4 2 4 2" xfId="11664" xr:uid="{00000000-0005-0000-0000-000036300000}"/>
    <cellStyle name="Normal 10 2 2 4 2 4 2 2" xfId="37219" xr:uid="{00000000-0005-0000-0000-000037300000}"/>
    <cellStyle name="Normal 10 2 2 4 2 4 3" xfId="21668" xr:uid="{00000000-0005-0000-0000-000038300000}"/>
    <cellStyle name="Normal 10 2 2 4 2 4 3 2" xfId="47221" xr:uid="{00000000-0005-0000-0000-000039300000}"/>
    <cellStyle name="Normal 10 2 2 4 2 4 4" xfId="28151" xr:uid="{00000000-0005-0000-0000-00003A300000}"/>
    <cellStyle name="Normal 10 2 2 4 2 5" xfId="5975" xr:uid="{00000000-0005-0000-0000-00003B300000}"/>
    <cellStyle name="Normal 10 2 2 4 2 5 2" xfId="14802" xr:uid="{00000000-0005-0000-0000-00003C300000}"/>
    <cellStyle name="Normal 10 2 2 4 2 5 2 2" xfId="40357" xr:uid="{00000000-0005-0000-0000-00003D300000}"/>
    <cellStyle name="Normal 10 2 2 4 2 5 3" xfId="25053" xr:uid="{00000000-0005-0000-0000-00003E300000}"/>
    <cellStyle name="Normal 10 2 2 4 2 5 3 2" xfId="50606" xr:uid="{00000000-0005-0000-0000-00003F300000}"/>
    <cellStyle name="Normal 10 2 2 4 2 5 4" xfId="31536" xr:uid="{00000000-0005-0000-0000-000040300000}"/>
    <cellStyle name="Normal 10 2 2 4 2 6" xfId="7419" xr:uid="{00000000-0005-0000-0000-000041300000}"/>
    <cellStyle name="Normal 10 2 2 4 2 6 2" xfId="20150" xr:uid="{00000000-0005-0000-0000-000042300000}"/>
    <cellStyle name="Normal 10 2 2 4 2 6 2 2" xfId="45703" xr:uid="{00000000-0005-0000-0000-000043300000}"/>
    <cellStyle name="Normal 10 2 2 4 2 6 3" xfId="32976" xr:uid="{00000000-0005-0000-0000-000044300000}"/>
    <cellStyle name="Normal 10 2 2 4 2 7" xfId="16661" xr:uid="{00000000-0005-0000-0000-000045300000}"/>
    <cellStyle name="Normal 10 2 2 4 2 7 2" xfId="42214" xr:uid="{00000000-0005-0000-0000-000046300000}"/>
    <cellStyle name="Normal 10 2 2 4 2 8" xfId="26633" xr:uid="{00000000-0005-0000-0000-000047300000}"/>
    <cellStyle name="Normal 10 2 2 4 3" xfId="1261" xr:uid="{00000000-0005-0000-0000-000048300000}"/>
    <cellStyle name="Normal 10 2 2 4 3 2" xfId="3690" xr:uid="{00000000-0005-0000-0000-000049300000}"/>
    <cellStyle name="Normal 10 2 2 4 3 2 2" xfId="12826" xr:uid="{00000000-0005-0000-0000-00004A300000}"/>
    <cellStyle name="Normal 10 2 2 4 3 2 2 2" xfId="23045" xr:uid="{00000000-0005-0000-0000-00004B300000}"/>
    <cellStyle name="Normal 10 2 2 4 3 2 2 2 2" xfId="48598" xr:uid="{00000000-0005-0000-0000-00004C300000}"/>
    <cellStyle name="Normal 10 2 2 4 3 2 2 3" xfId="38381" xr:uid="{00000000-0005-0000-0000-00004D300000}"/>
    <cellStyle name="Normal 10 2 2 4 3 2 3" xfId="9247" xr:uid="{00000000-0005-0000-0000-00004E300000}"/>
    <cellStyle name="Normal 10 2 2 4 3 2 3 2" xfId="34804" xr:uid="{00000000-0005-0000-0000-00004F300000}"/>
    <cellStyle name="Normal 10 2 2 4 3 2 4" xfId="18038" xr:uid="{00000000-0005-0000-0000-000050300000}"/>
    <cellStyle name="Normal 10 2 2 4 3 2 4 2" xfId="43591" xr:uid="{00000000-0005-0000-0000-000051300000}"/>
    <cellStyle name="Normal 10 2 2 4 3 2 5" xfId="29528" xr:uid="{00000000-0005-0000-0000-000052300000}"/>
    <cellStyle name="Normal 10 2 2 4 3 3" xfId="4868" xr:uid="{00000000-0005-0000-0000-000053300000}"/>
    <cellStyle name="Normal 10 2 2 4 3 3 2" xfId="13705" xr:uid="{00000000-0005-0000-0000-000054300000}"/>
    <cellStyle name="Normal 10 2 2 4 3 3 2 2" xfId="23956" xr:uid="{00000000-0005-0000-0000-000055300000}"/>
    <cellStyle name="Normal 10 2 2 4 3 3 2 2 2" xfId="49509" xr:uid="{00000000-0005-0000-0000-000056300000}"/>
    <cellStyle name="Normal 10 2 2 4 3 3 2 3" xfId="39260" xr:uid="{00000000-0005-0000-0000-000057300000}"/>
    <cellStyle name="Normal 10 2 2 4 3 3 3" xfId="10126" xr:uid="{00000000-0005-0000-0000-000058300000}"/>
    <cellStyle name="Normal 10 2 2 4 3 3 3 2" xfId="35683" xr:uid="{00000000-0005-0000-0000-000059300000}"/>
    <cellStyle name="Normal 10 2 2 4 3 3 4" xfId="18949" xr:uid="{00000000-0005-0000-0000-00005A300000}"/>
    <cellStyle name="Normal 10 2 2 4 3 3 4 2" xfId="44502" xr:uid="{00000000-0005-0000-0000-00005B300000}"/>
    <cellStyle name="Normal 10 2 2 4 3 3 5" xfId="30439" xr:uid="{00000000-0005-0000-0000-00005C300000}"/>
    <cellStyle name="Normal 10 2 2 4 3 4" xfId="2084" xr:uid="{00000000-0005-0000-0000-00005D300000}"/>
    <cellStyle name="Normal 10 2 2 4 3 4 2" xfId="11449" xr:uid="{00000000-0005-0000-0000-00005E300000}"/>
    <cellStyle name="Normal 10 2 2 4 3 4 2 2" xfId="37004" xr:uid="{00000000-0005-0000-0000-00005F300000}"/>
    <cellStyle name="Normal 10 2 2 4 3 4 3" xfId="21453" xr:uid="{00000000-0005-0000-0000-000060300000}"/>
    <cellStyle name="Normal 10 2 2 4 3 4 3 2" xfId="47006" xr:uid="{00000000-0005-0000-0000-000061300000}"/>
    <cellStyle name="Normal 10 2 2 4 3 4 4" xfId="27936" xr:uid="{00000000-0005-0000-0000-000062300000}"/>
    <cellStyle name="Normal 10 2 2 4 3 5" xfId="6323" xr:uid="{00000000-0005-0000-0000-000063300000}"/>
    <cellStyle name="Normal 10 2 2 4 3 5 2" xfId="15150" xr:uid="{00000000-0005-0000-0000-000064300000}"/>
    <cellStyle name="Normal 10 2 2 4 3 5 2 2" xfId="40705" xr:uid="{00000000-0005-0000-0000-000065300000}"/>
    <cellStyle name="Normal 10 2 2 4 3 5 3" xfId="25401" xr:uid="{00000000-0005-0000-0000-000066300000}"/>
    <cellStyle name="Normal 10 2 2 4 3 5 3 2" xfId="50954" xr:uid="{00000000-0005-0000-0000-000067300000}"/>
    <cellStyle name="Normal 10 2 2 4 3 5 4" xfId="31884" xr:uid="{00000000-0005-0000-0000-000068300000}"/>
    <cellStyle name="Normal 10 2 2 4 3 6" xfId="7769" xr:uid="{00000000-0005-0000-0000-000069300000}"/>
    <cellStyle name="Normal 10 2 2 4 3 6 2" xfId="20644" xr:uid="{00000000-0005-0000-0000-00006A300000}"/>
    <cellStyle name="Normal 10 2 2 4 3 6 2 2" xfId="46197" xr:uid="{00000000-0005-0000-0000-00006B300000}"/>
    <cellStyle name="Normal 10 2 2 4 3 6 3" xfId="33326" xr:uid="{00000000-0005-0000-0000-00006C300000}"/>
    <cellStyle name="Normal 10 2 2 4 3 7" xfId="16446" xr:uid="{00000000-0005-0000-0000-00006D300000}"/>
    <cellStyle name="Normal 10 2 2 4 3 7 2" xfId="41999" xr:uid="{00000000-0005-0000-0000-00006E300000}"/>
    <cellStyle name="Normal 10 2 2 4 3 8" xfId="27127" xr:uid="{00000000-0005-0000-0000-00006F300000}"/>
    <cellStyle name="Normal 10 2 2 4 4" xfId="2975" xr:uid="{00000000-0005-0000-0000-000070300000}"/>
    <cellStyle name="Normal 10 2 2 4 4 2" xfId="5353" xr:uid="{00000000-0005-0000-0000-000071300000}"/>
    <cellStyle name="Normal 10 2 2 4 4 2 2" xfId="14190" xr:uid="{00000000-0005-0000-0000-000072300000}"/>
    <cellStyle name="Normal 10 2 2 4 4 2 2 2" xfId="24441" xr:uid="{00000000-0005-0000-0000-000073300000}"/>
    <cellStyle name="Normal 10 2 2 4 4 2 2 2 2" xfId="49994" xr:uid="{00000000-0005-0000-0000-000074300000}"/>
    <cellStyle name="Normal 10 2 2 4 4 2 2 3" xfId="39745" xr:uid="{00000000-0005-0000-0000-000075300000}"/>
    <cellStyle name="Normal 10 2 2 4 4 2 3" xfId="10611" xr:uid="{00000000-0005-0000-0000-000076300000}"/>
    <cellStyle name="Normal 10 2 2 4 4 2 3 2" xfId="36168" xr:uid="{00000000-0005-0000-0000-000077300000}"/>
    <cellStyle name="Normal 10 2 2 4 4 2 4" xfId="19434" xr:uid="{00000000-0005-0000-0000-000078300000}"/>
    <cellStyle name="Normal 10 2 2 4 4 2 4 2" xfId="44987" xr:uid="{00000000-0005-0000-0000-000079300000}"/>
    <cellStyle name="Normal 10 2 2 4 4 2 5" xfId="30924" xr:uid="{00000000-0005-0000-0000-00007A300000}"/>
    <cellStyle name="Normal 10 2 2 4 4 3" xfId="6808" xr:uid="{00000000-0005-0000-0000-00007B300000}"/>
    <cellStyle name="Normal 10 2 2 4 4 3 2" xfId="15635" xr:uid="{00000000-0005-0000-0000-00007C300000}"/>
    <cellStyle name="Normal 10 2 2 4 4 3 2 2" xfId="41190" xr:uid="{00000000-0005-0000-0000-00007D300000}"/>
    <cellStyle name="Normal 10 2 2 4 4 3 3" xfId="25886" xr:uid="{00000000-0005-0000-0000-00007E300000}"/>
    <cellStyle name="Normal 10 2 2 4 4 3 3 2" xfId="51439" xr:uid="{00000000-0005-0000-0000-00007F300000}"/>
    <cellStyle name="Normal 10 2 2 4 4 3 4" xfId="32369" xr:uid="{00000000-0005-0000-0000-000080300000}"/>
    <cellStyle name="Normal 10 2 2 4 4 4" xfId="8254" xr:uid="{00000000-0005-0000-0000-000081300000}"/>
    <cellStyle name="Normal 10 2 2 4 4 4 2" xfId="22336" xr:uid="{00000000-0005-0000-0000-000082300000}"/>
    <cellStyle name="Normal 10 2 2 4 4 4 2 2" xfId="47889" xr:uid="{00000000-0005-0000-0000-000083300000}"/>
    <cellStyle name="Normal 10 2 2 4 4 4 3" xfId="33811" xr:uid="{00000000-0005-0000-0000-000084300000}"/>
    <cellStyle name="Normal 10 2 2 4 4 5" xfId="17329" xr:uid="{00000000-0005-0000-0000-000085300000}"/>
    <cellStyle name="Normal 10 2 2 4 4 5 2" xfId="42882" xr:uid="{00000000-0005-0000-0000-000086300000}"/>
    <cellStyle name="Normal 10 2 2 4 4 6" xfId="28819" xr:uid="{00000000-0005-0000-0000-000087300000}"/>
    <cellStyle name="Normal 10 2 2 4 5" xfId="4309" xr:uid="{00000000-0005-0000-0000-000088300000}"/>
    <cellStyle name="Normal 10 2 2 4 5 2" xfId="13147" xr:uid="{00000000-0005-0000-0000-000089300000}"/>
    <cellStyle name="Normal 10 2 2 4 5 2 2" xfId="23398" xr:uid="{00000000-0005-0000-0000-00008A300000}"/>
    <cellStyle name="Normal 10 2 2 4 5 2 2 2" xfId="48951" xr:uid="{00000000-0005-0000-0000-00008B300000}"/>
    <cellStyle name="Normal 10 2 2 4 5 2 3" xfId="38702" xr:uid="{00000000-0005-0000-0000-00008C300000}"/>
    <cellStyle name="Normal 10 2 2 4 5 3" xfId="9568" xr:uid="{00000000-0005-0000-0000-00008D300000}"/>
    <cellStyle name="Normal 10 2 2 4 5 3 2" xfId="35125" xr:uid="{00000000-0005-0000-0000-00008E300000}"/>
    <cellStyle name="Normal 10 2 2 4 5 4" xfId="18391" xr:uid="{00000000-0005-0000-0000-00008F300000}"/>
    <cellStyle name="Normal 10 2 2 4 5 4 2" xfId="43944" xr:uid="{00000000-0005-0000-0000-000090300000}"/>
    <cellStyle name="Normal 10 2 2 4 5 5" xfId="29881" xr:uid="{00000000-0005-0000-0000-000091300000}"/>
    <cellStyle name="Normal 10 2 2 4 6" xfId="1581" xr:uid="{00000000-0005-0000-0000-000092300000}"/>
    <cellStyle name="Normal 10 2 2 4 6 2" xfId="10958" xr:uid="{00000000-0005-0000-0000-000093300000}"/>
    <cellStyle name="Normal 10 2 2 4 6 2 2" xfId="36513" xr:uid="{00000000-0005-0000-0000-000094300000}"/>
    <cellStyle name="Normal 10 2 2 4 6 3" xfId="20962" xr:uid="{00000000-0005-0000-0000-000095300000}"/>
    <cellStyle name="Normal 10 2 2 4 6 3 2" xfId="46515" xr:uid="{00000000-0005-0000-0000-000096300000}"/>
    <cellStyle name="Normal 10 2 2 4 6 4" xfId="27445" xr:uid="{00000000-0005-0000-0000-000097300000}"/>
    <cellStyle name="Normal 10 2 2 4 7" xfId="5765" xr:uid="{00000000-0005-0000-0000-000098300000}"/>
    <cellStyle name="Normal 10 2 2 4 7 2" xfId="14592" xr:uid="{00000000-0005-0000-0000-000099300000}"/>
    <cellStyle name="Normal 10 2 2 4 7 2 2" xfId="40147" xr:uid="{00000000-0005-0000-0000-00009A300000}"/>
    <cellStyle name="Normal 10 2 2 4 7 3" xfId="24843" xr:uid="{00000000-0005-0000-0000-00009B300000}"/>
    <cellStyle name="Normal 10 2 2 4 7 3 2" xfId="50396" xr:uid="{00000000-0005-0000-0000-00009C300000}"/>
    <cellStyle name="Normal 10 2 2 4 7 4" xfId="31326" xr:uid="{00000000-0005-0000-0000-00009D300000}"/>
    <cellStyle name="Normal 10 2 2 4 8" xfId="7209" xr:uid="{00000000-0005-0000-0000-00009E300000}"/>
    <cellStyle name="Normal 10 2 2 4 8 2" xfId="19935" xr:uid="{00000000-0005-0000-0000-00009F300000}"/>
    <cellStyle name="Normal 10 2 2 4 8 2 2" xfId="45488" xr:uid="{00000000-0005-0000-0000-0000A0300000}"/>
    <cellStyle name="Normal 10 2 2 4 8 3" xfId="32766" xr:uid="{00000000-0005-0000-0000-0000A1300000}"/>
    <cellStyle name="Normal 10 2 2 4 9" xfId="15955" xr:uid="{00000000-0005-0000-0000-0000A2300000}"/>
    <cellStyle name="Normal 10 2 2 4 9 2" xfId="41508" xr:uid="{00000000-0005-0000-0000-0000A3300000}"/>
    <cellStyle name="Normal 10 2 2 4_Degree data" xfId="3847" xr:uid="{00000000-0005-0000-0000-0000A4300000}"/>
    <cellStyle name="Normal 10 2 2 5" xfId="332" xr:uid="{00000000-0005-0000-0000-0000A5300000}"/>
    <cellStyle name="Normal 10 2 2 5 2" xfId="2818" xr:uid="{00000000-0005-0000-0000-0000A6300000}"/>
    <cellStyle name="Normal 10 2 2 5 2 2" xfId="12113" xr:uid="{00000000-0005-0000-0000-0000A7300000}"/>
    <cellStyle name="Normal 10 2 2 5 2 2 2" xfId="22179" xr:uid="{00000000-0005-0000-0000-0000A8300000}"/>
    <cellStyle name="Normal 10 2 2 5 2 2 2 2" xfId="47732" xr:uid="{00000000-0005-0000-0000-0000A9300000}"/>
    <cellStyle name="Normal 10 2 2 5 2 2 3" xfId="37668" xr:uid="{00000000-0005-0000-0000-0000AA300000}"/>
    <cellStyle name="Normal 10 2 2 5 2 3" xfId="8469" xr:uid="{00000000-0005-0000-0000-0000AB300000}"/>
    <cellStyle name="Normal 10 2 2 5 2 3 2" xfId="34026" xr:uid="{00000000-0005-0000-0000-0000AC300000}"/>
    <cellStyle name="Normal 10 2 2 5 2 4" xfId="17172" xr:uid="{00000000-0005-0000-0000-0000AD300000}"/>
    <cellStyle name="Normal 10 2 2 5 2 4 2" xfId="42725" xr:uid="{00000000-0005-0000-0000-0000AE300000}"/>
    <cellStyle name="Normal 10 2 2 5 2 5" xfId="28662" xr:uid="{00000000-0005-0000-0000-0000AF300000}"/>
    <cellStyle name="Normal 10 2 2 5 3" xfId="4514" xr:uid="{00000000-0005-0000-0000-0000B0300000}"/>
    <cellStyle name="Normal 10 2 2 5 3 2" xfId="13352" xr:uid="{00000000-0005-0000-0000-0000B1300000}"/>
    <cellStyle name="Normal 10 2 2 5 3 2 2" xfId="23603" xr:uid="{00000000-0005-0000-0000-0000B2300000}"/>
    <cellStyle name="Normal 10 2 2 5 3 2 2 2" xfId="49156" xr:uid="{00000000-0005-0000-0000-0000B3300000}"/>
    <cellStyle name="Normal 10 2 2 5 3 2 3" xfId="38907" xr:uid="{00000000-0005-0000-0000-0000B4300000}"/>
    <cellStyle name="Normal 10 2 2 5 3 3" xfId="9773" xr:uid="{00000000-0005-0000-0000-0000B5300000}"/>
    <cellStyle name="Normal 10 2 2 5 3 3 2" xfId="35330" xr:uid="{00000000-0005-0000-0000-0000B6300000}"/>
    <cellStyle name="Normal 10 2 2 5 3 4" xfId="18596" xr:uid="{00000000-0005-0000-0000-0000B7300000}"/>
    <cellStyle name="Normal 10 2 2 5 3 4 2" xfId="44149" xr:uid="{00000000-0005-0000-0000-0000B8300000}"/>
    <cellStyle name="Normal 10 2 2 5 3 5" xfId="30086" xr:uid="{00000000-0005-0000-0000-0000B9300000}"/>
    <cellStyle name="Normal 10 2 2 5 4" xfId="1927" xr:uid="{00000000-0005-0000-0000-0000BA300000}"/>
    <cellStyle name="Normal 10 2 2 5 4 2" xfId="11292" xr:uid="{00000000-0005-0000-0000-0000BB300000}"/>
    <cellStyle name="Normal 10 2 2 5 4 2 2" xfId="36847" xr:uid="{00000000-0005-0000-0000-0000BC300000}"/>
    <cellStyle name="Normal 10 2 2 5 4 3" xfId="21296" xr:uid="{00000000-0005-0000-0000-0000BD300000}"/>
    <cellStyle name="Normal 10 2 2 5 4 3 2" xfId="46849" xr:uid="{00000000-0005-0000-0000-0000BE300000}"/>
    <cellStyle name="Normal 10 2 2 5 4 4" xfId="27779" xr:uid="{00000000-0005-0000-0000-0000BF300000}"/>
    <cellStyle name="Normal 10 2 2 5 5" xfId="5970" xr:uid="{00000000-0005-0000-0000-0000C0300000}"/>
    <cellStyle name="Normal 10 2 2 5 5 2" xfId="14797" xr:uid="{00000000-0005-0000-0000-0000C1300000}"/>
    <cellStyle name="Normal 10 2 2 5 5 2 2" xfId="40352" xr:uid="{00000000-0005-0000-0000-0000C2300000}"/>
    <cellStyle name="Normal 10 2 2 5 5 3" xfId="25048" xr:uid="{00000000-0005-0000-0000-0000C3300000}"/>
    <cellStyle name="Normal 10 2 2 5 5 3 2" xfId="50601" xr:uid="{00000000-0005-0000-0000-0000C4300000}"/>
    <cellStyle name="Normal 10 2 2 5 5 4" xfId="31531" xr:uid="{00000000-0005-0000-0000-0000C5300000}"/>
    <cellStyle name="Normal 10 2 2 5 6" xfId="7414" xr:uid="{00000000-0005-0000-0000-0000C6300000}"/>
    <cellStyle name="Normal 10 2 2 5 6 2" xfId="19778" xr:uid="{00000000-0005-0000-0000-0000C7300000}"/>
    <cellStyle name="Normal 10 2 2 5 6 2 2" xfId="45331" xr:uid="{00000000-0005-0000-0000-0000C8300000}"/>
    <cellStyle name="Normal 10 2 2 5 6 3" xfId="32971" xr:uid="{00000000-0005-0000-0000-0000C9300000}"/>
    <cellStyle name="Normal 10 2 2 5 7" xfId="16289" xr:uid="{00000000-0005-0000-0000-0000CA300000}"/>
    <cellStyle name="Normal 10 2 2 5 7 2" xfId="41842" xr:uid="{00000000-0005-0000-0000-0000CB300000}"/>
    <cellStyle name="Normal 10 2 2 5 8" xfId="26261" xr:uid="{00000000-0005-0000-0000-0000CC300000}"/>
    <cellStyle name="Normal 10 2 2 6" xfId="699" xr:uid="{00000000-0005-0000-0000-0000CD300000}"/>
    <cellStyle name="Normal 10 2 2 6 2" xfId="3185" xr:uid="{00000000-0005-0000-0000-0000CE300000}"/>
    <cellStyle name="Normal 10 2 2 6 2 2" xfId="12328" xr:uid="{00000000-0005-0000-0000-0000CF300000}"/>
    <cellStyle name="Normal 10 2 2 6 2 2 2" xfId="22546" xr:uid="{00000000-0005-0000-0000-0000D0300000}"/>
    <cellStyle name="Normal 10 2 2 6 2 2 2 2" xfId="48099" xr:uid="{00000000-0005-0000-0000-0000D1300000}"/>
    <cellStyle name="Normal 10 2 2 6 2 2 3" xfId="37883" xr:uid="{00000000-0005-0000-0000-0000D2300000}"/>
    <cellStyle name="Normal 10 2 2 6 2 3" xfId="8750" xr:uid="{00000000-0005-0000-0000-0000D3300000}"/>
    <cellStyle name="Normal 10 2 2 6 2 3 2" xfId="34307" xr:uid="{00000000-0005-0000-0000-0000D4300000}"/>
    <cellStyle name="Normal 10 2 2 6 2 4" xfId="17539" xr:uid="{00000000-0005-0000-0000-0000D5300000}"/>
    <cellStyle name="Normal 10 2 2 6 2 4 2" xfId="43092" xr:uid="{00000000-0005-0000-0000-0000D6300000}"/>
    <cellStyle name="Normal 10 2 2 6 2 5" xfId="29029" xr:uid="{00000000-0005-0000-0000-0000D7300000}"/>
    <cellStyle name="Normal 10 2 2 6 3" xfId="4863" xr:uid="{00000000-0005-0000-0000-0000D8300000}"/>
    <cellStyle name="Normal 10 2 2 6 3 2" xfId="13700" xr:uid="{00000000-0005-0000-0000-0000D9300000}"/>
    <cellStyle name="Normal 10 2 2 6 3 2 2" xfId="23951" xr:uid="{00000000-0005-0000-0000-0000DA300000}"/>
    <cellStyle name="Normal 10 2 2 6 3 2 2 2" xfId="49504" xr:uid="{00000000-0005-0000-0000-0000DB300000}"/>
    <cellStyle name="Normal 10 2 2 6 3 2 3" xfId="39255" xr:uid="{00000000-0005-0000-0000-0000DC300000}"/>
    <cellStyle name="Normal 10 2 2 6 3 3" xfId="10121" xr:uid="{00000000-0005-0000-0000-0000DD300000}"/>
    <cellStyle name="Normal 10 2 2 6 3 3 2" xfId="35678" xr:uid="{00000000-0005-0000-0000-0000DE300000}"/>
    <cellStyle name="Normal 10 2 2 6 3 4" xfId="18944" xr:uid="{00000000-0005-0000-0000-0000DF300000}"/>
    <cellStyle name="Normal 10 2 2 6 3 4 2" xfId="44497" xr:uid="{00000000-0005-0000-0000-0000E0300000}"/>
    <cellStyle name="Normal 10 2 2 6 3 5" xfId="30434" xr:uid="{00000000-0005-0000-0000-0000E1300000}"/>
    <cellStyle name="Normal 10 2 2 6 4" xfId="2294" xr:uid="{00000000-0005-0000-0000-0000E2300000}"/>
    <cellStyle name="Normal 10 2 2 6 4 2" xfId="11659" xr:uid="{00000000-0005-0000-0000-0000E3300000}"/>
    <cellStyle name="Normal 10 2 2 6 4 2 2" xfId="37214" xr:uid="{00000000-0005-0000-0000-0000E4300000}"/>
    <cellStyle name="Normal 10 2 2 6 4 3" xfId="21663" xr:uid="{00000000-0005-0000-0000-0000E5300000}"/>
    <cellStyle name="Normal 10 2 2 6 4 3 2" xfId="47216" xr:uid="{00000000-0005-0000-0000-0000E6300000}"/>
    <cellStyle name="Normal 10 2 2 6 4 4" xfId="28146" xr:uid="{00000000-0005-0000-0000-0000E7300000}"/>
    <cellStyle name="Normal 10 2 2 6 5" xfId="6318" xr:uid="{00000000-0005-0000-0000-0000E8300000}"/>
    <cellStyle name="Normal 10 2 2 6 5 2" xfId="15145" xr:uid="{00000000-0005-0000-0000-0000E9300000}"/>
    <cellStyle name="Normal 10 2 2 6 5 2 2" xfId="40700" xr:uid="{00000000-0005-0000-0000-0000EA300000}"/>
    <cellStyle name="Normal 10 2 2 6 5 3" xfId="25396" xr:uid="{00000000-0005-0000-0000-0000EB300000}"/>
    <cellStyle name="Normal 10 2 2 6 5 3 2" xfId="50949" xr:uid="{00000000-0005-0000-0000-0000EC300000}"/>
    <cellStyle name="Normal 10 2 2 6 5 4" xfId="31879" xr:uid="{00000000-0005-0000-0000-0000ED300000}"/>
    <cellStyle name="Normal 10 2 2 6 6" xfId="7764" xr:uid="{00000000-0005-0000-0000-0000EE300000}"/>
    <cellStyle name="Normal 10 2 2 6 6 2" xfId="20145" xr:uid="{00000000-0005-0000-0000-0000EF300000}"/>
    <cellStyle name="Normal 10 2 2 6 6 2 2" xfId="45698" xr:uid="{00000000-0005-0000-0000-0000F0300000}"/>
    <cellStyle name="Normal 10 2 2 6 6 3" xfId="33321" xr:uid="{00000000-0005-0000-0000-0000F1300000}"/>
    <cellStyle name="Normal 10 2 2 6 7" xfId="16656" xr:uid="{00000000-0005-0000-0000-0000F2300000}"/>
    <cellStyle name="Normal 10 2 2 6 7 2" xfId="42209" xr:uid="{00000000-0005-0000-0000-0000F3300000}"/>
    <cellStyle name="Normal 10 2 2 6 8" xfId="26628" xr:uid="{00000000-0005-0000-0000-0000F4300000}"/>
    <cellStyle name="Normal 10 2 2 7" xfId="1104" xr:uid="{00000000-0005-0000-0000-0000F5300000}"/>
    <cellStyle name="Normal 10 2 2 7 2" xfId="3533" xr:uid="{00000000-0005-0000-0000-0000F6300000}"/>
    <cellStyle name="Normal 10 2 2 7 2 2" xfId="12669" xr:uid="{00000000-0005-0000-0000-0000F7300000}"/>
    <cellStyle name="Normal 10 2 2 7 2 2 2" xfId="22888" xr:uid="{00000000-0005-0000-0000-0000F8300000}"/>
    <cellStyle name="Normal 10 2 2 7 2 2 2 2" xfId="48441" xr:uid="{00000000-0005-0000-0000-0000F9300000}"/>
    <cellStyle name="Normal 10 2 2 7 2 2 3" xfId="38224" xr:uid="{00000000-0005-0000-0000-0000FA300000}"/>
    <cellStyle name="Normal 10 2 2 7 2 3" xfId="9090" xr:uid="{00000000-0005-0000-0000-0000FB300000}"/>
    <cellStyle name="Normal 10 2 2 7 2 3 2" xfId="34647" xr:uid="{00000000-0005-0000-0000-0000FC300000}"/>
    <cellStyle name="Normal 10 2 2 7 2 4" xfId="17881" xr:uid="{00000000-0005-0000-0000-0000FD300000}"/>
    <cellStyle name="Normal 10 2 2 7 2 4 2" xfId="43434" xr:uid="{00000000-0005-0000-0000-0000FE300000}"/>
    <cellStyle name="Normal 10 2 2 7 2 5" xfId="29371" xr:uid="{00000000-0005-0000-0000-0000FF300000}"/>
    <cellStyle name="Normal 10 2 2 7 3" xfId="5196" xr:uid="{00000000-0005-0000-0000-000000310000}"/>
    <cellStyle name="Normal 10 2 2 7 3 2" xfId="14033" xr:uid="{00000000-0005-0000-0000-000001310000}"/>
    <cellStyle name="Normal 10 2 2 7 3 2 2" xfId="24284" xr:uid="{00000000-0005-0000-0000-000002310000}"/>
    <cellStyle name="Normal 10 2 2 7 3 2 2 2" xfId="49837" xr:uid="{00000000-0005-0000-0000-000003310000}"/>
    <cellStyle name="Normal 10 2 2 7 3 2 3" xfId="39588" xr:uid="{00000000-0005-0000-0000-000004310000}"/>
    <cellStyle name="Normal 10 2 2 7 3 3" xfId="10454" xr:uid="{00000000-0005-0000-0000-000005310000}"/>
    <cellStyle name="Normal 10 2 2 7 3 3 2" xfId="36011" xr:uid="{00000000-0005-0000-0000-000006310000}"/>
    <cellStyle name="Normal 10 2 2 7 3 4" xfId="19277" xr:uid="{00000000-0005-0000-0000-000007310000}"/>
    <cellStyle name="Normal 10 2 2 7 3 4 2" xfId="44830" xr:uid="{00000000-0005-0000-0000-000008310000}"/>
    <cellStyle name="Normal 10 2 2 7 3 5" xfId="30767" xr:uid="{00000000-0005-0000-0000-000009310000}"/>
    <cellStyle name="Normal 10 2 2 7 4" xfId="1761" xr:uid="{00000000-0005-0000-0000-00000A310000}"/>
    <cellStyle name="Normal 10 2 2 7 4 2" xfId="11132" xr:uid="{00000000-0005-0000-0000-00000B310000}"/>
    <cellStyle name="Normal 10 2 2 7 4 2 2" xfId="36687" xr:uid="{00000000-0005-0000-0000-00000C310000}"/>
    <cellStyle name="Normal 10 2 2 7 4 3" xfId="21136" xr:uid="{00000000-0005-0000-0000-00000D310000}"/>
    <cellStyle name="Normal 10 2 2 7 4 3 2" xfId="46689" xr:uid="{00000000-0005-0000-0000-00000E310000}"/>
    <cellStyle name="Normal 10 2 2 7 4 4" xfId="27619" xr:uid="{00000000-0005-0000-0000-00000F310000}"/>
    <cellStyle name="Normal 10 2 2 7 5" xfId="6651" xr:uid="{00000000-0005-0000-0000-000010310000}"/>
    <cellStyle name="Normal 10 2 2 7 5 2" xfId="15478" xr:uid="{00000000-0005-0000-0000-000011310000}"/>
    <cellStyle name="Normal 10 2 2 7 5 2 2" xfId="41033" xr:uid="{00000000-0005-0000-0000-000012310000}"/>
    <cellStyle name="Normal 10 2 2 7 5 3" xfId="25729" xr:uid="{00000000-0005-0000-0000-000013310000}"/>
    <cellStyle name="Normal 10 2 2 7 5 3 2" xfId="51282" xr:uid="{00000000-0005-0000-0000-000014310000}"/>
    <cellStyle name="Normal 10 2 2 7 5 4" xfId="32212" xr:uid="{00000000-0005-0000-0000-000015310000}"/>
    <cellStyle name="Normal 10 2 2 7 6" xfId="8097" xr:uid="{00000000-0005-0000-0000-000016310000}"/>
    <cellStyle name="Normal 10 2 2 7 6 2" xfId="20487" xr:uid="{00000000-0005-0000-0000-000017310000}"/>
    <cellStyle name="Normal 10 2 2 7 6 2 2" xfId="46040" xr:uid="{00000000-0005-0000-0000-000018310000}"/>
    <cellStyle name="Normal 10 2 2 7 6 3" xfId="33654" xr:uid="{00000000-0005-0000-0000-000019310000}"/>
    <cellStyle name="Normal 10 2 2 7 7" xfId="16129" xr:uid="{00000000-0005-0000-0000-00001A310000}"/>
    <cellStyle name="Normal 10 2 2 7 7 2" xfId="41682" xr:uid="{00000000-0005-0000-0000-00001B310000}"/>
    <cellStyle name="Normal 10 2 2 7 8" xfId="26970" xr:uid="{00000000-0005-0000-0000-00001C310000}"/>
    <cellStyle name="Normal 10 2 2 8" xfId="2658" xr:uid="{00000000-0005-0000-0000-00001D310000}"/>
    <cellStyle name="Normal 10 2 2 8 2" xfId="5608" xr:uid="{00000000-0005-0000-0000-00001E310000}"/>
    <cellStyle name="Normal 10 2 2 8 2 2" xfId="14435" xr:uid="{00000000-0005-0000-0000-00001F310000}"/>
    <cellStyle name="Normal 10 2 2 8 2 2 2" xfId="39990" xr:uid="{00000000-0005-0000-0000-000020310000}"/>
    <cellStyle name="Normal 10 2 2 8 2 3" xfId="24686" xr:uid="{00000000-0005-0000-0000-000021310000}"/>
    <cellStyle name="Normal 10 2 2 8 2 3 2" xfId="50239" xr:uid="{00000000-0005-0000-0000-000022310000}"/>
    <cellStyle name="Normal 10 2 2 8 2 4" xfId="31169" xr:uid="{00000000-0005-0000-0000-000023310000}"/>
    <cellStyle name="Normal 10 2 2 8 3" xfId="7052" xr:uid="{00000000-0005-0000-0000-000024310000}"/>
    <cellStyle name="Normal 10 2 2 8 3 2" xfId="22019" xr:uid="{00000000-0005-0000-0000-000025310000}"/>
    <cellStyle name="Normal 10 2 2 8 3 2 2" xfId="47572" xr:uid="{00000000-0005-0000-0000-000026310000}"/>
    <cellStyle name="Normal 10 2 2 8 3 3" xfId="32609" xr:uid="{00000000-0005-0000-0000-000027310000}"/>
    <cellStyle name="Normal 10 2 2 8 4" xfId="17012" xr:uid="{00000000-0005-0000-0000-000028310000}"/>
    <cellStyle name="Normal 10 2 2 8 4 2" xfId="42565" xr:uid="{00000000-0005-0000-0000-000029310000}"/>
    <cellStyle name="Normal 10 2 2 8 5" xfId="28502" xr:uid="{00000000-0005-0000-0000-00002A310000}"/>
    <cellStyle name="Normal 10 2 2 9" xfId="4150" xr:uid="{00000000-0005-0000-0000-00002B310000}"/>
    <cellStyle name="Normal 10 2 2 9 2" xfId="12988" xr:uid="{00000000-0005-0000-0000-00002C310000}"/>
    <cellStyle name="Normal 10 2 2 9 2 2" xfId="23239" xr:uid="{00000000-0005-0000-0000-00002D310000}"/>
    <cellStyle name="Normal 10 2 2 9 2 2 2" xfId="48792" xr:uid="{00000000-0005-0000-0000-00002E310000}"/>
    <cellStyle name="Normal 10 2 2 9 2 3" xfId="38543" xr:uid="{00000000-0005-0000-0000-00002F310000}"/>
    <cellStyle name="Normal 10 2 2 9 3" xfId="9409" xr:uid="{00000000-0005-0000-0000-000030310000}"/>
    <cellStyle name="Normal 10 2 2 9 3 2" xfId="34966" xr:uid="{00000000-0005-0000-0000-000031310000}"/>
    <cellStyle name="Normal 10 2 2 9 4" xfId="18232" xr:uid="{00000000-0005-0000-0000-000032310000}"/>
    <cellStyle name="Normal 10 2 2 9 4 2" xfId="43785" xr:uid="{00000000-0005-0000-0000-000033310000}"/>
    <cellStyle name="Normal 10 2 2 9 5" xfId="29722" xr:uid="{00000000-0005-0000-0000-000034310000}"/>
    <cellStyle name="Normal 10 2 2_Degree data" xfId="3866" xr:uid="{00000000-0005-0000-0000-000035310000}"/>
    <cellStyle name="Normal 10 2 3" xfId="179" xr:uid="{00000000-0005-0000-0000-000036310000}"/>
    <cellStyle name="Normal 10 2 3 10" xfId="7127" xr:uid="{00000000-0005-0000-0000-000037310000}"/>
    <cellStyle name="Normal 10 2 3 10 2" xfId="19636" xr:uid="{00000000-0005-0000-0000-000038310000}"/>
    <cellStyle name="Normal 10 2 3 10 2 2" xfId="45189" xr:uid="{00000000-0005-0000-0000-000039310000}"/>
    <cellStyle name="Normal 10 2 3 10 3" xfId="32684" xr:uid="{00000000-0005-0000-0000-00003A310000}"/>
    <cellStyle name="Normal 10 2 3 11" xfId="15873" xr:uid="{00000000-0005-0000-0000-00003B310000}"/>
    <cellStyle name="Normal 10 2 3 11 2" xfId="41426" xr:uid="{00000000-0005-0000-0000-00003C310000}"/>
    <cellStyle name="Normal 10 2 3 12" xfId="26119" xr:uid="{00000000-0005-0000-0000-00003D310000}"/>
    <cellStyle name="Normal 10 2 3 2" xfId="507" xr:uid="{00000000-0005-0000-0000-00003E310000}"/>
    <cellStyle name="Normal 10 2 3 2 10" xfId="26436" xr:uid="{00000000-0005-0000-0000-00003F310000}"/>
    <cellStyle name="Normal 10 2 3 2 2" xfId="706" xr:uid="{00000000-0005-0000-0000-000040310000}"/>
    <cellStyle name="Normal 10 2 3 2 2 2" xfId="3192" xr:uid="{00000000-0005-0000-0000-000041310000}"/>
    <cellStyle name="Normal 10 2 3 2 2 2 2" xfId="12335" xr:uid="{00000000-0005-0000-0000-000042310000}"/>
    <cellStyle name="Normal 10 2 3 2 2 2 2 2" xfId="22553" xr:uid="{00000000-0005-0000-0000-000043310000}"/>
    <cellStyle name="Normal 10 2 3 2 2 2 2 2 2" xfId="48106" xr:uid="{00000000-0005-0000-0000-000044310000}"/>
    <cellStyle name="Normal 10 2 3 2 2 2 2 3" xfId="37890" xr:uid="{00000000-0005-0000-0000-000045310000}"/>
    <cellStyle name="Normal 10 2 3 2 2 2 3" xfId="8757" xr:uid="{00000000-0005-0000-0000-000046310000}"/>
    <cellStyle name="Normal 10 2 3 2 2 2 3 2" xfId="34314" xr:uid="{00000000-0005-0000-0000-000047310000}"/>
    <cellStyle name="Normal 10 2 3 2 2 2 4" xfId="17546" xr:uid="{00000000-0005-0000-0000-000048310000}"/>
    <cellStyle name="Normal 10 2 3 2 2 2 4 2" xfId="43099" xr:uid="{00000000-0005-0000-0000-000049310000}"/>
    <cellStyle name="Normal 10 2 3 2 2 2 5" xfId="29036" xr:uid="{00000000-0005-0000-0000-00004A310000}"/>
    <cellStyle name="Normal 10 2 3 2 2 3" xfId="4521" xr:uid="{00000000-0005-0000-0000-00004B310000}"/>
    <cellStyle name="Normal 10 2 3 2 2 3 2" xfId="13359" xr:uid="{00000000-0005-0000-0000-00004C310000}"/>
    <cellStyle name="Normal 10 2 3 2 2 3 2 2" xfId="23610" xr:uid="{00000000-0005-0000-0000-00004D310000}"/>
    <cellStyle name="Normal 10 2 3 2 2 3 2 2 2" xfId="49163" xr:uid="{00000000-0005-0000-0000-00004E310000}"/>
    <cellStyle name="Normal 10 2 3 2 2 3 2 3" xfId="38914" xr:uid="{00000000-0005-0000-0000-00004F310000}"/>
    <cellStyle name="Normal 10 2 3 2 2 3 3" xfId="9780" xr:uid="{00000000-0005-0000-0000-000050310000}"/>
    <cellStyle name="Normal 10 2 3 2 2 3 3 2" xfId="35337" xr:uid="{00000000-0005-0000-0000-000051310000}"/>
    <cellStyle name="Normal 10 2 3 2 2 3 4" xfId="18603" xr:uid="{00000000-0005-0000-0000-000052310000}"/>
    <cellStyle name="Normal 10 2 3 2 2 3 4 2" xfId="44156" xr:uid="{00000000-0005-0000-0000-000053310000}"/>
    <cellStyle name="Normal 10 2 3 2 2 3 5" xfId="30093" xr:uid="{00000000-0005-0000-0000-000054310000}"/>
    <cellStyle name="Normal 10 2 3 2 2 4" xfId="2301" xr:uid="{00000000-0005-0000-0000-000055310000}"/>
    <cellStyle name="Normal 10 2 3 2 2 4 2" xfId="11666" xr:uid="{00000000-0005-0000-0000-000056310000}"/>
    <cellStyle name="Normal 10 2 3 2 2 4 2 2" xfId="37221" xr:uid="{00000000-0005-0000-0000-000057310000}"/>
    <cellStyle name="Normal 10 2 3 2 2 4 3" xfId="21670" xr:uid="{00000000-0005-0000-0000-000058310000}"/>
    <cellStyle name="Normal 10 2 3 2 2 4 3 2" xfId="47223" xr:uid="{00000000-0005-0000-0000-000059310000}"/>
    <cellStyle name="Normal 10 2 3 2 2 4 4" xfId="28153" xr:uid="{00000000-0005-0000-0000-00005A310000}"/>
    <cellStyle name="Normal 10 2 3 2 2 5" xfId="5977" xr:uid="{00000000-0005-0000-0000-00005B310000}"/>
    <cellStyle name="Normal 10 2 3 2 2 5 2" xfId="14804" xr:uid="{00000000-0005-0000-0000-00005C310000}"/>
    <cellStyle name="Normal 10 2 3 2 2 5 2 2" xfId="40359" xr:uid="{00000000-0005-0000-0000-00005D310000}"/>
    <cellStyle name="Normal 10 2 3 2 2 5 3" xfId="25055" xr:uid="{00000000-0005-0000-0000-00005E310000}"/>
    <cellStyle name="Normal 10 2 3 2 2 5 3 2" xfId="50608" xr:uid="{00000000-0005-0000-0000-00005F310000}"/>
    <cellStyle name="Normal 10 2 3 2 2 5 4" xfId="31538" xr:uid="{00000000-0005-0000-0000-000060310000}"/>
    <cellStyle name="Normal 10 2 3 2 2 6" xfId="7421" xr:uid="{00000000-0005-0000-0000-000061310000}"/>
    <cellStyle name="Normal 10 2 3 2 2 6 2" xfId="20152" xr:uid="{00000000-0005-0000-0000-000062310000}"/>
    <cellStyle name="Normal 10 2 3 2 2 6 2 2" xfId="45705" xr:uid="{00000000-0005-0000-0000-000063310000}"/>
    <cellStyle name="Normal 10 2 3 2 2 6 3" xfId="32978" xr:uid="{00000000-0005-0000-0000-000064310000}"/>
    <cellStyle name="Normal 10 2 3 2 2 7" xfId="16663" xr:uid="{00000000-0005-0000-0000-000065310000}"/>
    <cellStyle name="Normal 10 2 3 2 2 7 2" xfId="42216" xr:uid="{00000000-0005-0000-0000-000066310000}"/>
    <cellStyle name="Normal 10 2 3 2 2 8" xfId="26635" xr:uid="{00000000-0005-0000-0000-000067310000}"/>
    <cellStyle name="Normal 10 2 3 2 3" xfId="1279" xr:uid="{00000000-0005-0000-0000-000068310000}"/>
    <cellStyle name="Normal 10 2 3 2 3 2" xfId="3708" xr:uid="{00000000-0005-0000-0000-000069310000}"/>
    <cellStyle name="Normal 10 2 3 2 3 2 2" xfId="12844" xr:uid="{00000000-0005-0000-0000-00006A310000}"/>
    <cellStyle name="Normal 10 2 3 2 3 2 2 2" xfId="23063" xr:uid="{00000000-0005-0000-0000-00006B310000}"/>
    <cellStyle name="Normal 10 2 3 2 3 2 2 2 2" xfId="48616" xr:uid="{00000000-0005-0000-0000-00006C310000}"/>
    <cellStyle name="Normal 10 2 3 2 3 2 2 3" xfId="38399" xr:uid="{00000000-0005-0000-0000-00006D310000}"/>
    <cellStyle name="Normal 10 2 3 2 3 2 3" xfId="9265" xr:uid="{00000000-0005-0000-0000-00006E310000}"/>
    <cellStyle name="Normal 10 2 3 2 3 2 3 2" xfId="34822" xr:uid="{00000000-0005-0000-0000-00006F310000}"/>
    <cellStyle name="Normal 10 2 3 2 3 2 4" xfId="18056" xr:uid="{00000000-0005-0000-0000-000070310000}"/>
    <cellStyle name="Normal 10 2 3 2 3 2 4 2" xfId="43609" xr:uid="{00000000-0005-0000-0000-000071310000}"/>
    <cellStyle name="Normal 10 2 3 2 3 2 5" xfId="29546" xr:uid="{00000000-0005-0000-0000-000072310000}"/>
    <cellStyle name="Normal 10 2 3 2 3 3" xfId="4870" xr:uid="{00000000-0005-0000-0000-000073310000}"/>
    <cellStyle name="Normal 10 2 3 2 3 3 2" xfId="13707" xr:uid="{00000000-0005-0000-0000-000074310000}"/>
    <cellStyle name="Normal 10 2 3 2 3 3 2 2" xfId="23958" xr:uid="{00000000-0005-0000-0000-000075310000}"/>
    <cellStyle name="Normal 10 2 3 2 3 3 2 2 2" xfId="49511" xr:uid="{00000000-0005-0000-0000-000076310000}"/>
    <cellStyle name="Normal 10 2 3 2 3 3 2 3" xfId="39262" xr:uid="{00000000-0005-0000-0000-000077310000}"/>
    <cellStyle name="Normal 10 2 3 2 3 3 3" xfId="10128" xr:uid="{00000000-0005-0000-0000-000078310000}"/>
    <cellStyle name="Normal 10 2 3 2 3 3 3 2" xfId="35685" xr:uid="{00000000-0005-0000-0000-000079310000}"/>
    <cellStyle name="Normal 10 2 3 2 3 3 4" xfId="18951" xr:uid="{00000000-0005-0000-0000-00007A310000}"/>
    <cellStyle name="Normal 10 2 3 2 3 3 4 2" xfId="44504" xr:uid="{00000000-0005-0000-0000-00007B310000}"/>
    <cellStyle name="Normal 10 2 3 2 3 3 5" xfId="30441" xr:uid="{00000000-0005-0000-0000-00007C310000}"/>
    <cellStyle name="Normal 10 2 3 2 3 4" xfId="2102" xr:uid="{00000000-0005-0000-0000-00007D310000}"/>
    <cellStyle name="Normal 10 2 3 2 3 4 2" xfId="11467" xr:uid="{00000000-0005-0000-0000-00007E310000}"/>
    <cellStyle name="Normal 10 2 3 2 3 4 2 2" xfId="37022" xr:uid="{00000000-0005-0000-0000-00007F310000}"/>
    <cellStyle name="Normal 10 2 3 2 3 4 3" xfId="21471" xr:uid="{00000000-0005-0000-0000-000080310000}"/>
    <cellStyle name="Normal 10 2 3 2 3 4 3 2" xfId="47024" xr:uid="{00000000-0005-0000-0000-000081310000}"/>
    <cellStyle name="Normal 10 2 3 2 3 4 4" xfId="27954" xr:uid="{00000000-0005-0000-0000-000082310000}"/>
    <cellStyle name="Normal 10 2 3 2 3 5" xfId="6325" xr:uid="{00000000-0005-0000-0000-000083310000}"/>
    <cellStyle name="Normal 10 2 3 2 3 5 2" xfId="15152" xr:uid="{00000000-0005-0000-0000-000084310000}"/>
    <cellStyle name="Normal 10 2 3 2 3 5 2 2" xfId="40707" xr:uid="{00000000-0005-0000-0000-000085310000}"/>
    <cellStyle name="Normal 10 2 3 2 3 5 3" xfId="25403" xr:uid="{00000000-0005-0000-0000-000086310000}"/>
    <cellStyle name="Normal 10 2 3 2 3 5 3 2" xfId="50956" xr:uid="{00000000-0005-0000-0000-000087310000}"/>
    <cellStyle name="Normal 10 2 3 2 3 5 4" xfId="31886" xr:uid="{00000000-0005-0000-0000-000088310000}"/>
    <cellStyle name="Normal 10 2 3 2 3 6" xfId="7771" xr:uid="{00000000-0005-0000-0000-000089310000}"/>
    <cellStyle name="Normal 10 2 3 2 3 6 2" xfId="20662" xr:uid="{00000000-0005-0000-0000-00008A310000}"/>
    <cellStyle name="Normal 10 2 3 2 3 6 2 2" xfId="46215" xr:uid="{00000000-0005-0000-0000-00008B310000}"/>
    <cellStyle name="Normal 10 2 3 2 3 6 3" xfId="33328" xr:uid="{00000000-0005-0000-0000-00008C310000}"/>
    <cellStyle name="Normal 10 2 3 2 3 7" xfId="16464" xr:uid="{00000000-0005-0000-0000-00008D310000}"/>
    <cellStyle name="Normal 10 2 3 2 3 7 2" xfId="42017" xr:uid="{00000000-0005-0000-0000-00008E310000}"/>
    <cellStyle name="Normal 10 2 3 2 3 8" xfId="27145" xr:uid="{00000000-0005-0000-0000-00008F310000}"/>
    <cellStyle name="Normal 10 2 3 2 4" xfId="2993" xr:uid="{00000000-0005-0000-0000-000090310000}"/>
    <cellStyle name="Normal 10 2 3 2 4 2" xfId="5371" xr:uid="{00000000-0005-0000-0000-000091310000}"/>
    <cellStyle name="Normal 10 2 3 2 4 2 2" xfId="14208" xr:uid="{00000000-0005-0000-0000-000092310000}"/>
    <cellStyle name="Normal 10 2 3 2 4 2 2 2" xfId="24459" xr:uid="{00000000-0005-0000-0000-000093310000}"/>
    <cellStyle name="Normal 10 2 3 2 4 2 2 2 2" xfId="50012" xr:uid="{00000000-0005-0000-0000-000094310000}"/>
    <cellStyle name="Normal 10 2 3 2 4 2 2 3" xfId="39763" xr:uid="{00000000-0005-0000-0000-000095310000}"/>
    <cellStyle name="Normal 10 2 3 2 4 2 3" xfId="10629" xr:uid="{00000000-0005-0000-0000-000096310000}"/>
    <cellStyle name="Normal 10 2 3 2 4 2 3 2" xfId="36186" xr:uid="{00000000-0005-0000-0000-000097310000}"/>
    <cellStyle name="Normal 10 2 3 2 4 2 4" xfId="19452" xr:uid="{00000000-0005-0000-0000-000098310000}"/>
    <cellStyle name="Normal 10 2 3 2 4 2 4 2" xfId="45005" xr:uid="{00000000-0005-0000-0000-000099310000}"/>
    <cellStyle name="Normal 10 2 3 2 4 2 5" xfId="30942" xr:uid="{00000000-0005-0000-0000-00009A310000}"/>
    <cellStyle name="Normal 10 2 3 2 4 3" xfId="6826" xr:uid="{00000000-0005-0000-0000-00009B310000}"/>
    <cellStyle name="Normal 10 2 3 2 4 3 2" xfId="15653" xr:uid="{00000000-0005-0000-0000-00009C310000}"/>
    <cellStyle name="Normal 10 2 3 2 4 3 2 2" xfId="41208" xr:uid="{00000000-0005-0000-0000-00009D310000}"/>
    <cellStyle name="Normal 10 2 3 2 4 3 3" xfId="25904" xr:uid="{00000000-0005-0000-0000-00009E310000}"/>
    <cellStyle name="Normal 10 2 3 2 4 3 3 2" xfId="51457" xr:uid="{00000000-0005-0000-0000-00009F310000}"/>
    <cellStyle name="Normal 10 2 3 2 4 3 4" xfId="32387" xr:uid="{00000000-0005-0000-0000-0000A0310000}"/>
    <cellStyle name="Normal 10 2 3 2 4 4" xfId="8272" xr:uid="{00000000-0005-0000-0000-0000A1310000}"/>
    <cellStyle name="Normal 10 2 3 2 4 4 2" xfId="22354" xr:uid="{00000000-0005-0000-0000-0000A2310000}"/>
    <cellStyle name="Normal 10 2 3 2 4 4 2 2" xfId="47907" xr:uid="{00000000-0005-0000-0000-0000A3310000}"/>
    <cellStyle name="Normal 10 2 3 2 4 4 3" xfId="33829" xr:uid="{00000000-0005-0000-0000-0000A4310000}"/>
    <cellStyle name="Normal 10 2 3 2 4 5" xfId="17347" xr:uid="{00000000-0005-0000-0000-0000A5310000}"/>
    <cellStyle name="Normal 10 2 3 2 4 5 2" xfId="42900" xr:uid="{00000000-0005-0000-0000-0000A6310000}"/>
    <cellStyle name="Normal 10 2 3 2 4 6" xfId="28837" xr:uid="{00000000-0005-0000-0000-0000A7310000}"/>
    <cellStyle name="Normal 10 2 3 2 5" xfId="4327" xr:uid="{00000000-0005-0000-0000-0000A8310000}"/>
    <cellStyle name="Normal 10 2 3 2 5 2" xfId="13165" xr:uid="{00000000-0005-0000-0000-0000A9310000}"/>
    <cellStyle name="Normal 10 2 3 2 5 2 2" xfId="23416" xr:uid="{00000000-0005-0000-0000-0000AA310000}"/>
    <cellStyle name="Normal 10 2 3 2 5 2 2 2" xfId="48969" xr:uid="{00000000-0005-0000-0000-0000AB310000}"/>
    <cellStyle name="Normal 10 2 3 2 5 2 3" xfId="38720" xr:uid="{00000000-0005-0000-0000-0000AC310000}"/>
    <cellStyle name="Normal 10 2 3 2 5 3" xfId="9586" xr:uid="{00000000-0005-0000-0000-0000AD310000}"/>
    <cellStyle name="Normal 10 2 3 2 5 3 2" xfId="35143" xr:uid="{00000000-0005-0000-0000-0000AE310000}"/>
    <cellStyle name="Normal 10 2 3 2 5 4" xfId="18409" xr:uid="{00000000-0005-0000-0000-0000AF310000}"/>
    <cellStyle name="Normal 10 2 3 2 5 4 2" xfId="43962" xr:uid="{00000000-0005-0000-0000-0000B0310000}"/>
    <cellStyle name="Normal 10 2 3 2 5 5" xfId="29899" xr:uid="{00000000-0005-0000-0000-0000B1310000}"/>
    <cellStyle name="Normal 10 2 3 2 6" xfId="1599" xr:uid="{00000000-0005-0000-0000-0000B2310000}"/>
    <cellStyle name="Normal 10 2 3 2 6 2" xfId="10976" xr:uid="{00000000-0005-0000-0000-0000B3310000}"/>
    <cellStyle name="Normal 10 2 3 2 6 2 2" xfId="36531" xr:uid="{00000000-0005-0000-0000-0000B4310000}"/>
    <cellStyle name="Normal 10 2 3 2 6 3" xfId="20980" xr:uid="{00000000-0005-0000-0000-0000B5310000}"/>
    <cellStyle name="Normal 10 2 3 2 6 3 2" xfId="46533" xr:uid="{00000000-0005-0000-0000-0000B6310000}"/>
    <cellStyle name="Normal 10 2 3 2 6 4" xfId="27463" xr:uid="{00000000-0005-0000-0000-0000B7310000}"/>
    <cellStyle name="Normal 10 2 3 2 7" xfId="5783" xr:uid="{00000000-0005-0000-0000-0000B8310000}"/>
    <cellStyle name="Normal 10 2 3 2 7 2" xfId="14610" xr:uid="{00000000-0005-0000-0000-0000B9310000}"/>
    <cellStyle name="Normal 10 2 3 2 7 2 2" xfId="40165" xr:uid="{00000000-0005-0000-0000-0000BA310000}"/>
    <cellStyle name="Normal 10 2 3 2 7 3" xfId="24861" xr:uid="{00000000-0005-0000-0000-0000BB310000}"/>
    <cellStyle name="Normal 10 2 3 2 7 3 2" xfId="50414" xr:uid="{00000000-0005-0000-0000-0000BC310000}"/>
    <cellStyle name="Normal 10 2 3 2 7 4" xfId="31344" xr:uid="{00000000-0005-0000-0000-0000BD310000}"/>
    <cellStyle name="Normal 10 2 3 2 8" xfId="7227" xr:uid="{00000000-0005-0000-0000-0000BE310000}"/>
    <cellStyle name="Normal 10 2 3 2 8 2" xfId="19953" xr:uid="{00000000-0005-0000-0000-0000BF310000}"/>
    <cellStyle name="Normal 10 2 3 2 8 2 2" xfId="45506" xr:uid="{00000000-0005-0000-0000-0000C0310000}"/>
    <cellStyle name="Normal 10 2 3 2 8 3" xfId="32784" xr:uid="{00000000-0005-0000-0000-0000C1310000}"/>
    <cellStyle name="Normal 10 2 3 2 9" xfId="15973" xr:uid="{00000000-0005-0000-0000-0000C2310000}"/>
    <cellStyle name="Normal 10 2 3 2 9 2" xfId="41526" xr:uid="{00000000-0005-0000-0000-0000C3310000}"/>
    <cellStyle name="Normal 10 2 3 2_Degree data" xfId="3837" xr:uid="{00000000-0005-0000-0000-0000C4310000}"/>
    <cellStyle name="Normal 10 2 3 3" xfId="407" xr:uid="{00000000-0005-0000-0000-0000C5310000}"/>
    <cellStyle name="Normal 10 2 3 3 2" xfId="2893" xr:uid="{00000000-0005-0000-0000-0000C6310000}"/>
    <cellStyle name="Normal 10 2 3 3 2 2" xfId="12181" xr:uid="{00000000-0005-0000-0000-0000C7310000}"/>
    <cellStyle name="Normal 10 2 3 3 2 2 2" xfId="22254" xr:uid="{00000000-0005-0000-0000-0000C8310000}"/>
    <cellStyle name="Normal 10 2 3 3 2 2 2 2" xfId="47807" xr:uid="{00000000-0005-0000-0000-0000C9310000}"/>
    <cellStyle name="Normal 10 2 3 3 2 2 3" xfId="37736" xr:uid="{00000000-0005-0000-0000-0000CA310000}"/>
    <cellStyle name="Normal 10 2 3 3 2 3" xfId="8452" xr:uid="{00000000-0005-0000-0000-0000CB310000}"/>
    <cellStyle name="Normal 10 2 3 3 2 3 2" xfId="34009" xr:uid="{00000000-0005-0000-0000-0000CC310000}"/>
    <cellStyle name="Normal 10 2 3 3 2 4" xfId="17247" xr:uid="{00000000-0005-0000-0000-0000CD310000}"/>
    <cellStyle name="Normal 10 2 3 3 2 4 2" xfId="42800" xr:uid="{00000000-0005-0000-0000-0000CE310000}"/>
    <cellStyle name="Normal 10 2 3 3 2 5" xfId="28737" xr:uid="{00000000-0005-0000-0000-0000CF310000}"/>
    <cellStyle name="Normal 10 2 3 3 3" xfId="4520" xr:uid="{00000000-0005-0000-0000-0000D0310000}"/>
    <cellStyle name="Normal 10 2 3 3 3 2" xfId="13358" xr:uid="{00000000-0005-0000-0000-0000D1310000}"/>
    <cellStyle name="Normal 10 2 3 3 3 2 2" xfId="23609" xr:uid="{00000000-0005-0000-0000-0000D2310000}"/>
    <cellStyle name="Normal 10 2 3 3 3 2 2 2" xfId="49162" xr:uid="{00000000-0005-0000-0000-0000D3310000}"/>
    <cellStyle name="Normal 10 2 3 3 3 2 3" xfId="38913" xr:uid="{00000000-0005-0000-0000-0000D4310000}"/>
    <cellStyle name="Normal 10 2 3 3 3 3" xfId="9779" xr:uid="{00000000-0005-0000-0000-0000D5310000}"/>
    <cellStyle name="Normal 10 2 3 3 3 3 2" xfId="35336" xr:uid="{00000000-0005-0000-0000-0000D6310000}"/>
    <cellStyle name="Normal 10 2 3 3 3 4" xfId="18602" xr:uid="{00000000-0005-0000-0000-0000D7310000}"/>
    <cellStyle name="Normal 10 2 3 3 3 4 2" xfId="44155" xr:uid="{00000000-0005-0000-0000-0000D8310000}"/>
    <cellStyle name="Normal 10 2 3 3 3 5" xfId="30092" xr:uid="{00000000-0005-0000-0000-0000D9310000}"/>
    <cellStyle name="Normal 10 2 3 3 4" xfId="2002" xr:uid="{00000000-0005-0000-0000-0000DA310000}"/>
    <cellStyle name="Normal 10 2 3 3 4 2" xfId="11367" xr:uid="{00000000-0005-0000-0000-0000DB310000}"/>
    <cellStyle name="Normal 10 2 3 3 4 2 2" xfId="36922" xr:uid="{00000000-0005-0000-0000-0000DC310000}"/>
    <cellStyle name="Normal 10 2 3 3 4 3" xfId="21371" xr:uid="{00000000-0005-0000-0000-0000DD310000}"/>
    <cellStyle name="Normal 10 2 3 3 4 3 2" xfId="46924" xr:uid="{00000000-0005-0000-0000-0000DE310000}"/>
    <cellStyle name="Normal 10 2 3 3 4 4" xfId="27854" xr:uid="{00000000-0005-0000-0000-0000DF310000}"/>
    <cellStyle name="Normal 10 2 3 3 5" xfId="5976" xr:uid="{00000000-0005-0000-0000-0000E0310000}"/>
    <cellStyle name="Normal 10 2 3 3 5 2" xfId="14803" xr:uid="{00000000-0005-0000-0000-0000E1310000}"/>
    <cellStyle name="Normal 10 2 3 3 5 2 2" xfId="40358" xr:uid="{00000000-0005-0000-0000-0000E2310000}"/>
    <cellStyle name="Normal 10 2 3 3 5 3" xfId="25054" xr:uid="{00000000-0005-0000-0000-0000E3310000}"/>
    <cellStyle name="Normal 10 2 3 3 5 3 2" xfId="50607" xr:uid="{00000000-0005-0000-0000-0000E4310000}"/>
    <cellStyle name="Normal 10 2 3 3 5 4" xfId="31537" xr:uid="{00000000-0005-0000-0000-0000E5310000}"/>
    <cellStyle name="Normal 10 2 3 3 6" xfId="7420" xr:uid="{00000000-0005-0000-0000-0000E6310000}"/>
    <cellStyle name="Normal 10 2 3 3 6 2" xfId="19853" xr:uid="{00000000-0005-0000-0000-0000E7310000}"/>
    <cellStyle name="Normal 10 2 3 3 6 2 2" xfId="45406" xr:uid="{00000000-0005-0000-0000-0000E8310000}"/>
    <cellStyle name="Normal 10 2 3 3 6 3" xfId="32977" xr:uid="{00000000-0005-0000-0000-0000E9310000}"/>
    <cellStyle name="Normal 10 2 3 3 7" xfId="16364" xr:uid="{00000000-0005-0000-0000-0000EA310000}"/>
    <cellStyle name="Normal 10 2 3 3 7 2" xfId="41917" xr:uid="{00000000-0005-0000-0000-0000EB310000}"/>
    <cellStyle name="Normal 10 2 3 3 8" xfId="26336" xr:uid="{00000000-0005-0000-0000-0000EC310000}"/>
    <cellStyle name="Normal 10 2 3 4" xfId="705" xr:uid="{00000000-0005-0000-0000-0000ED310000}"/>
    <cellStyle name="Normal 10 2 3 4 2" xfId="3191" xr:uid="{00000000-0005-0000-0000-0000EE310000}"/>
    <cellStyle name="Normal 10 2 3 4 2 2" xfId="12334" xr:uid="{00000000-0005-0000-0000-0000EF310000}"/>
    <cellStyle name="Normal 10 2 3 4 2 2 2" xfId="22552" xr:uid="{00000000-0005-0000-0000-0000F0310000}"/>
    <cellStyle name="Normal 10 2 3 4 2 2 2 2" xfId="48105" xr:uid="{00000000-0005-0000-0000-0000F1310000}"/>
    <cellStyle name="Normal 10 2 3 4 2 2 3" xfId="37889" xr:uid="{00000000-0005-0000-0000-0000F2310000}"/>
    <cellStyle name="Normal 10 2 3 4 2 3" xfId="8756" xr:uid="{00000000-0005-0000-0000-0000F3310000}"/>
    <cellStyle name="Normal 10 2 3 4 2 3 2" xfId="34313" xr:uid="{00000000-0005-0000-0000-0000F4310000}"/>
    <cellStyle name="Normal 10 2 3 4 2 4" xfId="17545" xr:uid="{00000000-0005-0000-0000-0000F5310000}"/>
    <cellStyle name="Normal 10 2 3 4 2 4 2" xfId="43098" xr:uid="{00000000-0005-0000-0000-0000F6310000}"/>
    <cellStyle name="Normal 10 2 3 4 2 5" xfId="29035" xr:uid="{00000000-0005-0000-0000-0000F7310000}"/>
    <cellStyle name="Normal 10 2 3 4 3" xfId="4869" xr:uid="{00000000-0005-0000-0000-0000F8310000}"/>
    <cellStyle name="Normal 10 2 3 4 3 2" xfId="13706" xr:uid="{00000000-0005-0000-0000-0000F9310000}"/>
    <cellStyle name="Normal 10 2 3 4 3 2 2" xfId="23957" xr:uid="{00000000-0005-0000-0000-0000FA310000}"/>
    <cellStyle name="Normal 10 2 3 4 3 2 2 2" xfId="49510" xr:uid="{00000000-0005-0000-0000-0000FB310000}"/>
    <cellStyle name="Normal 10 2 3 4 3 2 3" xfId="39261" xr:uid="{00000000-0005-0000-0000-0000FC310000}"/>
    <cellStyle name="Normal 10 2 3 4 3 3" xfId="10127" xr:uid="{00000000-0005-0000-0000-0000FD310000}"/>
    <cellStyle name="Normal 10 2 3 4 3 3 2" xfId="35684" xr:uid="{00000000-0005-0000-0000-0000FE310000}"/>
    <cellStyle name="Normal 10 2 3 4 3 4" xfId="18950" xr:uid="{00000000-0005-0000-0000-0000FF310000}"/>
    <cellStyle name="Normal 10 2 3 4 3 4 2" xfId="44503" xr:uid="{00000000-0005-0000-0000-000000320000}"/>
    <cellStyle name="Normal 10 2 3 4 3 5" xfId="30440" xr:uid="{00000000-0005-0000-0000-000001320000}"/>
    <cellStyle name="Normal 10 2 3 4 4" xfId="2300" xr:uid="{00000000-0005-0000-0000-000002320000}"/>
    <cellStyle name="Normal 10 2 3 4 4 2" xfId="11665" xr:uid="{00000000-0005-0000-0000-000003320000}"/>
    <cellStyle name="Normal 10 2 3 4 4 2 2" xfId="37220" xr:uid="{00000000-0005-0000-0000-000004320000}"/>
    <cellStyle name="Normal 10 2 3 4 4 3" xfId="21669" xr:uid="{00000000-0005-0000-0000-000005320000}"/>
    <cellStyle name="Normal 10 2 3 4 4 3 2" xfId="47222" xr:uid="{00000000-0005-0000-0000-000006320000}"/>
    <cellStyle name="Normal 10 2 3 4 4 4" xfId="28152" xr:uid="{00000000-0005-0000-0000-000007320000}"/>
    <cellStyle name="Normal 10 2 3 4 5" xfId="6324" xr:uid="{00000000-0005-0000-0000-000008320000}"/>
    <cellStyle name="Normal 10 2 3 4 5 2" xfId="15151" xr:uid="{00000000-0005-0000-0000-000009320000}"/>
    <cellStyle name="Normal 10 2 3 4 5 2 2" xfId="40706" xr:uid="{00000000-0005-0000-0000-00000A320000}"/>
    <cellStyle name="Normal 10 2 3 4 5 3" xfId="25402" xr:uid="{00000000-0005-0000-0000-00000B320000}"/>
    <cellStyle name="Normal 10 2 3 4 5 3 2" xfId="50955" xr:uid="{00000000-0005-0000-0000-00000C320000}"/>
    <cellStyle name="Normal 10 2 3 4 5 4" xfId="31885" xr:uid="{00000000-0005-0000-0000-00000D320000}"/>
    <cellStyle name="Normal 10 2 3 4 6" xfId="7770" xr:uid="{00000000-0005-0000-0000-00000E320000}"/>
    <cellStyle name="Normal 10 2 3 4 6 2" xfId="20151" xr:uid="{00000000-0005-0000-0000-00000F320000}"/>
    <cellStyle name="Normal 10 2 3 4 6 2 2" xfId="45704" xr:uid="{00000000-0005-0000-0000-000010320000}"/>
    <cellStyle name="Normal 10 2 3 4 6 3" xfId="33327" xr:uid="{00000000-0005-0000-0000-000011320000}"/>
    <cellStyle name="Normal 10 2 3 4 7" xfId="16662" xr:uid="{00000000-0005-0000-0000-000012320000}"/>
    <cellStyle name="Normal 10 2 3 4 7 2" xfId="42215" xr:uid="{00000000-0005-0000-0000-000013320000}"/>
    <cellStyle name="Normal 10 2 3 4 8" xfId="26634" xr:uid="{00000000-0005-0000-0000-000014320000}"/>
    <cellStyle name="Normal 10 2 3 5" xfId="1179" xr:uid="{00000000-0005-0000-0000-000015320000}"/>
    <cellStyle name="Normal 10 2 3 5 2" xfId="3608" xr:uid="{00000000-0005-0000-0000-000016320000}"/>
    <cellStyle name="Normal 10 2 3 5 2 2" xfId="12744" xr:uid="{00000000-0005-0000-0000-000017320000}"/>
    <cellStyle name="Normal 10 2 3 5 2 2 2" xfId="22963" xr:uid="{00000000-0005-0000-0000-000018320000}"/>
    <cellStyle name="Normal 10 2 3 5 2 2 2 2" xfId="48516" xr:uid="{00000000-0005-0000-0000-000019320000}"/>
    <cellStyle name="Normal 10 2 3 5 2 2 3" xfId="38299" xr:uid="{00000000-0005-0000-0000-00001A320000}"/>
    <cellStyle name="Normal 10 2 3 5 2 3" xfId="9165" xr:uid="{00000000-0005-0000-0000-00001B320000}"/>
    <cellStyle name="Normal 10 2 3 5 2 3 2" xfId="34722" xr:uid="{00000000-0005-0000-0000-00001C320000}"/>
    <cellStyle name="Normal 10 2 3 5 2 4" xfId="17956" xr:uid="{00000000-0005-0000-0000-00001D320000}"/>
    <cellStyle name="Normal 10 2 3 5 2 4 2" xfId="43509" xr:uid="{00000000-0005-0000-0000-00001E320000}"/>
    <cellStyle name="Normal 10 2 3 5 2 5" xfId="29446" xr:uid="{00000000-0005-0000-0000-00001F320000}"/>
    <cellStyle name="Normal 10 2 3 5 3" xfId="5271" xr:uid="{00000000-0005-0000-0000-000020320000}"/>
    <cellStyle name="Normal 10 2 3 5 3 2" xfId="14108" xr:uid="{00000000-0005-0000-0000-000021320000}"/>
    <cellStyle name="Normal 10 2 3 5 3 2 2" xfId="24359" xr:uid="{00000000-0005-0000-0000-000022320000}"/>
    <cellStyle name="Normal 10 2 3 5 3 2 2 2" xfId="49912" xr:uid="{00000000-0005-0000-0000-000023320000}"/>
    <cellStyle name="Normal 10 2 3 5 3 2 3" xfId="39663" xr:uid="{00000000-0005-0000-0000-000024320000}"/>
    <cellStyle name="Normal 10 2 3 5 3 3" xfId="10529" xr:uid="{00000000-0005-0000-0000-000025320000}"/>
    <cellStyle name="Normal 10 2 3 5 3 3 2" xfId="36086" xr:uid="{00000000-0005-0000-0000-000026320000}"/>
    <cellStyle name="Normal 10 2 3 5 3 4" xfId="19352" xr:uid="{00000000-0005-0000-0000-000027320000}"/>
    <cellStyle name="Normal 10 2 3 5 3 4 2" xfId="44905" xr:uid="{00000000-0005-0000-0000-000028320000}"/>
    <cellStyle name="Normal 10 2 3 5 3 5" xfId="30842" xr:uid="{00000000-0005-0000-0000-000029320000}"/>
    <cellStyle name="Normal 10 2 3 5 4" xfId="1781" xr:uid="{00000000-0005-0000-0000-00002A320000}"/>
    <cellStyle name="Normal 10 2 3 5 4 2" xfId="11150" xr:uid="{00000000-0005-0000-0000-00002B320000}"/>
    <cellStyle name="Normal 10 2 3 5 4 2 2" xfId="36705" xr:uid="{00000000-0005-0000-0000-00002C320000}"/>
    <cellStyle name="Normal 10 2 3 5 4 3" xfId="21154" xr:uid="{00000000-0005-0000-0000-00002D320000}"/>
    <cellStyle name="Normal 10 2 3 5 4 3 2" xfId="46707" xr:uid="{00000000-0005-0000-0000-00002E320000}"/>
    <cellStyle name="Normal 10 2 3 5 4 4" xfId="27637" xr:uid="{00000000-0005-0000-0000-00002F320000}"/>
    <cellStyle name="Normal 10 2 3 5 5" xfId="6726" xr:uid="{00000000-0005-0000-0000-000030320000}"/>
    <cellStyle name="Normal 10 2 3 5 5 2" xfId="15553" xr:uid="{00000000-0005-0000-0000-000031320000}"/>
    <cellStyle name="Normal 10 2 3 5 5 2 2" xfId="41108" xr:uid="{00000000-0005-0000-0000-000032320000}"/>
    <cellStyle name="Normal 10 2 3 5 5 3" xfId="25804" xr:uid="{00000000-0005-0000-0000-000033320000}"/>
    <cellStyle name="Normal 10 2 3 5 5 3 2" xfId="51357" xr:uid="{00000000-0005-0000-0000-000034320000}"/>
    <cellStyle name="Normal 10 2 3 5 5 4" xfId="32287" xr:uid="{00000000-0005-0000-0000-000035320000}"/>
    <cellStyle name="Normal 10 2 3 5 6" xfId="8172" xr:uid="{00000000-0005-0000-0000-000036320000}"/>
    <cellStyle name="Normal 10 2 3 5 6 2" xfId="20562" xr:uid="{00000000-0005-0000-0000-000037320000}"/>
    <cellStyle name="Normal 10 2 3 5 6 2 2" xfId="46115" xr:uid="{00000000-0005-0000-0000-000038320000}"/>
    <cellStyle name="Normal 10 2 3 5 6 3" xfId="33729" xr:uid="{00000000-0005-0000-0000-000039320000}"/>
    <cellStyle name="Normal 10 2 3 5 7" xfId="16147" xr:uid="{00000000-0005-0000-0000-00003A320000}"/>
    <cellStyle name="Normal 10 2 3 5 7 2" xfId="41700" xr:uid="{00000000-0005-0000-0000-00003B320000}"/>
    <cellStyle name="Normal 10 2 3 5 8" xfId="27045" xr:uid="{00000000-0005-0000-0000-00003C320000}"/>
    <cellStyle name="Normal 10 2 3 6" xfId="2676" xr:uid="{00000000-0005-0000-0000-00003D320000}"/>
    <cellStyle name="Normal 10 2 3 6 2" xfId="11993" xr:uid="{00000000-0005-0000-0000-00003E320000}"/>
    <cellStyle name="Normal 10 2 3 6 2 2" xfId="22037" xr:uid="{00000000-0005-0000-0000-00003F320000}"/>
    <cellStyle name="Normal 10 2 3 6 2 2 2" xfId="47590" xr:uid="{00000000-0005-0000-0000-000040320000}"/>
    <cellStyle name="Normal 10 2 3 6 2 3" xfId="37548" xr:uid="{00000000-0005-0000-0000-000041320000}"/>
    <cellStyle name="Normal 10 2 3 6 3" xfId="8491" xr:uid="{00000000-0005-0000-0000-000042320000}"/>
    <cellStyle name="Normal 10 2 3 6 3 2" xfId="34048" xr:uid="{00000000-0005-0000-0000-000043320000}"/>
    <cellStyle name="Normal 10 2 3 6 4" xfId="17030" xr:uid="{00000000-0005-0000-0000-000044320000}"/>
    <cellStyle name="Normal 10 2 3 6 4 2" xfId="42583" xr:uid="{00000000-0005-0000-0000-000045320000}"/>
    <cellStyle name="Normal 10 2 3 6 5" xfId="28520" xr:uid="{00000000-0005-0000-0000-000046320000}"/>
    <cellStyle name="Normal 10 2 3 7" xfId="4227" xr:uid="{00000000-0005-0000-0000-000047320000}"/>
    <cellStyle name="Normal 10 2 3 7 2" xfId="13065" xr:uid="{00000000-0005-0000-0000-000048320000}"/>
    <cellStyle name="Normal 10 2 3 7 2 2" xfId="23316" xr:uid="{00000000-0005-0000-0000-000049320000}"/>
    <cellStyle name="Normal 10 2 3 7 2 2 2" xfId="48869" xr:uid="{00000000-0005-0000-0000-00004A320000}"/>
    <cellStyle name="Normal 10 2 3 7 2 3" xfId="38620" xr:uid="{00000000-0005-0000-0000-00004B320000}"/>
    <cellStyle name="Normal 10 2 3 7 3" xfId="9486" xr:uid="{00000000-0005-0000-0000-00004C320000}"/>
    <cellStyle name="Normal 10 2 3 7 3 2" xfId="35043" xr:uid="{00000000-0005-0000-0000-00004D320000}"/>
    <cellStyle name="Normal 10 2 3 7 4" xfId="18309" xr:uid="{00000000-0005-0000-0000-00004E320000}"/>
    <cellStyle name="Normal 10 2 3 7 4 2" xfId="43862" xr:uid="{00000000-0005-0000-0000-00004F320000}"/>
    <cellStyle name="Normal 10 2 3 7 5" xfId="29799" xr:uid="{00000000-0005-0000-0000-000050320000}"/>
    <cellStyle name="Normal 10 2 3 8" xfId="1499" xr:uid="{00000000-0005-0000-0000-000051320000}"/>
    <cellStyle name="Normal 10 2 3 8 2" xfId="10876" xr:uid="{00000000-0005-0000-0000-000052320000}"/>
    <cellStyle name="Normal 10 2 3 8 2 2" xfId="36431" xr:uid="{00000000-0005-0000-0000-000053320000}"/>
    <cellStyle name="Normal 10 2 3 8 3" xfId="20880" xr:uid="{00000000-0005-0000-0000-000054320000}"/>
    <cellStyle name="Normal 10 2 3 8 3 2" xfId="46433" xr:uid="{00000000-0005-0000-0000-000055320000}"/>
    <cellStyle name="Normal 10 2 3 8 4" xfId="27363" xr:uid="{00000000-0005-0000-0000-000056320000}"/>
    <cellStyle name="Normal 10 2 3 9" xfId="5683" xr:uid="{00000000-0005-0000-0000-000057320000}"/>
    <cellStyle name="Normal 10 2 3 9 2" xfId="14510" xr:uid="{00000000-0005-0000-0000-000058320000}"/>
    <cellStyle name="Normal 10 2 3 9 2 2" xfId="40065" xr:uid="{00000000-0005-0000-0000-000059320000}"/>
    <cellStyle name="Normal 10 2 3 9 3" xfId="24761" xr:uid="{00000000-0005-0000-0000-00005A320000}"/>
    <cellStyle name="Normal 10 2 3 9 3 2" xfId="50314" xr:uid="{00000000-0005-0000-0000-00005B320000}"/>
    <cellStyle name="Normal 10 2 3 9 4" xfId="31244" xr:uid="{00000000-0005-0000-0000-00005C320000}"/>
    <cellStyle name="Normal 10 2 3_Degree data" xfId="3891" xr:uid="{00000000-0005-0000-0000-00005D320000}"/>
    <cellStyle name="Normal 10 2 4" xfId="234" xr:uid="{00000000-0005-0000-0000-00005E320000}"/>
    <cellStyle name="Normal 10 2 4 10" xfId="7072" xr:uid="{00000000-0005-0000-0000-00005F320000}"/>
    <cellStyle name="Normal 10 2 4 10 2" xfId="19686" xr:uid="{00000000-0005-0000-0000-000060320000}"/>
    <cellStyle name="Normal 10 2 4 10 2 2" xfId="45239" xr:uid="{00000000-0005-0000-0000-000061320000}"/>
    <cellStyle name="Normal 10 2 4 10 3" xfId="32629" xr:uid="{00000000-0005-0000-0000-000062320000}"/>
    <cellStyle name="Normal 10 2 4 11" xfId="15818" xr:uid="{00000000-0005-0000-0000-000063320000}"/>
    <cellStyle name="Normal 10 2 4 11 2" xfId="41371" xr:uid="{00000000-0005-0000-0000-000064320000}"/>
    <cellStyle name="Normal 10 2 4 12" xfId="26169" xr:uid="{00000000-0005-0000-0000-000065320000}"/>
    <cellStyle name="Normal 10 2 4 2" xfId="557" xr:uid="{00000000-0005-0000-0000-000066320000}"/>
    <cellStyle name="Normal 10 2 4 2 10" xfId="26486" xr:uid="{00000000-0005-0000-0000-000067320000}"/>
    <cellStyle name="Normal 10 2 4 2 2" xfId="708" xr:uid="{00000000-0005-0000-0000-000068320000}"/>
    <cellStyle name="Normal 10 2 4 2 2 2" xfId="3194" xr:uid="{00000000-0005-0000-0000-000069320000}"/>
    <cellStyle name="Normal 10 2 4 2 2 2 2" xfId="12337" xr:uid="{00000000-0005-0000-0000-00006A320000}"/>
    <cellStyle name="Normal 10 2 4 2 2 2 2 2" xfId="22555" xr:uid="{00000000-0005-0000-0000-00006B320000}"/>
    <cellStyle name="Normal 10 2 4 2 2 2 2 2 2" xfId="48108" xr:uid="{00000000-0005-0000-0000-00006C320000}"/>
    <cellStyle name="Normal 10 2 4 2 2 2 2 3" xfId="37892" xr:uid="{00000000-0005-0000-0000-00006D320000}"/>
    <cellStyle name="Normal 10 2 4 2 2 2 3" xfId="8759" xr:uid="{00000000-0005-0000-0000-00006E320000}"/>
    <cellStyle name="Normal 10 2 4 2 2 2 3 2" xfId="34316" xr:uid="{00000000-0005-0000-0000-00006F320000}"/>
    <cellStyle name="Normal 10 2 4 2 2 2 4" xfId="17548" xr:uid="{00000000-0005-0000-0000-000070320000}"/>
    <cellStyle name="Normal 10 2 4 2 2 2 4 2" xfId="43101" xr:uid="{00000000-0005-0000-0000-000071320000}"/>
    <cellStyle name="Normal 10 2 4 2 2 2 5" xfId="29038" xr:uid="{00000000-0005-0000-0000-000072320000}"/>
    <cellStyle name="Normal 10 2 4 2 2 3" xfId="4523" xr:uid="{00000000-0005-0000-0000-000073320000}"/>
    <cellStyle name="Normal 10 2 4 2 2 3 2" xfId="13361" xr:uid="{00000000-0005-0000-0000-000074320000}"/>
    <cellStyle name="Normal 10 2 4 2 2 3 2 2" xfId="23612" xr:uid="{00000000-0005-0000-0000-000075320000}"/>
    <cellStyle name="Normal 10 2 4 2 2 3 2 2 2" xfId="49165" xr:uid="{00000000-0005-0000-0000-000076320000}"/>
    <cellStyle name="Normal 10 2 4 2 2 3 2 3" xfId="38916" xr:uid="{00000000-0005-0000-0000-000077320000}"/>
    <cellStyle name="Normal 10 2 4 2 2 3 3" xfId="9782" xr:uid="{00000000-0005-0000-0000-000078320000}"/>
    <cellStyle name="Normal 10 2 4 2 2 3 3 2" xfId="35339" xr:uid="{00000000-0005-0000-0000-000079320000}"/>
    <cellStyle name="Normal 10 2 4 2 2 3 4" xfId="18605" xr:uid="{00000000-0005-0000-0000-00007A320000}"/>
    <cellStyle name="Normal 10 2 4 2 2 3 4 2" xfId="44158" xr:uid="{00000000-0005-0000-0000-00007B320000}"/>
    <cellStyle name="Normal 10 2 4 2 2 3 5" xfId="30095" xr:uid="{00000000-0005-0000-0000-00007C320000}"/>
    <cellStyle name="Normal 10 2 4 2 2 4" xfId="2303" xr:uid="{00000000-0005-0000-0000-00007D320000}"/>
    <cellStyle name="Normal 10 2 4 2 2 4 2" xfId="11668" xr:uid="{00000000-0005-0000-0000-00007E320000}"/>
    <cellStyle name="Normal 10 2 4 2 2 4 2 2" xfId="37223" xr:uid="{00000000-0005-0000-0000-00007F320000}"/>
    <cellStyle name="Normal 10 2 4 2 2 4 3" xfId="21672" xr:uid="{00000000-0005-0000-0000-000080320000}"/>
    <cellStyle name="Normal 10 2 4 2 2 4 3 2" xfId="47225" xr:uid="{00000000-0005-0000-0000-000081320000}"/>
    <cellStyle name="Normal 10 2 4 2 2 4 4" xfId="28155" xr:uid="{00000000-0005-0000-0000-000082320000}"/>
    <cellStyle name="Normal 10 2 4 2 2 5" xfId="5979" xr:uid="{00000000-0005-0000-0000-000083320000}"/>
    <cellStyle name="Normal 10 2 4 2 2 5 2" xfId="14806" xr:uid="{00000000-0005-0000-0000-000084320000}"/>
    <cellStyle name="Normal 10 2 4 2 2 5 2 2" xfId="40361" xr:uid="{00000000-0005-0000-0000-000085320000}"/>
    <cellStyle name="Normal 10 2 4 2 2 5 3" xfId="25057" xr:uid="{00000000-0005-0000-0000-000086320000}"/>
    <cellStyle name="Normal 10 2 4 2 2 5 3 2" xfId="50610" xr:uid="{00000000-0005-0000-0000-000087320000}"/>
    <cellStyle name="Normal 10 2 4 2 2 5 4" xfId="31540" xr:uid="{00000000-0005-0000-0000-000088320000}"/>
    <cellStyle name="Normal 10 2 4 2 2 6" xfId="7423" xr:uid="{00000000-0005-0000-0000-000089320000}"/>
    <cellStyle name="Normal 10 2 4 2 2 6 2" xfId="20154" xr:uid="{00000000-0005-0000-0000-00008A320000}"/>
    <cellStyle name="Normal 10 2 4 2 2 6 2 2" xfId="45707" xr:uid="{00000000-0005-0000-0000-00008B320000}"/>
    <cellStyle name="Normal 10 2 4 2 2 6 3" xfId="32980" xr:uid="{00000000-0005-0000-0000-00008C320000}"/>
    <cellStyle name="Normal 10 2 4 2 2 7" xfId="16665" xr:uid="{00000000-0005-0000-0000-00008D320000}"/>
    <cellStyle name="Normal 10 2 4 2 2 7 2" xfId="42218" xr:uid="{00000000-0005-0000-0000-00008E320000}"/>
    <cellStyle name="Normal 10 2 4 2 2 8" xfId="26637" xr:uid="{00000000-0005-0000-0000-00008F320000}"/>
    <cellStyle name="Normal 10 2 4 2 3" xfId="1329" xr:uid="{00000000-0005-0000-0000-000090320000}"/>
    <cellStyle name="Normal 10 2 4 2 3 2" xfId="3758" xr:uid="{00000000-0005-0000-0000-000091320000}"/>
    <cellStyle name="Normal 10 2 4 2 3 2 2" xfId="12894" xr:uid="{00000000-0005-0000-0000-000092320000}"/>
    <cellStyle name="Normal 10 2 4 2 3 2 2 2" xfId="23113" xr:uid="{00000000-0005-0000-0000-000093320000}"/>
    <cellStyle name="Normal 10 2 4 2 3 2 2 2 2" xfId="48666" xr:uid="{00000000-0005-0000-0000-000094320000}"/>
    <cellStyle name="Normal 10 2 4 2 3 2 2 3" xfId="38449" xr:uid="{00000000-0005-0000-0000-000095320000}"/>
    <cellStyle name="Normal 10 2 4 2 3 2 3" xfId="9315" xr:uid="{00000000-0005-0000-0000-000096320000}"/>
    <cellStyle name="Normal 10 2 4 2 3 2 3 2" xfId="34872" xr:uid="{00000000-0005-0000-0000-000097320000}"/>
    <cellStyle name="Normal 10 2 4 2 3 2 4" xfId="18106" xr:uid="{00000000-0005-0000-0000-000098320000}"/>
    <cellStyle name="Normal 10 2 4 2 3 2 4 2" xfId="43659" xr:uid="{00000000-0005-0000-0000-000099320000}"/>
    <cellStyle name="Normal 10 2 4 2 3 2 5" xfId="29596" xr:uid="{00000000-0005-0000-0000-00009A320000}"/>
    <cellStyle name="Normal 10 2 4 2 3 3" xfId="4872" xr:uid="{00000000-0005-0000-0000-00009B320000}"/>
    <cellStyle name="Normal 10 2 4 2 3 3 2" xfId="13709" xr:uid="{00000000-0005-0000-0000-00009C320000}"/>
    <cellStyle name="Normal 10 2 4 2 3 3 2 2" xfId="23960" xr:uid="{00000000-0005-0000-0000-00009D320000}"/>
    <cellStyle name="Normal 10 2 4 2 3 3 2 2 2" xfId="49513" xr:uid="{00000000-0005-0000-0000-00009E320000}"/>
    <cellStyle name="Normal 10 2 4 2 3 3 2 3" xfId="39264" xr:uid="{00000000-0005-0000-0000-00009F320000}"/>
    <cellStyle name="Normal 10 2 4 2 3 3 3" xfId="10130" xr:uid="{00000000-0005-0000-0000-0000A0320000}"/>
    <cellStyle name="Normal 10 2 4 2 3 3 3 2" xfId="35687" xr:uid="{00000000-0005-0000-0000-0000A1320000}"/>
    <cellStyle name="Normal 10 2 4 2 3 3 4" xfId="18953" xr:uid="{00000000-0005-0000-0000-0000A2320000}"/>
    <cellStyle name="Normal 10 2 4 2 3 3 4 2" xfId="44506" xr:uid="{00000000-0005-0000-0000-0000A3320000}"/>
    <cellStyle name="Normal 10 2 4 2 3 3 5" xfId="30443" xr:uid="{00000000-0005-0000-0000-0000A4320000}"/>
    <cellStyle name="Normal 10 2 4 2 3 4" xfId="2152" xr:uid="{00000000-0005-0000-0000-0000A5320000}"/>
    <cellStyle name="Normal 10 2 4 2 3 4 2" xfId="11517" xr:uid="{00000000-0005-0000-0000-0000A6320000}"/>
    <cellStyle name="Normal 10 2 4 2 3 4 2 2" xfId="37072" xr:uid="{00000000-0005-0000-0000-0000A7320000}"/>
    <cellStyle name="Normal 10 2 4 2 3 4 3" xfId="21521" xr:uid="{00000000-0005-0000-0000-0000A8320000}"/>
    <cellStyle name="Normal 10 2 4 2 3 4 3 2" xfId="47074" xr:uid="{00000000-0005-0000-0000-0000A9320000}"/>
    <cellStyle name="Normal 10 2 4 2 3 4 4" xfId="28004" xr:uid="{00000000-0005-0000-0000-0000AA320000}"/>
    <cellStyle name="Normal 10 2 4 2 3 5" xfId="6327" xr:uid="{00000000-0005-0000-0000-0000AB320000}"/>
    <cellStyle name="Normal 10 2 4 2 3 5 2" xfId="15154" xr:uid="{00000000-0005-0000-0000-0000AC320000}"/>
    <cellStyle name="Normal 10 2 4 2 3 5 2 2" xfId="40709" xr:uid="{00000000-0005-0000-0000-0000AD320000}"/>
    <cellStyle name="Normal 10 2 4 2 3 5 3" xfId="25405" xr:uid="{00000000-0005-0000-0000-0000AE320000}"/>
    <cellStyle name="Normal 10 2 4 2 3 5 3 2" xfId="50958" xr:uid="{00000000-0005-0000-0000-0000AF320000}"/>
    <cellStyle name="Normal 10 2 4 2 3 5 4" xfId="31888" xr:uid="{00000000-0005-0000-0000-0000B0320000}"/>
    <cellStyle name="Normal 10 2 4 2 3 6" xfId="7773" xr:uid="{00000000-0005-0000-0000-0000B1320000}"/>
    <cellStyle name="Normal 10 2 4 2 3 6 2" xfId="20712" xr:uid="{00000000-0005-0000-0000-0000B2320000}"/>
    <cellStyle name="Normal 10 2 4 2 3 6 2 2" xfId="46265" xr:uid="{00000000-0005-0000-0000-0000B3320000}"/>
    <cellStyle name="Normal 10 2 4 2 3 6 3" xfId="33330" xr:uid="{00000000-0005-0000-0000-0000B4320000}"/>
    <cellStyle name="Normal 10 2 4 2 3 7" xfId="16514" xr:uid="{00000000-0005-0000-0000-0000B5320000}"/>
    <cellStyle name="Normal 10 2 4 2 3 7 2" xfId="42067" xr:uid="{00000000-0005-0000-0000-0000B6320000}"/>
    <cellStyle name="Normal 10 2 4 2 3 8" xfId="27195" xr:uid="{00000000-0005-0000-0000-0000B7320000}"/>
    <cellStyle name="Normal 10 2 4 2 4" xfId="3043" xr:uid="{00000000-0005-0000-0000-0000B8320000}"/>
    <cellStyle name="Normal 10 2 4 2 4 2" xfId="5421" xr:uid="{00000000-0005-0000-0000-0000B9320000}"/>
    <cellStyle name="Normal 10 2 4 2 4 2 2" xfId="14258" xr:uid="{00000000-0005-0000-0000-0000BA320000}"/>
    <cellStyle name="Normal 10 2 4 2 4 2 2 2" xfId="24509" xr:uid="{00000000-0005-0000-0000-0000BB320000}"/>
    <cellStyle name="Normal 10 2 4 2 4 2 2 2 2" xfId="50062" xr:uid="{00000000-0005-0000-0000-0000BC320000}"/>
    <cellStyle name="Normal 10 2 4 2 4 2 2 3" xfId="39813" xr:uid="{00000000-0005-0000-0000-0000BD320000}"/>
    <cellStyle name="Normal 10 2 4 2 4 2 3" xfId="10679" xr:uid="{00000000-0005-0000-0000-0000BE320000}"/>
    <cellStyle name="Normal 10 2 4 2 4 2 3 2" xfId="36236" xr:uid="{00000000-0005-0000-0000-0000BF320000}"/>
    <cellStyle name="Normal 10 2 4 2 4 2 4" xfId="19502" xr:uid="{00000000-0005-0000-0000-0000C0320000}"/>
    <cellStyle name="Normal 10 2 4 2 4 2 4 2" xfId="45055" xr:uid="{00000000-0005-0000-0000-0000C1320000}"/>
    <cellStyle name="Normal 10 2 4 2 4 2 5" xfId="30992" xr:uid="{00000000-0005-0000-0000-0000C2320000}"/>
    <cellStyle name="Normal 10 2 4 2 4 3" xfId="6876" xr:uid="{00000000-0005-0000-0000-0000C3320000}"/>
    <cellStyle name="Normal 10 2 4 2 4 3 2" xfId="15703" xr:uid="{00000000-0005-0000-0000-0000C4320000}"/>
    <cellStyle name="Normal 10 2 4 2 4 3 2 2" xfId="41258" xr:uid="{00000000-0005-0000-0000-0000C5320000}"/>
    <cellStyle name="Normal 10 2 4 2 4 3 3" xfId="25954" xr:uid="{00000000-0005-0000-0000-0000C6320000}"/>
    <cellStyle name="Normal 10 2 4 2 4 3 3 2" xfId="51507" xr:uid="{00000000-0005-0000-0000-0000C7320000}"/>
    <cellStyle name="Normal 10 2 4 2 4 3 4" xfId="32437" xr:uid="{00000000-0005-0000-0000-0000C8320000}"/>
    <cellStyle name="Normal 10 2 4 2 4 4" xfId="8322" xr:uid="{00000000-0005-0000-0000-0000C9320000}"/>
    <cellStyle name="Normal 10 2 4 2 4 4 2" xfId="22404" xr:uid="{00000000-0005-0000-0000-0000CA320000}"/>
    <cellStyle name="Normal 10 2 4 2 4 4 2 2" xfId="47957" xr:uid="{00000000-0005-0000-0000-0000CB320000}"/>
    <cellStyle name="Normal 10 2 4 2 4 4 3" xfId="33879" xr:uid="{00000000-0005-0000-0000-0000CC320000}"/>
    <cellStyle name="Normal 10 2 4 2 4 5" xfId="17397" xr:uid="{00000000-0005-0000-0000-0000CD320000}"/>
    <cellStyle name="Normal 10 2 4 2 4 5 2" xfId="42950" xr:uid="{00000000-0005-0000-0000-0000CE320000}"/>
    <cellStyle name="Normal 10 2 4 2 4 6" xfId="28887" xr:uid="{00000000-0005-0000-0000-0000CF320000}"/>
    <cellStyle name="Normal 10 2 4 2 5" xfId="4377" xr:uid="{00000000-0005-0000-0000-0000D0320000}"/>
    <cellStyle name="Normal 10 2 4 2 5 2" xfId="13215" xr:uid="{00000000-0005-0000-0000-0000D1320000}"/>
    <cellStyle name="Normal 10 2 4 2 5 2 2" xfId="23466" xr:uid="{00000000-0005-0000-0000-0000D2320000}"/>
    <cellStyle name="Normal 10 2 4 2 5 2 2 2" xfId="49019" xr:uid="{00000000-0005-0000-0000-0000D3320000}"/>
    <cellStyle name="Normal 10 2 4 2 5 2 3" xfId="38770" xr:uid="{00000000-0005-0000-0000-0000D4320000}"/>
    <cellStyle name="Normal 10 2 4 2 5 3" xfId="9636" xr:uid="{00000000-0005-0000-0000-0000D5320000}"/>
    <cellStyle name="Normal 10 2 4 2 5 3 2" xfId="35193" xr:uid="{00000000-0005-0000-0000-0000D6320000}"/>
    <cellStyle name="Normal 10 2 4 2 5 4" xfId="18459" xr:uid="{00000000-0005-0000-0000-0000D7320000}"/>
    <cellStyle name="Normal 10 2 4 2 5 4 2" xfId="44012" xr:uid="{00000000-0005-0000-0000-0000D8320000}"/>
    <cellStyle name="Normal 10 2 4 2 5 5" xfId="29949" xr:uid="{00000000-0005-0000-0000-0000D9320000}"/>
    <cellStyle name="Normal 10 2 4 2 6" xfId="1649" xr:uid="{00000000-0005-0000-0000-0000DA320000}"/>
    <cellStyle name="Normal 10 2 4 2 6 2" xfId="11026" xr:uid="{00000000-0005-0000-0000-0000DB320000}"/>
    <cellStyle name="Normal 10 2 4 2 6 2 2" xfId="36581" xr:uid="{00000000-0005-0000-0000-0000DC320000}"/>
    <cellStyle name="Normal 10 2 4 2 6 3" xfId="21030" xr:uid="{00000000-0005-0000-0000-0000DD320000}"/>
    <cellStyle name="Normal 10 2 4 2 6 3 2" xfId="46583" xr:uid="{00000000-0005-0000-0000-0000DE320000}"/>
    <cellStyle name="Normal 10 2 4 2 6 4" xfId="27513" xr:uid="{00000000-0005-0000-0000-0000DF320000}"/>
    <cellStyle name="Normal 10 2 4 2 7" xfId="5833" xr:uid="{00000000-0005-0000-0000-0000E0320000}"/>
    <cellStyle name="Normal 10 2 4 2 7 2" xfId="14660" xr:uid="{00000000-0005-0000-0000-0000E1320000}"/>
    <cellStyle name="Normal 10 2 4 2 7 2 2" xfId="40215" xr:uid="{00000000-0005-0000-0000-0000E2320000}"/>
    <cellStyle name="Normal 10 2 4 2 7 3" xfId="24911" xr:uid="{00000000-0005-0000-0000-0000E3320000}"/>
    <cellStyle name="Normal 10 2 4 2 7 3 2" xfId="50464" xr:uid="{00000000-0005-0000-0000-0000E4320000}"/>
    <cellStyle name="Normal 10 2 4 2 7 4" xfId="31394" xr:uid="{00000000-0005-0000-0000-0000E5320000}"/>
    <cellStyle name="Normal 10 2 4 2 8" xfId="7277" xr:uid="{00000000-0005-0000-0000-0000E6320000}"/>
    <cellStyle name="Normal 10 2 4 2 8 2" xfId="20003" xr:uid="{00000000-0005-0000-0000-0000E7320000}"/>
    <cellStyle name="Normal 10 2 4 2 8 2 2" xfId="45556" xr:uid="{00000000-0005-0000-0000-0000E8320000}"/>
    <cellStyle name="Normal 10 2 4 2 8 3" xfId="32834" xr:uid="{00000000-0005-0000-0000-0000E9320000}"/>
    <cellStyle name="Normal 10 2 4 2 9" xfId="16023" xr:uid="{00000000-0005-0000-0000-0000EA320000}"/>
    <cellStyle name="Normal 10 2 4 2 9 2" xfId="41576" xr:uid="{00000000-0005-0000-0000-0000EB320000}"/>
    <cellStyle name="Normal 10 2 4 2_Degree data" xfId="3870" xr:uid="{00000000-0005-0000-0000-0000EC320000}"/>
    <cellStyle name="Normal 10 2 4 3" xfId="352" xr:uid="{00000000-0005-0000-0000-0000ED320000}"/>
    <cellStyle name="Normal 10 2 4 3 2" xfId="2838" xr:uid="{00000000-0005-0000-0000-0000EE320000}"/>
    <cellStyle name="Normal 10 2 4 3 2 2" xfId="12126" xr:uid="{00000000-0005-0000-0000-0000EF320000}"/>
    <cellStyle name="Normal 10 2 4 3 2 2 2" xfId="22199" xr:uid="{00000000-0005-0000-0000-0000F0320000}"/>
    <cellStyle name="Normal 10 2 4 3 2 2 2 2" xfId="47752" xr:uid="{00000000-0005-0000-0000-0000F1320000}"/>
    <cellStyle name="Normal 10 2 4 3 2 2 3" xfId="37681" xr:uid="{00000000-0005-0000-0000-0000F2320000}"/>
    <cellStyle name="Normal 10 2 4 3 2 3" xfId="8419" xr:uid="{00000000-0005-0000-0000-0000F3320000}"/>
    <cellStyle name="Normal 10 2 4 3 2 3 2" xfId="33976" xr:uid="{00000000-0005-0000-0000-0000F4320000}"/>
    <cellStyle name="Normal 10 2 4 3 2 4" xfId="17192" xr:uid="{00000000-0005-0000-0000-0000F5320000}"/>
    <cellStyle name="Normal 10 2 4 3 2 4 2" xfId="42745" xr:uid="{00000000-0005-0000-0000-0000F6320000}"/>
    <cellStyle name="Normal 10 2 4 3 2 5" xfId="28682" xr:uid="{00000000-0005-0000-0000-0000F7320000}"/>
    <cellStyle name="Normal 10 2 4 3 3" xfId="4522" xr:uid="{00000000-0005-0000-0000-0000F8320000}"/>
    <cellStyle name="Normal 10 2 4 3 3 2" xfId="13360" xr:uid="{00000000-0005-0000-0000-0000F9320000}"/>
    <cellStyle name="Normal 10 2 4 3 3 2 2" xfId="23611" xr:uid="{00000000-0005-0000-0000-0000FA320000}"/>
    <cellStyle name="Normal 10 2 4 3 3 2 2 2" xfId="49164" xr:uid="{00000000-0005-0000-0000-0000FB320000}"/>
    <cellStyle name="Normal 10 2 4 3 3 2 3" xfId="38915" xr:uid="{00000000-0005-0000-0000-0000FC320000}"/>
    <cellStyle name="Normal 10 2 4 3 3 3" xfId="9781" xr:uid="{00000000-0005-0000-0000-0000FD320000}"/>
    <cellStyle name="Normal 10 2 4 3 3 3 2" xfId="35338" xr:uid="{00000000-0005-0000-0000-0000FE320000}"/>
    <cellStyle name="Normal 10 2 4 3 3 4" xfId="18604" xr:uid="{00000000-0005-0000-0000-0000FF320000}"/>
    <cellStyle name="Normal 10 2 4 3 3 4 2" xfId="44157" xr:uid="{00000000-0005-0000-0000-000000330000}"/>
    <cellStyle name="Normal 10 2 4 3 3 5" xfId="30094" xr:uid="{00000000-0005-0000-0000-000001330000}"/>
    <cellStyle name="Normal 10 2 4 3 4" xfId="1947" xr:uid="{00000000-0005-0000-0000-000002330000}"/>
    <cellStyle name="Normal 10 2 4 3 4 2" xfId="11312" xr:uid="{00000000-0005-0000-0000-000003330000}"/>
    <cellStyle name="Normal 10 2 4 3 4 2 2" xfId="36867" xr:uid="{00000000-0005-0000-0000-000004330000}"/>
    <cellStyle name="Normal 10 2 4 3 4 3" xfId="21316" xr:uid="{00000000-0005-0000-0000-000005330000}"/>
    <cellStyle name="Normal 10 2 4 3 4 3 2" xfId="46869" xr:uid="{00000000-0005-0000-0000-000006330000}"/>
    <cellStyle name="Normal 10 2 4 3 4 4" xfId="27799" xr:uid="{00000000-0005-0000-0000-000007330000}"/>
    <cellStyle name="Normal 10 2 4 3 5" xfId="5978" xr:uid="{00000000-0005-0000-0000-000008330000}"/>
    <cellStyle name="Normal 10 2 4 3 5 2" xfId="14805" xr:uid="{00000000-0005-0000-0000-000009330000}"/>
    <cellStyle name="Normal 10 2 4 3 5 2 2" xfId="40360" xr:uid="{00000000-0005-0000-0000-00000A330000}"/>
    <cellStyle name="Normal 10 2 4 3 5 3" xfId="25056" xr:uid="{00000000-0005-0000-0000-00000B330000}"/>
    <cellStyle name="Normal 10 2 4 3 5 3 2" xfId="50609" xr:uid="{00000000-0005-0000-0000-00000C330000}"/>
    <cellStyle name="Normal 10 2 4 3 5 4" xfId="31539" xr:uid="{00000000-0005-0000-0000-00000D330000}"/>
    <cellStyle name="Normal 10 2 4 3 6" xfId="7422" xr:uid="{00000000-0005-0000-0000-00000E330000}"/>
    <cellStyle name="Normal 10 2 4 3 6 2" xfId="19798" xr:uid="{00000000-0005-0000-0000-00000F330000}"/>
    <cellStyle name="Normal 10 2 4 3 6 2 2" xfId="45351" xr:uid="{00000000-0005-0000-0000-000010330000}"/>
    <cellStyle name="Normal 10 2 4 3 6 3" xfId="32979" xr:uid="{00000000-0005-0000-0000-000011330000}"/>
    <cellStyle name="Normal 10 2 4 3 7" xfId="16309" xr:uid="{00000000-0005-0000-0000-000012330000}"/>
    <cellStyle name="Normal 10 2 4 3 7 2" xfId="41862" xr:uid="{00000000-0005-0000-0000-000013330000}"/>
    <cellStyle name="Normal 10 2 4 3 8" xfId="26281" xr:uid="{00000000-0005-0000-0000-000014330000}"/>
    <cellStyle name="Normal 10 2 4 4" xfId="707" xr:uid="{00000000-0005-0000-0000-000015330000}"/>
    <cellStyle name="Normal 10 2 4 4 2" xfId="3193" xr:uid="{00000000-0005-0000-0000-000016330000}"/>
    <cellStyle name="Normal 10 2 4 4 2 2" xfId="12336" xr:uid="{00000000-0005-0000-0000-000017330000}"/>
    <cellStyle name="Normal 10 2 4 4 2 2 2" xfId="22554" xr:uid="{00000000-0005-0000-0000-000018330000}"/>
    <cellStyle name="Normal 10 2 4 4 2 2 2 2" xfId="48107" xr:uid="{00000000-0005-0000-0000-000019330000}"/>
    <cellStyle name="Normal 10 2 4 4 2 2 3" xfId="37891" xr:uid="{00000000-0005-0000-0000-00001A330000}"/>
    <cellStyle name="Normal 10 2 4 4 2 3" xfId="8758" xr:uid="{00000000-0005-0000-0000-00001B330000}"/>
    <cellStyle name="Normal 10 2 4 4 2 3 2" xfId="34315" xr:uid="{00000000-0005-0000-0000-00001C330000}"/>
    <cellStyle name="Normal 10 2 4 4 2 4" xfId="17547" xr:uid="{00000000-0005-0000-0000-00001D330000}"/>
    <cellStyle name="Normal 10 2 4 4 2 4 2" xfId="43100" xr:uid="{00000000-0005-0000-0000-00001E330000}"/>
    <cellStyle name="Normal 10 2 4 4 2 5" xfId="29037" xr:uid="{00000000-0005-0000-0000-00001F330000}"/>
    <cellStyle name="Normal 10 2 4 4 3" xfId="4871" xr:uid="{00000000-0005-0000-0000-000020330000}"/>
    <cellStyle name="Normal 10 2 4 4 3 2" xfId="13708" xr:uid="{00000000-0005-0000-0000-000021330000}"/>
    <cellStyle name="Normal 10 2 4 4 3 2 2" xfId="23959" xr:uid="{00000000-0005-0000-0000-000022330000}"/>
    <cellStyle name="Normal 10 2 4 4 3 2 2 2" xfId="49512" xr:uid="{00000000-0005-0000-0000-000023330000}"/>
    <cellStyle name="Normal 10 2 4 4 3 2 3" xfId="39263" xr:uid="{00000000-0005-0000-0000-000024330000}"/>
    <cellStyle name="Normal 10 2 4 4 3 3" xfId="10129" xr:uid="{00000000-0005-0000-0000-000025330000}"/>
    <cellStyle name="Normal 10 2 4 4 3 3 2" xfId="35686" xr:uid="{00000000-0005-0000-0000-000026330000}"/>
    <cellStyle name="Normal 10 2 4 4 3 4" xfId="18952" xr:uid="{00000000-0005-0000-0000-000027330000}"/>
    <cellStyle name="Normal 10 2 4 4 3 4 2" xfId="44505" xr:uid="{00000000-0005-0000-0000-000028330000}"/>
    <cellStyle name="Normal 10 2 4 4 3 5" xfId="30442" xr:uid="{00000000-0005-0000-0000-000029330000}"/>
    <cellStyle name="Normal 10 2 4 4 4" xfId="2302" xr:uid="{00000000-0005-0000-0000-00002A330000}"/>
    <cellStyle name="Normal 10 2 4 4 4 2" xfId="11667" xr:uid="{00000000-0005-0000-0000-00002B330000}"/>
    <cellStyle name="Normal 10 2 4 4 4 2 2" xfId="37222" xr:uid="{00000000-0005-0000-0000-00002C330000}"/>
    <cellStyle name="Normal 10 2 4 4 4 3" xfId="21671" xr:uid="{00000000-0005-0000-0000-00002D330000}"/>
    <cellStyle name="Normal 10 2 4 4 4 3 2" xfId="47224" xr:uid="{00000000-0005-0000-0000-00002E330000}"/>
    <cellStyle name="Normal 10 2 4 4 4 4" xfId="28154" xr:uid="{00000000-0005-0000-0000-00002F330000}"/>
    <cellStyle name="Normal 10 2 4 4 5" xfId="6326" xr:uid="{00000000-0005-0000-0000-000030330000}"/>
    <cellStyle name="Normal 10 2 4 4 5 2" xfId="15153" xr:uid="{00000000-0005-0000-0000-000031330000}"/>
    <cellStyle name="Normal 10 2 4 4 5 2 2" xfId="40708" xr:uid="{00000000-0005-0000-0000-000032330000}"/>
    <cellStyle name="Normal 10 2 4 4 5 3" xfId="25404" xr:uid="{00000000-0005-0000-0000-000033330000}"/>
    <cellStyle name="Normal 10 2 4 4 5 3 2" xfId="50957" xr:uid="{00000000-0005-0000-0000-000034330000}"/>
    <cellStyle name="Normal 10 2 4 4 5 4" xfId="31887" xr:uid="{00000000-0005-0000-0000-000035330000}"/>
    <cellStyle name="Normal 10 2 4 4 6" xfId="7772" xr:uid="{00000000-0005-0000-0000-000036330000}"/>
    <cellStyle name="Normal 10 2 4 4 6 2" xfId="20153" xr:uid="{00000000-0005-0000-0000-000037330000}"/>
    <cellStyle name="Normal 10 2 4 4 6 2 2" xfId="45706" xr:uid="{00000000-0005-0000-0000-000038330000}"/>
    <cellStyle name="Normal 10 2 4 4 6 3" xfId="33329" xr:uid="{00000000-0005-0000-0000-000039330000}"/>
    <cellStyle name="Normal 10 2 4 4 7" xfId="16664" xr:uid="{00000000-0005-0000-0000-00003A330000}"/>
    <cellStyle name="Normal 10 2 4 4 7 2" xfId="42217" xr:uid="{00000000-0005-0000-0000-00003B330000}"/>
    <cellStyle name="Normal 10 2 4 4 8" xfId="26636" xr:uid="{00000000-0005-0000-0000-00003C330000}"/>
    <cellStyle name="Normal 10 2 4 5" xfId="1124" xr:uid="{00000000-0005-0000-0000-00003D330000}"/>
    <cellStyle name="Normal 10 2 4 5 2" xfId="3553" xr:uid="{00000000-0005-0000-0000-00003E330000}"/>
    <cellStyle name="Normal 10 2 4 5 2 2" xfId="12689" xr:uid="{00000000-0005-0000-0000-00003F330000}"/>
    <cellStyle name="Normal 10 2 4 5 2 2 2" xfId="22908" xr:uid="{00000000-0005-0000-0000-000040330000}"/>
    <cellStyle name="Normal 10 2 4 5 2 2 2 2" xfId="48461" xr:uid="{00000000-0005-0000-0000-000041330000}"/>
    <cellStyle name="Normal 10 2 4 5 2 2 3" xfId="38244" xr:uid="{00000000-0005-0000-0000-000042330000}"/>
    <cellStyle name="Normal 10 2 4 5 2 3" xfId="9110" xr:uid="{00000000-0005-0000-0000-000043330000}"/>
    <cellStyle name="Normal 10 2 4 5 2 3 2" xfId="34667" xr:uid="{00000000-0005-0000-0000-000044330000}"/>
    <cellStyle name="Normal 10 2 4 5 2 4" xfId="17901" xr:uid="{00000000-0005-0000-0000-000045330000}"/>
    <cellStyle name="Normal 10 2 4 5 2 4 2" xfId="43454" xr:uid="{00000000-0005-0000-0000-000046330000}"/>
    <cellStyle name="Normal 10 2 4 5 2 5" xfId="29391" xr:uid="{00000000-0005-0000-0000-000047330000}"/>
    <cellStyle name="Normal 10 2 4 5 3" xfId="5216" xr:uid="{00000000-0005-0000-0000-000048330000}"/>
    <cellStyle name="Normal 10 2 4 5 3 2" xfId="14053" xr:uid="{00000000-0005-0000-0000-000049330000}"/>
    <cellStyle name="Normal 10 2 4 5 3 2 2" xfId="24304" xr:uid="{00000000-0005-0000-0000-00004A330000}"/>
    <cellStyle name="Normal 10 2 4 5 3 2 2 2" xfId="49857" xr:uid="{00000000-0005-0000-0000-00004B330000}"/>
    <cellStyle name="Normal 10 2 4 5 3 2 3" xfId="39608" xr:uid="{00000000-0005-0000-0000-00004C330000}"/>
    <cellStyle name="Normal 10 2 4 5 3 3" xfId="10474" xr:uid="{00000000-0005-0000-0000-00004D330000}"/>
    <cellStyle name="Normal 10 2 4 5 3 3 2" xfId="36031" xr:uid="{00000000-0005-0000-0000-00004E330000}"/>
    <cellStyle name="Normal 10 2 4 5 3 4" xfId="19297" xr:uid="{00000000-0005-0000-0000-00004F330000}"/>
    <cellStyle name="Normal 10 2 4 5 3 4 2" xfId="44850" xr:uid="{00000000-0005-0000-0000-000050330000}"/>
    <cellStyle name="Normal 10 2 4 5 3 5" xfId="30787" xr:uid="{00000000-0005-0000-0000-000051330000}"/>
    <cellStyle name="Normal 10 2 4 5 4" xfId="1832" xr:uid="{00000000-0005-0000-0000-000052330000}"/>
    <cellStyle name="Normal 10 2 4 5 4 2" xfId="11200" xr:uid="{00000000-0005-0000-0000-000053330000}"/>
    <cellStyle name="Normal 10 2 4 5 4 2 2" xfId="36755" xr:uid="{00000000-0005-0000-0000-000054330000}"/>
    <cellStyle name="Normal 10 2 4 5 4 3" xfId="21204" xr:uid="{00000000-0005-0000-0000-000055330000}"/>
    <cellStyle name="Normal 10 2 4 5 4 3 2" xfId="46757" xr:uid="{00000000-0005-0000-0000-000056330000}"/>
    <cellStyle name="Normal 10 2 4 5 4 4" xfId="27687" xr:uid="{00000000-0005-0000-0000-000057330000}"/>
    <cellStyle name="Normal 10 2 4 5 5" xfId="6671" xr:uid="{00000000-0005-0000-0000-000058330000}"/>
    <cellStyle name="Normal 10 2 4 5 5 2" xfId="15498" xr:uid="{00000000-0005-0000-0000-000059330000}"/>
    <cellStyle name="Normal 10 2 4 5 5 2 2" xfId="41053" xr:uid="{00000000-0005-0000-0000-00005A330000}"/>
    <cellStyle name="Normal 10 2 4 5 5 3" xfId="25749" xr:uid="{00000000-0005-0000-0000-00005B330000}"/>
    <cellStyle name="Normal 10 2 4 5 5 3 2" xfId="51302" xr:uid="{00000000-0005-0000-0000-00005C330000}"/>
    <cellStyle name="Normal 10 2 4 5 5 4" xfId="32232" xr:uid="{00000000-0005-0000-0000-00005D330000}"/>
    <cellStyle name="Normal 10 2 4 5 6" xfId="8117" xr:uid="{00000000-0005-0000-0000-00005E330000}"/>
    <cellStyle name="Normal 10 2 4 5 6 2" xfId="20507" xr:uid="{00000000-0005-0000-0000-00005F330000}"/>
    <cellStyle name="Normal 10 2 4 5 6 2 2" xfId="46060" xr:uid="{00000000-0005-0000-0000-000060330000}"/>
    <cellStyle name="Normal 10 2 4 5 6 3" xfId="33674" xr:uid="{00000000-0005-0000-0000-000061330000}"/>
    <cellStyle name="Normal 10 2 4 5 7" xfId="16197" xr:uid="{00000000-0005-0000-0000-000062330000}"/>
    <cellStyle name="Normal 10 2 4 5 7 2" xfId="41750" xr:uid="{00000000-0005-0000-0000-000063330000}"/>
    <cellStyle name="Normal 10 2 4 5 8" xfId="26990" xr:uid="{00000000-0005-0000-0000-000064330000}"/>
    <cellStyle name="Normal 10 2 4 6" xfId="2726" xr:uid="{00000000-0005-0000-0000-000065330000}"/>
    <cellStyle name="Normal 10 2 4 6 2" xfId="12043" xr:uid="{00000000-0005-0000-0000-000066330000}"/>
    <cellStyle name="Normal 10 2 4 6 2 2" xfId="22087" xr:uid="{00000000-0005-0000-0000-000067330000}"/>
    <cellStyle name="Normal 10 2 4 6 2 2 2" xfId="47640" xr:uid="{00000000-0005-0000-0000-000068330000}"/>
    <cellStyle name="Normal 10 2 4 6 2 3" xfId="37598" xr:uid="{00000000-0005-0000-0000-000069330000}"/>
    <cellStyle name="Normal 10 2 4 6 3" xfId="8605" xr:uid="{00000000-0005-0000-0000-00006A330000}"/>
    <cellStyle name="Normal 10 2 4 6 3 2" xfId="34162" xr:uid="{00000000-0005-0000-0000-00006B330000}"/>
    <cellStyle name="Normal 10 2 4 6 4" xfId="17080" xr:uid="{00000000-0005-0000-0000-00006C330000}"/>
    <cellStyle name="Normal 10 2 4 6 4 2" xfId="42633" xr:uid="{00000000-0005-0000-0000-00006D330000}"/>
    <cellStyle name="Normal 10 2 4 6 5" xfId="28570" xr:uid="{00000000-0005-0000-0000-00006E330000}"/>
    <cellStyle name="Normal 10 2 4 7" xfId="4172" xr:uid="{00000000-0005-0000-0000-00006F330000}"/>
    <cellStyle name="Normal 10 2 4 7 2" xfId="13010" xr:uid="{00000000-0005-0000-0000-000070330000}"/>
    <cellStyle name="Normal 10 2 4 7 2 2" xfId="23261" xr:uid="{00000000-0005-0000-0000-000071330000}"/>
    <cellStyle name="Normal 10 2 4 7 2 2 2" xfId="48814" xr:uid="{00000000-0005-0000-0000-000072330000}"/>
    <cellStyle name="Normal 10 2 4 7 2 3" xfId="38565" xr:uid="{00000000-0005-0000-0000-000073330000}"/>
    <cellStyle name="Normal 10 2 4 7 3" xfId="9431" xr:uid="{00000000-0005-0000-0000-000074330000}"/>
    <cellStyle name="Normal 10 2 4 7 3 2" xfId="34988" xr:uid="{00000000-0005-0000-0000-000075330000}"/>
    <cellStyle name="Normal 10 2 4 7 4" xfId="18254" xr:uid="{00000000-0005-0000-0000-000076330000}"/>
    <cellStyle name="Normal 10 2 4 7 4 2" xfId="43807" xr:uid="{00000000-0005-0000-0000-000077330000}"/>
    <cellStyle name="Normal 10 2 4 7 5" xfId="29744" xr:uid="{00000000-0005-0000-0000-000078330000}"/>
    <cellStyle name="Normal 10 2 4 8" xfId="1444" xr:uid="{00000000-0005-0000-0000-000079330000}"/>
    <cellStyle name="Normal 10 2 4 8 2" xfId="10821" xr:uid="{00000000-0005-0000-0000-00007A330000}"/>
    <cellStyle name="Normal 10 2 4 8 2 2" xfId="36376" xr:uid="{00000000-0005-0000-0000-00007B330000}"/>
    <cellStyle name="Normal 10 2 4 8 3" xfId="20825" xr:uid="{00000000-0005-0000-0000-00007C330000}"/>
    <cellStyle name="Normal 10 2 4 8 3 2" xfId="46378" xr:uid="{00000000-0005-0000-0000-00007D330000}"/>
    <cellStyle name="Normal 10 2 4 8 4" xfId="27308" xr:uid="{00000000-0005-0000-0000-00007E330000}"/>
    <cellStyle name="Normal 10 2 4 9" xfId="5628" xr:uid="{00000000-0005-0000-0000-00007F330000}"/>
    <cellStyle name="Normal 10 2 4 9 2" xfId="14455" xr:uid="{00000000-0005-0000-0000-000080330000}"/>
    <cellStyle name="Normal 10 2 4 9 2 2" xfId="40010" xr:uid="{00000000-0005-0000-0000-000081330000}"/>
    <cellStyle name="Normal 10 2 4 9 3" xfId="24706" xr:uid="{00000000-0005-0000-0000-000082330000}"/>
    <cellStyle name="Normal 10 2 4 9 3 2" xfId="50259" xr:uid="{00000000-0005-0000-0000-000083330000}"/>
    <cellStyle name="Normal 10 2 4 9 4" xfId="31189" xr:uid="{00000000-0005-0000-0000-000084330000}"/>
    <cellStyle name="Normal 10 2 4_Degree data" xfId="3878" xr:uid="{00000000-0005-0000-0000-000085330000}"/>
    <cellStyle name="Normal 10 2 5" xfId="452" xr:uid="{00000000-0005-0000-0000-000086330000}"/>
    <cellStyle name="Normal 10 2 5 10" xfId="26381" xr:uid="{00000000-0005-0000-0000-000087330000}"/>
    <cellStyle name="Normal 10 2 5 2" xfId="709" xr:uid="{00000000-0005-0000-0000-000088330000}"/>
    <cellStyle name="Normal 10 2 5 2 2" xfId="3195" xr:uid="{00000000-0005-0000-0000-000089330000}"/>
    <cellStyle name="Normal 10 2 5 2 2 2" xfId="12338" xr:uid="{00000000-0005-0000-0000-00008A330000}"/>
    <cellStyle name="Normal 10 2 5 2 2 2 2" xfId="22556" xr:uid="{00000000-0005-0000-0000-00008B330000}"/>
    <cellStyle name="Normal 10 2 5 2 2 2 2 2" xfId="48109" xr:uid="{00000000-0005-0000-0000-00008C330000}"/>
    <cellStyle name="Normal 10 2 5 2 2 2 3" xfId="37893" xr:uid="{00000000-0005-0000-0000-00008D330000}"/>
    <cellStyle name="Normal 10 2 5 2 2 3" xfId="8760" xr:uid="{00000000-0005-0000-0000-00008E330000}"/>
    <cellStyle name="Normal 10 2 5 2 2 3 2" xfId="34317" xr:uid="{00000000-0005-0000-0000-00008F330000}"/>
    <cellStyle name="Normal 10 2 5 2 2 4" xfId="17549" xr:uid="{00000000-0005-0000-0000-000090330000}"/>
    <cellStyle name="Normal 10 2 5 2 2 4 2" xfId="43102" xr:uid="{00000000-0005-0000-0000-000091330000}"/>
    <cellStyle name="Normal 10 2 5 2 2 5" xfId="29039" xr:uid="{00000000-0005-0000-0000-000092330000}"/>
    <cellStyle name="Normal 10 2 5 2 3" xfId="4524" xr:uid="{00000000-0005-0000-0000-000093330000}"/>
    <cellStyle name="Normal 10 2 5 2 3 2" xfId="13362" xr:uid="{00000000-0005-0000-0000-000094330000}"/>
    <cellStyle name="Normal 10 2 5 2 3 2 2" xfId="23613" xr:uid="{00000000-0005-0000-0000-000095330000}"/>
    <cellStyle name="Normal 10 2 5 2 3 2 2 2" xfId="49166" xr:uid="{00000000-0005-0000-0000-000096330000}"/>
    <cellStyle name="Normal 10 2 5 2 3 2 3" xfId="38917" xr:uid="{00000000-0005-0000-0000-000097330000}"/>
    <cellStyle name="Normal 10 2 5 2 3 3" xfId="9783" xr:uid="{00000000-0005-0000-0000-000098330000}"/>
    <cellStyle name="Normal 10 2 5 2 3 3 2" xfId="35340" xr:uid="{00000000-0005-0000-0000-000099330000}"/>
    <cellStyle name="Normal 10 2 5 2 3 4" xfId="18606" xr:uid="{00000000-0005-0000-0000-00009A330000}"/>
    <cellStyle name="Normal 10 2 5 2 3 4 2" xfId="44159" xr:uid="{00000000-0005-0000-0000-00009B330000}"/>
    <cellStyle name="Normal 10 2 5 2 3 5" xfId="30096" xr:uid="{00000000-0005-0000-0000-00009C330000}"/>
    <cellStyle name="Normal 10 2 5 2 4" xfId="2304" xr:uid="{00000000-0005-0000-0000-00009D330000}"/>
    <cellStyle name="Normal 10 2 5 2 4 2" xfId="11669" xr:uid="{00000000-0005-0000-0000-00009E330000}"/>
    <cellStyle name="Normal 10 2 5 2 4 2 2" xfId="37224" xr:uid="{00000000-0005-0000-0000-00009F330000}"/>
    <cellStyle name="Normal 10 2 5 2 4 3" xfId="21673" xr:uid="{00000000-0005-0000-0000-0000A0330000}"/>
    <cellStyle name="Normal 10 2 5 2 4 3 2" xfId="47226" xr:uid="{00000000-0005-0000-0000-0000A1330000}"/>
    <cellStyle name="Normal 10 2 5 2 4 4" xfId="28156" xr:uid="{00000000-0005-0000-0000-0000A2330000}"/>
    <cellStyle name="Normal 10 2 5 2 5" xfId="5980" xr:uid="{00000000-0005-0000-0000-0000A3330000}"/>
    <cellStyle name="Normal 10 2 5 2 5 2" xfId="14807" xr:uid="{00000000-0005-0000-0000-0000A4330000}"/>
    <cellStyle name="Normal 10 2 5 2 5 2 2" xfId="40362" xr:uid="{00000000-0005-0000-0000-0000A5330000}"/>
    <cellStyle name="Normal 10 2 5 2 5 3" xfId="25058" xr:uid="{00000000-0005-0000-0000-0000A6330000}"/>
    <cellStyle name="Normal 10 2 5 2 5 3 2" xfId="50611" xr:uid="{00000000-0005-0000-0000-0000A7330000}"/>
    <cellStyle name="Normal 10 2 5 2 5 4" xfId="31541" xr:uid="{00000000-0005-0000-0000-0000A8330000}"/>
    <cellStyle name="Normal 10 2 5 2 6" xfId="7424" xr:uid="{00000000-0005-0000-0000-0000A9330000}"/>
    <cellStyle name="Normal 10 2 5 2 6 2" xfId="20155" xr:uid="{00000000-0005-0000-0000-0000AA330000}"/>
    <cellStyle name="Normal 10 2 5 2 6 2 2" xfId="45708" xr:uid="{00000000-0005-0000-0000-0000AB330000}"/>
    <cellStyle name="Normal 10 2 5 2 6 3" xfId="32981" xr:uid="{00000000-0005-0000-0000-0000AC330000}"/>
    <cellStyle name="Normal 10 2 5 2 7" xfId="16666" xr:uid="{00000000-0005-0000-0000-0000AD330000}"/>
    <cellStyle name="Normal 10 2 5 2 7 2" xfId="42219" xr:uid="{00000000-0005-0000-0000-0000AE330000}"/>
    <cellStyle name="Normal 10 2 5 2 8" xfId="26638" xr:uid="{00000000-0005-0000-0000-0000AF330000}"/>
    <cellStyle name="Normal 10 2 5 3" xfId="1224" xr:uid="{00000000-0005-0000-0000-0000B0330000}"/>
    <cellStyle name="Normal 10 2 5 3 2" xfId="3653" xr:uid="{00000000-0005-0000-0000-0000B1330000}"/>
    <cellStyle name="Normal 10 2 5 3 2 2" xfId="12789" xr:uid="{00000000-0005-0000-0000-0000B2330000}"/>
    <cellStyle name="Normal 10 2 5 3 2 2 2" xfId="23008" xr:uid="{00000000-0005-0000-0000-0000B3330000}"/>
    <cellStyle name="Normal 10 2 5 3 2 2 2 2" xfId="48561" xr:uid="{00000000-0005-0000-0000-0000B4330000}"/>
    <cellStyle name="Normal 10 2 5 3 2 2 3" xfId="38344" xr:uid="{00000000-0005-0000-0000-0000B5330000}"/>
    <cellStyle name="Normal 10 2 5 3 2 3" xfId="9210" xr:uid="{00000000-0005-0000-0000-0000B6330000}"/>
    <cellStyle name="Normal 10 2 5 3 2 3 2" xfId="34767" xr:uid="{00000000-0005-0000-0000-0000B7330000}"/>
    <cellStyle name="Normal 10 2 5 3 2 4" xfId="18001" xr:uid="{00000000-0005-0000-0000-0000B8330000}"/>
    <cellStyle name="Normal 10 2 5 3 2 4 2" xfId="43554" xr:uid="{00000000-0005-0000-0000-0000B9330000}"/>
    <cellStyle name="Normal 10 2 5 3 2 5" xfId="29491" xr:uid="{00000000-0005-0000-0000-0000BA330000}"/>
    <cellStyle name="Normal 10 2 5 3 3" xfId="4873" xr:uid="{00000000-0005-0000-0000-0000BB330000}"/>
    <cellStyle name="Normal 10 2 5 3 3 2" xfId="13710" xr:uid="{00000000-0005-0000-0000-0000BC330000}"/>
    <cellStyle name="Normal 10 2 5 3 3 2 2" xfId="23961" xr:uid="{00000000-0005-0000-0000-0000BD330000}"/>
    <cellStyle name="Normal 10 2 5 3 3 2 2 2" xfId="49514" xr:uid="{00000000-0005-0000-0000-0000BE330000}"/>
    <cellStyle name="Normal 10 2 5 3 3 2 3" xfId="39265" xr:uid="{00000000-0005-0000-0000-0000BF330000}"/>
    <cellStyle name="Normal 10 2 5 3 3 3" xfId="10131" xr:uid="{00000000-0005-0000-0000-0000C0330000}"/>
    <cellStyle name="Normal 10 2 5 3 3 3 2" xfId="35688" xr:uid="{00000000-0005-0000-0000-0000C1330000}"/>
    <cellStyle name="Normal 10 2 5 3 3 4" xfId="18954" xr:uid="{00000000-0005-0000-0000-0000C2330000}"/>
    <cellStyle name="Normal 10 2 5 3 3 4 2" xfId="44507" xr:uid="{00000000-0005-0000-0000-0000C3330000}"/>
    <cellStyle name="Normal 10 2 5 3 3 5" xfId="30444" xr:uid="{00000000-0005-0000-0000-0000C4330000}"/>
    <cellStyle name="Normal 10 2 5 3 4" xfId="2047" xr:uid="{00000000-0005-0000-0000-0000C5330000}"/>
    <cellStyle name="Normal 10 2 5 3 4 2" xfId="11412" xr:uid="{00000000-0005-0000-0000-0000C6330000}"/>
    <cellStyle name="Normal 10 2 5 3 4 2 2" xfId="36967" xr:uid="{00000000-0005-0000-0000-0000C7330000}"/>
    <cellStyle name="Normal 10 2 5 3 4 3" xfId="21416" xr:uid="{00000000-0005-0000-0000-0000C8330000}"/>
    <cellStyle name="Normal 10 2 5 3 4 3 2" xfId="46969" xr:uid="{00000000-0005-0000-0000-0000C9330000}"/>
    <cellStyle name="Normal 10 2 5 3 4 4" xfId="27899" xr:uid="{00000000-0005-0000-0000-0000CA330000}"/>
    <cellStyle name="Normal 10 2 5 3 5" xfId="6328" xr:uid="{00000000-0005-0000-0000-0000CB330000}"/>
    <cellStyle name="Normal 10 2 5 3 5 2" xfId="15155" xr:uid="{00000000-0005-0000-0000-0000CC330000}"/>
    <cellStyle name="Normal 10 2 5 3 5 2 2" xfId="40710" xr:uid="{00000000-0005-0000-0000-0000CD330000}"/>
    <cellStyle name="Normal 10 2 5 3 5 3" xfId="25406" xr:uid="{00000000-0005-0000-0000-0000CE330000}"/>
    <cellStyle name="Normal 10 2 5 3 5 3 2" xfId="50959" xr:uid="{00000000-0005-0000-0000-0000CF330000}"/>
    <cellStyle name="Normal 10 2 5 3 5 4" xfId="31889" xr:uid="{00000000-0005-0000-0000-0000D0330000}"/>
    <cellStyle name="Normal 10 2 5 3 6" xfId="7774" xr:uid="{00000000-0005-0000-0000-0000D1330000}"/>
    <cellStyle name="Normal 10 2 5 3 6 2" xfId="20607" xr:uid="{00000000-0005-0000-0000-0000D2330000}"/>
    <cellStyle name="Normal 10 2 5 3 6 2 2" xfId="46160" xr:uid="{00000000-0005-0000-0000-0000D3330000}"/>
    <cellStyle name="Normal 10 2 5 3 6 3" xfId="33331" xr:uid="{00000000-0005-0000-0000-0000D4330000}"/>
    <cellStyle name="Normal 10 2 5 3 7" xfId="16409" xr:uid="{00000000-0005-0000-0000-0000D5330000}"/>
    <cellStyle name="Normal 10 2 5 3 7 2" xfId="41962" xr:uid="{00000000-0005-0000-0000-0000D6330000}"/>
    <cellStyle name="Normal 10 2 5 3 8" xfId="27090" xr:uid="{00000000-0005-0000-0000-0000D7330000}"/>
    <cellStyle name="Normal 10 2 5 4" xfId="2938" xr:uid="{00000000-0005-0000-0000-0000D8330000}"/>
    <cellStyle name="Normal 10 2 5 4 2" xfId="5316" xr:uid="{00000000-0005-0000-0000-0000D9330000}"/>
    <cellStyle name="Normal 10 2 5 4 2 2" xfId="14153" xr:uid="{00000000-0005-0000-0000-0000DA330000}"/>
    <cellStyle name="Normal 10 2 5 4 2 2 2" xfId="24404" xr:uid="{00000000-0005-0000-0000-0000DB330000}"/>
    <cellStyle name="Normal 10 2 5 4 2 2 2 2" xfId="49957" xr:uid="{00000000-0005-0000-0000-0000DC330000}"/>
    <cellStyle name="Normal 10 2 5 4 2 2 3" xfId="39708" xr:uid="{00000000-0005-0000-0000-0000DD330000}"/>
    <cellStyle name="Normal 10 2 5 4 2 3" xfId="10574" xr:uid="{00000000-0005-0000-0000-0000DE330000}"/>
    <cellStyle name="Normal 10 2 5 4 2 3 2" xfId="36131" xr:uid="{00000000-0005-0000-0000-0000DF330000}"/>
    <cellStyle name="Normal 10 2 5 4 2 4" xfId="19397" xr:uid="{00000000-0005-0000-0000-0000E0330000}"/>
    <cellStyle name="Normal 10 2 5 4 2 4 2" xfId="44950" xr:uid="{00000000-0005-0000-0000-0000E1330000}"/>
    <cellStyle name="Normal 10 2 5 4 2 5" xfId="30887" xr:uid="{00000000-0005-0000-0000-0000E2330000}"/>
    <cellStyle name="Normal 10 2 5 4 3" xfId="6771" xr:uid="{00000000-0005-0000-0000-0000E3330000}"/>
    <cellStyle name="Normal 10 2 5 4 3 2" xfId="15598" xr:uid="{00000000-0005-0000-0000-0000E4330000}"/>
    <cellStyle name="Normal 10 2 5 4 3 2 2" xfId="41153" xr:uid="{00000000-0005-0000-0000-0000E5330000}"/>
    <cellStyle name="Normal 10 2 5 4 3 3" xfId="25849" xr:uid="{00000000-0005-0000-0000-0000E6330000}"/>
    <cellStyle name="Normal 10 2 5 4 3 3 2" xfId="51402" xr:uid="{00000000-0005-0000-0000-0000E7330000}"/>
    <cellStyle name="Normal 10 2 5 4 3 4" xfId="32332" xr:uid="{00000000-0005-0000-0000-0000E8330000}"/>
    <cellStyle name="Normal 10 2 5 4 4" xfId="8217" xr:uid="{00000000-0005-0000-0000-0000E9330000}"/>
    <cellStyle name="Normal 10 2 5 4 4 2" xfId="22299" xr:uid="{00000000-0005-0000-0000-0000EA330000}"/>
    <cellStyle name="Normal 10 2 5 4 4 2 2" xfId="47852" xr:uid="{00000000-0005-0000-0000-0000EB330000}"/>
    <cellStyle name="Normal 10 2 5 4 4 3" xfId="33774" xr:uid="{00000000-0005-0000-0000-0000EC330000}"/>
    <cellStyle name="Normal 10 2 5 4 5" xfId="17292" xr:uid="{00000000-0005-0000-0000-0000ED330000}"/>
    <cellStyle name="Normal 10 2 5 4 5 2" xfId="42845" xr:uid="{00000000-0005-0000-0000-0000EE330000}"/>
    <cellStyle name="Normal 10 2 5 4 6" xfId="28782" xr:uid="{00000000-0005-0000-0000-0000EF330000}"/>
    <cellStyle name="Normal 10 2 5 5" xfId="4272" xr:uid="{00000000-0005-0000-0000-0000F0330000}"/>
    <cellStyle name="Normal 10 2 5 5 2" xfId="13110" xr:uid="{00000000-0005-0000-0000-0000F1330000}"/>
    <cellStyle name="Normal 10 2 5 5 2 2" xfId="23361" xr:uid="{00000000-0005-0000-0000-0000F2330000}"/>
    <cellStyle name="Normal 10 2 5 5 2 2 2" xfId="48914" xr:uid="{00000000-0005-0000-0000-0000F3330000}"/>
    <cellStyle name="Normal 10 2 5 5 2 3" xfId="38665" xr:uid="{00000000-0005-0000-0000-0000F4330000}"/>
    <cellStyle name="Normal 10 2 5 5 3" xfId="9531" xr:uid="{00000000-0005-0000-0000-0000F5330000}"/>
    <cellStyle name="Normal 10 2 5 5 3 2" xfId="35088" xr:uid="{00000000-0005-0000-0000-0000F6330000}"/>
    <cellStyle name="Normal 10 2 5 5 4" xfId="18354" xr:uid="{00000000-0005-0000-0000-0000F7330000}"/>
    <cellStyle name="Normal 10 2 5 5 4 2" xfId="43907" xr:uid="{00000000-0005-0000-0000-0000F8330000}"/>
    <cellStyle name="Normal 10 2 5 5 5" xfId="29844" xr:uid="{00000000-0005-0000-0000-0000F9330000}"/>
    <cellStyle name="Normal 10 2 5 6" xfId="1544" xr:uid="{00000000-0005-0000-0000-0000FA330000}"/>
    <cellStyle name="Normal 10 2 5 6 2" xfId="10921" xr:uid="{00000000-0005-0000-0000-0000FB330000}"/>
    <cellStyle name="Normal 10 2 5 6 2 2" xfId="36476" xr:uid="{00000000-0005-0000-0000-0000FC330000}"/>
    <cellStyle name="Normal 10 2 5 6 3" xfId="20925" xr:uid="{00000000-0005-0000-0000-0000FD330000}"/>
    <cellStyle name="Normal 10 2 5 6 3 2" xfId="46478" xr:uid="{00000000-0005-0000-0000-0000FE330000}"/>
    <cellStyle name="Normal 10 2 5 6 4" xfId="27408" xr:uid="{00000000-0005-0000-0000-0000FF330000}"/>
    <cellStyle name="Normal 10 2 5 7" xfId="5728" xr:uid="{00000000-0005-0000-0000-000000340000}"/>
    <cellStyle name="Normal 10 2 5 7 2" xfId="14555" xr:uid="{00000000-0005-0000-0000-000001340000}"/>
    <cellStyle name="Normal 10 2 5 7 2 2" xfId="40110" xr:uid="{00000000-0005-0000-0000-000002340000}"/>
    <cellStyle name="Normal 10 2 5 7 3" xfId="24806" xr:uid="{00000000-0005-0000-0000-000003340000}"/>
    <cellStyle name="Normal 10 2 5 7 3 2" xfId="50359" xr:uid="{00000000-0005-0000-0000-000004340000}"/>
    <cellStyle name="Normal 10 2 5 7 4" xfId="31289" xr:uid="{00000000-0005-0000-0000-000005340000}"/>
    <cellStyle name="Normal 10 2 5 8" xfId="7172" xr:uid="{00000000-0005-0000-0000-000006340000}"/>
    <cellStyle name="Normal 10 2 5 8 2" xfId="19898" xr:uid="{00000000-0005-0000-0000-000007340000}"/>
    <cellStyle name="Normal 10 2 5 8 2 2" xfId="45451" xr:uid="{00000000-0005-0000-0000-000008340000}"/>
    <cellStyle name="Normal 10 2 5 8 3" xfId="32729" xr:uid="{00000000-0005-0000-0000-000009340000}"/>
    <cellStyle name="Normal 10 2 5 9" xfId="15918" xr:uid="{00000000-0005-0000-0000-00000A340000}"/>
    <cellStyle name="Normal 10 2 5 9 2" xfId="41471" xr:uid="{00000000-0005-0000-0000-00000B340000}"/>
    <cellStyle name="Normal 10 2 5_Degree data" xfId="3821" xr:uid="{00000000-0005-0000-0000-00000C340000}"/>
    <cellStyle name="Normal 10 2 6" xfId="307" xr:uid="{00000000-0005-0000-0000-00000D340000}"/>
    <cellStyle name="Normal 10 2 6 10" xfId="26236" xr:uid="{00000000-0005-0000-0000-00000E340000}"/>
    <cellStyle name="Normal 10 2 6 2" xfId="710" xr:uid="{00000000-0005-0000-0000-00000F340000}"/>
    <cellStyle name="Normal 10 2 6 2 2" xfId="3196" xr:uid="{00000000-0005-0000-0000-000010340000}"/>
    <cellStyle name="Normal 10 2 6 2 2 2" xfId="12339" xr:uid="{00000000-0005-0000-0000-000011340000}"/>
    <cellStyle name="Normal 10 2 6 2 2 2 2" xfId="22557" xr:uid="{00000000-0005-0000-0000-000012340000}"/>
    <cellStyle name="Normal 10 2 6 2 2 2 2 2" xfId="48110" xr:uid="{00000000-0005-0000-0000-000013340000}"/>
    <cellStyle name="Normal 10 2 6 2 2 2 3" xfId="37894" xr:uid="{00000000-0005-0000-0000-000014340000}"/>
    <cellStyle name="Normal 10 2 6 2 2 3" xfId="8761" xr:uid="{00000000-0005-0000-0000-000015340000}"/>
    <cellStyle name="Normal 10 2 6 2 2 3 2" xfId="34318" xr:uid="{00000000-0005-0000-0000-000016340000}"/>
    <cellStyle name="Normal 10 2 6 2 2 4" xfId="17550" xr:uid="{00000000-0005-0000-0000-000017340000}"/>
    <cellStyle name="Normal 10 2 6 2 2 4 2" xfId="43103" xr:uid="{00000000-0005-0000-0000-000018340000}"/>
    <cellStyle name="Normal 10 2 6 2 2 5" xfId="29040" xr:uid="{00000000-0005-0000-0000-000019340000}"/>
    <cellStyle name="Normal 10 2 6 2 3" xfId="4525" xr:uid="{00000000-0005-0000-0000-00001A340000}"/>
    <cellStyle name="Normal 10 2 6 2 3 2" xfId="13363" xr:uid="{00000000-0005-0000-0000-00001B340000}"/>
    <cellStyle name="Normal 10 2 6 2 3 2 2" xfId="23614" xr:uid="{00000000-0005-0000-0000-00001C340000}"/>
    <cellStyle name="Normal 10 2 6 2 3 2 2 2" xfId="49167" xr:uid="{00000000-0005-0000-0000-00001D340000}"/>
    <cellStyle name="Normal 10 2 6 2 3 2 3" xfId="38918" xr:uid="{00000000-0005-0000-0000-00001E340000}"/>
    <cellStyle name="Normal 10 2 6 2 3 3" xfId="9784" xr:uid="{00000000-0005-0000-0000-00001F340000}"/>
    <cellStyle name="Normal 10 2 6 2 3 3 2" xfId="35341" xr:uid="{00000000-0005-0000-0000-000020340000}"/>
    <cellStyle name="Normal 10 2 6 2 3 4" xfId="18607" xr:uid="{00000000-0005-0000-0000-000021340000}"/>
    <cellStyle name="Normal 10 2 6 2 3 4 2" xfId="44160" xr:uid="{00000000-0005-0000-0000-000022340000}"/>
    <cellStyle name="Normal 10 2 6 2 3 5" xfId="30097" xr:uid="{00000000-0005-0000-0000-000023340000}"/>
    <cellStyle name="Normal 10 2 6 2 4" xfId="2305" xr:uid="{00000000-0005-0000-0000-000024340000}"/>
    <cellStyle name="Normal 10 2 6 2 4 2" xfId="11670" xr:uid="{00000000-0005-0000-0000-000025340000}"/>
    <cellStyle name="Normal 10 2 6 2 4 2 2" xfId="37225" xr:uid="{00000000-0005-0000-0000-000026340000}"/>
    <cellStyle name="Normal 10 2 6 2 4 3" xfId="21674" xr:uid="{00000000-0005-0000-0000-000027340000}"/>
    <cellStyle name="Normal 10 2 6 2 4 3 2" xfId="47227" xr:uid="{00000000-0005-0000-0000-000028340000}"/>
    <cellStyle name="Normal 10 2 6 2 4 4" xfId="28157" xr:uid="{00000000-0005-0000-0000-000029340000}"/>
    <cellStyle name="Normal 10 2 6 2 5" xfId="5981" xr:uid="{00000000-0005-0000-0000-00002A340000}"/>
    <cellStyle name="Normal 10 2 6 2 5 2" xfId="14808" xr:uid="{00000000-0005-0000-0000-00002B340000}"/>
    <cellStyle name="Normal 10 2 6 2 5 2 2" xfId="40363" xr:uid="{00000000-0005-0000-0000-00002C340000}"/>
    <cellStyle name="Normal 10 2 6 2 5 3" xfId="25059" xr:uid="{00000000-0005-0000-0000-00002D340000}"/>
    <cellStyle name="Normal 10 2 6 2 5 3 2" xfId="50612" xr:uid="{00000000-0005-0000-0000-00002E340000}"/>
    <cellStyle name="Normal 10 2 6 2 5 4" xfId="31542" xr:uid="{00000000-0005-0000-0000-00002F340000}"/>
    <cellStyle name="Normal 10 2 6 2 6" xfId="7425" xr:uid="{00000000-0005-0000-0000-000030340000}"/>
    <cellStyle name="Normal 10 2 6 2 6 2" xfId="20156" xr:uid="{00000000-0005-0000-0000-000031340000}"/>
    <cellStyle name="Normal 10 2 6 2 6 2 2" xfId="45709" xr:uid="{00000000-0005-0000-0000-000032340000}"/>
    <cellStyle name="Normal 10 2 6 2 6 3" xfId="32982" xr:uid="{00000000-0005-0000-0000-000033340000}"/>
    <cellStyle name="Normal 10 2 6 2 7" xfId="16667" xr:uid="{00000000-0005-0000-0000-000034340000}"/>
    <cellStyle name="Normal 10 2 6 2 7 2" xfId="42220" xr:uid="{00000000-0005-0000-0000-000035340000}"/>
    <cellStyle name="Normal 10 2 6 2 8" xfId="26639" xr:uid="{00000000-0005-0000-0000-000036340000}"/>
    <cellStyle name="Normal 10 2 6 3" xfId="1079" xr:uid="{00000000-0005-0000-0000-000037340000}"/>
    <cellStyle name="Normal 10 2 6 3 2" xfId="3508" xr:uid="{00000000-0005-0000-0000-000038340000}"/>
    <cellStyle name="Normal 10 2 6 3 2 2" xfId="12644" xr:uid="{00000000-0005-0000-0000-000039340000}"/>
    <cellStyle name="Normal 10 2 6 3 2 2 2" xfId="22863" xr:uid="{00000000-0005-0000-0000-00003A340000}"/>
    <cellStyle name="Normal 10 2 6 3 2 2 2 2" xfId="48416" xr:uid="{00000000-0005-0000-0000-00003B340000}"/>
    <cellStyle name="Normal 10 2 6 3 2 2 3" xfId="38199" xr:uid="{00000000-0005-0000-0000-00003C340000}"/>
    <cellStyle name="Normal 10 2 6 3 2 3" xfId="9066" xr:uid="{00000000-0005-0000-0000-00003D340000}"/>
    <cellStyle name="Normal 10 2 6 3 2 3 2" xfId="34623" xr:uid="{00000000-0005-0000-0000-00003E340000}"/>
    <cellStyle name="Normal 10 2 6 3 2 4" xfId="17856" xr:uid="{00000000-0005-0000-0000-00003F340000}"/>
    <cellStyle name="Normal 10 2 6 3 2 4 2" xfId="43409" xr:uid="{00000000-0005-0000-0000-000040340000}"/>
    <cellStyle name="Normal 10 2 6 3 2 5" xfId="29346" xr:uid="{00000000-0005-0000-0000-000041340000}"/>
    <cellStyle name="Normal 10 2 6 3 3" xfId="4874" xr:uid="{00000000-0005-0000-0000-000042340000}"/>
    <cellStyle name="Normal 10 2 6 3 3 2" xfId="13711" xr:uid="{00000000-0005-0000-0000-000043340000}"/>
    <cellStyle name="Normal 10 2 6 3 3 2 2" xfId="23962" xr:uid="{00000000-0005-0000-0000-000044340000}"/>
    <cellStyle name="Normal 10 2 6 3 3 2 2 2" xfId="49515" xr:uid="{00000000-0005-0000-0000-000045340000}"/>
    <cellStyle name="Normal 10 2 6 3 3 2 3" xfId="39266" xr:uid="{00000000-0005-0000-0000-000046340000}"/>
    <cellStyle name="Normal 10 2 6 3 3 3" xfId="10132" xr:uid="{00000000-0005-0000-0000-000047340000}"/>
    <cellStyle name="Normal 10 2 6 3 3 3 2" xfId="35689" xr:uid="{00000000-0005-0000-0000-000048340000}"/>
    <cellStyle name="Normal 10 2 6 3 3 4" xfId="18955" xr:uid="{00000000-0005-0000-0000-000049340000}"/>
    <cellStyle name="Normal 10 2 6 3 3 4 2" xfId="44508" xr:uid="{00000000-0005-0000-0000-00004A340000}"/>
    <cellStyle name="Normal 10 2 6 3 3 5" xfId="30445" xr:uid="{00000000-0005-0000-0000-00004B340000}"/>
    <cellStyle name="Normal 10 2 6 3 4" xfId="2583" xr:uid="{00000000-0005-0000-0000-00004C340000}"/>
    <cellStyle name="Normal 10 2 6 3 4 2" xfId="11947" xr:uid="{00000000-0005-0000-0000-00004D340000}"/>
    <cellStyle name="Normal 10 2 6 3 4 2 2" xfId="37502" xr:uid="{00000000-0005-0000-0000-00004E340000}"/>
    <cellStyle name="Normal 10 2 6 3 4 3" xfId="21951" xr:uid="{00000000-0005-0000-0000-00004F340000}"/>
    <cellStyle name="Normal 10 2 6 3 4 3 2" xfId="47504" xr:uid="{00000000-0005-0000-0000-000050340000}"/>
    <cellStyle name="Normal 10 2 6 3 4 4" xfId="28434" xr:uid="{00000000-0005-0000-0000-000051340000}"/>
    <cellStyle name="Normal 10 2 6 3 5" xfId="6329" xr:uid="{00000000-0005-0000-0000-000052340000}"/>
    <cellStyle name="Normal 10 2 6 3 5 2" xfId="15156" xr:uid="{00000000-0005-0000-0000-000053340000}"/>
    <cellStyle name="Normal 10 2 6 3 5 2 2" xfId="40711" xr:uid="{00000000-0005-0000-0000-000054340000}"/>
    <cellStyle name="Normal 10 2 6 3 5 3" xfId="25407" xr:uid="{00000000-0005-0000-0000-000055340000}"/>
    <cellStyle name="Normal 10 2 6 3 5 3 2" xfId="50960" xr:uid="{00000000-0005-0000-0000-000056340000}"/>
    <cellStyle name="Normal 10 2 6 3 5 4" xfId="31890" xr:uid="{00000000-0005-0000-0000-000057340000}"/>
    <cellStyle name="Normal 10 2 6 3 6" xfId="7775" xr:uid="{00000000-0005-0000-0000-000058340000}"/>
    <cellStyle name="Normal 10 2 6 3 6 2" xfId="20462" xr:uid="{00000000-0005-0000-0000-000059340000}"/>
    <cellStyle name="Normal 10 2 6 3 6 2 2" xfId="46015" xr:uid="{00000000-0005-0000-0000-00005A340000}"/>
    <cellStyle name="Normal 10 2 6 3 6 3" xfId="33332" xr:uid="{00000000-0005-0000-0000-00005B340000}"/>
    <cellStyle name="Normal 10 2 6 3 7" xfId="16944" xr:uid="{00000000-0005-0000-0000-00005C340000}"/>
    <cellStyle name="Normal 10 2 6 3 7 2" xfId="42497" xr:uid="{00000000-0005-0000-0000-00005D340000}"/>
    <cellStyle name="Normal 10 2 6 3 8" xfId="26945" xr:uid="{00000000-0005-0000-0000-00005E340000}"/>
    <cellStyle name="Normal 10 2 6 4" xfId="2793" xr:uid="{00000000-0005-0000-0000-00005F340000}"/>
    <cellStyle name="Normal 10 2 6 4 2" xfId="5171" xr:uid="{00000000-0005-0000-0000-000060340000}"/>
    <cellStyle name="Normal 10 2 6 4 2 2" xfId="14008" xr:uid="{00000000-0005-0000-0000-000061340000}"/>
    <cellStyle name="Normal 10 2 6 4 2 2 2" xfId="24259" xr:uid="{00000000-0005-0000-0000-000062340000}"/>
    <cellStyle name="Normal 10 2 6 4 2 2 2 2" xfId="49812" xr:uid="{00000000-0005-0000-0000-000063340000}"/>
    <cellStyle name="Normal 10 2 6 4 2 2 3" xfId="39563" xr:uid="{00000000-0005-0000-0000-000064340000}"/>
    <cellStyle name="Normal 10 2 6 4 2 3" xfId="10429" xr:uid="{00000000-0005-0000-0000-000065340000}"/>
    <cellStyle name="Normal 10 2 6 4 2 3 2" xfId="35986" xr:uid="{00000000-0005-0000-0000-000066340000}"/>
    <cellStyle name="Normal 10 2 6 4 2 4" xfId="19252" xr:uid="{00000000-0005-0000-0000-000067340000}"/>
    <cellStyle name="Normal 10 2 6 4 2 4 2" xfId="44805" xr:uid="{00000000-0005-0000-0000-000068340000}"/>
    <cellStyle name="Normal 10 2 6 4 2 5" xfId="30742" xr:uid="{00000000-0005-0000-0000-000069340000}"/>
    <cellStyle name="Normal 10 2 6 4 3" xfId="6626" xr:uid="{00000000-0005-0000-0000-00006A340000}"/>
    <cellStyle name="Normal 10 2 6 4 3 2" xfId="15453" xr:uid="{00000000-0005-0000-0000-00006B340000}"/>
    <cellStyle name="Normal 10 2 6 4 3 2 2" xfId="41008" xr:uid="{00000000-0005-0000-0000-00006C340000}"/>
    <cellStyle name="Normal 10 2 6 4 3 3" xfId="25704" xr:uid="{00000000-0005-0000-0000-00006D340000}"/>
    <cellStyle name="Normal 10 2 6 4 3 3 2" xfId="51257" xr:uid="{00000000-0005-0000-0000-00006E340000}"/>
    <cellStyle name="Normal 10 2 6 4 3 4" xfId="32187" xr:uid="{00000000-0005-0000-0000-00006F340000}"/>
    <cellStyle name="Normal 10 2 6 4 4" xfId="8072" xr:uid="{00000000-0005-0000-0000-000070340000}"/>
    <cellStyle name="Normal 10 2 6 4 4 2" xfId="22154" xr:uid="{00000000-0005-0000-0000-000071340000}"/>
    <cellStyle name="Normal 10 2 6 4 4 2 2" xfId="47707" xr:uid="{00000000-0005-0000-0000-000072340000}"/>
    <cellStyle name="Normal 10 2 6 4 4 3" xfId="33629" xr:uid="{00000000-0005-0000-0000-000073340000}"/>
    <cellStyle name="Normal 10 2 6 4 5" xfId="17147" xr:uid="{00000000-0005-0000-0000-000074340000}"/>
    <cellStyle name="Normal 10 2 6 4 5 2" xfId="42700" xr:uid="{00000000-0005-0000-0000-000075340000}"/>
    <cellStyle name="Normal 10 2 6 4 6" xfId="28637" xr:uid="{00000000-0005-0000-0000-000076340000}"/>
    <cellStyle name="Normal 10 2 6 5" xfId="4125" xr:uid="{00000000-0005-0000-0000-000077340000}"/>
    <cellStyle name="Normal 10 2 6 5 2" xfId="12963" xr:uid="{00000000-0005-0000-0000-000078340000}"/>
    <cellStyle name="Normal 10 2 6 5 2 2" xfId="23214" xr:uid="{00000000-0005-0000-0000-000079340000}"/>
    <cellStyle name="Normal 10 2 6 5 2 2 2" xfId="48767" xr:uid="{00000000-0005-0000-0000-00007A340000}"/>
    <cellStyle name="Normal 10 2 6 5 2 3" xfId="38518" xr:uid="{00000000-0005-0000-0000-00007B340000}"/>
    <cellStyle name="Normal 10 2 6 5 3" xfId="9384" xr:uid="{00000000-0005-0000-0000-00007C340000}"/>
    <cellStyle name="Normal 10 2 6 5 3 2" xfId="34941" xr:uid="{00000000-0005-0000-0000-00007D340000}"/>
    <cellStyle name="Normal 10 2 6 5 4" xfId="18207" xr:uid="{00000000-0005-0000-0000-00007E340000}"/>
    <cellStyle name="Normal 10 2 6 5 4 2" xfId="43760" xr:uid="{00000000-0005-0000-0000-00007F340000}"/>
    <cellStyle name="Normal 10 2 6 5 5" xfId="29697" xr:uid="{00000000-0005-0000-0000-000080340000}"/>
    <cellStyle name="Normal 10 2 6 6" xfId="1902" xr:uid="{00000000-0005-0000-0000-000081340000}"/>
    <cellStyle name="Normal 10 2 6 6 2" xfId="11267" xr:uid="{00000000-0005-0000-0000-000082340000}"/>
    <cellStyle name="Normal 10 2 6 6 2 2" xfId="36822" xr:uid="{00000000-0005-0000-0000-000083340000}"/>
    <cellStyle name="Normal 10 2 6 6 3" xfId="21271" xr:uid="{00000000-0005-0000-0000-000084340000}"/>
    <cellStyle name="Normal 10 2 6 6 3 2" xfId="46824" xr:uid="{00000000-0005-0000-0000-000085340000}"/>
    <cellStyle name="Normal 10 2 6 6 4" xfId="27754" xr:uid="{00000000-0005-0000-0000-000086340000}"/>
    <cellStyle name="Normal 10 2 6 7" xfId="5583" xr:uid="{00000000-0005-0000-0000-000087340000}"/>
    <cellStyle name="Normal 10 2 6 7 2" xfId="14410" xr:uid="{00000000-0005-0000-0000-000088340000}"/>
    <cellStyle name="Normal 10 2 6 7 2 2" xfId="39965" xr:uid="{00000000-0005-0000-0000-000089340000}"/>
    <cellStyle name="Normal 10 2 6 7 3" xfId="24661" xr:uid="{00000000-0005-0000-0000-00008A340000}"/>
    <cellStyle name="Normal 10 2 6 7 3 2" xfId="50214" xr:uid="{00000000-0005-0000-0000-00008B340000}"/>
    <cellStyle name="Normal 10 2 6 7 4" xfId="31144" xr:uid="{00000000-0005-0000-0000-00008C340000}"/>
    <cellStyle name="Normal 10 2 6 8" xfId="7027" xr:uid="{00000000-0005-0000-0000-00008D340000}"/>
    <cellStyle name="Normal 10 2 6 8 2" xfId="19753" xr:uid="{00000000-0005-0000-0000-00008E340000}"/>
    <cellStyle name="Normal 10 2 6 8 2 2" xfId="45306" xr:uid="{00000000-0005-0000-0000-00008F340000}"/>
    <cellStyle name="Normal 10 2 6 8 3" xfId="32584" xr:uid="{00000000-0005-0000-0000-000090340000}"/>
    <cellStyle name="Normal 10 2 6 9" xfId="16264" xr:uid="{00000000-0005-0000-0000-000091340000}"/>
    <cellStyle name="Normal 10 2 6 9 2" xfId="41817" xr:uid="{00000000-0005-0000-0000-000092340000}"/>
    <cellStyle name="Normal 10 2 6_Degree data" xfId="3886" xr:uid="{00000000-0005-0000-0000-000093340000}"/>
    <cellStyle name="Normal 10 2 7" xfId="698" xr:uid="{00000000-0005-0000-0000-000094340000}"/>
    <cellStyle name="Normal 10 2 7 2" xfId="3184" xr:uid="{00000000-0005-0000-0000-000095340000}"/>
    <cellStyle name="Normal 10 2 7 2 2" xfId="12327" xr:uid="{00000000-0005-0000-0000-000096340000}"/>
    <cellStyle name="Normal 10 2 7 2 2 2" xfId="22545" xr:uid="{00000000-0005-0000-0000-000097340000}"/>
    <cellStyle name="Normal 10 2 7 2 2 2 2" xfId="48098" xr:uid="{00000000-0005-0000-0000-000098340000}"/>
    <cellStyle name="Normal 10 2 7 2 2 3" xfId="37882" xr:uid="{00000000-0005-0000-0000-000099340000}"/>
    <cellStyle name="Normal 10 2 7 2 3" xfId="8749" xr:uid="{00000000-0005-0000-0000-00009A340000}"/>
    <cellStyle name="Normal 10 2 7 2 3 2" xfId="34306" xr:uid="{00000000-0005-0000-0000-00009B340000}"/>
    <cellStyle name="Normal 10 2 7 2 4" xfId="17538" xr:uid="{00000000-0005-0000-0000-00009C340000}"/>
    <cellStyle name="Normal 10 2 7 2 4 2" xfId="43091" xr:uid="{00000000-0005-0000-0000-00009D340000}"/>
    <cellStyle name="Normal 10 2 7 2 5" xfId="29028" xr:uid="{00000000-0005-0000-0000-00009E340000}"/>
    <cellStyle name="Normal 10 2 7 3" xfId="4513" xr:uid="{00000000-0005-0000-0000-00009F340000}"/>
    <cellStyle name="Normal 10 2 7 3 2" xfId="13351" xr:uid="{00000000-0005-0000-0000-0000A0340000}"/>
    <cellStyle name="Normal 10 2 7 3 2 2" xfId="23602" xr:uid="{00000000-0005-0000-0000-0000A1340000}"/>
    <cellStyle name="Normal 10 2 7 3 2 2 2" xfId="49155" xr:uid="{00000000-0005-0000-0000-0000A2340000}"/>
    <cellStyle name="Normal 10 2 7 3 2 3" xfId="38906" xr:uid="{00000000-0005-0000-0000-0000A3340000}"/>
    <cellStyle name="Normal 10 2 7 3 3" xfId="9772" xr:uid="{00000000-0005-0000-0000-0000A4340000}"/>
    <cellStyle name="Normal 10 2 7 3 3 2" xfId="35329" xr:uid="{00000000-0005-0000-0000-0000A5340000}"/>
    <cellStyle name="Normal 10 2 7 3 4" xfId="18595" xr:uid="{00000000-0005-0000-0000-0000A6340000}"/>
    <cellStyle name="Normal 10 2 7 3 4 2" xfId="44148" xr:uid="{00000000-0005-0000-0000-0000A7340000}"/>
    <cellStyle name="Normal 10 2 7 3 5" xfId="30085" xr:uid="{00000000-0005-0000-0000-0000A8340000}"/>
    <cellStyle name="Normal 10 2 7 4" xfId="2293" xr:uid="{00000000-0005-0000-0000-0000A9340000}"/>
    <cellStyle name="Normal 10 2 7 4 2" xfId="11658" xr:uid="{00000000-0005-0000-0000-0000AA340000}"/>
    <cellStyle name="Normal 10 2 7 4 2 2" xfId="37213" xr:uid="{00000000-0005-0000-0000-0000AB340000}"/>
    <cellStyle name="Normal 10 2 7 4 3" xfId="21662" xr:uid="{00000000-0005-0000-0000-0000AC340000}"/>
    <cellStyle name="Normal 10 2 7 4 3 2" xfId="47215" xr:uid="{00000000-0005-0000-0000-0000AD340000}"/>
    <cellStyle name="Normal 10 2 7 4 4" xfId="28145" xr:uid="{00000000-0005-0000-0000-0000AE340000}"/>
    <cellStyle name="Normal 10 2 7 5" xfId="5969" xr:uid="{00000000-0005-0000-0000-0000AF340000}"/>
    <cellStyle name="Normal 10 2 7 5 2" xfId="14796" xr:uid="{00000000-0005-0000-0000-0000B0340000}"/>
    <cellStyle name="Normal 10 2 7 5 2 2" xfId="40351" xr:uid="{00000000-0005-0000-0000-0000B1340000}"/>
    <cellStyle name="Normal 10 2 7 5 3" xfId="25047" xr:uid="{00000000-0005-0000-0000-0000B2340000}"/>
    <cellStyle name="Normal 10 2 7 5 3 2" xfId="50600" xr:uid="{00000000-0005-0000-0000-0000B3340000}"/>
    <cellStyle name="Normal 10 2 7 5 4" xfId="31530" xr:uid="{00000000-0005-0000-0000-0000B4340000}"/>
    <cellStyle name="Normal 10 2 7 6" xfId="7413" xr:uid="{00000000-0005-0000-0000-0000B5340000}"/>
    <cellStyle name="Normal 10 2 7 6 2" xfId="20144" xr:uid="{00000000-0005-0000-0000-0000B6340000}"/>
    <cellStyle name="Normal 10 2 7 6 2 2" xfId="45697" xr:uid="{00000000-0005-0000-0000-0000B7340000}"/>
    <cellStyle name="Normal 10 2 7 6 3" xfId="32970" xr:uid="{00000000-0005-0000-0000-0000B8340000}"/>
    <cellStyle name="Normal 10 2 7 7" xfId="16655" xr:uid="{00000000-0005-0000-0000-0000B9340000}"/>
    <cellStyle name="Normal 10 2 7 7 2" xfId="42208" xr:uid="{00000000-0005-0000-0000-0000BA340000}"/>
    <cellStyle name="Normal 10 2 7 8" xfId="26627" xr:uid="{00000000-0005-0000-0000-0000BB340000}"/>
    <cellStyle name="Normal 10 2 8" xfId="1059" xr:uid="{00000000-0005-0000-0000-0000BC340000}"/>
    <cellStyle name="Normal 10 2 8 2" xfId="3488" xr:uid="{00000000-0005-0000-0000-0000BD340000}"/>
    <cellStyle name="Normal 10 2 8 2 2" xfId="12624" xr:uid="{00000000-0005-0000-0000-0000BE340000}"/>
    <cellStyle name="Normal 10 2 8 2 2 2" xfId="22843" xr:uid="{00000000-0005-0000-0000-0000BF340000}"/>
    <cellStyle name="Normal 10 2 8 2 2 2 2" xfId="48396" xr:uid="{00000000-0005-0000-0000-0000C0340000}"/>
    <cellStyle name="Normal 10 2 8 2 2 3" xfId="38179" xr:uid="{00000000-0005-0000-0000-0000C1340000}"/>
    <cellStyle name="Normal 10 2 8 2 3" xfId="9046" xr:uid="{00000000-0005-0000-0000-0000C2340000}"/>
    <cellStyle name="Normal 10 2 8 2 3 2" xfId="34603" xr:uid="{00000000-0005-0000-0000-0000C3340000}"/>
    <cellStyle name="Normal 10 2 8 2 4" xfId="17836" xr:uid="{00000000-0005-0000-0000-0000C4340000}"/>
    <cellStyle name="Normal 10 2 8 2 4 2" xfId="43389" xr:uid="{00000000-0005-0000-0000-0000C5340000}"/>
    <cellStyle name="Normal 10 2 8 2 5" xfId="29326" xr:uid="{00000000-0005-0000-0000-0000C6340000}"/>
    <cellStyle name="Normal 10 2 8 3" xfId="4862" xr:uid="{00000000-0005-0000-0000-0000C7340000}"/>
    <cellStyle name="Normal 10 2 8 3 2" xfId="13699" xr:uid="{00000000-0005-0000-0000-0000C8340000}"/>
    <cellStyle name="Normal 10 2 8 3 2 2" xfId="23950" xr:uid="{00000000-0005-0000-0000-0000C9340000}"/>
    <cellStyle name="Normal 10 2 8 3 2 2 2" xfId="49503" xr:uid="{00000000-0005-0000-0000-0000CA340000}"/>
    <cellStyle name="Normal 10 2 8 3 2 3" xfId="39254" xr:uid="{00000000-0005-0000-0000-0000CB340000}"/>
    <cellStyle name="Normal 10 2 8 3 3" xfId="10120" xr:uid="{00000000-0005-0000-0000-0000CC340000}"/>
    <cellStyle name="Normal 10 2 8 3 3 2" xfId="35677" xr:uid="{00000000-0005-0000-0000-0000CD340000}"/>
    <cellStyle name="Normal 10 2 8 3 4" xfId="18943" xr:uid="{00000000-0005-0000-0000-0000CE340000}"/>
    <cellStyle name="Normal 10 2 8 3 4 2" xfId="44496" xr:uid="{00000000-0005-0000-0000-0000CF340000}"/>
    <cellStyle name="Normal 10 2 8 3 5" xfId="30433" xr:uid="{00000000-0005-0000-0000-0000D0340000}"/>
    <cellStyle name="Normal 10 2 8 4" xfId="1720" xr:uid="{00000000-0005-0000-0000-0000D1340000}"/>
    <cellStyle name="Normal 10 2 8 4 2" xfId="11094" xr:uid="{00000000-0005-0000-0000-0000D2340000}"/>
    <cellStyle name="Normal 10 2 8 4 2 2" xfId="36649" xr:uid="{00000000-0005-0000-0000-0000D3340000}"/>
    <cellStyle name="Normal 10 2 8 4 3" xfId="21098" xr:uid="{00000000-0005-0000-0000-0000D4340000}"/>
    <cellStyle name="Normal 10 2 8 4 3 2" xfId="46651" xr:uid="{00000000-0005-0000-0000-0000D5340000}"/>
    <cellStyle name="Normal 10 2 8 4 4" xfId="27581" xr:uid="{00000000-0005-0000-0000-0000D6340000}"/>
    <cellStyle name="Normal 10 2 8 5" xfId="6317" xr:uid="{00000000-0005-0000-0000-0000D7340000}"/>
    <cellStyle name="Normal 10 2 8 5 2" xfId="15144" xr:uid="{00000000-0005-0000-0000-0000D8340000}"/>
    <cellStyle name="Normal 10 2 8 5 2 2" xfId="40699" xr:uid="{00000000-0005-0000-0000-0000D9340000}"/>
    <cellStyle name="Normal 10 2 8 5 3" xfId="25395" xr:uid="{00000000-0005-0000-0000-0000DA340000}"/>
    <cellStyle name="Normal 10 2 8 5 3 2" xfId="50948" xr:uid="{00000000-0005-0000-0000-0000DB340000}"/>
    <cellStyle name="Normal 10 2 8 5 4" xfId="31878" xr:uid="{00000000-0005-0000-0000-0000DC340000}"/>
    <cellStyle name="Normal 10 2 8 6" xfId="7763" xr:uid="{00000000-0005-0000-0000-0000DD340000}"/>
    <cellStyle name="Normal 10 2 8 6 2" xfId="20442" xr:uid="{00000000-0005-0000-0000-0000DE340000}"/>
    <cellStyle name="Normal 10 2 8 6 2 2" xfId="45995" xr:uid="{00000000-0005-0000-0000-0000DF340000}"/>
    <cellStyle name="Normal 10 2 8 6 3" xfId="33320" xr:uid="{00000000-0005-0000-0000-0000E0340000}"/>
    <cellStyle name="Normal 10 2 8 7" xfId="16091" xr:uid="{00000000-0005-0000-0000-0000E1340000}"/>
    <cellStyle name="Normal 10 2 8 7 2" xfId="41644" xr:uid="{00000000-0005-0000-0000-0000E2340000}"/>
    <cellStyle name="Normal 10 2 8 8" xfId="26925" xr:uid="{00000000-0005-0000-0000-0000E3340000}"/>
    <cellStyle name="Normal 10 2 9" xfId="2618" xr:uid="{00000000-0005-0000-0000-0000E4340000}"/>
    <cellStyle name="Normal 10 2 9 2" xfId="5151" xr:uid="{00000000-0005-0000-0000-0000E5340000}"/>
    <cellStyle name="Normal 10 2 9 2 2" xfId="13988" xr:uid="{00000000-0005-0000-0000-0000E6340000}"/>
    <cellStyle name="Normal 10 2 9 2 2 2" xfId="24239" xr:uid="{00000000-0005-0000-0000-0000E7340000}"/>
    <cellStyle name="Normal 10 2 9 2 2 2 2" xfId="49792" xr:uid="{00000000-0005-0000-0000-0000E8340000}"/>
    <cellStyle name="Normal 10 2 9 2 2 3" xfId="39543" xr:uid="{00000000-0005-0000-0000-0000E9340000}"/>
    <cellStyle name="Normal 10 2 9 2 3" xfId="10409" xr:uid="{00000000-0005-0000-0000-0000EA340000}"/>
    <cellStyle name="Normal 10 2 9 2 3 2" xfId="35966" xr:uid="{00000000-0005-0000-0000-0000EB340000}"/>
    <cellStyle name="Normal 10 2 9 2 4" xfId="19232" xr:uid="{00000000-0005-0000-0000-0000EC340000}"/>
    <cellStyle name="Normal 10 2 9 2 4 2" xfId="44785" xr:uid="{00000000-0005-0000-0000-0000ED340000}"/>
    <cellStyle name="Normal 10 2 9 2 5" xfId="30722" xr:uid="{00000000-0005-0000-0000-0000EE340000}"/>
    <cellStyle name="Normal 10 2 9 3" xfId="6606" xr:uid="{00000000-0005-0000-0000-0000EF340000}"/>
    <cellStyle name="Normal 10 2 9 3 2" xfId="15433" xr:uid="{00000000-0005-0000-0000-0000F0340000}"/>
    <cellStyle name="Normal 10 2 9 3 2 2" xfId="40988" xr:uid="{00000000-0005-0000-0000-0000F1340000}"/>
    <cellStyle name="Normal 10 2 9 3 3" xfId="25684" xr:uid="{00000000-0005-0000-0000-0000F2340000}"/>
    <cellStyle name="Normal 10 2 9 3 3 2" xfId="51237" xr:uid="{00000000-0005-0000-0000-0000F3340000}"/>
    <cellStyle name="Normal 10 2 9 3 4" xfId="32167" xr:uid="{00000000-0005-0000-0000-0000F4340000}"/>
    <cellStyle name="Normal 10 2 9 4" xfId="8052" xr:uid="{00000000-0005-0000-0000-0000F5340000}"/>
    <cellStyle name="Normal 10 2 9 4 2" xfId="21981" xr:uid="{00000000-0005-0000-0000-0000F6340000}"/>
    <cellStyle name="Normal 10 2 9 4 2 2" xfId="47534" xr:uid="{00000000-0005-0000-0000-0000F7340000}"/>
    <cellStyle name="Normal 10 2 9 4 3" xfId="33609" xr:uid="{00000000-0005-0000-0000-0000F8340000}"/>
    <cellStyle name="Normal 10 2 9 5" xfId="16974" xr:uid="{00000000-0005-0000-0000-0000F9340000}"/>
    <cellStyle name="Normal 10 2 9 5 2" xfId="42527" xr:uid="{00000000-0005-0000-0000-0000FA340000}"/>
    <cellStyle name="Normal 10 2 9 6" xfId="28464" xr:uid="{00000000-0005-0000-0000-0000FB340000}"/>
    <cellStyle name="Normal 10 2_Degree data" xfId="3862" xr:uid="{00000000-0005-0000-0000-0000FC340000}"/>
    <cellStyle name="Normal 10 3" xfId="95" xr:uid="{00000000-0005-0000-0000-0000FD340000}"/>
    <cellStyle name="Normal 10 3 2" xfId="151" xr:uid="{00000000-0005-0000-0000-0000FE340000}"/>
    <cellStyle name="Normal 10 3 2 10" xfId="7043" xr:uid="{00000000-0005-0000-0000-0000FF340000}"/>
    <cellStyle name="Normal 10 3 2 10 2" xfId="32600" xr:uid="{00000000-0005-0000-0000-000000350000}"/>
    <cellStyle name="Normal 10 3 2 11" xfId="15789" xr:uid="{00000000-0005-0000-0000-000001350000}"/>
    <cellStyle name="Normal 10 3 2 11 2" xfId="41342" xr:uid="{00000000-0005-0000-0000-000002350000}"/>
    <cellStyle name="Normal 10 3 2 2" xfId="263" xr:uid="{00000000-0005-0000-0000-000003350000}"/>
    <cellStyle name="Normal 10 3 2 3" xfId="216" xr:uid="{00000000-0005-0000-0000-000004350000}"/>
    <cellStyle name="Normal 10 3 2 3 10" xfId="16007" xr:uid="{00000000-0005-0000-0000-000005350000}"/>
    <cellStyle name="Normal 10 3 2 3 10 2" xfId="41560" xr:uid="{00000000-0005-0000-0000-000006350000}"/>
    <cellStyle name="Normal 10 3 2 3 11" xfId="26153" xr:uid="{00000000-0005-0000-0000-000007350000}"/>
    <cellStyle name="Normal 10 3 2 3 2" xfId="541" xr:uid="{00000000-0005-0000-0000-000008350000}"/>
    <cellStyle name="Normal 10 3 2 3 2 2" xfId="3027" xr:uid="{00000000-0005-0000-0000-000009350000}"/>
    <cellStyle name="Normal 10 3 2 3 2 2 2" xfId="12215" xr:uid="{00000000-0005-0000-0000-00000A350000}"/>
    <cellStyle name="Normal 10 3 2 3 2 2 2 2" xfId="22388" xr:uid="{00000000-0005-0000-0000-00000B350000}"/>
    <cellStyle name="Normal 10 3 2 3 2 2 2 2 2" xfId="47941" xr:uid="{00000000-0005-0000-0000-00000C350000}"/>
    <cellStyle name="Normal 10 3 2 3 2 2 2 3" xfId="37770" xr:uid="{00000000-0005-0000-0000-00000D350000}"/>
    <cellStyle name="Normal 10 3 2 3 2 2 3" xfId="8378" xr:uid="{00000000-0005-0000-0000-00000E350000}"/>
    <cellStyle name="Normal 10 3 2 3 2 2 3 2" xfId="33935" xr:uid="{00000000-0005-0000-0000-00000F350000}"/>
    <cellStyle name="Normal 10 3 2 3 2 2 4" xfId="17381" xr:uid="{00000000-0005-0000-0000-000010350000}"/>
    <cellStyle name="Normal 10 3 2 3 2 2 4 2" xfId="42934" xr:uid="{00000000-0005-0000-0000-000011350000}"/>
    <cellStyle name="Normal 10 3 2 3 2 2 5" xfId="28871" xr:uid="{00000000-0005-0000-0000-000012350000}"/>
    <cellStyle name="Normal 10 3 2 3 2 3" xfId="4527" xr:uid="{00000000-0005-0000-0000-000013350000}"/>
    <cellStyle name="Normal 10 3 2 3 2 3 2" xfId="13365" xr:uid="{00000000-0005-0000-0000-000014350000}"/>
    <cellStyle name="Normal 10 3 2 3 2 3 2 2" xfId="23616" xr:uid="{00000000-0005-0000-0000-000015350000}"/>
    <cellStyle name="Normal 10 3 2 3 2 3 2 2 2" xfId="49169" xr:uid="{00000000-0005-0000-0000-000016350000}"/>
    <cellStyle name="Normal 10 3 2 3 2 3 2 3" xfId="38920" xr:uid="{00000000-0005-0000-0000-000017350000}"/>
    <cellStyle name="Normal 10 3 2 3 2 3 3" xfId="9786" xr:uid="{00000000-0005-0000-0000-000018350000}"/>
    <cellStyle name="Normal 10 3 2 3 2 3 3 2" xfId="35343" xr:uid="{00000000-0005-0000-0000-000019350000}"/>
    <cellStyle name="Normal 10 3 2 3 2 3 4" xfId="18609" xr:uid="{00000000-0005-0000-0000-00001A350000}"/>
    <cellStyle name="Normal 10 3 2 3 2 3 4 2" xfId="44162" xr:uid="{00000000-0005-0000-0000-00001B350000}"/>
    <cellStyle name="Normal 10 3 2 3 2 3 5" xfId="30099" xr:uid="{00000000-0005-0000-0000-00001C350000}"/>
    <cellStyle name="Normal 10 3 2 3 2 4" xfId="2136" xr:uid="{00000000-0005-0000-0000-00001D350000}"/>
    <cellStyle name="Normal 10 3 2 3 2 4 2" xfId="11501" xr:uid="{00000000-0005-0000-0000-00001E350000}"/>
    <cellStyle name="Normal 10 3 2 3 2 4 2 2" xfId="37056" xr:uid="{00000000-0005-0000-0000-00001F350000}"/>
    <cellStyle name="Normal 10 3 2 3 2 4 3" xfId="21505" xr:uid="{00000000-0005-0000-0000-000020350000}"/>
    <cellStyle name="Normal 10 3 2 3 2 4 3 2" xfId="47058" xr:uid="{00000000-0005-0000-0000-000021350000}"/>
    <cellStyle name="Normal 10 3 2 3 2 4 4" xfId="27988" xr:uid="{00000000-0005-0000-0000-000022350000}"/>
    <cellStyle name="Normal 10 3 2 3 2 5" xfId="5983" xr:uid="{00000000-0005-0000-0000-000023350000}"/>
    <cellStyle name="Normal 10 3 2 3 2 5 2" xfId="14810" xr:uid="{00000000-0005-0000-0000-000024350000}"/>
    <cellStyle name="Normal 10 3 2 3 2 5 2 2" xfId="40365" xr:uid="{00000000-0005-0000-0000-000025350000}"/>
    <cellStyle name="Normal 10 3 2 3 2 5 3" xfId="25061" xr:uid="{00000000-0005-0000-0000-000026350000}"/>
    <cellStyle name="Normal 10 3 2 3 2 5 3 2" xfId="50614" xr:uid="{00000000-0005-0000-0000-000027350000}"/>
    <cellStyle name="Normal 10 3 2 3 2 5 4" xfId="31544" xr:uid="{00000000-0005-0000-0000-000028350000}"/>
    <cellStyle name="Normal 10 3 2 3 2 6" xfId="7427" xr:uid="{00000000-0005-0000-0000-000029350000}"/>
    <cellStyle name="Normal 10 3 2 3 2 6 2" xfId="19987" xr:uid="{00000000-0005-0000-0000-00002A350000}"/>
    <cellStyle name="Normal 10 3 2 3 2 6 2 2" xfId="45540" xr:uid="{00000000-0005-0000-0000-00002B350000}"/>
    <cellStyle name="Normal 10 3 2 3 2 6 3" xfId="32984" xr:uid="{00000000-0005-0000-0000-00002C350000}"/>
    <cellStyle name="Normal 10 3 2 3 2 7" xfId="16498" xr:uid="{00000000-0005-0000-0000-00002D350000}"/>
    <cellStyle name="Normal 10 3 2 3 2 7 2" xfId="42051" xr:uid="{00000000-0005-0000-0000-00002E350000}"/>
    <cellStyle name="Normal 10 3 2 3 2 8" xfId="26470" xr:uid="{00000000-0005-0000-0000-00002F350000}"/>
    <cellStyle name="Normal 10 3 2 3 3" xfId="712" xr:uid="{00000000-0005-0000-0000-000030350000}"/>
    <cellStyle name="Normal 10 3 2 3 3 2" xfId="3198" xr:uid="{00000000-0005-0000-0000-000031350000}"/>
    <cellStyle name="Normal 10 3 2 3 3 2 2" xfId="12341" xr:uid="{00000000-0005-0000-0000-000032350000}"/>
    <cellStyle name="Normal 10 3 2 3 3 2 2 2" xfId="22559" xr:uid="{00000000-0005-0000-0000-000033350000}"/>
    <cellStyle name="Normal 10 3 2 3 3 2 2 2 2" xfId="48112" xr:uid="{00000000-0005-0000-0000-000034350000}"/>
    <cellStyle name="Normal 10 3 2 3 3 2 2 3" xfId="37896" xr:uid="{00000000-0005-0000-0000-000035350000}"/>
    <cellStyle name="Normal 10 3 2 3 3 2 3" xfId="8763" xr:uid="{00000000-0005-0000-0000-000036350000}"/>
    <cellStyle name="Normal 10 3 2 3 3 2 3 2" xfId="34320" xr:uid="{00000000-0005-0000-0000-000037350000}"/>
    <cellStyle name="Normal 10 3 2 3 3 2 4" xfId="17552" xr:uid="{00000000-0005-0000-0000-000038350000}"/>
    <cellStyle name="Normal 10 3 2 3 3 2 4 2" xfId="43105" xr:uid="{00000000-0005-0000-0000-000039350000}"/>
    <cellStyle name="Normal 10 3 2 3 3 2 5" xfId="29042" xr:uid="{00000000-0005-0000-0000-00003A350000}"/>
    <cellStyle name="Normal 10 3 2 3 3 3" xfId="4876" xr:uid="{00000000-0005-0000-0000-00003B350000}"/>
    <cellStyle name="Normal 10 3 2 3 3 3 2" xfId="13713" xr:uid="{00000000-0005-0000-0000-00003C350000}"/>
    <cellStyle name="Normal 10 3 2 3 3 3 2 2" xfId="23964" xr:uid="{00000000-0005-0000-0000-00003D350000}"/>
    <cellStyle name="Normal 10 3 2 3 3 3 2 2 2" xfId="49517" xr:uid="{00000000-0005-0000-0000-00003E350000}"/>
    <cellStyle name="Normal 10 3 2 3 3 3 2 3" xfId="39268" xr:uid="{00000000-0005-0000-0000-00003F350000}"/>
    <cellStyle name="Normal 10 3 2 3 3 3 3" xfId="10134" xr:uid="{00000000-0005-0000-0000-000040350000}"/>
    <cellStyle name="Normal 10 3 2 3 3 3 3 2" xfId="35691" xr:uid="{00000000-0005-0000-0000-000041350000}"/>
    <cellStyle name="Normal 10 3 2 3 3 3 4" xfId="18957" xr:uid="{00000000-0005-0000-0000-000042350000}"/>
    <cellStyle name="Normal 10 3 2 3 3 3 4 2" xfId="44510" xr:uid="{00000000-0005-0000-0000-000043350000}"/>
    <cellStyle name="Normal 10 3 2 3 3 3 5" xfId="30447" xr:uid="{00000000-0005-0000-0000-000044350000}"/>
    <cellStyle name="Normal 10 3 2 3 3 4" xfId="2307" xr:uid="{00000000-0005-0000-0000-000045350000}"/>
    <cellStyle name="Normal 10 3 2 3 3 4 2" xfId="11672" xr:uid="{00000000-0005-0000-0000-000046350000}"/>
    <cellStyle name="Normal 10 3 2 3 3 4 2 2" xfId="37227" xr:uid="{00000000-0005-0000-0000-000047350000}"/>
    <cellStyle name="Normal 10 3 2 3 3 4 3" xfId="21676" xr:uid="{00000000-0005-0000-0000-000048350000}"/>
    <cellStyle name="Normal 10 3 2 3 3 4 3 2" xfId="47229" xr:uid="{00000000-0005-0000-0000-000049350000}"/>
    <cellStyle name="Normal 10 3 2 3 3 4 4" xfId="28159" xr:uid="{00000000-0005-0000-0000-00004A350000}"/>
    <cellStyle name="Normal 10 3 2 3 3 5" xfId="6331" xr:uid="{00000000-0005-0000-0000-00004B350000}"/>
    <cellStyle name="Normal 10 3 2 3 3 5 2" xfId="15158" xr:uid="{00000000-0005-0000-0000-00004C350000}"/>
    <cellStyle name="Normal 10 3 2 3 3 5 2 2" xfId="40713" xr:uid="{00000000-0005-0000-0000-00004D350000}"/>
    <cellStyle name="Normal 10 3 2 3 3 5 3" xfId="25409" xr:uid="{00000000-0005-0000-0000-00004E350000}"/>
    <cellStyle name="Normal 10 3 2 3 3 5 3 2" xfId="50962" xr:uid="{00000000-0005-0000-0000-00004F350000}"/>
    <cellStyle name="Normal 10 3 2 3 3 5 4" xfId="31892" xr:uid="{00000000-0005-0000-0000-000050350000}"/>
    <cellStyle name="Normal 10 3 2 3 3 6" xfId="7777" xr:uid="{00000000-0005-0000-0000-000051350000}"/>
    <cellStyle name="Normal 10 3 2 3 3 6 2" xfId="20158" xr:uid="{00000000-0005-0000-0000-000052350000}"/>
    <cellStyle name="Normal 10 3 2 3 3 6 2 2" xfId="45711" xr:uid="{00000000-0005-0000-0000-000053350000}"/>
    <cellStyle name="Normal 10 3 2 3 3 6 3" xfId="33334" xr:uid="{00000000-0005-0000-0000-000054350000}"/>
    <cellStyle name="Normal 10 3 2 3 3 7" xfId="16669" xr:uid="{00000000-0005-0000-0000-000055350000}"/>
    <cellStyle name="Normal 10 3 2 3 3 7 2" xfId="42222" xr:uid="{00000000-0005-0000-0000-000056350000}"/>
    <cellStyle name="Normal 10 3 2 3 3 8" xfId="26641" xr:uid="{00000000-0005-0000-0000-000057350000}"/>
    <cellStyle name="Normal 10 3 2 3 4" xfId="1313" xr:uid="{00000000-0005-0000-0000-000058350000}"/>
    <cellStyle name="Normal 10 3 2 3 4 2" xfId="3742" xr:uid="{00000000-0005-0000-0000-000059350000}"/>
    <cellStyle name="Normal 10 3 2 3 4 2 2" xfId="12878" xr:uid="{00000000-0005-0000-0000-00005A350000}"/>
    <cellStyle name="Normal 10 3 2 3 4 2 2 2" xfId="23097" xr:uid="{00000000-0005-0000-0000-00005B350000}"/>
    <cellStyle name="Normal 10 3 2 3 4 2 2 2 2" xfId="48650" xr:uid="{00000000-0005-0000-0000-00005C350000}"/>
    <cellStyle name="Normal 10 3 2 3 4 2 2 3" xfId="38433" xr:uid="{00000000-0005-0000-0000-00005D350000}"/>
    <cellStyle name="Normal 10 3 2 3 4 2 3" xfId="9299" xr:uid="{00000000-0005-0000-0000-00005E350000}"/>
    <cellStyle name="Normal 10 3 2 3 4 2 3 2" xfId="34856" xr:uid="{00000000-0005-0000-0000-00005F350000}"/>
    <cellStyle name="Normal 10 3 2 3 4 2 4" xfId="18090" xr:uid="{00000000-0005-0000-0000-000060350000}"/>
    <cellStyle name="Normal 10 3 2 3 4 2 4 2" xfId="43643" xr:uid="{00000000-0005-0000-0000-000061350000}"/>
    <cellStyle name="Normal 10 3 2 3 4 2 5" xfId="29580" xr:uid="{00000000-0005-0000-0000-000062350000}"/>
    <cellStyle name="Normal 10 3 2 3 4 3" xfId="5405" xr:uid="{00000000-0005-0000-0000-000063350000}"/>
    <cellStyle name="Normal 10 3 2 3 4 3 2" xfId="14242" xr:uid="{00000000-0005-0000-0000-000064350000}"/>
    <cellStyle name="Normal 10 3 2 3 4 3 2 2" xfId="24493" xr:uid="{00000000-0005-0000-0000-000065350000}"/>
    <cellStyle name="Normal 10 3 2 3 4 3 2 2 2" xfId="50046" xr:uid="{00000000-0005-0000-0000-000066350000}"/>
    <cellStyle name="Normal 10 3 2 3 4 3 2 3" xfId="39797" xr:uid="{00000000-0005-0000-0000-000067350000}"/>
    <cellStyle name="Normal 10 3 2 3 4 3 3" xfId="10663" xr:uid="{00000000-0005-0000-0000-000068350000}"/>
    <cellStyle name="Normal 10 3 2 3 4 3 3 2" xfId="36220" xr:uid="{00000000-0005-0000-0000-000069350000}"/>
    <cellStyle name="Normal 10 3 2 3 4 3 4" xfId="19486" xr:uid="{00000000-0005-0000-0000-00006A350000}"/>
    <cellStyle name="Normal 10 3 2 3 4 3 4 2" xfId="45039" xr:uid="{00000000-0005-0000-0000-00006B350000}"/>
    <cellStyle name="Normal 10 3 2 3 4 3 5" xfId="30976" xr:uid="{00000000-0005-0000-0000-00006C350000}"/>
    <cellStyle name="Normal 10 3 2 3 4 4" xfId="1816" xr:uid="{00000000-0005-0000-0000-00006D350000}"/>
    <cellStyle name="Normal 10 3 2 3 4 4 2" xfId="11184" xr:uid="{00000000-0005-0000-0000-00006E350000}"/>
    <cellStyle name="Normal 10 3 2 3 4 4 2 2" xfId="36739" xr:uid="{00000000-0005-0000-0000-00006F350000}"/>
    <cellStyle name="Normal 10 3 2 3 4 4 3" xfId="21188" xr:uid="{00000000-0005-0000-0000-000070350000}"/>
    <cellStyle name="Normal 10 3 2 3 4 4 3 2" xfId="46741" xr:uid="{00000000-0005-0000-0000-000071350000}"/>
    <cellStyle name="Normal 10 3 2 3 4 4 4" xfId="27671" xr:uid="{00000000-0005-0000-0000-000072350000}"/>
    <cellStyle name="Normal 10 3 2 3 4 5" xfId="6860" xr:uid="{00000000-0005-0000-0000-000073350000}"/>
    <cellStyle name="Normal 10 3 2 3 4 5 2" xfId="15687" xr:uid="{00000000-0005-0000-0000-000074350000}"/>
    <cellStyle name="Normal 10 3 2 3 4 5 2 2" xfId="41242" xr:uid="{00000000-0005-0000-0000-000075350000}"/>
    <cellStyle name="Normal 10 3 2 3 4 5 3" xfId="25938" xr:uid="{00000000-0005-0000-0000-000076350000}"/>
    <cellStyle name="Normal 10 3 2 3 4 5 3 2" xfId="51491" xr:uid="{00000000-0005-0000-0000-000077350000}"/>
    <cellStyle name="Normal 10 3 2 3 4 5 4" xfId="32421" xr:uid="{00000000-0005-0000-0000-000078350000}"/>
    <cellStyle name="Normal 10 3 2 3 4 6" xfId="8306" xr:uid="{00000000-0005-0000-0000-000079350000}"/>
    <cellStyle name="Normal 10 3 2 3 4 6 2" xfId="20696" xr:uid="{00000000-0005-0000-0000-00007A350000}"/>
    <cellStyle name="Normal 10 3 2 3 4 6 2 2" xfId="46249" xr:uid="{00000000-0005-0000-0000-00007B350000}"/>
    <cellStyle name="Normal 10 3 2 3 4 6 3" xfId="33863" xr:uid="{00000000-0005-0000-0000-00007C350000}"/>
    <cellStyle name="Normal 10 3 2 3 4 7" xfId="16181" xr:uid="{00000000-0005-0000-0000-00007D350000}"/>
    <cellStyle name="Normal 10 3 2 3 4 7 2" xfId="41734" xr:uid="{00000000-0005-0000-0000-00007E350000}"/>
    <cellStyle name="Normal 10 3 2 3 4 8" xfId="27179" xr:uid="{00000000-0005-0000-0000-00007F350000}"/>
    <cellStyle name="Normal 10 3 2 3 5" xfId="2710" xr:uid="{00000000-0005-0000-0000-000080350000}"/>
    <cellStyle name="Normal 10 3 2 3 5 2" xfId="12027" xr:uid="{00000000-0005-0000-0000-000081350000}"/>
    <cellStyle name="Normal 10 3 2 3 5 2 2" xfId="22071" xr:uid="{00000000-0005-0000-0000-000082350000}"/>
    <cellStyle name="Normal 10 3 2 3 5 2 2 2" xfId="47624" xr:uid="{00000000-0005-0000-0000-000083350000}"/>
    <cellStyle name="Normal 10 3 2 3 5 2 3" xfId="37582" xr:uid="{00000000-0005-0000-0000-000084350000}"/>
    <cellStyle name="Normal 10 3 2 3 5 3" xfId="8579" xr:uid="{00000000-0005-0000-0000-000085350000}"/>
    <cellStyle name="Normal 10 3 2 3 5 3 2" xfId="34136" xr:uid="{00000000-0005-0000-0000-000086350000}"/>
    <cellStyle name="Normal 10 3 2 3 5 4" xfId="17064" xr:uid="{00000000-0005-0000-0000-000087350000}"/>
    <cellStyle name="Normal 10 3 2 3 5 4 2" xfId="42617" xr:uid="{00000000-0005-0000-0000-000088350000}"/>
    <cellStyle name="Normal 10 3 2 3 5 5" xfId="28554" xr:uid="{00000000-0005-0000-0000-000089350000}"/>
    <cellStyle name="Normal 10 3 2 3 6" xfId="4361" xr:uid="{00000000-0005-0000-0000-00008A350000}"/>
    <cellStyle name="Normal 10 3 2 3 6 2" xfId="13199" xr:uid="{00000000-0005-0000-0000-00008B350000}"/>
    <cellStyle name="Normal 10 3 2 3 6 2 2" xfId="23450" xr:uid="{00000000-0005-0000-0000-00008C350000}"/>
    <cellStyle name="Normal 10 3 2 3 6 2 2 2" xfId="49003" xr:uid="{00000000-0005-0000-0000-00008D350000}"/>
    <cellStyle name="Normal 10 3 2 3 6 2 3" xfId="38754" xr:uid="{00000000-0005-0000-0000-00008E350000}"/>
    <cellStyle name="Normal 10 3 2 3 6 3" xfId="9620" xr:uid="{00000000-0005-0000-0000-00008F350000}"/>
    <cellStyle name="Normal 10 3 2 3 6 3 2" xfId="35177" xr:uid="{00000000-0005-0000-0000-000090350000}"/>
    <cellStyle name="Normal 10 3 2 3 6 4" xfId="18443" xr:uid="{00000000-0005-0000-0000-000091350000}"/>
    <cellStyle name="Normal 10 3 2 3 6 4 2" xfId="43996" xr:uid="{00000000-0005-0000-0000-000092350000}"/>
    <cellStyle name="Normal 10 3 2 3 6 5" xfId="29933" xr:uid="{00000000-0005-0000-0000-000093350000}"/>
    <cellStyle name="Normal 10 3 2 3 7" xfId="1633" xr:uid="{00000000-0005-0000-0000-000094350000}"/>
    <cellStyle name="Normal 10 3 2 3 7 2" xfId="11010" xr:uid="{00000000-0005-0000-0000-000095350000}"/>
    <cellStyle name="Normal 10 3 2 3 7 2 2" xfId="36565" xr:uid="{00000000-0005-0000-0000-000096350000}"/>
    <cellStyle name="Normal 10 3 2 3 7 3" xfId="21014" xr:uid="{00000000-0005-0000-0000-000097350000}"/>
    <cellStyle name="Normal 10 3 2 3 7 3 2" xfId="46567" xr:uid="{00000000-0005-0000-0000-000098350000}"/>
    <cellStyle name="Normal 10 3 2 3 7 4" xfId="27497" xr:uid="{00000000-0005-0000-0000-000099350000}"/>
    <cellStyle name="Normal 10 3 2 3 8" xfId="5817" xr:uid="{00000000-0005-0000-0000-00009A350000}"/>
    <cellStyle name="Normal 10 3 2 3 8 2" xfId="14644" xr:uid="{00000000-0005-0000-0000-00009B350000}"/>
    <cellStyle name="Normal 10 3 2 3 8 2 2" xfId="40199" xr:uid="{00000000-0005-0000-0000-00009C350000}"/>
    <cellStyle name="Normal 10 3 2 3 8 3" xfId="24895" xr:uid="{00000000-0005-0000-0000-00009D350000}"/>
    <cellStyle name="Normal 10 3 2 3 8 3 2" xfId="50448" xr:uid="{00000000-0005-0000-0000-00009E350000}"/>
    <cellStyle name="Normal 10 3 2 3 8 4" xfId="31378" xr:uid="{00000000-0005-0000-0000-00009F350000}"/>
    <cellStyle name="Normal 10 3 2 3 9" xfId="7261" xr:uid="{00000000-0005-0000-0000-0000A0350000}"/>
    <cellStyle name="Normal 10 3 2 3 9 2" xfId="19670" xr:uid="{00000000-0005-0000-0000-0000A1350000}"/>
    <cellStyle name="Normal 10 3 2 3 9 2 2" xfId="45223" xr:uid="{00000000-0005-0000-0000-0000A2350000}"/>
    <cellStyle name="Normal 10 3 2 3 9 3" xfId="32818" xr:uid="{00000000-0005-0000-0000-0000A3350000}"/>
    <cellStyle name="Normal 10 3 2 3_Degree data" xfId="3831" xr:uid="{00000000-0005-0000-0000-0000A4350000}"/>
    <cellStyle name="Normal 10 3 2 4" xfId="323" xr:uid="{00000000-0005-0000-0000-0000A5350000}"/>
    <cellStyle name="Normal 10 3 2 4 2" xfId="2809" xr:uid="{00000000-0005-0000-0000-0000A6350000}"/>
    <cellStyle name="Normal 10 3 2 4 2 2" xfId="12109" xr:uid="{00000000-0005-0000-0000-0000A7350000}"/>
    <cellStyle name="Normal 10 3 2 4 2 2 2" xfId="22170" xr:uid="{00000000-0005-0000-0000-0000A8350000}"/>
    <cellStyle name="Normal 10 3 2 4 2 2 2 2" xfId="47723" xr:uid="{00000000-0005-0000-0000-0000A9350000}"/>
    <cellStyle name="Normal 10 3 2 4 2 2 3" xfId="37664" xr:uid="{00000000-0005-0000-0000-0000AA350000}"/>
    <cellStyle name="Normal 10 3 2 4 2 3" xfId="8531" xr:uid="{00000000-0005-0000-0000-0000AB350000}"/>
    <cellStyle name="Normal 10 3 2 4 2 3 2" xfId="34088" xr:uid="{00000000-0005-0000-0000-0000AC350000}"/>
    <cellStyle name="Normal 10 3 2 4 2 4" xfId="17163" xr:uid="{00000000-0005-0000-0000-0000AD350000}"/>
    <cellStyle name="Normal 10 3 2 4 2 4 2" xfId="42716" xr:uid="{00000000-0005-0000-0000-0000AE350000}"/>
    <cellStyle name="Normal 10 3 2 4 2 5" xfId="28653" xr:uid="{00000000-0005-0000-0000-0000AF350000}"/>
    <cellStyle name="Normal 10 3 2 4 3" xfId="4526" xr:uid="{00000000-0005-0000-0000-0000B0350000}"/>
    <cellStyle name="Normal 10 3 2 4 3 2" xfId="13364" xr:uid="{00000000-0005-0000-0000-0000B1350000}"/>
    <cellStyle name="Normal 10 3 2 4 3 2 2" xfId="23615" xr:uid="{00000000-0005-0000-0000-0000B2350000}"/>
    <cellStyle name="Normal 10 3 2 4 3 2 2 2" xfId="49168" xr:uid="{00000000-0005-0000-0000-0000B3350000}"/>
    <cellStyle name="Normal 10 3 2 4 3 2 3" xfId="38919" xr:uid="{00000000-0005-0000-0000-0000B4350000}"/>
    <cellStyle name="Normal 10 3 2 4 3 3" xfId="9785" xr:uid="{00000000-0005-0000-0000-0000B5350000}"/>
    <cellStyle name="Normal 10 3 2 4 3 3 2" xfId="35342" xr:uid="{00000000-0005-0000-0000-0000B6350000}"/>
    <cellStyle name="Normal 10 3 2 4 3 4" xfId="18608" xr:uid="{00000000-0005-0000-0000-0000B7350000}"/>
    <cellStyle name="Normal 10 3 2 4 3 4 2" xfId="44161" xr:uid="{00000000-0005-0000-0000-0000B8350000}"/>
    <cellStyle name="Normal 10 3 2 4 3 5" xfId="30098" xr:uid="{00000000-0005-0000-0000-0000B9350000}"/>
    <cellStyle name="Normal 10 3 2 4 4" xfId="1918" xr:uid="{00000000-0005-0000-0000-0000BA350000}"/>
    <cellStyle name="Normal 10 3 2 4 4 2" xfId="11283" xr:uid="{00000000-0005-0000-0000-0000BB350000}"/>
    <cellStyle name="Normal 10 3 2 4 4 2 2" xfId="36838" xr:uid="{00000000-0005-0000-0000-0000BC350000}"/>
    <cellStyle name="Normal 10 3 2 4 4 3" xfId="21287" xr:uid="{00000000-0005-0000-0000-0000BD350000}"/>
    <cellStyle name="Normal 10 3 2 4 4 3 2" xfId="46840" xr:uid="{00000000-0005-0000-0000-0000BE350000}"/>
    <cellStyle name="Normal 10 3 2 4 4 4" xfId="27770" xr:uid="{00000000-0005-0000-0000-0000BF350000}"/>
    <cellStyle name="Normal 10 3 2 4 5" xfId="5982" xr:uid="{00000000-0005-0000-0000-0000C0350000}"/>
    <cellStyle name="Normal 10 3 2 4 5 2" xfId="14809" xr:uid="{00000000-0005-0000-0000-0000C1350000}"/>
    <cellStyle name="Normal 10 3 2 4 5 2 2" xfId="40364" xr:uid="{00000000-0005-0000-0000-0000C2350000}"/>
    <cellStyle name="Normal 10 3 2 4 5 3" xfId="25060" xr:uid="{00000000-0005-0000-0000-0000C3350000}"/>
    <cellStyle name="Normal 10 3 2 4 5 3 2" xfId="50613" xr:uid="{00000000-0005-0000-0000-0000C4350000}"/>
    <cellStyle name="Normal 10 3 2 4 5 4" xfId="31543" xr:uid="{00000000-0005-0000-0000-0000C5350000}"/>
    <cellStyle name="Normal 10 3 2 4 6" xfId="7426" xr:uid="{00000000-0005-0000-0000-0000C6350000}"/>
    <cellStyle name="Normal 10 3 2 4 6 2" xfId="19769" xr:uid="{00000000-0005-0000-0000-0000C7350000}"/>
    <cellStyle name="Normal 10 3 2 4 6 2 2" xfId="45322" xr:uid="{00000000-0005-0000-0000-0000C8350000}"/>
    <cellStyle name="Normal 10 3 2 4 6 3" xfId="32983" xr:uid="{00000000-0005-0000-0000-0000C9350000}"/>
    <cellStyle name="Normal 10 3 2 4 7" xfId="16280" xr:uid="{00000000-0005-0000-0000-0000CA350000}"/>
    <cellStyle name="Normal 10 3 2 4 7 2" xfId="41833" xr:uid="{00000000-0005-0000-0000-0000CB350000}"/>
    <cellStyle name="Normal 10 3 2 4 8" xfId="26252" xr:uid="{00000000-0005-0000-0000-0000CC350000}"/>
    <cellStyle name="Normal 10 3 2 5" xfId="711" xr:uid="{00000000-0005-0000-0000-0000CD350000}"/>
    <cellStyle name="Normal 10 3 2 5 2" xfId="3197" xr:uid="{00000000-0005-0000-0000-0000CE350000}"/>
    <cellStyle name="Normal 10 3 2 5 2 2" xfId="12340" xr:uid="{00000000-0005-0000-0000-0000CF350000}"/>
    <cellStyle name="Normal 10 3 2 5 2 2 2" xfId="22558" xr:uid="{00000000-0005-0000-0000-0000D0350000}"/>
    <cellStyle name="Normal 10 3 2 5 2 2 2 2" xfId="48111" xr:uid="{00000000-0005-0000-0000-0000D1350000}"/>
    <cellStyle name="Normal 10 3 2 5 2 2 3" xfId="37895" xr:uid="{00000000-0005-0000-0000-0000D2350000}"/>
    <cellStyle name="Normal 10 3 2 5 2 3" xfId="8762" xr:uid="{00000000-0005-0000-0000-0000D3350000}"/>
    <cellStyle name="Normal 10 3 2 5 2 3 2" xfId="34319" xr:uid="{00000000-0005-0000-0000-0000D4350000}"/>
    <cellStyle name="Normal 10 3 2 5 2 4" xfId="17551" xr:uid="{00000000-0005-0000-0000-0000D5350000}"/>
    <cellStyle name="Normal 10 3 2 5 2 4 2" xfId="43104" xr:uid="{00000000-0005-0000-0000-0000D6350000}"/>
    <cellStyle name="Normal 10 3 2 5 2 5" xfId="29041" xr:uid="{00000000-0005-0000-0000-0000D7350000}"/>
    <cellStyle name="Normal 10 3 2 5 3" xfId="4875" xr:uid="{00000000-0005-0000-0000-0000D8350000}"/>
    <cellStyle name="Normal 10 3 2 5 3 2" xfId="13712" xr:uid="{00000000-0005-0000-0000-0000D9350000}"/>
    <cellStyle name="Normal 10 3 2 5 3 2 2" xfId="23963" xr:uid="{00000000-0005-0000-0000-0000DA350000}"/>
    <cellStyle name="Normal 10 3 2 5 3 2 2 2" xfId="49516" xr:uid="{00000000-0005-0000-0000-0000DB350000}"/>
    <cellStyle name="Normal 10 3 2 5 3 2 3" xfId="39267" xr:uid="{00000000-0005-0000-0000-0000DC350000}"/>
    <cellStyle name="Normal 10 3 2 5 3 3" xfId="10133" xr:uid="{00000000-0005-0000-0000-0000DD350000}"/>
    <cellStyle name="Normal 10 3 2 5 3 3 2" xfId="35690" xr:uid="{00000000-0005-0000-0000-0000DE350000}"/>
    <cellStyle name="Normal 10 3 2 5 3 4" xfId="18956" xr:uid="{00000000-0005-0000-0000-0000DF350000}"/>
    <cellStyle name="Normal 10 3 2 5 3 4 2" xfId="44509" xr:uid="{00000000-0005-0000-0000-0000E0350000}"/>
    <cellStyle name="Normal 10 3 2 5 3 5" xfId="30446" xr:uid="{00000000-0005-0000-0000-0000E1350000}"/>
    <cellStyle name="Normal 10 3 2 5 4" xfId="2306" xr:uid="{00000000-0005-0000-0000-0000E2350000}"/>
    <cellStyle name="Normal 10 3 2 5 4 2" xfId="11671" xr:uid="{00000000-0005-0000-0000-0000E3350000}"/>
    <cellStyle name="Normal 10 3 2 5 4 2 2" xfId="37226" xr:uid="{00000000-0005-0000-0000-0000E4350000}"/>
    <cellStyle name="Normal 10 3 2 5 4 3" xfId="21675" xr:uid="{00000000-0005-0000-0000-0000E5350000}"/>
    <cellStyle name="Normal 10 3 2 5 4 3 2" xfId="47228" xr:uid="{00000000-0005-0000-0000-0000E6350000}"/>
    <cellStyle name="Normal 10 3 2 5 4 4" xfId="28158" xr:uid="{00000000-0005-0000-0000-0000E7350000}"/>
    <cellStyle name="Normal 10 3 2 5 5" xfId="6330" xr:uid="{00000000-0005-0000-0000-0000E8350000}"/>
    <cellStyle name="Normal 10 3 2 5 5 2" xfId="15157" xr:uid="{00000000-0005-0000-0000-0000E9350000}"/>
    <cellStyle name="Normal 10 3 2 5 5 2 2" xfId="40712" xr:uid="{00000000-0005-0000-0000-0000EA350000}"/>
    <cellStyle name="Normal 10 3 2 5 5 3" xfId="25408" xr:uid="{00000000-0005-0000-0000-0000EB350000}"/>
    <cellStyle name="Normal 10 3 2 5 5 3 2" xfId="50961" xr:uid="{00000000-0005-0000-0000-0000EC350000}"/>
    <cellStyle name="Normal 10 3 2 5 5 4" xfId="31891" xr:uid="{00000000-0005-0000-0000-0000ED350000}"/>
    <cellStyle name="Normal 10 3 2 5 6" xfId="7776" xr:uid="{00000000-0005-0000-0000-0000EE350000}"/>
    <cellStyle name="Normal 10 3 2 5 6 2" xfId="20157" xr:uid="{00000000-0005-0000-0000-0000EF350000}"/>
    <cellStyle name="Normal 10 3 2 5 6 2 2" xfId="45710" xr:uid="{00000000-0005-0000-0000-0000F0350000}"/>
    <cellStyle name="Normal 10 3 2 5 6 3" xfId="33333" xr:uid="{00000000-0005-0000-0000-0000F1350000}"/>
    <cellStyle name="Normal 10 3 2 5 7" xfId="16668" xr:uid="{00000000-0005-0000-0000-0000F2350000}"/>
    <cellStyle name="Normal 10 3 2 5 7 2" xfId="42221" xr:uid="{00000000-0005-0000-0000-0000F3350000}"/>
    <cellStyle name="Normal 10 3 2 5 8" xfId="26640" xr:uid="{00000000-0005-0000-0000-0000F4350000}"/>
    <cellStyle name="Normal 10 3 2 6" xfId="1095" xr:uid="{00000000-0005-0000-0000-0000F5350000}"/>
    <cellStyle name="Normal 10 3 2 6 2" xfId="5187" xr:uid="{00000000-0005-0000-0000-0000F6350000}"/>
    <cellStyle name="Normal 10 3 2 6 2 2" xfId="14024" xr:uid="{00000000-0005-0000-0000-0000F7350000}"/>
    <cellStyle name="Normal 10 3 2 6 2 2 2" xfId="24275" xr:uid="{00000000-0005-0000-0000-0000F8350000}"/>
    <cellStyle name="Normal 10 3 2 6 2 2 2 2" xfId="49828" xr:uid="{00000000-0005-0000-0000-0000F9350000}"/>
    <cellStyle name="Normal 10 3 2 6 2 2 3" xfId="39579" xr:uid="{00000000-0005-0000-0000-0000FA350000}"/>
    <cellStyle name="Normal 10 3 2 6 2 3" xfId="10445" xr:uid="{00000000-0005-0000-0000-0000FB350000}"/>
    <cellStyle name="Normal 10 3 2 6 2 3 2" xfId="36002" xr:uid="{00000000-0005-0000-0000-0000FC350000}"/>
    <cellStyle name="Normal 10 3 2 6 2 4" xfId="19268" xr:uid="{00000000-0005-0000-0000-0000FD350000}"/>
    <cellStyle name="Normal 10 3 2 6 2 4 2" xfId="44821" xr:uid="{00000000-0005-0000-0000-0000FE350000}"/>
    <cellStyle name="Normal 10 3 2 6 2 5" xfId="30758" xr:uid="{00000000-0005-0000-0000-0000FF350000}"/>
    <cellStyle name="Normal 10 3 2 6 3" xfId="3524" xr:uid="{00000000-0005-0000-0000-000000360000}"/>
    <cellStyle name="Normal 10 3 2 6 3 2" xfId="12660" xr:uid="{00000000-0005-0000-0000-000001360000}"/>
    <cellStyle name="Normal 10 3 2 6 3 2 2" xfId="38215" xr:uid="{00000000-0005-0000-0000-000002360000}"/>
    <cellStyle name="Normal 10 3 2 6 3 3" xfId="22879" xr:uid="{00000000-0005-0000-0000-000003360000}"/>
    <cellStyle name="Normal 10 3 2 6 3 3 2" xfId="48432" xr:uid="{00000000-0005-0000-0000-000004360000}"/>
    <cellStyle name="Normal 10 3 2 6 3 4" xfId="29362" xr:uid="{00000000-0005-0000-0000-000005360000}"/>
    <cellStyle name="Normal 10 3 2 6 4" xfId="6642" xr:uid="{00000000-0005-0000-0000-000006360000}"/>
    <cellStyle name="Normal 10 3 2 6 4 2" xfId="15469" xr:uid="{00000000-0005-0000-0000-000007360000}"/>
    <cellStyle name="Normal 10 3 2 6 4 2 2" xfId="41024" xr:uid="{00000000-0005-0000-0000-000008360000}"/>
    <cellStyle name="Normal 10 3 2 6 4 3" xfId="25720" xr:uid="{00000000-0005-0000-0000-000009360000}"/>
    <cellStyle name="Normal 10 3 2 6 4 3 2" xfId="51273" xr:uid="{00000000-0005-0000-0000-00000A360000}"/>
    <cellStyle name="Normal 10 3 2 6 4 4" xfId="32203" xr:uid="{00000000-0005-0000-0000-00000B360000}"/>
    <cellStyle name="Normal 10 3 2 6 5" xfId="8088" xr:uid="{00000000-0005-0000-0000-00000C360000}"/>
    <cellStyle name="Normal 10 3 2 6 5 2" xfId="20478" xr:uid="{00000000-0005-0000-0000-00000D360000}"/>
    <cellStyle name="Normal 10 3 2 6 5 2 2" xfId="46031" xr:uid="{00000000-0005-0000-0000-00000E360000}"/>
    <cellStyle name="Normal 10 3 2 6 5 3" xfId="33645" xr:uid="{00000000-0005-0000-0000-00000F360000}"/>
    <cellStyle name="Normal 10 3 2 6 6" xfId="17872" xr:uid="{00000000-0005-0000-0000-000010360000}"/>
    <cellStyle name="Normal 10 3 2 6 6 2" xfId="43425" xr:uid="{00000000-0005-0000-0000-000011360000}"/>
    <cellStyle name="Normal 10 3 2 6 7" xfId="26961" xr:uid="{00000000-0005-0000-0000-000012360000}"/>
    <cellStyle name="Normal 10 3 2 7" xfId="4141" xr:uid="{00000000-0005-0000-0000-000013360000}"/>
    <cellStyle name="Normal 10 3 2 7 2" xfId="12979" xr:uid="{00000000-0005-0000-0000-000014360000}"/>
    <cellStyle name="Normal 10 3 2 7 2 2" xfId="23230" xr:uid="{00000000-0005-0000-0000-000015360000}"/>
    <cellStyle name="Normal 10 3 2 7 2 2 2" xfId="48783" xr:uid="{00000000-0005-0000-0000-000016360000}"/>
    <cellStyle name="Normal 10 3 2 7 2 3" xfId="38534" xr:uid="{00000000-0005-0000-0000-000017360000}"/>
    <cellStyle name="Normal 10 3 2 7 3" xfId="9400" xr:uid="{00000000-0005-0000-0000-000018360000}"/>
    <cellStyle name="Normal 10 3 2 7 3 2" xfId="34957" xr:uid="{00000000-0005-0000-0000-000019360000}"/>
    <cellStyle name="Normal 10 3 2 7 4" xfId="18223" xr:uid="{00000000-0005-0000-0000-00001A360000}"/>
    <cellStyle name="Normal 10 3 2 7 4 2" xfId="43776" xr:uid="{00000000-0005-0000-0000-00001B360000}"/>
    <cellStyle name="Normal 10 3 2 7 5" xfId="29713" xr:uid="{00000000-0005-0000-0000-00001C360000}"/>
    <cellStyle name="Normal 10 3 2 8" xfId="1415" xr:uid="{00000000-0005-0000-0000-00001D360000}"/>
    <cellStyle name="Normal 10 3 2 8 2" xfId="10792" xr:uid="{00000000-0005-0000-0000-00001E360000}"/>
    <cellStyle name="Normal 10 3 2 8 2 2" xfId="36347" xr:uid="{00000000-0005-0000-0000-00001F360000}"/>
    <cellStyle name="Normal 10 3 2 8 3" xfId="20796" xr:uid="{00000000-0005-0000-0000-000020360000}"/>
    <cellStyle name="Normal 10 3 2 8 3 2" xfId="46349" xr:uid="{00000000-0005-0000-0000-000021360000}"/>
    <cellStyle name="Normal 10 3 2 8 4" xfId="27279" xr:uid="{00000000-0005-0000-0000-000022360000}"/>
    <cellStyle name="Normal 10 3 2 9" xfId="5599" xr:uid="{00000000-0005-0000-0000-000023360000}"/>
    <cellStyle name="Normal 10 3 2 9 2" xfId="14426" xr:uid="{00000000-0005-0000-0000-000024360000}"/>
    <cellStyle name="Normal 10 3 2 9 2 2" xfId="39981" xr:uid="{00000000-0005-0000-0000-000025360000}"/>
    <cellStyle name="Normal 10 3 2 9 3" xfId="24677" xr:uid="{00000000-0005-0000-0000-000026360000}"/>
    <cellStyle name="Normal 10 3 2 9 3 2" xfId="50230" xr:uid="{00000000-0005-0000-0000-000027360000}"/>
    <cellStyle name="Normal 10 3 2 9 4" xfId="31160" xr:uid="{00000000-0005-0000-0000-000028360000}"/>
    <cellStyle name="Normal 10 3 2_Degree data" xfId="3895" xr:uid="{00000000-0005-0000-0000-000029360000}"/>
    <cellStyle name="Normal 10 3 3" xfId="230" xr:uid="{00000000-0005-0000-0000-00002A360000}"/>
    <cellStyle name="Normal 10 3 3 10" xfId="7068" xr:uid="{00000000-0005-0000-0000-00002B360000}"/>
    <cellStyle name="Normal 10 3 3 10 2" xfId="19682" xr:uid="{00000000-0005-0000-0000-00002C360000}"/>
    <cellStyle name="Normal 10 3 3 10 2 2" xfId="45235" xr:uid="{00000000-0005-0000-0000-00002D360000}"/>
    <cellStyle name="Normal 10 3 3 10 3" xfId="32625" xr:uid="{00000000-0005-0000-0000-00002E360000}"/>
    <cellStyle name="Normal 10 3 3 11" xfId="15814" xr:uid="{00000000-0005-0000-0000-00002F360000}"/>
    <cellStyle name="Normal 10 3 3 11 2" xfId="41367" xr:uid="{00000000-0005-0000-0000-000030360000}"/>
    <cellStyle name="Normal 10 3 3 12" xfId="26165" xr:uid="{00000000-0005-0000-0000-000031360000}"/>
    <cellStyle name="Normal 10 3 3 2" xfId="553" xr:uid="{00000000-0005-0000-0000-000032360000}"/>
    <cellStyle name="Normal 10 3 3 2 10" xfId="26482" xr:uid="{00000000-0005-0000-0000-000033360000}"/>
    <cellStyle name="Normal 10 3 3 2 2" xfId="714" xr:uid="{00000000-0005-0000-0000-000034360000}"/>
    <cellStyle name="Normal 10 3 3 2 2 2" xfId="3200" xr:uid="{00000000-0005-0000-0000-000035360000}"/>
    <cellStyle name="Normal 10 3 3 2 2 2 2" xfId="12343" xr:uid="{00000000-0005-0000-0000-000036360000}"/>
    <cellStyle name="Normal 10 3 3 2 2 2 2 2" xfId="22561" xr:uid="{00000000-0005-0000-0000-000037360000}"/>
    <cellStyle name="Normal 10 3 3 2 2 2 2 2 2" xfId="48114" xr:uid="{00000000-0005-0000-0000-000038360000}"/>
    <cellStyle name="Normal 10 3 3 2 2 2 2 3" xfId="37898" xr:uid="{00000000-0005-0000-0000-000039360000}"/>
    <cellStyle name="Normal 10 3 3 2 2 2 3" xfId="8765" xr:uid="{00000000-0005-0000-0000-00003A360000}"/>
    <cellStyle name="Normal 10 3 3 2 2 2 3 2" xfId="34322" xr:uid="{00000000-0005-0000-0000-00003B360000}"/>
    <cellStyle name="Normal 10 3 3 2 2 2 4" xfId="17554" xr:uid="{00000000-0005-0000-0000-00003C360000}"/>
    <cellStyle name="Normal 10 3 3 2 2 2 4 2" xfId="43107" xr:uid="{00000000-0005-0000-0000-00003D360000}"/>
    <cellStyle name="Normal 10 3 3 2 2 2 5" xfId="29044" xr:uid="{00000000-0005-0000-0000-00003E360000}"/>
    <cellStyle name="Normal 10 3 3 2 2 3" xfId="4529" xr:uid="{00000000-0005-0000-0000-00003F360000}"/>
    <cellStyle name="Normal 10 3 3 2 2 3 2" xfId="13367" xr:uid="{00000000-0005-0000-0000-000040360000}"/>
    <cellStyle name="Normal 10 3 3 2 2 3 2 2" xfId="23618" xr:uid="{00000000-0005-0000-0000-000041360000}"/>
    <cellStyle name="Normal 10 3 3 2 2 3 2 2 2" xfId="49171" xr:uid="{00000000-0005-0000-0000-000042360000}"/>
    <cellStyle name="Normal 10 3 3 2 2 3 2 3" xfId="38922" xr:uid="{00000000-0005-0000-0000-000043360000}"/>
    <cellStyle name="Normal 10 3 3 2 2 3 3" xfId="9788" xr:uid="{00000000-0005-0000-0000-000044360000}"/>
    <cellStyle name="Normal 10 3 3 2 2 3 3 2" xfId="35345" xr:uid="{00000000-0005-0000-0000-000045360000}"/>
    <cellStyle name="Normal 10 3 3 2 2 3 4" xfId="18611" xr:uid="{00000000-0005-0000-0000-000046360000}"/>
    <cellStyle name="Normal 10 3 3 2 2 3 4 2" xfId="44164" xr:uid="{00000000-0005-0000-0000-000047360000}"/>
    <cellStyle name="Normal 10 3 3 2 2 3 5" xfId="30101" xr:uid="{00000000-0005-0000-0000-000048360000}"/>
    <cellStyle name="Normal 10 3 3 2 2 4" xfId="2309" xr:uid="{00000000-0005-0000-0000-000049360000}"/>
    <cellStyle name="Normal 10 3 3 2 2 4 2" xfId="11674" xr:uid="{00000000-0005-0000-0000-00004A360000}"/>
    <cellStyle name="Normal 10 3 3 2 2 4 2 2" xfId="37229" xr:uid="{00000000-0005-0000-0000-00004B360000}"/>
    <cellStyle name="Normal 10 3 3 2 2 4 3" xfId="21678" xr:uid="{00000000-0005-0000-0000-00004C360000}"/>
    <cellStyle name="Normal 10 3 3 2 2 4 3 2" xfId="47231" xr:uid="{00000000-0005-0000-0000-00004D360000}"/>
    <cellStyle name="Normal 10 3 3 2 2 4 4" xfId="28161" xr:uid="{00000000-0005-0000-0000-00004E360000}"/>
    <cellStyle name="Normal 10 3 3 2 2 5" xfId="5985" xr:uid="{00000000-0005-0000-0000-00004F360000}"/>
    <cellStyle name="Normal 10 3 3 2 2 5 2" xfId="14812" xr:uid="{00000000-0005-0000-0000-000050360000}"/>
    <cellStyle name="Normal 10 3 3 2 2 5 2 2" xfId="40367" xr:uid="{00000000-0005-0000-0000-000051360000}"/>
    <cellStyle name="Normal 10 3 3 2 2 5 3" xfId="25063" xr:uid="{00000000-0005-0000-0000-000052360000}"/>
    <cellStyle name="Normal 10 3 3 2 2 5 3 2" xfId="50616" xr:uid="{00000000-0005-0000-0000-000053360000}"/>
    <cellStyle name="Normal 10 3 3 2 2 5 4" xfId="31546" xr:uid="{00000000-0005-0000-0000-000054360000}"/>
    <cellStyle name="Normal 10 3 3 2 2 6" xfId="7429" xr:uid="{00000000-0005-0000-0000-000055360000}"/>
    <cellStyle name="Normal 10 3 3 2 2 6 2" xfId="20160" xr:uid="{00000000-0005-0000-0000-000056360000}"/>
    <cellStyle name="Normal 10 3 3 2 2 6 2 2" xfId="45713" xr:uid="{00000000-0005-0000-0000-000057360000}"/>
    <cellStyle name="Normal 10 3 3 2 2 6 3" xfId="32986" xr:uid="{00000000-0005-0000-0000-000058360000}"/>
    <cellStyle name="Normal 10 3 3 2 2 7" xfId="16671" xr:uid="{00000000-0005-0000-0000-000059360000}"/>
    <cellStyle name="Normal 10 3 3 2 2 7 2" xfId="42224" xr:uid="{00000000-0005-0000-0000-00005A360000}"/>
    <cellStyle name="Normal 10 3 3 2 2 8" xfId="26643" xr:uid="{00000000-0005-0000-0000-00005B360000}"/>
    <cellStyle name="Normal 10 3 3 2 3" xfId="1325" xr:uid="{00000000-0005-0000-0000-00005C360000}"/>
    <cellStyle name="Normal 10 3 3 2 3 2" xfId="3754" xr:uid="{00000000-0005-0000-0000-00005D360000}"/>
    <cellStyle name="Normal 10 3 3 2 3 2 2" xfId="12890" xr:uid="{00000000-0005-0000-0000-00005E360000}"/>
    <cellStyle name="Normal 10 3 3 2 3 2 2 2" xfId="23109" xr:uid="{00000000-0005-0000-0000-00005F360000}"/>
    <cellStyle name="Normal 10 3 3 2 3 2 2 2 2" xfId="48662" xr:uid="{00000000-0005-0000-0000-000060360000}"/>
    <cellStyle name="Normal 10 3 3 2 3 2 2 3" xfId="38445" xr:uid="{00000000-0005-0000-0000-000061360000}"/>
    <cellStyle name="Normal 10 3 3 2 3 2 3" xfId="9311" xr:uid="{00000000-0005-0000-0000-000062360000}"/>
    <cellStyle name="Normal 10 3 3 2 3 2 3 2" xfId="34868" xr:uid="{00000000-0005-0000-0000-000063360000}"/>
    <cellStyle name="Normal 10 3 3 2 3 2 4" xfId="18102" xr:uid="{00000000-0005-0000-0000-000064360000}"/>
    <cellStyle name="Normal 10 3 3 2 3 2 4 2" xfId="43655" xr:uid="{00000000-0005-0000-0000-000065360000}"/>
    <cellStyle name="Normal 10 3 3 2 3 2 5" xfId="29592" xr:uid="{00000000-0005-0000-0000-000066360000}"/>
    <cellStyle name="Normal 10 3 3 2 3 3" xfId="4878" xr:uid="{00000000-0005-0000-0000-000067360000}"/>
    <cellStyle name="Normal 10 3 3 2 3 3 2" xfId="13715" xr:uid="{00000000-0005-0000-0000-000068360000}"/>
    <cellStyle name="Normal 10 3 3 2 3 3 2 2" xfId="23966" xr:uid="{00000000-0005-0000-0000-000069360000}"/>
    <cellStyle name="Normal 10 3 3 2 3 3 2 2 2" xfId="49519" xr:uid="{00000000-0005-0000-0000-00006A360000}"/>
    <cellStyle name="Normal 10 3 3 2 3 3 2 3" xfId="39270" xr:uid="{00000000-0005-0000-0000-00006B360000}"/>
    <cellStyle name="Normal 10 3 3 2 3 3 3" xfId="10136" xr:uid="{00000000-0005-0000-0000-00006C360000}"/>
    <cellStyle name="Normal 10 3 3 2 3 3 3 2" xfId="35693" xr:uid="{00000000-0005-0000-0000-00006D360000}"/>
    <cellStyle name="Normal 10 3 3 2 3 3 4" xfId="18959" xr:uid="{00000000-0005-0000-0000-00006E360000}"/>
    <cellStyle name="Normal 10 3 3 2 3 3 4 2" xfId="44512" xr:uid="{00000000-0005-0000-0000-00006F360000}"/>
    <cellStyle name="Normal 10 3 3 2 3 3 5" xfId="30449" xr:uid="{00000000-0005-0000-0000-000070360000}"/>
    <cellStyle name="Normal 10 3 3 2 3 4" xfId="2148" xr:uid="{00000000-0005-0000-0000-000071360000}"/>
    <cellStyle name="Normal 10 3 3 2 3 4 2" xfId="11513" xr:uid="{00000000-0005-0000-0000-000072360000}"/>
    <cellStyle name="Normal 10 3 3 2 3 4 2 2" xfId="37068" xr:uid="{00000000-0005-0000-0000-000073360000}"/>
    <cellStyle name="Normal 10 3 3 2 3 4 3" xfId="21517" xr:uid="{00000000-0005-0000-0000-000074360000}"/>
    <cellStyle name="Normal 10 3 3 2 3 4 3 2" xfId="47070" xr:uid="{00000000-0005-0000-0000-000075360000}"/>
    <cellStyle name="Normal 10 3 3 2 3 4 4" xfId="28000" xr:uid="{00000000-0005-0000-0000-000076360000}"/>
    <cellStyle name="Normal 10 3 3 2 3 5" xfId="6333" xr:uid="{00000000-0005-0000-0000-000077360000}"/>
    <cellStyle name="Normal 10 3 3 2 3 5 2" xfId="15160" xr:uid="{00000000-0005-0000-0000-000078360000}"/>
    <cellStyle name="Normal 10 3 3 2 3 5 2 2" xfId="40715" xr:uid="{00000000-0005-0000-0000-000079360000}"/>
    <cellStyle name="Normal 10 3 3 2 3 5 3" xfId="25411" xr:uid="{00000000-0005-0000-0000-00007A360000}"/>
    <cellStyle name="Normal 10 3 3 2 3 5 3 2" xfId="50964" xr:uid="{00000000-0005-0000-0000-00007B360000}"/>
    <cellStyle name="Normal 10 3 3 2 3 5 4" xfId="31894" xr:uid="{00000000-0005-0000-0000-00007C360000}"/>
    <cellStyle name="Normal 10 3 3 2 3 6" xfId="7779" xr:uid="{00000000-0005-0000-0000-00007D360000}"/>
    <cellStyle name="Normal 10 3 3 2 3 6 2" xfId="20708" xr:uid="{00000000-0005-0000-0000-00007E360000}"/>
    <cellStyle name="Normal 10 3 3 2 3 6 2 2" xfId="46261" xr:uid="{00000000-0005-0000-0000-00007F360000}"/>
    <cellStyle name="Normal 10 3 3 2 3 6 3" xfId="33336" xr:uid="{00000000-0005-0000-0000-000080360000}"/>
    <cellStyle name="Normal 10 3 3 2 3 7" xfId="16510" xr:uid="{00000000-0005-0000-0000-000081360000}"/>
    <cellStyle name="Normal 10 3 3 2 3 7 2" xfId="42063" xr:uid="{00000000-0005-0000-0000-000082360000}"/>
    <cellStyle name="Normal 10 3 3 2 3 8" xfId="27191" xr:uid="{00000000-0005-0000-0000-000083360000}"/>
    <cellStyle name="Normal 10 3 3 2 4" xfId="3039" xr:uid="{00000000-0005-0000-0000-000084360000}"/>
    <cellStyle name="Normal 10 3 3 2 4 2" xfId="5417" xr:uid="{00000000-0005-0000-0000-000085360000}"/>
    <cellStyle name="Normal 10 3 3 2 4 2 2" xfId="14254" xr:uid="{00000000-0005-0000-0000-000086360000}"/>
    <cellStyle name="Normal 10 3 3 2 4 2 2 2" xfId="24505" xr:uid="{00000000-0005-0000-0000-000087360000}"/>
    <cellStyle name="Normal 10 3 3 2 4 2 2 2 2" xfId="50058" xr:uid="{00000000-0005-0000-0000-000088360000}"/>
    <cellStyle name="Normal 10 3 3 2 4 2 2 3" xfId="39809" xr:uid="{00000000-0005-0000-0000-000089360000}"/>
    <cellStyle name="Normal 10 3 3 2 4 2 3" xfId="10675" xr:uid="{00000000-0005-0000-0000-00008A360000}"/>
    <cellStyle name="Normal 10 3 3 2 4 2 3 2" xfId="36232" xr:uid="{00000000-0005-0000-0000-00008B360000}"/>
    <cellStyle name="Normal 10 3 3 2 4 2 4" xfId="19498" xr:uid="{00000000-0005-0000-0000-00008C360000}"/>
    <cellStyle name="Normal 10 3 3 2 4 2 4 2" xfId="45051" xr:uid="{00000000-0005-0000-0000-00008D360000}"/>
    <cellStyle name="Normal 10 3 3 2 4 2 5" xfId="30988" xr:uid="{00000000-0005-0000-0000-00008E360000}"/>
    <cellStyle name="Normal 10 3 3 2 4 3" xfId="6872" xr:uid="{00000000-0005-0000-0000-00008F360000}"/>
    <cellStyle name="Normal 10 3 3 2 4 3 2" xfId="15699" xr:uid="{00000000-0005-0000-0000-000090360000}"/>
    <cellStyle name="Normal 10 3 3 2 4 3 2 2" xfId="41254" xr:uid="{00000000-0005-0000-0000-000091360000}"/>
    <cellStyle name="Normal 10 3 3 2 4 3 3" xfId="25950" xr:uid="{00000000-0005-0000-0000-000092360000}"/>
    <cellStyle name="Normal 10 3 3 2 4 3 3 2" xfId="51503" xr:uid="{00000000-0005-0000-0000-000093360000}"/>
    <cellStyle name="Normal 10 3 3 2 4 3 4" xfId="32433" xr:uid="{00000000-0005-0000-0000-000094360000}"/>
    <cellStyle name="Normal 10 3 3 2 4 4" xfId="8318" xr:uid="{00000000-0005-0000-0000-000095360000}"/>
    <cellStyle name="Normal 10 3 3 2 4 4 2" xfId="22400" xr:uid="{00000000-0005-0000-0000-000096360000}"/>
    <cellStyle name="Normal 10 3 3 2 4 4 2 2" xfId="47953" xr:uid="{00000000-0005-0000-0000-000097360000}"/>
    <cellStyle name="Normal 10 3 3 2 4 4 3" xfId="33875" xr:uid="{00000000-0005-0000-0000-000098360000}"/>
    <cellStyle name="Normal 10 3 3 2 4 5" xfId="17393" xr:uid="{00000000-0005-0000-0000-000099360000}"/>
    <cellStyle name="Normal 10 3 3 2 4 5 2" xfId="42946" xr:uid="{00000000-0005-0000-0000-00009A360000}"/>
    <cellStyle name="Normal 10 3 3 2 4 6" xfId="28883" xr:uid="{00000000-0005-0000-0000-00009B360000}"/>
    <cellStyle name="Normal 10 3 3 2 5" xfId="4373" xr:uid="{00000000-0005-0000-0000-00009C360000}"/>
    <cellStyle name="Normal 10 3 3 2 5 2" xfId="13211" xr:uid="{00000000-0005-0000-0000-00009D360000}"/>
    <cellStyle name="Normal 10 3 3 2 5 2 2" xfId="23462" xr:uid="{00000000-0005-0000-0000-00009E360000}"/>
    <cellStyle name="Normal 10 3 3 2 5 2 2 2" xfId="49015" xr:uid="{00000000-0005-0000-0000-00009F360000}"/>
    <cellStyle name="Normal 10 3 3 2 5 2 3" xfId="38766" xr:uid="{00000000-0005-0000-0000-0000A0360000}"/>
    <cellStyle name="Normal 10 3 3 2 5 3" xfId="9632" xr:uid="{00000000-0005-0000-0000-0000A1360000}"/>
    <cellStyle name="Normal 10 3 3 2 5 3 2" xfId="35189" xr:uid="{00000000-0005-0000-0000-0000A2360000}"/>
    <cellStyle name="Normal 10 3 3 2 5 4" xfId="18455" xr:uid="{00000000-0005-0000-0000-0000A3360000}"/>
    <cellStyle name="Normal 10 3 3 2 5 4 2" xfId="44008" xr:uid="{00000000-0005-0000-0000-0000A4360000}"/>
    <cellStyle name="Normal 10 3 3 2 5 5" xfId="29945" xr:uid="{00000000-0005-0000-0000-0000A5360000}"/>
    <cellStyle name="Normal 10 3 3 2 6" xfId="1645" xr:uid="{00000000-0005-0000-0000-0000A6360000}"/>
    <cellStyle name="Normal 10 3 3 2 6 2" xfId="11022" xr:uid="{00000000-0005-0000-0000-0000A7360000}"/>
    <cellStyle name="Normal 10 3 3 2 6 2 2" xfId="36577" xr:uid="{00000000-0005-0000-0000-0000A8360000}"/>
    <cellStyle name="Normal 10 3 3 2 6 3" xfId="21026" xr:uid="{00000000-0005-0000-0000-0000A9360000}"/>
    <cellStyle name="Normal 10 3 3 2 6 3 2" xfId="46579" xr:uid="{00000000-0005-0000-0000-0000AA360000}"/>
    <cellStyle name="Normal 10 3 3 2 6 4" xfId="27509" xr:uid="{00000000-0005-0000-0000-0000AB360000}"/>
    <cellStyle name="Normal 10 3 3 2 7" xfId="5829" xr:uid="{00000000-0005-0000-0000-0000AC360000}"/>
    <cellStyle name="Normal 10 3 3 2 7 2" xfId="14656" xr:uid="{00000000-0005-0000-0000-0000AD360000}"/>
    <cellStyle name="Normal 10 3 3 2 7 2 2" xfId="40211" xr:uid="{00000000-0005-0000-0000-0000AE360000}"/>
    <cellStyle name="Normal 10 3 3 2 7 3" xfId="24907" xr:uid="{00000000-0005-0000-0000-0000AF360000}"/>
    <cellStyle name="Normal 10 3 3 2 7 3 2" xfId="50460" xr:uid="{00000000-0005-0000-0000-0000B0360000}"/>
    <cellStyle name="Normal 10 3 3 2 7 4" xfId="31390" xr:uid="{00000000-0005-0000-0000-0000B1360000}"/>
    <cellStyle name="Normal 10 3 3 2 8" xfId="7273" xr:uid="{00000000-0005-0000-0000-0000B2360000}"/>
    <cellStyle name="Normal 10 3 3 2 8 2" xfId="19999" xr:uid="{00000000-0005-0000-0000-0000B3360000}"/>
    <cellStyle name="Normal 10 3 3 2 8 2 2" xfId="45552" xr:uid="{00000000-0005-0000-0000-0000B4360000}"/>
    <cellStyle name="Normal 10 3 3 2 8 3" xfId="32830" xr:uid="{00000000-0005-0000-0000-0000B5360000}"/>
    <cellStyle name="Normal 10 3 3 2 9" xfId="16019" xr:uid="{00000000-0005-0000-0000-0000B6360000}"/>
    <cellStyle name="Normal 10 3 3 2 9 2" xfId="41572" xr:uid="{00000000-0005-0000-0000-0000B7360000}"/>
    <cellStyle name="Normal 10 3 3 2_Degree data" xfId="3877" xr:uid="{00000000-0005-0000-0000-0000B8360000}"/>
    <cellStyle name="Normal 10 3 3 3" xfId="348" xr:uid="{00000000-0005-0000-0000-0000B9360000}"/>
    <cellStyle name="Normal 10 3 3 3 2" xfId="2834" xr:uid="{00000000-0005-0000-0000-0000BA360000}"/>
    <cellStyle name="Normal 10 3 3 3 2 2" xfId="12122" xr:uid="{00000000-0005-0000-0000-0000BB360000}"/>
    <cellStyle name="Normal 10 3 3 3 2 2 2" xfId="22195" xr:uid="{00000000-0005-0000-0000-0000BC360000}"/>
    <cellStyle name="Normal 10 3 3 3 2 2 2 2" xfId="47748" xr:uid="{00000000-0005-0000-0000-0000BD360000}"/>
    <cellStyle name="Normal 10 3 3 3 2 2 3" xfId="37677" xr:uid="{00000000-0005-0000-0000-0000BE360000}"/>
    <cellStyle name="Normal 10 3 3 3 2 3" xfId="8464" xr:uid="{00000000-0005-0000-0000-0000BF360000}"/>
    <cellStyle name="Normal 10 3 3 3 2 3 2" xfId="34021" xr:uid="{00000000-0005-0000-0000-0000C0360000}"/>
    <cellStyle name="Normal 10 3 3 3 2 4" xfId="17188" xr:uid="{00000000-0005-0000-0000-0000C1360000}"/>
    <cellStyle name="Normal 10 3 3 3 2 4 2" xfId="42741" xr:uid="{00000000-0005-0000-0000-0000C2360000}"/>
    <cellStyle name="Normal 10 3 3 3 2 5" xfId="28678" xr:uid="{00000000-0005-0000-0000-0000C3360000}"/>
    <cellStyle name="Normal 10 3 3 3 3" xfId="4528" xr:uid="{00000000-0005-0000-0000-0000C4360000}"/>
    <cellStyle name="Normal 10 3 3 3 3 2" xfId="13366" xr:uid="{00000000-0005-0000-0000-0000C5360000}"/>
    <cellStyle name="Normal 10 3 3 3 3 2 2" xfId="23617" xr:uid="{00000000-0005-0000-0000-0000C6360000}"/>
    <cellStyle name="Normal 10 3 3 3 3 2 2 2" xfId="49170" xr:uid="{00000000-0005-0000-0000-0000C7360000}"/>
    <cellStyle name="Normal 10 3 3 3 3 2 3" xfId="38921" xr:uid="{00000000-0005-0000-0000-0000C8360000}"/>
    <cellStyle name="Normal 10 3 3 3 3 3" xfId="9787" xr:uid="{00000000-0005-0000-0000-0000C9360000}"/>
    <cellStyle name="Normal 10 3 3 3 3 3 2" xfId="35344" xr:uid="{00000000-0005-0000-0000-0000CA360000}"/>
    <cellStyle name="Normal 10 3 3 3 3 4" xfId="18610" xr:uid="{00000000-0005-0000-0000-0000CB360000}"/>
    <cellStyle name="Normal 10 3 3 3 3 4 2" xfId="44163" xr:uid="{00000000-0005-0000-0000-0000CC360000}"/>
    <cellStyle name="Normal 10 3 3 3 3 5" xfId="30100" xr:uid="{00000000-0005-0000-0000-0000CD360000}"/>
    <cellStyle name="Normal 10 3 3 3 4" xfId="1943" xr:uid="{00000000-0005-0000-0000-0000CE360000}"/>
    <cellStyle name="Normal 10 3 3 3 4 2" xfId="11308" xr:uid="{00000000-0005-0000-0000-0000CF360000}"/>
    <cellStyle name="Normal 10 3 3 3 4 2 2" xfId="36863" xr:uid="{00000000-0005-0000-0000-0000D0360000}"/>
    <cellStyle name="Normal 10 3 3 3 4 3" xfId="21312" xr:uid="{00000000-0005-0000-0000-0000D1360000}"/>
    <cellStyle name="Normal 10 3 3 3 4 3 2" xfId="46865" xr:uid="{00000000-0005-0000-0000-0000D2360000}"/>
    <cellStyle name="Normal 10 3 3 3 4 4" xfId="27795" xr:uid="{00000000-0005-0000-0000-0000D3360000}"/>
    <cellStyle name="Normal 10 3 3 3 5" xfId="5984" xr:uid="{00000000-0005-0000-0000-0000D4360000}"/>
    <cellStyle name="Normal 10 3 3 3 5 2" xfId="14811" xr:uid="{00000000-0005-0000-0000-0000D5360000}"/>
    <cellStyle name="Normal 10 3 3 3 5 2 2" xfId="40366" xr:uid="{00000000-0005-0000-0000-0000D6360000}"/>
    <cellStyle name="Normal 10 3 3 3 5 3" xfId="25062" xr:uid="{00000000-0005-0000-0000-0000D7360000}"/>
    <cellStyle name="Normal 10 3 3 3 5 3 2" xfId="50615" xr:uid="{00000000-0005-0000-0000-0000D8360000}"/>
    <cellStyle name="Normal 10 3 3 3 5 4" xfId="31545" xr:uid="{00000000-0005-0000-0000-0000D9360000}"/>
    <cellStyle name="Normal 10 3 3 3 6" xfId="7428" xr:uid="{00000000-0005-0000-0000-0000DA360000}"/>
    <cellStyle name="Normal 10 3 3 3 6 2" xfId="19794" xr:uid="{00000000-0005-0000-0000-0000DB360000}"/>
    <cellStyle name="Normal 10 3 3 3 6 2 2" xfId="45347" xr:uid="{00000000-0005-0000-0000-0000DC360000}"/>
    <cellStyle name="Normal 10 3 3 3 6 3" xfId="32985" xr:uid="{00000000-0005-0000-0000-0000DD360000}"/>
    <cellStyle name="Normal 10 3 3 3 7" xfId="16305" xr:uid="{00000000-0005-0000-0000-0000DE360000}"/>
    <cellStyle name="Normal 10 3 3 3 7 2" xfId="41858" xr:uid="{00000000-0005-0000-0000-0000DF360000}"/>
    <cellStyle name="Normal 10 3 3 3 8" xfId="26277" xr:uid="{00000000-0005-0000-0000-0000E0360000}"/>
    <cellStyle name="Normal 10 3 3 4" xfId="713" xr:uid="{00000000-0005-0000-0000-0000E1360000}"/>
    <cellStyle name="Normal 10 3 3 4 2" xfId="3199" xr:uid="{00000000-0005-0000-0000-0000E2360000}"/>
    <cellStyle name="Normal 10 3 3 4 2 2" xfId="12342" xr:uid="{00000000-0005-0000-0000-0000E3360000}"/>
    <cellStyle name="Normal 10 3 3 4 2 2 2" xfId="22560" xr:uid="{00000000-0005-0000-0000-0000E4360000}"/>
    <cellStyle name="Normal 10 3 3 4 2 2 2 2" xfId="48113" xr:uid="{00000000-0005-0000-0000-0000E5360000}"/>
    <cellStyle name="Normal 10 3 3 4 2 2 3" xfId="37897" xr:uid="{00000000-0005-0000-0000-0000E6360000}"/>
    <cellStyle name="Normal 10 3 3 4 2 3" xfId="8764" xr:uid="{00000000-0005-0000-0000-0000E7360000}"/>
    <cellStyle name="Normal 10 3 3 4 2 3 2" xfId="34321" xr:uid="{00000000-0005-0000-0000-0000E8360000}"/>
    <cellStyle name="Normal 10 3 3 4 2 4" xfId="17553" xr:uid="{00000000-0005-0000-0000-0000E9360000}"/>
    <cellStyle name="Normal 10 3 3 4 2 4 2" xfId="43106" xr:uid="{00000000-0005-0000-0000-0000EA360000}"/>
    <cellStyle name="Normal 10 3 3 4 2 5" xfId="29043" xr:uid="{00000000-0005-0000-0000-0000EB360000}"/>
    <cellStyle name="Normal 10 3 3 4 3" xfId="4877" xr:uid="{00000000-0005-0000-0000-0000EC360000}"/>
    <cellStyle name="Normal 10 3 3 4 3 2" xfId="13714" xr:uid="{00000000-0005-0000-0000-0000ED360000}"/>
    <cellStyle name="Normal 10 3 3 4 3 2 2" xfId="23965" xr:uid="{00000000-0005-0000-0000-0000EE360000}"/>
    <cellStyle name="Normal 10 3 3 4 3 2 2 2" xfId="49518" xr:uid="{00000000-0005-0000-0000-0000EF360000}"/>
    <cellStyle name="Normal 10 3 3 4 3 2 3" xfId="39269" xr:uid="{00000000-0005-0000-0000-0000F0360000}"/>
    <cellStyle name="Normal 10 3 3 4 3 3" xfId="10135" xr:uid="{00000000-0005-0000-0000-0000F1360000}"/>
    <cellStyle name="Normal 10 3 3 4 3 3 2" xfId="35692" xr:uid="{00000000-0005-0000-0000-0000F2360000}"/>
    <cellStyle name="Normal 10 3 3 4 3 4" xfId="18958" xr:uid="{00000000-0005-0000-0000-0000F3360000}"/>
    <cellStyle name="Normal 10 3 3 4 3 4 2" xfId="44511" xr:uid="{00000000-0005-0000-0000-0000F4360000}"/>
    <cellStyle name="Normal 10 3 3 4 3 5" xfId="30448" xr:uid="{00000000-0005-0000-0000-0000F5360000}"/>
    <cellStyle name="Normal 10 3 3 4 4" xfId="2308" xr:uid="{00000000-0005-0000-0000-0000F6360000}"/>
    <cellStyle name="Normal 10 3 3 4 4 2" xfId="11673" xr:uid="{00000000-0005-0000-0000-0000F7360000}"/>
    <cellStyle name="Normal 10 3 3 4 4 2 2" xfId="37228" xr:uid="{00000000-0005-0000-0000-0000F8360000}"/>
    <cellStyle name="Normal 10 3 3 4 4 3" xfId="21677" xr:uid="{00000000-0005-0000-0000-0000F9360000}"/>
    <cellStyle name="Normal 10 3 3 4 4 3 2" xfId="47230" xr:uid="{00000000-0005-0000-0000-0000FA360000}"/>
    <cellStyle name="Normal 10 3 3 4 4 4" xfId="28160" xr:uid="{00000000-0005-0000-0000-0000FB360000}"/>
    <cellStyle name="Normal 10 3 3 4 5" xfId="6332" xr:uid="{00000000-0005-0000-0000-0000FC360000}"/>
    <cellStyle name="Normal 10 3 3 4 5 2" xfId="15159" xr:uid="{00000000-0005-0000-0000-0000FD360000}"/>
    <cellStyle name="Normal 10 3 3 4 5 2 2" xfId="40714" xr:uid="{00000000-0005-0000-0000-0000FE360000}"/>
    <cellStyle name="Normal 10 3 3 4 5 3" xfId="25410" xr:uid="{00000000-0005-0000-0000-0000FF360000}"/>
    <cellStyle name="Normal 10 3 3 4 5 3 2" xfId="50963" xr:uid="{00000000-0005-0000-0000-000000370000}"/>
    <cellStyle name="Normal 10 3 3 4 5 4" xfId="31893" xr:uid="{00000000-0005-0000-0000-000001370000}"/>
    <cellStyle name="Normal 10 3 3 4 6" xfId="7778" xr:uid="{00000000-0005-0000-0000-000002370000}"/>
    <cellStyle name="Normal 10 3 3 4 6 2" xfId="20159" xr:uid="{00000000-0005-0000-0000-000003370000}"/>
    <cellStyle name="Normal 10 3 3 4 6 2 2" xfId="45712" xr:uid="{00000000-0005-0000-0000-000004370000}"/>
    <cellStyle name="Normal 10 3 3 4 6 3" xfId="33335" xr:uid="{00000000-0005-0000-0000-000005370000}"/>
    <cellStyle name="Normal 10 3 3 4 7" xfId="16670" xr:uid="{00000000-0005-0000-0000-000006370000}"/>
    <cellStyle name="Normal 10 3 3 4 7 2" xfId="42223" xr:uid="{00000000-0005-0000-0000-000007370000}"/>
    <cellStyle name="Normal 10 3 3 4 8" xfId="26642" xr:uid="{00000000-0005-0000-0000-000008370000}"/>
    <cellStyle name="Normal 10 3 3 5" xfId="1120" xr:uid="{00000000-0005-0000-0000-000009370000}"/>
    <cellStyle name="Normal 10 3 3 5 2" xfId="3549" xr:uid="{00000000-0005-0000-0000-00000A370000}"/>
    <cellStyle name="Normal 10 3 3 5 2 2" xfId="12685" xr:uid="{00000000-0005-0000-0000-00000B370000}"/>
    <cellStyle name="Normal 10 3 3 5 2 2 2" xfId="22904" xr:uid="{00000000-0005-0000-0000-00000C370000}"/>
    <cellStyle name="Normal 10 3 3 5 2 2 2 2" xfId="48457" xr:uid="{00000000-0005-0000-0000-00000D370000}"/>
    <cellStyle name="Normal 10 3 3 5 2 2 3" xfId="38240" xr:uid="{00000000-0005-0000-0000-00000E370000}"/>
    <cellStyle name="Normal 10 3 3 5 2 3" xfId="9106" xr:uid="{00000000-0005-0000-0000-00000F370000}"/>
    <cellStyle name="Normal 10 3 3 5 2 3 2" xfId="34663" xr:uid="{00000000-0005-0000-0000-000010370000}"/>
    <cellStyle name="Normal 10 3 3 5 2 4" xfId="17897" xr:uid="{00000000-0005-0000-0000-000011370000}"/>
    <cellStyle name="Normal 10 3 3 5 2 4 2" xfId="43450" xr:uid="{00000000-0005-0000-0000-000012370000}"/>
    <cellStyle name="Normal 10 3 3 5 2 5" xfId="29387" xr:uid="{00000000-0005-0000-0000-000013370000}"/>
    <cellStyle name="Normal 10 3 3 5 3" xfId="5212" xr:uid="{00000000-0005-0000-0000-000014370000}"/>
    <cellStyle name="Normal 10 3 3 5 3 2" xfId="14049" xr:uid="{00000000-0005-0000-0000-000015370000}"/>
    <cellStyle name="Normal 10 3 3 5 3 2 2" xfId="24300" xr:uid="{00000000-0005-0000-0000-000016370000}"/>
    <cellStyle name="Normal 10 3 3 5 3 2 2 2" xfId="49853" xr:uid="{00000000-0005-0000-0000-000017370000}"/>
    <cellStyle name="Normal 10 3 3 5 3 2 3" xfId="39604" xr:uid="{00000000-0005-0000-0000-000018370000}"/>
    <cellStyle name="Normal 10 3 3 5 3 3" xfId="10470" xr:uid="{00000000-0005-0000-0000-000019370000}"/>
    <cellStyle name="Normal 10 3 3 5 3 3 2" xfId="36027" xr:uid="{00000000-0005-0000-0000-00001A370000}"/>
    <cellStyle name="Normal 10 3 3 5 3 4" xfId="19293" xr:uid="{00000000-0005-0000-0000-00001B370000}"/>
    <cellStyle name="Normal 10 3 3 5 3 4 2" xfId="44846" xr:uid="{00000000-0005-0000-0000-00001C370000}"/>
    <cellStyle name="Normal 10 3 3 5 3 5" xfId="30783" xr:uid="{00000000-0005-0000-0000-00001D370000}"/>
    <cellStyle name="Normal 10 3 3 5 4" xfId="1828" xr:uid="{00000000-0005-0000-0000-00001E370000}"/>
    <cellStyle name="Normal 10 3 3 5 4 2" xfId="11196" xr:uid="{00000000-0005-0000-0000-00001F370000}"/>
    <cellStyle name="Normal 10 3 3 5 4 2 2" xfId="36751" xr:uid="{00000000-0005-0000-0000-000020370000}"/>
    <cellStyle name="Normal 10 3 3 5 4 3" xfId="21200" xr:uid="{00000000-0005-0000-0000-000021370000}"/>
    <cellStyle name="Normal 10 3 3 5 4 3 2" xfId="46753" xr:uid="{00000000-0005-0000-0000-000022370000}"/>
    <cellStyle name="Normal 10 3 3 5 4 4" xfId="27683" xr:uid="{00000000-0005-0000-0000-000023370000}"/>
    <cellStyle name="Normal 10 3 3 5 5" xfId="6667" xr:uid="{00000000-0005-0000-0000-000024370000}"/>
    <cellStyle name="Normal 10 3 3 5 5 2" xfId="15494" xr:uid="{00000000-0005-0000-0000-000025370000}"/>
    <cellStyle name="Normal 10 3 3 5 5 2 2" xfId="41049" xr:uid="{00000000-0005-0000-0000-000026370000}"/>
    <cellStyle name="Normal 10 3 3 5 5 3" xfId="25745" xr:uid="{00000000-0005-0000-0000-000027370000}"/>
    <cellStyle name="Normal 10 3 3 5 5 3 2" xfId="51298" xr:uid="{00000000-0005-0000-0000-000028370000}"/>
    <cellStyle name="Normal 10 3 3 5 5 4" xfId="32228" xr:uid="{00000000-0005-0000-0000-000029370000}"/>
    <cellStyle name="Normal 10 3 3 5 6" xfId="8113" xr:uid="{00000000-0005-0000-0000-00002A370000}"/>
    <cellStyle name="Normal 10 3 3 5 6 2" xfId="20503" xr:uid="{00000000-0005-0000-0000-00002B370000}"/>
    <cellStyle name="Normal 10 3 3 5 6 2 2" xfId="46056" xr:uid="{00000000-0005-0000-0000-00002C370000}"/>
    <cellStyle name="Normal 10 3 3 5 6 3" xfId="33670" xr:uid="{00000000-0005-0000-0000-00002D370000}"/>
    <cellStyle name="Normal 10 3 3 5 7" xfId="16193" xr:uid="{00000000-0005-0000-0000-00002E370000}"/>
    <cellStyle name="Normal 10 3 3 5 7 2" xfId="41746" xr:uid="{00000000-0005-0000-0000-00002F370000}"/>
    <cellStyle name="Normal 10 3 3 5 8" xfId="26986" xr:uid="{00000000-0005-0000-0000-000030370000}"/>
    <cellStyle name="Normal 10 3 3 6" xfId="2722" xr:uid="{00000000-0005-0000-0000-000031370000}"/>
    <cellStyle name="Normal 10 3 3 6 2" xfId="12039" xr:uid="{00000000-0005-0000-0000-000032370000}"/>
    <cellStyle name="Normal 10 3 3 6 2 2" xfId="22083" xr:uid="{00000000-0005-0000-0000-000033370000}"/>
    <cellStyle name="Normal 10 3 3 6 2 2 2" xfId="47636" xr:uid="{00000000-0005-0000-0000-000034370000}"/>
    <cellStyle name="Normal 10 3 3 6 2 3" xfId="37594" xr:uid="{00000000-0005-0000-0000-000035370000}"/>
    <cellStyle name="Normal 10 3 3 6 3" xfId="8549" xr:uid="{00000000-0005-0000-0000-000036370000}"/>
    <cellStyle name="Normal 10 3 3 6 3 2" xfId="34106" xr:uid="{00000000-0005-0000-0000-000037370000}"/>
    <cellStyle name="Normal 10 3 3 6 4" xfId="17076" xr:uid="{00000000-0005-0000-0000-000038370000}"/>
    <cellStyle name="Normal 10 3 3 6 4 2" xfId="42629" xr:uid="{00000000-0005-0000-0000-000039370000}"/>
    <cellStyle name="Normal 10 3 3 6 5" xfId="28566" xr:uid="{00000000-0005-0000-0000-00003A370000}"/>
    <cellStyle name="Normal 10 3 3 7" xfId="4168" xr:uid="{00000000-0005-0000-0000-00003B370000}"/>
    <cellStyle name="Normal 10 3 3 7 2" xfId="13006" xr:uid="{00000000-0005-0000-0000-00003C370000}"/>
    <cellStyle name="Normal 10 3 3 7 2 2" xfId="23257" xr:uid="{00000000-0005-0000-0000-00003D370000}"/>
    <cellStyle name="Normal 10 3 3 7 2 2 2" xfId="48810" xr:uid="{00000000-0005-0000-0000-00003E370000}"/>
    <cellStyle name="Normal 10 3 3 7 2 3" xfId="38561" xr:uid="{00000000-0005-0000-0000-00003F370000}"/>
    <cellStyle name="Normal 10 3 3 7 3" xfId="9427" xr:uid="{00000000-0005-0000-0000-000040370000}"/>
    <cellStyle name="Normal 10 3 3 7 3 2" xfId="34984" xr:uid="{00000000-0005-0000-0000-000041370000}"/>
    <cellStyle name="Normal 10 3 3 7 4" xfId="18250" xr:uid="{00000000-0005-0000-0000-000042370000}"/>
    <cellStyle name="Normal 10 3 3 7 4 2" xfId="43803" xr:uid="{00000000-0005-0000-0000-000043370000}"/>
    <cellStyle name="Normal 10 3 3 7 5" xfId="29740" xr:uid="{00000000-0005-0000-0000-000044370000}"/>
    <cellStyle name="Normal 10 3 3 8" xfId="1440" xr:uid="{00000000-0005-0000-0000-000045370000}"/>
    <cellStyle name="Normal 10 3 3 8 2" xfId="10817" xr:uid="{00000000-0005-0000-0000-000046370000}"/>
    <cellStyle name="Normal 10 3 3 8 2 2" xfId="36372" xr:uid="{00000000-0005-0000-0000-000047370000}"/>
    <cellStyle name="Normal 10 3 3 8 3" xfId="20821" xr:uid="{00000000-0005-0000-0000-000048370000}"/>
    <cellStyle name="Normal 10 3 3 8 3 2" xfId="46374" xr:uid="{00000000-0005-0000-0000-000049370000}"/>
    <cellStyle name="Normal 10 3 3 8 4" xfId="27304" xr:uid="{00000000-0005-0000-0000-00004A370000}"/>
    <cellStyle name="Normal 10 3 3 9" xfId="5624" xr:uid="{00000000-0005-0000-0000-00004B370000}"/>
    <cellStyle name="Normal 10 3 3 9 2" xfId="14451" xr:uid="{00000000-0005-0000-0000-00004C370000}"/>
    <cellStyle name="Normal 10 3 3 9 2 2" xfId="40006" xr:uid="{00000000-0005-0000-0000-00004D370000}"/>
    <cellStyle name="Normal 10 3 3 9 3" xfId="24702" xr:uid="{00000000-0005-0000-0000-00004E370000}"/>
    <cellStyle name="Normal 10 3 3 9 3 2" xfId="50255" xr:uid="{00000000-0005-0000-0000-00004F370000}"/>
    <cellStyle name="Normal 10 3 3 9 4" xfId="31185" xr:uid="{00000000-0005-0000-0000-000050370000}"/>
    <cellStyle name="Normal 10 3 3_Degree data" xfId="3904" xr:uid="{00000000-0005-0000-0000-000051370000}"/>
    <cellStyle name="Normal 10 3 4" xfId="448" xr:uid="{00000000-0005-0000-0000-000052370000}"/>
    <cellStyle name="Normal 10 3 4 10" xfId="26377" xr:uid="{00000000-0005-0000-0000-000053370000}"/>
    <cellStyle name="Normal 10 3 4 2" xfId="715" xr:uid="{00000000-0005-0000-0000-000054370000}"/>
    <cellStyle name="Normal 10 3 4 2 2" xfId="3201" xr:uid="{00000000-0005-0000-0000-000055370000}"/>
    <cellStyle name="Normal 10 3 4 2 2 2" xfId="12344" xr:uid="{00000000-0005-0000-0000-000056370000}"/>
    <cellStyle name="Normal 10 3 4 2 2 2 2" xfId="22562" xr:uid="{00000000-0005-0000-0000-000057370000}"/>
    <cellStyle name="Normal 10 3 4 2 2 2 2 2" xfId="48115" xr:uid="{00000000-0005-0000-0000-000058370000}"/>
    <cellStyle name="Normal 10 3 4 2 2 2 3" xfId="37899" xr:uid="{00000000-0005-0000-0000-000059370000}"/>
    <cellStyle name="Normal 10 3 4 2 2 3" xfId="8766" xr:uid="{00000000-0005-0000-0000-00005A370000}"/>
    <cellStyle name="Normal 10 3 4 2 2 3 2" xfId="34323" xr:uid="{00000000-0005-0000-0000-00005B370000}"/>
    <cellStyle name="Normal 10 3 4 2 2 4" xfId="17555" xr:uid="{00000000-0005-0000-0000-00005C370000}"/>
    <cellStyle name="Normal 10 3 4 2 2 4 2" xfId="43108" xr:uid="{00000000-0005-0000-0000-00005D370000}"/>
    <cellStyle name="Normal 10 3 4 2 2 5" xfId="29045" xr:uid="{00000000-0005-0000-0000-00005E370000}"/>
    <cellStyle name="Normal 10 3 4 2 3" xfId="4530" xr:uid="{00000000-0005-0000-0000-00005F370000}"/>
    <cellStyle name="Normal 10 3 4 2 3 2" xfId="13368" xr:uid="{00000000-0005-0000-0000-000060370000}"/>
    <cellStyle name="Normal 10 3 4 2 3 2 2" xfId="23619" xr:uid="{00000000-0005-0000-0000-000061370000}"/>
    <cellStyle name="Normal 10 3 4 2 3 2 2 2" xfId="49172" xr:uid="{00000000-0005-0000-0000-000062370000}"/>
    <cellStyle name="Normal 10 3 4 2 3 2 3" xfId="38923" xr:uid="{00000000-0005-0000-0000-000063370000}"/>
    <cellStyle name="Normal 10 3 4 2 3 3" xfId="9789" xr:uid="{00000000-0005-0000-0000-000064370000}"/>
    <cellStyle name="Normal 10 3 4 2 3 3 2" xfId="35346" xr:uid="{00000000-0005-0000-0000-000065370000}"/>
    <cellStyle name="Normal 10 3 4 2 3 4" xfId="18612" xr:uid="{00000000-0005-0000-0000-000066370000}"/>
    <cellStyle name="Normal 10 3 4 2 3 4 2" xfId="44165" xr:uid="{00000000-0005-0000-0000-000067370000}"/>
    <cellStyle name="Normal 10 3 4 2 3 5" xfId="30102" xr:uid="{00000000-0005-0000-0000-000068370000}"/>
    <cellStyle name="Normal 10 3 4 2 4" xfId="2310" xr:uid="{00000000-0005-0000-0000-000069370000}"/>
    <cellStyle name="Normal 10 3 4 2 4 2" xfId="11675" xr:uid="{00000000-0005-0000-0000-00006A370000}"/>
    <cellStyle name="Normal 10 3 4 2 4 2 2" xfId="37230" xr:uid="{00000000-0005-0000-0000-00006B370000}"/>
    <cellStyle name="Normal 10 3 4 2 4 3" xfId="21679" xr:uid="{00000000-0005-0000-0000-00006C370000}"/>
    <cellStyle name="Normal 10 3 4 2 4 3 2" xfId="47232" xr:uid="{00000000-0005-0000-0000-00006D370000}"/>
    <cellStyle name="Normal 10 3 4 2 4 4" xfId="28162" xr:uid="{00000000-0005-0000-0000-00006E370000}"/>
    <cellStyle name="Normal 10 3 4 2 5" xfId="5986" xr:uid="{00000000-0005-0000-0000-00006F370000}"/>
    <cellStyle name="Normal 10 3 4 2 5 2" xfId="14813" xr:uid="{00000000-0005-0000-0000-000070370000}"/>
    <cellStyle name="Normal 10 3 4 2 5 2 2" xfId="40368" xr:uid="{00000000-0005-0000-0000-000071370000}"/>
    <cellStyle name="Normal 10 3 4 2 5 3" xfId="25064" xr:uid="{00000000-0005-0000-0000-000072370000}"/>
    <cellStyle name="Normal 10 3 4 2 5 3 2" xfId="50617" xr:uid="{00000000-0005-0000-0000-000073370000}"/>
    <cellStyle name="Normal 10 3 4 2 5 4" xfId="31547" xr:uid="{00000000-0005-0000-0000-000074370000}"/>
    <cellStyle name="Normal 10 3 4 2 6" xfId="7430" xr:uid="{00000000-0005-0000-0000-000075370000}"/>
    <cellStyle name="Normal 10 3 4 2 6 2" xfId="20161" xr:uid="{00000000-0005-0000-0000-000076370000}"/>
    <cellStyle name="Normal 10 3 4 2 6 2 2" xfId="45714" xr:uid="{00000000-0005-0000-0000-000077370000}"/>
    <cellStyle name="Normal 10 3 4 2 6 3" xfId="32987" xr:uid="{00000000-0005-0000-0000-000078370000}"/>
    <cellStyle name="Normal 10 3 4 2 7" xfId="16672" xr:uid="{00000000-0005-0000-0000-000079370000}"/>
    <cellStyle name="Normal 10 3 4 2 7 2" xfId="42225" xr:uid="{00000000-0005-0000-0000-00007A370000}"/>
    <cellStyle name="Normal 10 3 4 2 8" xfId="26644" xr:uid="{00000000-0005-0000-0000-00007B370000}"/>
    <cellStyle name="Normal 10 3 4 3" xfId="1220" xr:uid="{00000000-0005-0000-0000-00007C370000}"/>
    <cellStyle name="Normal 10 3 4 3 2" xfId="3649" xr:uid="{00000000-0005-0000-0000-00007D370000}"/>
    <cellStyle name="Normal 10 3 4 3 2 2" xfId="12785" xr:uid="{00000000-0005-0000-0000-00007E370000}"/>
    <cellStyle name="Normal 10 3 4 3 2 2 2" xfId="23004" xr:uid="{00000000-0005-0000-0000-00007F370000}"/>
    <cellStyle name="Normal 10 3 4 3 2 2 2 2" xfId="48557" xr:uid="{00000000-0005-0000-0000-000080370000}"/>
    <cellStyle name="Normal 10 3 4 3 2 2 3" xfId="38340" xr:uid="{00000000-0005-0000-0000-000081370000}"/>
    <cellStyle name="Normal 10 3 4 3 2 3" xfId="9206" xr:uid="{00000000-0005-0000-0000-000082370000}"/>
    <cellStyle name="Normal 10 3 4 3 2 3 2" xfId="34763" xr:uid="{00000000-0005-0000-0000-000083370000}"/>
    <cellStyle name="Normal 10 3 4 3 2 4" xfId="17997" xr:uid="{00000000-0005-0000-0000-000084370000}"/>
    <cellStyle name="Normal 10 3 4 3 2 4 2" xfId="43550" xr:uid="{00000000-0005-0000-0000-000085370000}"/>
    <cellStyle name="Normal 10 3 4 3 2 5" xfId="29487" xr:uid="{00000000-0005-0000-0000-000086370000}"/>
    <cellStyle name="Normal 10 3 4 3 3" xfId="4879" xr:uid="{00000000-0005-0000-0000-000087370000}"/>
    <cellStyle name="Normal 10 3 4 3 3 2" xfId="13716" xr:uid="{00000000-0005-0000-0000-000088370000}"/>
    <cellStyle name="Normal 10 3 4 3 3 2 2" xfId="23967" xr:uid="{00000000-0005-0000-0000-000089370000}"/>
    <cellStyle name="Normal 10 3 4 3 3 2 2 2" xfId="49520" xr:uid="{00000000-0005-0000-0000-00008A370000}"/>
    <cellStyle name="Normal 10 3 4 3 3 2 3" xfId="39271" xr:uid="{00000000-0005-0000-0000-00008B370000}"/>
    <cellStyle name="Normal 10 3 4 3 3 3" xfId="10137" xr:uid="{00000000-0005-0000-0000-00008C370000}"/>
    <cellStyle name="Normal 10 3 4 3 3 3 2" xfId="35694" xr:uid="{00000000-0005-0000-0000-00008D370000}"/>
    <cellStyle name="Normal 10 3 4 3 3 4" xfId="18960" xr:uid="{00000000-0005-0000-0000-00008E370000}"/>
    <cellStyle name="Normal 10 3 4 3 3 4 2" xfId="44513" xr:uid="{00000000-0005-0000-0000-00008F370000}"/>
    <cellStyle name="Normal 10 3 4 3 3 5" xfId="30450" xr:uid="{00000000-0005-0000-0000-000090370000}"/>
    <cellStyle name="Normal 10 3 4 3 4" xfId="2043" xr:uid="{00000000-0005-0000-0000-000091370000}"/>
    <cellStyle name="Normal 10 3 4 3 4 2" xfId="11408" xr:uid="{00000000-0005-0000-0000-000092370000}"/>
    <cellStyle name="Normal 10 3 4 3 4 2 2" xfId="36963" xr:uid="{00000000-0005-0000-0000-000093370000}"/>
    <cellStyle name="Normal 10 3 4 3 4 3" xfId="21412" xr:uid="{00000000-0005-0000-0000-000094370000}"/>
    <cellStyle name="Normal 10 3 4 3 4 3 2" xfId="46965" xr:uid="{00000000-0005-0000-0000-000095370000}"/>
    <cellStyle name="Normal 10 3 4 3 4 4" xfId="27895" xr:uid="{00000000-0005-0000-0000-000096370000}"/>
    <cellStyle name="Normal 10 3 4 3 5" xfId="6334" xr:uid="{00000000-0005-0000-0000-000097370000}"/>
    <cellStyle name="Normal 10 3 4 3 5 2" xfId="15161" xr:uid="{00000000-0005-0000-0000-000098370000}"/>
    <cellStyle name="Normal 10 3 4 3 5 2 2" xfId="40716" xr:uid="{00000000-0005-0000-0000-000099370000}"/>
    <cellStyle name="Normal 10 3 4 3 5 3" xfId="25412" xr:uid="{00000000-0005-0000-0000-00009A370000}"/>
    <cellStyle name="Normal 10 3 4 3 5 3 2" xfId="50965" xr:uid="{00000000-0005-0000-0000-00009B370000}"/>
    <cellStyle name="Normal 10 3 4 3 5 4" xfId="31895" xr:uid="{00000000-0005-0000-0000-00009C370000}"/>
    <cellStyle name="Normal 10 3 4 3 6" xfId="7780" xr:uid="{00000000-0005-0000-0000-00009D370000}"/>
    <cellStyle name="Normal 10 3 4 3 6 2" xfId="20603" xr:uid="{00000000-0005-0000-0000-00009E370000}"/>
    <cellStyle name="Normal 10 3 4 3 6 2 2" xfId="46156" xr:uid="{00000000-0005-0000-0000-00009F370000}"/>
    <cellStyle name="Normal 10 3 4 3 6 3" xfId="33337" xr:uid="{00000000-0005-0000-0000-0000A0370000}"/>
    <cellStyle name="Normal 10 3 4 3 7" xfId="16405" xr:uid="{00000000-0005-0000-0000-0000A1370000}"/>
    <cellStyle name="Normal 10 3 4 3 7 2" xfId="41958" xr:uid="{00000000-0005-0000-0000-0000A2370000}"/>
    <cellStyle name="Normal 10 3 4 3 8" xfId="27086" xr:uid="{00000000-0005-0000-0000-0000A3370000}"/>
    <cellStyle name="Normal 10 3 4 4" xfId="2934" xr:uid="{00000000-0005-0000-0000-0000A4370000}"/>
    <cellStyle name="Normal 10 3 4 4 2" xfId="5312" xr:uid="{00000000-0005-0000-0000-0000A5370000}"/>
    <cellStyle name="Normal 10 3 4 4 2 2" xfId="14149" xr:uid="{00000000-0005-0000-0000-0000A6370000}"/>
    <cellStyle name="Normal 10 3 4 4 2 2 2" xfId="24400" xr:uid="{00000000-0005-0000-0000-0000A7370000}"/>
    <cellStyle name="Normal 10 3 4 4 2 2 2 2" xfId="49953" xr:uid="{00000000-0005-0000-0000-0000A8370000}"/>
    <cellStyle name="Normal 10 3 4 4 2 2 3" xfId="39704" xr:uid="{00000000-0005-0000-0000-0000A9370000}"/>
    <cellStyle name="Normal 10 3 4 4 2 3" xfId="10570" xr:uid="{00000000-0005-0000-0000-0000AA370000}"/>
    <cellStyle name="Normal 10 3 4 4 2 3 2" xfId="36127" xr:uid="{00000000-0005-0000-0000-0000AB370000}"/>
    <cellStyle name="Normal 10 3 4 4 2 4" xfId="19393" xr:uid="{00000000-0005-0000-0000-0000AC370000}"/>
    <cellStyle name="Normal 10 3 4 4 2 4 2" xfId="44946" xr:uid="{00000000-0005-0000-0000-0000AD370000}"/>
    <cellStyle name="Normal 10 3 4 4 2 5" xfId="30883" xr:uid="{00000000-0005-0000-0000-0000AE370000}"/>
    <cellStyle name="Normal 10 3 4 4 3" xfId="6767" xr:uid="{00000000-0005-0000-0000-0000AF370000}"/>
    <cellStyle name="Normal 10 3 4 4 3 2" xfId="15594" xr:uid="{00000000-0005-0000-0000-0000B0370000}"/>
    <cellStyle name="Normal 10 3 4 4 3 2 2" xfId="41149" xr:uid="{00000000-0005-0000-0000-0000B1370000}"/>
    <cellStyle name="Normal 10 3 4 4 3 3" xfId="25845" xr:uid="{00000000-0005-0000-0000-0000B2370000}"/>
    <cellStyle name="Normal 10 3 4 4 3 3 2" xfId="51398" xr:uid="{00000000-0005-0000-0000-0000B3370000}"/>
    <cellStyle name="Normal 10 3 4 4 3 4" xfId="32328" xr:uid="{00000000-0005-0000-0000-0000B4370000}"/>
    <cellStyle name="Normal 10 3 4 4 4" xfId="8213" xr:uid="{00000000-0005-0000-0000-0000B5370000}"/>
    <cellStyle name="Normal 10 3 4 4 4 2" xfId="22295" xr:uid="{00000000-0005-0000-0000-0000B6370000}"/>
    <cellStyle name="Normal 10 3 4 4 4 2 2" xfId="47848" xr:uid="{00000000-0005-0000-0000-0000B7370000}"/>
    <cellStyle name="Normal 10 3 4 4 4 3" xfId="33770" xr:uid="{00000000-0005-0000-0000-0000B8370000}"/>
    <cellStyle name="Normal 10 3 4 4 5" xfId="17288" xr:uid="{00000000-0005-0000-0000-0000B9370000}"/>
    <cellStyle name="Normal 10 3 4 4 5 2" xfId="42841" xr:uid="{00000000-0005-0000-0000-0000BA370000}"/>
    <cellStyle name="Normal 10 3 4 4 6" xfId="28778" xr:uid="{00000000-0005-0000-0000-0000BB370000}"/>
    <cellStyle name="Normal 10 3 4 5" xfId="4268" xr:uid="{00000000-0005-0000-0000-0000BC370000}"/>
    <cellStyle name="Normal 10 3 4 5 2" xfId="13106" xr:uid="{00000000-0005-0000-0000-0000BD370000}"/>
    <cellStyle name="Normal 10 3 4 5 2 2" xfId="23357" xr:uid="{00000000-0005-0000-0000-0000BE370000}"/>
    <cellStyle name="Normal 10 3 4 5 2 2 2" xfId="48910" xr:uid="{00000000-0005-0000-0000-0000BF370000}"/>
    <cellStyle name="Normal 10 3 4 5 2 3" xfId="38661" xr:uid="{00000000-0005-0000-0000-0000C0370000}"/>
    <cellStyle name="Normal 10 3 4 5 3" xfId="9527" xr:uid="{00000000-0005-0000-0000-0000C1370000}"/>
    <cellStyle name="Normal 10 3 4 5 3 2" xfId="35084" xr:uid="{00000000-0005-0000-0000-0000C2370000}"/>
    <cellStyle name="Normal 10 3 4 5 4" xfId="18350" xr:uid="{00000000-0005-0000-0000-0000C3370000}"/>
    <cellStyle name="Normal 10 3 4 5 4 2" xfId="43903" xr:uid="{00000000-0005-0000-0000-0000C4370000}"/>
    <cellStyle name="Normal 10 3 4 5 5" xfId="29840" xr:uid="{00000000-0005-0000-0000-0000C5370000}"/>
    <cellStyle name="Normal 10 3 4 6" xfId="1540" xr:uid="{00000000-0005-0000-0000-0000C6370000}"/>
    <cellStyle name="Normal 10 3 4 6 2" xfId="10917" xr:uid="{00000000-0005-0000-0000-0000C7370000}"/>
    <cellStyle name="Normal 10 3 4 6 2 2" xfId="36472" xr:uid="{00000000-0005-0000-0000-0000C8370000}"/>
    <cellStyle name="Normal 10 3 4 6 3" xfId="20921" xr:uid="{00000000-0005-0000-0000-0000C9370000}"/>
    <cellStyle name="Normal 10 3 4 6 3 2" xfId="46474" xr:uid="{00000000-0005-0000-0000-0000CA370000}"/>
    <cellStyle name="Normal 10 3 4 6 4" xfId="27404" xr:uid="{00000000-0005-0000-0000-0000CB370000}"/>
    <cellStyle name="Normal 10 3 4 7" xfId="5724" xr:uid="{00000000-0005-0000-0000-0000CC370000}"/>
    <cellStyle name="Normal 10 3 4 7 2" xfId="14551" xr:uid="{00000000-0005-0000-0000-0000CD370000}"/>
    <cellStyle name="Normal 10 3 4 7 2 2" xfId="40106" xr:uid="{00000000-0005-0000-0000-0000CE370000}"/>
    <cellStyle name="Normal 10 3 4 7 3" xfId="24802" xr:uid="{00000000-0005-0000-0000-0000CF370000}"/>
    <cellStyle name="Normal 10 3 4 7 3 2" xfId="50355" xr:uid="{00000000-0005-0000-0000-0000D0370000}"/>
    <cellStyle name="Normal 10 3 4 7 4" xfId="31285" xr:uid="{00000000-0005-0000-0000-0000D1370000}"/>
    <cellStyle name="Normal 10 3 4 8" xfId="7168" xr:uid="{00000000-0005-0000-0000-0000D2370000}"/>
    <cellStyle name="Normal 10 3 4 8 2" xfId="19894" xr:uid="{00000000-0005-0000-0000-0000D3370000}"/>
    <cellStyle name="Normal 10 3 4 8 2 2" xfId="45447" xr:uid="{00000000-0005-0000-0000-0000D4370000}"/>
    <cellStyle name="Normal 10 3 4 8 3" xfId="32725" xr:uid="{00000000-0005-0000-0000-0000D5370000}"/>
    <cellStyle name="Normal 10 3 4 9" xfId="15914" xr:uid="{00000000-0005-0000-0000-0000D6370000}"/>
    <cellStyle name="Normal 10 3 4 9 2" xfId="41467" xr:uid="{00000000-0005-0000-0000-0000D7370000}"/>
    <cellStyle name="Normal 10 3 4_Degree data" xfId="3909" xr:uid="{00000000-0005-0000-0000-0000D8370000}"/>
    <cellStyle name="Normal 10 3 5" xfId="1716" xr:uid="{00000000-0005-0000-0000-0000D9370000}"/>
    <cellStyle name="Normal 10 3 5 2" xfId="11090" xr:uid="{00000000-0005-0000-0000-0000DA370000}"/>
    <cellStyle name="Normal 10 3 5 2 2" xfId="21094" xr:uid="{00000000-0005-0000-0000-0000DB370000}"/>
    <cellStyle name="Normal 10 3 5 2 2 2" xfId="46647" xr:uid="{00000000-0005-0000-0000-0000DC370000}"/>
    <cellStyle name="Normal 10 3 5 2 3" xfId="36645" xr:uid="{00000000-0005-0000-0000-0000DD370000}"/>
    <cellStyle name="Normal 10 3 5 3" xfId="8635" xr:uid="{00000000-0005-0000-0000-0000DE370000}"/>
    <cellStyle name="Normal 10 3 5 3 2" xfId="34192" xr:uid="{00000000-0005-0000-0000-0000DF370000}"/>
    <cellStyle name="Normal 10 3 5 4" xfId="16087" xr:uid="{00000000-0005-0000-0000-0000E0370000}"/>
    <cellStyle name="Normal 10 3 5 4 2" xfId="41640" xr:uid="{00000000-0005-0000-0000-0000E1370000}"/>
    <cellStyle name="Normal 10 3 5 5" xfId="27577" xr:uid="{00000000-0005-0000-0000-0000E2370000}"/>
    <cellStyle name="Normal 10 3 6" xfId="2614" xr:uid="{00000000-0005-0000-0000-0000E3370000}"/>
    <cellStyle name="Normal 10 3 6 2" xfId="11965" xr:uid="{00000000-0005-0000-0000-0000E4370000}"/>
    <cellStyle name="Normal 10 3 6 2 2" xfId="21977" xr:uid="{00000000-0005-0000-0000-0000E5370000}"/>
    <cellStyle name="Normal 10 3 6 2 2 2" xfId="47530" xr:uid="{00000000-0005-0000-0000-0000E6370000}"/>
    <cellStyle name="Normal 10 3 6 2 3" xfId="37520" xr:uid="{00000000-0005-0000-0000-0000E7370000}"/>
    <cellStyle name="Normal 10 3 6 3" xfId="8501" xr:uid="{00000000-0005-0000-0000-0000E8370000}"/>
    <cellStyle name="Normal 10 3 6 3 2" xfId="34058" xr:uid="{00000000-0005-0000-0000-0000E9370000}"/>
    <cellStyle name="Normal 10 3 6 4" xfId="16970" xr:uid="{00000000-0005-0000-0000-0000EA370000}"/>
    <cellStyle name="Normal 10 3 6 4 2" xfId="42523" xr:uid="{00000000-0005-0000-0000-0000EB370000}"/>
    <cellStyle name="Normal 10 3 6 5" xfId="28460" xr:uid="{00000000-0005-0000-0000-0000EC370000}"/>
    <cellStyle name="Normal 10 3 7" xfId="10747" xr:uid="{00000000-0005-0000-0000-0000ED370000}"/>
    <cellStyle name="Normal 10 3 7 2" xfId="19577" xr:uid="{00000000-0005-0000-0000-0000EE370000}"/>
    <cellStyle name="Normal 10 3 7 2 2" xfId="45130" xr:uid="{00000000-0005-0000-0000-0000EF370000}"/>
    <cellStyle name="Normal 10 3 7 3" xfId="36303" xr:uid="{00000000-0005-0000-0000-0000F0370000}"/>
    <cellStyle name="Normal 10 3 8" xfId="26060" xr:uid="{00000000-0005-0000-0000-0000F1370000}"/>
    <cellStyle name="Normal 10 4" xfId="135" xr:uid="{00000000-0005-0000-0000-0000F2370000}"/>
    <cellStyle name="Normal 10 4 10" xfId="1403" xr:uid="{00000000-0005-0000-0000-0000F3370000}"/>
    <cellStyle name="Normal 10 4 10 2" xfId="10780" xr:uid="{00000000-0005-0000-0000-0000F4370000}"/>
    <cellStyle name="Normal 10 4 10 2 2" xfId="36335" xr:uid="{00000000-0005-0000-0000-0000F5370000}"/>
    <cellStyle name="Normal 10 4 10 3" xfId="20784" xr:uid="{00000000-0005-0000-0000-0000F6370000}"/>
    <cellStyle name="Normal 10 4 10 3 2" xfId="46337" xr:uid="{00000000-0005-0000-0000-0000F7370000}"/>
    <cellStyle name="Normal 10 4 10 4" xfId="27267" xr:uid="{00000000-0005-0000-0000-0000F8370000}"/>
    <cellStyle name="Normal 10 4 11" xfId="5514" xr:uid="{00000000-0005-0000-0000-0000F9370000}"/>
    <cellStyle name="Normal 10 4 11 2" xfId="14341" xr:uid="{00000000-0005-0000-0000-0000FA370000}"/>
    <cellStyle name="Normal 10 4 11 2 2" xfId="39896" xr:uid="{00000000-0005-0000-0000-0000FB370000}"/>
    <cellStyle name="Normal 10 4 11 3" xfId="24592" xr:uid="{00000000-0005-0000-0000-0000FC370000}"/>
    <cellStyle name="Normal 10 4 11 3 2" xfId="50145" xr:uid="{00000000-0005-0000-0000-0000FD370000}"/>
    <cellStyle name="Normal 10 4 11 4" xfId="31075" xr:uid="{00000000-0005-0000-0000-0000FE370000}"/>
    <cellStyle name="Normal 10 4 12" xfId="6954" xr:uid="{00000000-0005-0000-0000-0000FF370000}"/>
    <cellStyle name="Normal 10 4 12 2" xfId="19599" xr:uid="{00000000-0005-0000-0000-000000380000}"/>
    <cellStyle name="Normal 10 4 12 2 2" xfId="45152" xr:uid="{00000000-0005-0000-0000-000001380000}"/>
    <cellStyle name="Normal 10 4 12 3" xfId="32512" xr:uid="{00000000-0005-0000-0000-000002380000}"/>
    <cellStyle name="Normal 10 4 13" xfId="15777" xr:uid="{00000000-0005-0000-0000-000003380000}"/>
    <cellStyle name="Normal 10 4 13 2" xfId="41330" xr:uid="{00000000-0005-0000-0000-000004380000}"/>
    <cellStyle name="Normal 10 4 14" xfId="26082" xr:uid="{00000000-0005-0000-0000-000005380000}"/>
    <cellStyle name="Normal 10 4 2" xfId="185" xr:uid="{00000000-0005-0000-0000-000006380000}"/>
    <cellStyle name="Normal 10 4 2 10" xfId="7133" xr:uid="{00000000-0005-0000-0000-000007380000}"/>
    <cellStyle name="Normal 10 4 2 10 2" xfId="19642" xr:uid="{00000000-0005-0000-0000-000008380000}"/>
    <cellStyle name="Normal 10 4 2 10 2 2" xfId="45195" xr:uid="{00000000-0005-0000-0000-000009380000}"/>
    <cellStyle name="Normal 10 4 2 10 3" xfId="32690" xr:uid="{00000000-0005-0000-0000-00000A380000}"/>
    <cellStyle name="Normal 10 4 2 11" xfId="15879" xr:uid="{00000000-0005-0000-0000-00000B380000}"/>
    <cellStyle name="Normal 10 4 2 11 2" xfId="41432" xr:uid="{00000000-0005-0000-0000-00000C380000}"/>
    <cellStyle name="Normal 10 4 2 12" xfId="26125" xr:uid="{00000000-0005-0000-0000-00000D380000}"/>
    <cellStyle name="Normal 10 4 2 2" xfId="513" xr:uid="{00000000-0005-0000-0000-00000E380000}"/>
    <cellStyle name="Normal 10 4 2 2 10" xfId="26442" xr:uid="{00000000-0005-0000-0000-00000F380000}"/>
    <cellStyle name="Normal 10 4 2 2 2" xfId="718" xr:uid="{00000000-0005-0000-0000-000010380000}"/>
    <cellStyle name="Normal 10 4 2 2 2 2" xfId="3204" xr:uid="{00000000-0005-0000-0000-000011380000}"/>
    <cellStyle name="Normal 10 4 2 2 2 2 2" xfId="12347" xr:uid="{00000000-0005-0000-0000-000012380000}"/>
    <cellStyle name="Normal 10 4 2 2 2 2 2 2" xfId="22565" xr:uid="{00000000-0005-0000-0000-000013380000}"/>
    <cellStyle name="Normal 10 4 2 2 2 2 2 2 2" xfId="48118" xr:uid="{00000000-0005-0000-0000-000014380000}"/>
    <cellStyle name="Normal 10 4 2 2 2 2 2 3" xfId="37902" xr:uid="{00000000-0005-0000-0000-000015380000}"/>
    <cellStyle name="Normal 10 4 2 2 2 2 3" xfId="8769" xr:uid="{00000000-0005-0000-0000-000016380000}"/>
    <cellStyle name="Normal 10 4 2 2 2 2 3 2" xfId="34326" xr:uid="{00000000-0005-0000-0000-000017380000}"/>
    <cellStyle name="Normal 10 4 2 2 2 2 4" xfId="17558" xr:uid="{00000000-0005-0000-0000-000018380000}"/>
    <cellStyle name="Normal 10 4 2 2 2 2 4 2" xfId="43111" xr:uid="{00000000-0005-0000-0000-000019380000}"/>
    <cellStyle name="Normal 10 4 2 2 2 2 5" xfId="29048" xr:uid="{00000000-0005-0000-0000-00001A380000}"/>
    <cellStyle name="Normal 10 4 2 2 2 3" xfId="4533" xr:uid="{00000000-0005-0000-0000-00001B380000}"/>
    <cellStyle name="Normal 10 4 2 2 2 3 2" xfId="13371" xr:uid="{00000000-0005-0000-0000-00001C380000}"/>
    <cellStyle name="Normal 10 4 2 2 2 3 2 2" xfId="23622" xr:uid="{00000000-0005-0000-0000-00001D380000}"/>
    <cellStyle name="Normal 10 4 2 2 2 3 2 2 2" xfId="49175" xr:uid="{00000000-0005-0000-0000-00001E380000}"/>
    <cellStyle name="Normal 10 4 2 2 2 3 2 3" xfId="38926" xr:uid="{00000000-0005-0000-0000-00001F380000}"/>
    <cellStyle name="Normal 10 4 2 2 2 3 3" xfId="9792" xr:uid="{00000000-0005-0000-0000-000020380000}"/>
    <cellStyle name="Normal 10 4 2 2 2 3 3 2" xfId="35349" xr:uid="{00000000-0005-0000-0000-000021380000}"/>
    <cellStyle name="Normal 10 4 2 2 2 3 4" xfId="18615" xr:uid="{00000000-0005-0000-0000-000022380000}"/>
    <cellStyle name="Normal 10 4 2 2 2 3 4 2" xfId="44168" xr:uid="{00000000-0005-0000-0000-000023380000}"/>
    <cellStyle name="Normal 10 4 2 2 2 3 5" xfId="30105" xr:uid="{00000000-0005-0000-0000-000024380000}"/>
    <cellStyle name="Normal 10 4 2 2 2 4" xfId="2313" xr:uid="{00000000-0005-0000-0000-000025380000}"/>
    <cellStyle name="Normal 10 4 2 2 2 4 2" xfId="11678" xr:uid="{00000000-0005-0000-0000-000026380000}"/>
    <cellStyle name="Normal 10 4 2 2 2 4 2 2" xfId="37233" xr:uid="{00000000-0005-0000-0000-000027380000}"/>
    <cellStyle name="Normal 10 4 2 2 2 4 3" xfId="21682" xr:uid="{00000000-0005-0000-0000-000028380000}"/>
    <cellStyle name="Normal 10 4 2 2 2 4 3 2" xfId="47235" xr:uid="{00000000-0005-0000-0000-000029380000}"/>
    <cellStyle name="Normal 10 4 2 2 2 4 4" xfId="28165" xr:uid="{00000000-0005-0000-0000-00002A380000}"/>
    <cellStyle name="Normal 10 4 2 2 2 5" xfId="5989" xr:uid="{00000000-0005-0000-0000-00002B380000}"/>
    <cellStyle name="Normal 10 4 2 2 2 5 2" xfId="14816" xr:uid="{00000000-0005-0000-0000-00002C380000}"/>
    <cellStyle name="Normal 10 4 2 2 2 5 2 2" xfId="40371" xr:uid="{00000000-0005-0000-0000-00002D380000}"/>
    <cellStyle name="Normal 10 4 2 2 2 5 3" xfId="25067" xr:uid="{00000000-0005-0000-0000-00002E380000}"/>
    <cellStyle name="Normal 10 4 2 2 2 5 3 2" xfId="50620" xr:uid="{00000000-0005-0000-0000-00002F380000}"/>
    <cellStyle name="Normal 10 4 2 2 2 5 4" xfId="31550" xr:uid="{00000000-0005-0000-0000-000030380000}"/>
    <cellStyle name="Normal 10 4 2 2 2 6" xfId="7433" xr:uid="{00000000-0005-0000-0000-000031380000}"/>
    <cellStyle name="Normal 10 4 2 2 2 6 2" xfId="20164" xr:uid="{00000000-0005-0000-0000-000032380000}"/>
    <cellStyle name="Normal 10 4 2 2 2 6 2 2" xfId="45717" xr:uid="{00000000-0005-0000-0000-000033380000}"/>
    <cellStyle name="Normal 10 4 2 2 2 6 3" xfId="32990" xr:uid="{00000000-0005-0000-0000-000034380000}"/>
    <cellStyle name="Normal 10 4 2 2 2 7" xfId="16675" xr:uid="{00000000-0005-0000-0000-000035380000}"/>
    <cellStyle name="Normal 10 4 2 2 2 7 2" xfId="42228" xr:uid="{00000000-0005-0000-0000-000036380000}"/>
    <cellStyle name="Normal 10 4 2 2 2 8" xfId="26647" xr:uid="{00000000-0005-0000-0000-000037380000}"/>
    <cellStyle name="Normal 10 4 2 2 3" xfId="1285" xr:uid="{00000000-0005-0000-0000-000038380000}"/>
    <cellStyle name="Normal 10 4 2 2 3 2" xfId="3714" xr:uid="{00000000-0005-0000-0000-000039380000}"/>
    <cellStyle name="Normal 10 4 2 2 3 2 2" xfId="12850" xr:uid="{00000000-0005-0000-0000-00003A380000}"/>
    <cellStyle name="Normal 10 4 2 2 3 2 2 2" xfId="23069" xr:uid="{00000000-0005-0000-0000-00003B380000}"/>
    <cellStyle name="Normal 10 4 2 2 3 2 2 2 2" xfId="48622" xr:uid="{00000000-0005-0000-0000-00003C380000}"/>
    <cellStyle name="Normal 10 4 2 2 3 2 2 3" xfId="38405" xr:uid="{00000000-0005-0000-0000-00003D380000}"/>
    <cellStyle name="Normal 10 4 2 2 3 2 3" xfId="9271" xr:uid="{00000000-0005-0000-0000-00003E380000}"/>
    <cellStyle name="Normal 10 4 2 2 3 2 3 2" xfId="34828" xr:uid="{00000000-0005-0000-0000-00003F380000}"/>
    <cellStyle name="Normal 10 4 2 2 3 2 4" xfId="18062" xr:uid="{00000000-0005-0000-0000-000040380000}"/>
    <cellStyle name="Normal 10 4 2 2 3 2 4 2" xfId="43615" xr:uid="{00000000-0005-0000-0000-000041380000}"/>
    <cellStyle name="Normal 10 4 2 2 3 2 5" xfId="29552" xr:uid="{00000000-0005-0000-0000-000042380000}"/>
    <cellStyle name="Normal 10 4 2 2 3 3" xfId="4882" xr:uid="{00000000-0005-0000-0000-000043380000}"/>
    <cellStyle name="Normal 10 4 2 2 3 3 2" xfId="13719" xr:uid="{00000000-0005-0000-0000-000044380000}"/>
    <cellStyle name="Normal 10 4 2 2 3 3 2 2" xfId="23970" xr:uid="{00000000-0005-0000-0000-000045380000}"/>
    <cellStyle name="Normal 10 4 2 2 3 3 2 2 2" xfId="49523" xr:uid="{00000000-0005-0000-0000-000046380000}"/>
    <cellStyle name="Normal 10 4 2 2 3 3 2 3" xfId="39274" xr:uid="{00000000-0005-0000-0000-000047380000}"/>
    <cellStyle name="Normal 10 4 2 2 3 3 3" xfId="10140" xr:uid="{00000000-0005-0000-0000-000048380000}"/>
    <cellStyle name="Normal 10 4 2 2 3 3 3 2" xfId="35697" xr:uid="{00000000-0005-0000-0000-000049380000}"/>
    <cellStyle name="Normal 10 4 2 2 3 3 4" xfId="18963" xr:uid="{00000000-0005-0000-0000-00004A380000}"/>
    <cellStyle name="Normal 10 4 2 2 3 3 4 2" xfId="44516" xr:uid="{00000000-0005-0000-0000-00004B380000}"/>
    <cellStyle name="Normal 10 4 2 2 3 3 5" xfId="30453" xr:uid="{00000000-0005-0000-0000-00004C380000}"/>
    <cellStyle name="Normal 10 4 2 2 3 4" xfId="2108" xr:uid="{00000000-0005-0000-0000-00004D380000}"/>
    <cellStyle name="Normal 10 4 2 2 3 4 2" xfId="11473" xr:uid="{00000000-0005-0000-0000-00004E380000}"/>
    <cellStyle name="Normal 10 4 2 2 3 4 2 2" xfId="37028" xr:uid="{00000000-0005-0000-0000-00004F380000}"/>
    <cellStyle name="Normal 10 4 2 2 3 4 3" xfId="21477" xr:uid="{00000000-0005-0000-0000-000050380000}"/>
    <cellStyle name="Normal 10 4 2 2 3 4 3 2" xfId="47030" xr:uid="{00000000-0005-0000-0000-000051380000}"/>
    <cellStyle name="Normal 10 4 2 2 3 4 4" xfId="27960" xr:uid="{00000000-0005-0000-0000-000052380000}"/>
    <cellStyle name="Normal 10 4 2 2 3 5" xfId="6337" xr:uid="{00000000-0005-0000-0000-000053380000}"/>
    <cellStyle name="Normal 10 4 2 2 3 5 2" xfId="15164" xr:uid="{00000000-0005-0000-0000-000054380000}"/>
    <cellStyle name="Normal 10 4 2 2 3 5 2 2" xfId="40719" xr:uid="{00000000-0005-0000-0000-000055380000}"/>
    <cellStyle name="Normal 10 4 2 2 3 5 3" xfId="25415" xr:uid="{00000000-0005-0000-0000-000056380000}"/>
    <cellStyle name="Normal 10 4 2 2 3 5 3 2" xfId="50968" xr:uid="{00000000-0005-0000-0000-000057380000}"/>
    <cellStyle name="Normal 10 4 2 2 3 5 4" xfId="31898" xr:uid="{00000000-0005-0000-0000-000058380000}"/>
    <cellStyle name="Normal 10 4 2 2 3 6" xfId="7783" xr:uid="{00000000-0005-0000-0000-000059380000}"/>
    <cellStyle name="Normal 10 4 2 2 3 6 2" xfId="20668" xr:uid="{00000000-0005-0000-0000-00005A380000}"/>
    <cellStyle name="Normal 10 4 2 2 3 6 2 2" xfId="46221" xr:uid="{00000000-0005-0000-0000-00005B380000}"/>
    <cellStyle name="Normal 10 4 2 2 3 6 3" xfId="33340" xr:uid="{00000000-0005-0000-0000-00005C380000}"/>
    <cellStyle name="Normal 10 4 2 2 3 7" xfId="16470" xr:uid="{00000000-0005-0000-0000-00005D380000}"/>
    <cellStyle name="Normal 10 4 2 2 3 7 2" xfId="42023" xr:uid="{00000000-0005-0000-0000-00005E380000}"/>
    <cellStyle name="Normal 10 4 2 2 3 8" xfId="27151" xr:uid="{00000000-0005-0000-0000-00005F380000}"/>
    <cellStyle name="Normal 10 4 2 2 4" xfId="2999" xr:uid="{00000000-0005-0000-0000-000060380000}"/>
    <cellStyle name="Normal 10 4 2 2 4 2" xfId="5377" xr:uid="{00000000-0005-0000-0000-000061380000}"/>
    <cellStyle name="Normal 10 4 2 2 4 2 2" xfId="14214" xr:uid="{00000000-0005-0000-0000-000062380000}"/>
    <cellStyle name="Normal 10 4 2 2 4 2 2 2" xfId="24465" xr:uid="{00000000-0005-0000-0000-000063380000}"/>
    <cellStyle name="Normal 10 4 2 2 4 2 2 2 2" xfId="50018" xr:uid="{00000000-0005-0000-0000-000064380000}"/>
    <cellStyle name="Normal 10 4 2 2 4 2 2 3" xfId="39769" xr:uid="{00000000-0005-0000-0000-000065380000}"/>
    <cellStyle name="Normal 10 4 2 2 4 2 3" xfId="10635" xr:uid="{00000000-0005-0000-0000-000066380000}"/>
    <cellStyle name="Normal 10 4 2 2 4 2 3 2" xfId="36192" xr:uid="{00000000-0005-0000-0000-000067380000}"/>
    <cellStyle name="Normal 10 4 2 2 4 2 4" xfId="19458" xr:uid="{00000000-0005-0000-0000-000068380000}"/>
    <cellStyle name="Normal 10 4 2 2 4 2 4 2" xfId="45011" xr:uid="{00000000-0005-0000-0000-000069380000}"/>
    <cellStyle name="Normal 10 4 2 2 4 2 5" xfId="30948" xr:uid="{00000000-0005-0000-0000-00006A380000}"/>
    <cellStyle name="Normal 10 4 2 2 4 3" xfId="6832" xr:uid="{00000000-0005-0000-0000-00006B380000}"/>
    <cellStyle name="Normal 10 4 2 2 4 3 2" xfId="15659" xr:uid="{00000000-0005-0000-0000-00006C380000}"/>
    <cellStyle name="Normal 10 4 2 2 4 3 2 2" xfId="41214" xr:uid="{00000000-0005-0000-0000-00006D380000}"/>
    <cellStyle name="Normal 10 4 2 2 4 3 3" xfId="25910" xr:uid="{00000000-0005-0000-0000-00006E380000}"/>
    <cellStyle name="Normal 10 4 2 2 4 3 3 2" xfId="51463" xr:uid="{00000000-0005-0000-0000-00006F380000}"/>
    <cellStyle name="Normal 10 4 2 2 4 3 4" xfId="32393" xr:uid="{00000000-0005-0000-0000-000070380000}"/>
    <cellStyle name="Normal 10 4 2 2 4 4" xfId="8278" xr:uid="{00000000-0005-0000-0000-000071380000}"/>
    <cellStyle name="Normal 10 4 2 2 4 4 2" xfId="22360" xr:uid="{00000000-0005-0000-0000-000072380000}"/>
    <cellStyle name="Normal 10 4 2 2 4 4 2 2" xfId="47913" xr:uid="{00000000-0005-0000-0000-000073380000}"/>
    <cellStyle name="Normal 10 4 2 2 4 4 3" xfId="33835" xr:uid="{00000000-0005-0000-0000-000074380000}"/>
    <cellStyle name="Normal 10 4 2 2 4 5" xfId="17353" xr:uid="{00000000-0005-0000-0000-000075380000}"/>
    <cellStyle name="Normal 10 4 2 2 4 5 2" xfId="42906" xr:uid="{00000000-0005-0000-0000-000076380000}"/>
    <cellStyle name="Normal 10 4 2 2 4 6" xfId="28843" xr:uid="{00000000-0005-0000-0000-000077380000}"/>
    <cellStyle name="Normal 10 4 2 2 5" xfId="4333" xr:uid="{00000000-0005-0000-0000-000078380000}"/>
    <cellStyle name="Normal 10 4 2 2 5 2" xfId="13171" xr:uid="{00000000-0005-0000-0000-000079380000}"/>
    <cellStyle name="Normal 10 4 2 2 5 2 2" xfId="23422" xr:uid="{00000000-0005-0000-0000-00007A380000}"/>
    <cellStyle name="Normal 10 4 2 2 5 2 2 2" xfId="48975" xr:uid="{00000000-0005-0000-0000-00007B380000}"/>
    <cellStyle name="Normal 10 4 2 2 5 2 3" xfId="38726" xr:uid="{00000000-0005-0000-0000-00007C380000}"/>
    <cellStyle name="Normal 10 4 2 2 5 3" xfId="9592" xr:uid="{00000000-0005-0000-0000-00007D380000}"/>
    <cellStyle name="Normal 10 4 2 2 5 3 2" xfId="35149" xr:uid="{00000000-0005-0000-0000-00007E380000}"/>
    <cellStyle name="Normal 10 4 2 2 5 4" xfId="18415" xr:uid="{00000000-0005-0000-0000-00007F380000}"/>
    <cellStyle name="Normal 10 4 2 2 5 4 2" xfId="43968" xr:uid="{00000000-0005-0000-0000-000080380000}"/>
    <cellStyle name="Normal 10 4 2 2 5 5" xfId="29905" xr:uid="{00000000-0005-0000-0000-000081380000}"/>
    <cellStyle name="Normal 10 4 2 2 6" xfId="1605" xr:uid="{00000000-0005-0000-0000-000082380000}"/>
    <cellStyle name="Normal 10 4 2 2 6 2" xfId="10982" xr:uid="{00000000-0005-0000-0000-000083380000}"/>
    <cellStyle name="Normal 10 4 2 2 6 2 2" xfId="36537" xr:uid="{00000000-0005-0000-0000-000084380000}"/>
    <cellStyle name="Normal 10 4 2 2 6 3" xfId="20986" xr:uid="{00000000-0005-0000-0000-000085380000}"/>
    <cellStyle name="Normal 10 4 2 2 6 3 2" xfId="46539" xr:uid="{00000000-0005-0000-0000-000086380000}"/>
    <cellStyle name="Normal 10 4 2 2 6 4" xfId="27469" xr:uid="{00000000-0005-0000-0000-000087380000}"/>
    <cellStyle name="Normal 10 4 2 2 7" xfId="5789" xr:uid="{00000000-0005-0000-0000-000088380000}"/>
    <cellStyle name="Normal 10 4 2 2 7 2" xfId="14616" xr:uid="{00000000-0005-0000-0000-000089380000}"/>
    <cellStyle name="Normal 10 4 2 2 7 2 2" xfId="40171" xr:uid="{00000000-0005-0000-0000-00008A380000}"/>
    <cellStyle name="Normal 10 4 2 2 7 3" xfId="24867" xr:uid="{00000000-0005-0000-0000-00008B380000}"/>
    <cellStyle name="Normal 10 4 2 2 7 3 2" xfId="50420" xr:uid="{00000000-0005-0000-0000-00008C380000}"/>
    <cellStyle name="Normal 10 4 2 2 7 4" xfId="31350" xr:uid="{00000000-0005-0000-0000-00008D380000}"/>
    <cellStyle name="Normal 10 4 2 2 8" xfId="7233" xr:uid="{00000000-0005-0000-0000-00008E380000}"/>
    <cellStyle name="Normal 10 4 2 2 8 2" xfId="19959" xr:uid="{00000000-0005-0000-0000-00008F380000}"/>
    <cellStyle name="Normal 10 4 2 2 8 2 2" xfId="45512" xr:uid="{00000000-0005-0000-0000-000090380000}"/>
    <cellStyle name="Normal 10 4 2 2 8 3" xfId="32790" xr:uid="{00000000-0005-0000-0000-000091380000}"/>
    <cellStyle name="Normal 10 4 2 2 9" xfId="15979" xr:uid="{00000000-0005-0000-0000-000092380000}"/>
    <cellStyle name="Normal 10 4 2 2 9 2" xfId="41532" xr:uid="{00000000-0005-0000-0000-000093380000}"/>
    <cellStyle name="Normal 10 4 2 2_Degree data" xfId="3838" xr:uid="{00000000-0005-0000-0000-000094380000}"/>
    <cellStyle name="Normal 10 4 2 3" xfId="413" xr:uid="{00000000-0005-0000-0000-000095380000}"/>
    <cellStyle name="Normal 10 4 2 3 2" xfId="2899" xr:uid="{00000000-0005-0000-0000-000096380000}"/>
    <cellStyle name="Normal 10 4 2 3 2 2" xfId="12187" xr:uid="{00000000-0005-0000-0000-000097380000}"/>
    <cellStyle name="Normal 10 4 2 3 2 2 2" xfId="22260" xr:uid="{00000000-0005-0000-0000-000098380000}"/>
    <cellStyle name="Normal 10 4 2 3 2 2 2 2" xfId="47813" xr:uid="{00000000-0005-0000-0000-000099380000}"/>
    <cellStyle name="Normal 10 4 2 3 2 2 3" xfId="37742" xr:uid="{00000000-0005-0000-0000-00009A380000}"/>
    <cellStyle name="Normal 10 4 2 3 2 3" xfId="8588" xr:uid="{00000000-0005-0000-0000-00009B380000}"/>
    <cellStyle name="Normal 10 4 2 3 2 3 2" xfId="34145" xr:uid="{00000000-0005-0000-0000-00009C380000}"/>
    <cellStyle name="Normal 10 4 2 3 2 4" xfId="17253" xr:uid="{00000000-0005-0000-0000-00009D380000}"/>
    <cellStyle name="Normal 10 4 2 3 2 4 2" xfId="42806" xr:uid="{00000000-0005-0000-0000-00009E380000}"/>
    <cellStyle name="Normal 10 4 2 3 2 5" xfId="28743" xr:uid="{00000000-0005-0000-0000-00009F380000}"/>
    <cellStyle name="Normal 10 4 2 3 3" xfId="4532" xr:uid="{00000000-0005-0000-0000-0000A0380000}"/>
    <cellStyle name="Normal 10 4 2 3 3 2" xfId="13370" xr:uid="{00000000-0005-0000-0000-0000A1380000}"/>
    <cellStyle name="Normal 10 4 2 3 3 2 2" xfId="23621" xr:uid="{00000000-0005-0000-0000-0000A2380000}"/>
    <cellStyle name="Normal 10 4 2 3 3 2 2 2" xfId="49174" xr:uid="{00000000-0005-0000-0000-0000A3380000}"/>
    <cellStyle name="Normal 10 4 2 3 3 2 3" xfId="38925" xr:uid="{00000000-0005-0000-0000-0000A4380000}"/>
    <cellStyle name="Normal 10 4 2 3 3 3" xfId="9791" xr:uid="{00000000-0005-0000-0000-0000A5380000}"/>
    <cellStyle name="Normal 10 4 2 3 3 3 2" xfId="35348" xr:uid="{00000000-0005-0000-0000-0000A6380000}"/>
    <cellStyle name="Normal 10 4 2 3 3 4" xfId="18614" xr:uid="{00000000-0005-0000-0000-0000A7380000}"/>
    <cellStyle name="Normal 10 4 2 3 3 4 2" xfId="44167" xr:uid="{00000000-0005-0000-0000-0000A8380000}"/>
    <cellStyle name="Normal 10 4 2 3 3 5" xfId="30104" xr:uid="{00000000-0005-0000-0000-0000A9380000}"/>
    <cellStyle name="Normal 10 4 2 3 4" xfId="2008" xr:uid="{00000000-0005-0000-0000-0000AA380000}"/>
    <cellStyle name="Normal 10 4 2 3 4 2" xfId="11373" xr:uid="{00000000-0005-0000-0000-0000AB380000}"/>
    <cellStyle name="Normal 10 4 2 3 4 2 2" xfId="36928" xr:uid="{00000000-0005-0000-0000-0000AC380000}"/>
    <cellStyle name="Normal 10 4 2 3 4 3" xfId="21377" xr:uid="{00000000-0005-0000-0000-0000AD380000}"/>
    <cellStyle name="Normal 10 4 2 3 4 3 2" xfId="46930" xr:uid="{00000000-0005-0000-0000-0000AE380000}"/>
    <cellStyle name="Normal 10 4 2 3 4 4" xfId="27860" xr:uid="{00000000-0005-0000-0000-0000AF380000}"/>
    <cellStyle name="Normal 10 4 2 3 5" xfId="5988" xr:uid="{00000000-0005-0000-0000-0000B0380000}"/>
    <cellStyle name="Normal 10 4 2 3 5 2" xfId="14815" xr:uid="{00000000-0005-0000-0000-0000B1380000}"/>
    <cellStyle name="Normal 10 4 2 3 5 2 2" xfId="40370" xr:uid="{00000000-0005-0000-0000-0000B2380000}"/>
    <cellStyle name="Normal 10 4 2 3 5 3" xfId="25066" xr:uid="{00000000-0005-0000-0000-0000B3380000}"/>
    <cellStyle name="Normal 10 4 2 3 5 3 2" xfId="50619" xr:uid="{00000000-0005-0000-0000-0000B4380000}"/>
    <cellStyle name="Normal 10 4 2 3 5 4" xfId="31549" xr:uid="{00000000-0005-0000-0000-0000B5380000}"/>
    <cellStyle name="Normal 10 4 2 3 6" xfId="7432" xr:uid="{00000000-0005-0000-0000-0000B6380000}"/>
    <cellStyle name="Normal 10 4 2 3 6 2" xfId="19859" xr:uid="{00000000-0005-0000-0000-0000B7380000}"/>
    <cellStyle name="Normal 10 4 2 3 6 2 2" xfId="45412" xr:uid="{00000000-0005-0000-0000-0000B8380000}"/>
    <cellStyle name="Normal 10 4 2 3 6 3" xfId="32989" xr:uid="{00000000-0005-0000-0000-0000B9380000}"/>
    <cellStyle name="Normal 10 4 2 3 7" xfId="16370" xr:uid="{00000000-0005-0000-0000-0000BA380000}"/>
    <cellStyle name="Normal 10 4 2 3 7 2" xfId="41923" xr:uid="{00000000-0005-0000-0000-0000BB380000}"/>
    <cellStyle name="Normal 10 4 2 3 8" xfId="26342" xr:uid="{00000000-0005-0000-0000-0000BC380000}"/>
    <cellStyle name="Normal 10 4 2 4" xfId="717" xr:uid="{00000000-0005-0000-0000-0000BD380000}"/>
    <cellStyle name="Normal 10 4 2 4 2" xfId="3203" xr:uid="{00000000-0005-0000-0000-0000BE380000}"/>
    <cellStyle name="Normal 10 4 2 4 2 2" xfId="12346" xr:uid="{00000000-0005-0000-0000-0000BF380000}"/>
    <cellStyle name="Normal 10 4 2 4 2 2 2" xfId="22564" xr:uid="{00000000-0005-0000-0000-0000C0380000}"/>
    <cellStyle name="Normal 10 4 2 4 2 2 2 2" xfId="48117" xr:uid="{00000000-0005-0000-0000-0000C1380000}"/>
    <cellStyle name="Normal 10 4 2 4 2 2 3" xfId="37901" xr:uid="{00000000-0005-0000-0000-0000C2380000}"/>
    <cellStyle name="Normal 10 4 2 4 2 3" xfId="8768" xr:uid="{00000000-0005-0000-0000-0000C3380000}"/>
    <cellStyle name="Normal 10 4 2 4 2 3 2" xfId="34325" xr:uid="{00000000-0005-0000-0000-0000C4380000}"/>
    <cellStyle name="Normal 10 4 2 4 2 4" xfId="17557" xr:uid="{00000000-0005-0000-0000-0000C5380000}"/>
    <cellStyle name="Normal 10 4 2 4 2 4 2" xfId="43110" xr:uid="{00000000-0005-0000-0000-0000C6380000}"/>
    <cellStyle name="Normal 10 4 2 4 2 5" xfId="29047" xr:uid="{00000000-0005-0000-0000-0000C7380000}"/>
    <cellStyle name="Normal 10 4 2 4 3" xfId="4881" xr:uid="{00000000-0005-0000-0000-0000C8380000}"/>
    <cellStyle name="Normal 10 4 2 4 3 2" xfId="13718" xr:uid="{00000000-0005-0000-0000-0000C9380000}"/>
    <cellStyle name="Normal 10 4 2 4 3 2 2" xfId="23969" xr:uid="{00000000-0005-0000-0000-0000CA380000}"/>
    <cellStyle name="Normal 10 4 2 4 3 2 2 2" xfId="49522" xr:uid="{00000000-0005-0000-0000-0000CB380000}"/>
    <cellStyle name="Normal 10 4 2 4 3 2 3" xfId="39273" xr:uid="{00000000-0005-0000-0000-0000CC380000}"/>
    <cellStyle name="Normal 10 4 2 4 3 3" xfId="10139" xr:uid="{00000000-0005-0000-0000-0000CD380000}"/>
    <cellStyle name="Normal 10 4 2 4 3 3 2" xfId="35696" xr:uid="{00000000-0005-0000-0000-0000CE380000}"/>
    <cellStyle name="Normal 10 4 2 4 3 4" xfId="18962" xr:uid="{00000000-0005-0000-0000-0000CF380000}"/>
    <cellStyle name="Normal 10 4 2 4 3 4 2" xfId="44515" xr:uid="{00000000-0005-0000-0000-0000D0380000}"/>
    <cellStyle name="Normal 10 4 2 4 3 5" xfId="30452" xr:uid="{00000000-0005-0000-0000-0000D1380000}"/>
    <cellStyle name="Normal 10 4 2 4 4" xfId="2312" xr:uid="{00000000-0005-0000-0000-0000D2380000}"/>
    <cellStyle name="Normal 10 4 2 4 4 2" xfId="11677" xr:uid="{00000000-0005-0000-0000-0000D3380000}"/>
    <cellStyle name="Normal 10 4 2 4 4 2 2" xfId="37232" xr:uid="{00000000-0005-0000-0000-0000D4380000}"/>
    <cellStyle name="Normal 10 4 2 4 4 3" xfId="21681" xr:uid="{00000000-0005-0000-0000-0000D5380000}"/>
    <cellStyle name="Normal 10 4 2 4 4 3 2" xfId="47234" xr:uid="{00000000-0005-0000-0000-0000D6380000}"/>
    <cellStyle name="Normal 10 4 2 4 4 4" xfId="28164" xr:uid="{00000000-0005-0000-0000-0000D7380000}"/>
    <cellStyle name="Normal 10 4 2 4 5" xfId="6336" xr:uid="{00000000-0005-0000-0000-0000D8380000}"/>
    <cellStyle name="Normal 10 4 2 4 5 2" xfId="15163" xr:uid="{00000000-0005-0000-0000-0000D9380000}"/>
    <cellStyle name="Normal 10 4 2 4 5 2 2" xfId="40718" xr:uid="{00000000-0005-0000-0000-0000DA380000}"/>
    <cellStyle name="Normal 10 4 2 4 5 3" xfId="25414" xr:uid="{00000000-0005-0000-0000-0000DB380000}"/>
    <cellStyle name="Normal 10 4 2 4 5 3 2" xfId="50967" xr:uid="{00000000-0005-0000-0000-0000DC380000}"/>
    <cellStyle name="Normal 10 4 2 4 5 4" xfId="31897" xr:uid="{00000000-0005-0000-0000-0000DD380000}"/>
    <cellStyle name="Normal 10 4 2 4 6" xfId="7782" xr:uid="{00000000-0005-0000-0000-0000DE380000}"/>
    <cellStyle name="Normal 10 4 2 4 6 2" xfId="20163" xr:uid="{00000000-0005-0000-0000-0000DF380000}"/>
    <cellStyle name="Normal 10 4 2 4 6 2 2" xfId="45716" xr:uid="{00000000-0005-0000-0000-0000E0380000}"/>
    <cellStyle name="Normal 10 4 2 4 6 3" xfId="33339" xr:uid="{00000000-0005-0000-0000-0000E1380000}"/>
    <cellStyle name="Normal 10 4 2 4 7" xfId="16674" xr:uid="{00000000-0005-0000-0000-0000E2380000}"/>
    <cellStyle name="Normal 10 4 2 4 7 2" xfId="42227" xr:uid="{00000000-0005-0000-0000-0000E3380000}"/>
    <cellStyle name="Normal 10 4 2 4 8" xfId="26646" xr:uid="{00000000-0005-0000-0000-0000E4380000}"/>
    <cellStyle name="Normal 10 4 2 5" xfId="1185" xr:uid="{00000000-0005-0000-0000-0000E5380000}"/>
    <cellStyle name="Normal 10 4 2 5 2" xfId="3614" xr:uid="{00000000-0005-0000-0000-0000E6380000}"/>
    <cellStyle name="Normal 10 4 2 5 2 2" xfId="12750" xr:uid="{00000000-0005-0000-0000-0000E7380000}"/>
    <cellStyle name="Normal 10 4 2 5 2 2 2" xfId="22969" xr:uid="{00000000-0005-0000-0000-0000E8380000}"/>
    <cellStyle name="Normal 10 4 2 5 2 2 2 2" xfId="48522" xr:uid="{00000000-0005-0000-0000-0000E9380000}"/>
    <cellStyle name="Normal 10 4 2 5 2 2 3" xfId="38305" xr:uid="{00000000-0005-0000-0000-0000EA380000}"/>
    <cellStyle name="Normal 10 4 2 5 2 3" xfId="9171" xr:uid="{00000000-0005-0000-0000-0000EB380000}"/>
    <cellStyle name="Normal 10 4 2 5 2 3 2" xfId="34728" xr:uid="{00000000-0005-0000-0000-0000EC380000}"/>
    <cellStyle name="Normal 10 4 2 5 2 4" xfId="17962" xr:uid="{00000000-0005-0000-0000-0000ED380000}"/>
    <cellStyle name="Normal 10 4 2 5 2 4 2" xfId="43515" xr:uid="{00000000-0005-0000-0000-0000EE380000}"/>
    <cellStyle name="Normal 10 4 2 5 2 5" xfId="29452" xr:uid="{00000000-0005-0000-0000-0000EF380000}"/>
    <cellStyle name="Normal 10 4 2 5 3" xfId="5277" xr:uid="{00000000-0005-0000-0000-0000F0380000}"/>
    <cellStyle name="Normal 10 4 2 5 3 2" xfId="14114" xr:uid="{00000000-0005-0000-0000-0000F1380000}"/>
    <cellStyle name="Normal 10 4 2 5 3 2 2" xfId="24365" xr:uid="{00000000-0005-0000-0000-0000F2380000}"/>
    <cellStyle name="Normal 10 4 2 5 3 2 2 2" xfId="49918" xr:uid="{00000000-0005-0000-0000-0000F3380000}"/>
    <cellStyle name="Normal 10 4 2 5 3 2 3" xfId="39669" xr:uid="{00000000-0005-0000-0000-0000F4380000}"/>
    <cellStyle name="Normal 10 4 2 5 3 3" xfId="10535" xr:uid="{00000000-0005-0000-0000-0000F5380000}"/>
    <cellStyle name="Normal 10 4 2 5 3 3 2" xfId="36092" xr:uid="{00000000-0005-0000-0000-0000F6380000}"/>
    <cellStyle name="Normal 10 4 2 5 3 4" xfId="19358" xr:uid="{00000000-0005-0000-0000-0000F7380000}"/>
    <cellStyle name="Normal 10 4 2 5 3 4 2" xfId="44911" xr:uid="{00000000-0005-0000-0000-0000F8380000}"/>
    <cellStyle name="Normal 10 4 2 5 3 5" xfId="30848" xr:uid="{00000000-0005-0000-0000-0000F9380000}"/>
    <cellStyle name="Normal 10 4 2 5 4" xfId="1787" xr:uid="{00000000-0005-0000-0000-0000FA380000}"/>
    <cellStyle name="Normal 10 4 2 5 4 2" xfId="11156" xr:uid="{00000000-0005-0000-0000-0000FB380000}"/>
    <cellStyle name="Normal 10 4 2 5 4 2 2" xfId="36711" xr:uid="{00000000-0005-0000-0000-0000FC380000}"/>
    <cellStyle name="Normal 10 4 2 5 4 3" xfId="21160" xr:uid="{00000000-0005-0000-0000-0000FD380000}"/>
    <cellStyle name="Normal 10 4 2 5 4 3 2" xfId="46713" xr:uid="{00000000-0005-0000-0000-0000FE380000}"/>
    <cellStyle name="Normal 10 4 2 5 4 4" xfId="27643" xr:uid="{00000000-0005-0000-0000-0000FF380000}"/>
    <cellStyle name="Normal 10 4 2 5 5" xfId="6732" xr:uid="{00000000-0005-0000-0000-000000390000}"/>
    <cellStyle name="Normal 10 4 2 5 5 2" xfId="15559" xr:uid="{00000000-0005-0000-0000-000001390000}"/>
    <cellStyle name="Normal 10 4 2 5 5 2 2" xfId="41114" xr:uid="{00000000-0005-0000-0000-000002390000}"/>
    <cellStyle name="Normal 10 4 2 5 5 3" xfId="25810" xr:uid="{00000000-0005-0000-0000-000003390000}"/>
    <cellStyle name="Normal 10 4 2 5 5 3 2" xfId="51363" xr:uid="{00000000-0005-0000-0000-000004390000}"/>
    <cellStyle name="Normal 10 4 2 5 5 4" xfId="32293" xr:uid="{00000000-0005-0000-0000-000005390000}"/>
    <cellStyle name="Normal 10 4 2 5 6" xfId="8178" xr:uid="{00000000-0005-0000-0000-000006390000}"/>
    <cellStyle name="Normal 10 4 2 5 6 2" xfId="20568" xr:uid="{00000000-0005-0000-0000-000007390000}"/>
    <cellStyle name="Normal 10 4 2 5 6 2 2" xfId="46121" xr:uid="{00000000-0005-0000-0000-000008390000}"/>
    <cellStyle name="Normal 10 4 2 5 6 3" xfId="33735" xr:uid="{00000000-0005-0000-0000-000009390000}"/>
    <cellStyle name="Normal 10 4 2 5 7" xfId="16153" xr:uid="{00000000-0005-0000-0000-00000A390000}"/>
    <cellStyle name="Normal 10 4 2 5 7 2" xfId="41706" xr:uid="{00000000-0005-0000-0000-00000B390000}"/>
    <cellStyle name="Normal 10 4 2 5 8" xfId="27051" xr:uid="{00000000-0005-0000-0000-00000C390000}"/>
    <cellStyle name="Normal 10 4 2 6" xfId="2682" xr:uid="{00000000-0005-0000-0000-00000D390000}"/>
    <cellStyle name="Normal 10 4 2 6 2" xfId="11999" xr:uid="{00000000-0005-0000-0000-00000E390000}"/>
    <cellStyle name="Normal 10 4 2 6 2 2" xfId="22043" xr:uid="{00000000-0005-0000-0000-00000F390000}"/>
    <cellStyle name="Normal 10 4 2 6 2 2 2" xfId="47596" xr:uid="{00000000-0005-0000-0000-000010390000}"/>
    <cellStyle name="Normal 10 4 2 6 2 3" xfId="37554" xr:uid="{00000000-0005-0000-0000-000011390000}"/>
    <cellStyle name="Normal 10 4 2 6 3" xfId="8568" xr:uid="{00000000-0005-0000-0000-000012390000}"/>
    <cellStyle name="Normal 10 4 2 6 3 2" xfId="34125" xr:uid="{00000000-0005-0000-0000-000013390000}"/>
    <cellStyle name="Normal 10 4 2 6 4" xfId="17036" xr:uid="{00000000-0005-0000-0000-000014390000}"/>
    <cellStyle name="Normal 10 4 2 6 4 2" xfId="42589" xr:uid="{00000000-0005-0000-0000-000015390000}"/>
    <cellStyle name="Normal 10 4 2 6 5" xfId="28526" xr:uid="{00000000-0005-0000-0000-000016390000}"/>
    <cellStyle name="Normal 10 4 2 7" xfId="4233" xr:uid="{00000000-0005-0000-0000-000017390000}"/>
    <cellStyle name="Normal 10 4 2 7 2" xfId="13071" xr:uid="{00000000-0005-0000-0000-000018390000}"/>
    <cellStyle name="Normal 10 4 2 7 2 2" xfId="23322" xr:uid="{00000000-0005-0000-0000-000019390000}"/>
    <cellStyle name="Normal 10 4 2 7 2 2 2" xfId="48875" xr:uid="{00000000-0005-0000-0000-00001A390000}"/>
    <cellStyle name="Normal 10 4 2 7 2 3" xfId="38626" xr:uid="{00000000-0005-0000-0000-00001B390000}"/>
    <cellStyle name="Normal 10 4 2 7 3" xfId="9492" xr:uid="{00000000-0005-0000-0000-00001C390000}"/>
    <cellStyle name="Normal 10 4 2 7 3 2" xfId="35049" xr:uid="{00000000-0005-0000-0000-00001D390000}"/>
    <cellStyle name="Normal 10 4 2 7 4" xfId="18315" xr:uid="{00000000-0005-0000-0000-00001E390000}"/>
    <cellStyle name="Normal 10 4 2 7 4 2" xfId="43868" xr:uid="{00000000-0005-0000-0000-00001F390000}"/>
    <cellStyle name="Normal 10 4 2 7 5" xfId="29805" xr:uid="{00000000-0005-0000-0000-000020390000}"/>
    <cellStyle name="Normal 10 4 2 8" xfId="1505" xr:uid="{00000000-0005-0000-0000-000021390000}"/>
    <cellStyle name="Normal 10 4 2 8 2" xfId="10882" xr:uid="{00000000-0005-0000-0000-000022390000}"/>
    <cellStyle name="Normal 10 4 2 8 2 2" xfId="36437" xr:uid="{00000000-0005-0000-0000-000023390000}"/>
    <cellStyle name="Normal 10 4 2 8 3" xfId="20886" xr:uid="{00000000-0005-0000-0000-000024390000}"/>
    <cellStyle name="Normal 10 4 2 8 3 2" xfId="46439" xr:uid="{00000000-0005-0000-0000-000025390000}"/>
    <cellStyle name="Normal 10 4 2 8 4" xfId="27369" xr:uid="{00000000-0005-0000-0000-000026390000}"/>
    <cellStyle name="Normal 10 4 2 9" xfId="5689" xr:uid="{00000000-0005-0000-0000-000027390000}"/>
    <cellStyle name="Normal 10 4 2 9 2" xfId="14516" xr:uid="{00000000-0005-0000-0000-000028390000}"/>
    <cellStyle name="Normal 10 4 2 9 2 2" xfId="40071" xr:uid="{00000000-0005-0000-0000-000029390000}"/>
    <cellStyle name="Normal 10 4 2 9 3" xfId="24767" xr:uid="{00000000-0005-0000-0000-00002A390000}"/>
    <cellStyle name="Normal 10 4 2 9 3 2" xfId="50320" xr:uid="{00000000-0005-0000-0000-00002B390000}"/>
    <cellStyle name="Normal 10 4 2 9 4" xfId="31250" xr:uid="{00000000-0005-0000-0000-00002C390000}"/>
    <cellStyle name="Normal 10 4 2_Degree data" xfId="2635" xr:uid="{00000000-0005-0000-0000-00002D390000}"/>
    <cellStyle name="Normal 10 4 3" xfId="252" xr:uid="{00000000-0005-0000-0000-00002E390000}"/>
    <cellStyle name="Normal 10 4 3 10" xfId="7090" xr:uid="{00000000-0005-0000-0000-00002F390000}"/>
    <cellStyle name="Normal 10 4 3 10 2" xfId="19704" xr:uid="{00000000-0005-0000-0000-000030390000}"/>
    <cellStyle name="Normal 10 4 3 10 2 2" xfId="45257" xr:uid="{00000000-0005-0000-0000-000031390000}"/>
    <cellStyle name="Normal 10 4 3 10 3" xfId="32647" xr:uid="{00000000-0005-0000-0000-000032390000}"/>
    <cellStyle name="Normal 10 4 3 11" xfId="15836" xr:uid="{00000000-0005-0000-0000-000033390000}"/>
    <cellStyle name="Normal 10 4 3 11 2" xfId="41389" xr:uid="{00000000-0005-0000-0000-000034390000}"/>
    <cellStyle name="Normal 10 4 3 12" xfId="26187" xr:uid="{00000000-0005-0000-0000-000035390000}"/>
    <cellStyle name="Normal 10 4 3 2" xfId="575" xr:uid="{00000000-0005-0000-0000-000036390000}"/>
    <cellStyle name="Normal 10 4 3 2 10" xfId="26504" xr:uid="{00000000-0005-0000-0000-000037390000}"/>
    <cellStyle name="Normal 10 4 3 2 2" xfId="720" xr:uid="{00000000-0005-0000-0000-000038390000}"/>
    <cellStyle name="Normal 10 4 3 2 2 2" xfId="3206" xr:uid="{00000000-0005-0000-0000-000039390000}"/>
    <cellStyle name="Normal 10 4 3 2 2 2 2" xfId="12349" xr:uid="{00000000-0005-0000-0000-00003A390000}"/>
    <cellStyle name="Normal 10 4 3 2 2 2 2 2" xfId="22567" xr:uid="{00000000-0005-0000-0000-00003B390000}"/>
    <cellStyle name="Normal 10 4 3 2 2 2 2 2 2" xfId="48120" xr:uid="{00000000-0005-0000-0000-00003C390000}"/>
    <cellStyle name="Normal 10 4 3 2 2 2 2 3" xfId="37904" xr:uid="{00000000-0005-0000-0000-00003D390000}"/>
    <cellStyle name="Normal 10 4 3 2 2 2 3" xfId="8771" xr:uid="{00000000-0005-0000-0000-00003E390000}"/>
    <cellStyle name="Normal 10 4 3 2 2 2 3 2" xfId="34328" xr:uid="{00000000-0005-0000-0000-00003F390000}"/>
    <cellStyle name="Normal 10 4 3 2 2 2 4" xfId="17560" xr:uid="{00000000-0005-0000-0000-000040390000}"/>
    <cellStyle name="Normal 10 4 3 2 2 2 4 2" xfId="43113" xr:uid="{00000000-0005-0000-0000-000041390000}"/>
    <cellStyle name="Normal 10 4 3 2 2 2 5" xfId="29050" xr:uid="{00000000-0005-0000-0000-000042390000}"/>
    <cellStyle name="Normal 10 4 3 2 2 3" xfId="4535" xr:uid="{00000000-0005-0000-0000-000043390000}"/>
    <cellStyle name="Normal 10 4 3 2 2 3 2" xfId="13373" xr:uid="{00000000-0005-0000-0000-000044390000}"/>
    <cellStyle name="Normal 10 4 3 2 2 3 2 2" xfId="23624" xr:uid="{00000000-0005-0000-0000-000045390000}"/>
    <cellStyle name="Normal 10 4 3 2 2 3 2 2 2" xfId="49177" xr:uid="{00000000-0005-0000-0000-000046390000}"/>
    <cellStyle name="Normal 10 4 3 2 2 3 2 3" xfId="38928" xr:uid="{00000000-0005-0000-0000-000047390000}"/>
    <cellStyle name="Normal 10 4 3 2 2 3 3" xfId="9794" xr:uid="{00000000-0005-0000-0000-000048390000}"/>
    <cellStyle name="Normal 10 4 3 2 2 3 3 2" xfId="35351" xr:uid="{00000000-0005-0000-0000-000049390000}"/>
    <cellStyle name="Normal 10 4 3 2 2 3 4" xfId="18617" xr:uid="{00000000-0005-0000-0000-00004A390000}"/>
    <cellStyle name="Normal 10 4 3 2 2 3 4 2" xfId="44170" xr:uid="{00000000-0005-0000-0000-00004B390000}"/>
    <cellStyle name="Normal 10 4 3 2 2 3 5" xfId="30107" xr:uid="{00000000-0005-0000-0000-00004C390000}"/>
    <cellStyle name="Normal 10 4 3 2 2 4" xfId="2315" xr:uid="{00000000-0005-0000-0000-00004D390000}"/>
    <cellStyle name="Normal 10 4 3 2 2 4 2" xfId="11680" xr:uid="{00000000-0005-0000-0000-00004E390000}"/>
    <cellStyle name="Normal 10 4 3 2 2 4 2 2" xfId="37235" xr:uid="{00000000-0005-0000-0000-00004F390000}"/>
    <cellStyle name="Normal 10 4 3 2 2 4 3" xfId="21684" xr:uid="{00000000-0005-0000-0000-000050390000}"/>
    <cellStyle name="Normal 10 4 3 2 2 4 3 2" xfId="47237" xr:uid="{00000000-0005-0000-0000-000051390000}"/>
    <cellStyle name="Normal 10 4 3 2 2 4 4" xfId="28167" xr:uid="{00000000-0005-0000-0000-000052390000}"/>
    <cellStyle name="Normal 10 4 3 2 2 5" xfId="5991" xr:uid="{00000000-0005-0000-0000-000053390000}"/>
    <cellStyle name="Normal 10 4 3 2 2 5 2" xfId="14818" xr:uid="{00000000-0005-0000-0000-000054390000}"/>
    <cellStyle name="Normal 10 4 3 2 2 5 2 2" xfId="40373" xr:uid="{00000000-0005-0000-0000-000055390000}"/>
    <cellStyle name="Normal 10 4 3 2 2 5 3" xfId="25069" xr:uid="{00000000-0005-0000-0000-000056390000}"/>
    <cellStyle name="Normal 10 4 3 2 2 5 3 2" xfId="50622" xr:uid="{00000000-0005-0000-0000-000057390000}"/>
    <cellStyle name="Normal 10 4 3 2 2 5 4" xfId="31552" xr:uid="{00000000-0005-0000-0000-000058390000}"/>
    <cellStyle name="Normal 10 4 3 2 2 6" xfId="7435" xr:uid="{00000000-0005-0000-0000-000059390000}"/>
    <cellStyle name="Normal 10 4 3 2 2 6 2" xfId="20166" xr:uid="{00000000-0005-0000-0000-00005A390000}"/>
    <cellStyle name="Normal 10 4 3 2 2 6 2 2" xfId="45719" xr:uid="{00000000-0005-0000-0000-00005B390000}"/>
    <cellStyle name="Normal 10 4 3 2 2 6 3" xfId="32992" xr:uid="{00000000-0005-0000-0000-00005C390000}"/>
    <cellStyle name="Normal 10 4 3 2 2 7" xfId="16677" xr:uid="{00000000-0005-0000-0000-00005D390000}"/>
    <cellStyle name="Normal 10 4 3 2 2 7 2" xfId="42230" xr:uid="{00000000-0005-0000-0000-00005E390000}"/>
    <cellStyle name="Normal 10 4 3 2 2 8" xfId="26649" xr:uid="{00000000-0005-0000-0000-00005F390000}"/>
    <cellStyle name="Normal 10 4 3 2 3" xfId="1347" xr:uid="{00000000-0005-0000-0000-000060390000}"/>
    <cellStyle name="Normal 10 4 3 2 3 2" xfId="3776" xr:uid="{00000000-0005-0000-0000-000061390000}"/>
    <cellStyle name="Normal 10 4 3 2 3 2 2" xfId="12912" xr:uid="{00000000-0005-0000-0000-000062390000}"/>
    <cellStyle name="Normal 10 4 3 2 3 2 2 2" xfId="23131" xr:uid="{00000000-0005-0000-0000-000063390000}"/>
    <cellStyle name="Normal 10 4 3 2 3 2 2 2 2" xfId="48684" xr:uid="{00000000-0005-0000-0000-000064390000}"/>
    <cellStyle name="Normal 10 4 3 2 3 2 2 3" xfId="38467" xr:uid="{00000000-0005-0000-0000-000065390000}"/>
    <cellStyle name="Normal 10 4 3 2 3 2 3" xfId="9333" xr:uid="{00000000-0005-0000-0000-000066390000}"/>
    <cellStyle name="Normal 10 4 3 2 3 2 3 2" xfId="34890" xr:uid="{00000000-0005-0000-0000-000067390000}"/>
    <cellStyle name="Normal 10 4 3 2 3 2 4" xfId="18124" xr:uid="{00000000-0005-0000-0000-000068390000}"/>
    <cellStyle name="Normal 10 4 3 2 3 2 4 2" xfId="43677" xr:uid="{00000000-0005-0000-0000-000069390000}"/>
    <cellStyle name="Normal 10 4 3 2 3 2 5" xfId="29614" xr:uid="{00000000-0005-0000-0000-00006A390000}"/>
    <cellStyle name="Normal 10 4 3 2 3 3" xfId="4884" xr:uid="{00000000-0005-0000-0000-00006B390000}"/>
    <cellStyle name="Normal 10 4 3 2 3 3 2" xfId="13721" xr:uid="{00000000-0005-0000-0000-00006C390000}"/>
    <cellStyle name="Normal 10 4 3 2 3 3 2 2" xfId="23972" xr:uid="{00000000-0005-0000-0000-00006D390000}"/>
    <cellStyle name="Normal 10 4 3 2 3 3 2 2 2" xfId="49525" xr:uid="{00000000-0005-0000-0000-00006E390000}"/>
    <cellStyle name="Normal 10 4 3 2 3 3 2 3" xfId="39276" xr:uid="{00000000-0005-0000-0000-00006F390000}"/>
    <cellStyle name="Normal 10 4 3 2 3 3 3" xfId="10142" xr:uid="{00000000-0005-0000-0000-000070390000}"/>
    <cellStyle name="Normal 10 4 3 2 3 3 3 2" xfId="35699" xr:uid="{00000000-0005-0000-0000-000071390000}"/>
    <cellStyle name="Normal 10 4 3 2 3 3 4" xfId="18965" xr:uid="{00000000-0005-0000-0000-000072390000}"/>
    <cellStyle name="Normal 10 4 3 2 3 3 4 2" xfId="44518" xr:uid="{00000000-0005-0000-0000-000073390000}"/>
    <cellStyle name="Normal 10 4 3 2 3 3 5" xfId="30455" xr:uid="{00000000-0005-0000-0000-000074390000}"/>
    <cellStyle name="Normal 10 4 3 2 3 4" xfId="2170" xr:uid="{00000000-0005-0000-0000-000075390000}"/>
    <cellStyle name="Normal 10 4 3 2 3 4 2" xfId="11535" xr:uid="{00000000-0005-0000-0000-000076390000}"/>
    <cellStyle name="Normal 10 4 3 2 3 4 2 2" xfId="37090" xr:uid="{00000000-0005-0000-0000-000077390000}"/>
    <cellStyle name="Normal 10 4 3 2 3 4 3" xfId="21539" xr:uid="{00000000-0005-0000-0000-000078390000}"/>
    <cellStyle name="Normal 10 4 3 2 3 4 3 2" xfId="47092" xr:uid="{00000000-0005-0000-0000-000079390000}"/>
    <cellStyle name="Normal 10 4 3 2 3 4 4" xfId="28022" xr:uid="{00000000-0005-0000-0000-00007A390000}"/>
    <cellStyle name="Normal 10 4 3 2 3 5" xfId="6339" xr:uid="{00000000-0005-0000-0000-00007B390000}"/>
    <cellStyle name="Normal 10 4 3 2 3 5 2" xfId="15166" xr:uid="{00000000-0005-0000-0000-00007C390000}"/>
    <cellStyle name="Normal 10 4 3 2 3 5 2 2" xfId="40721" xr:uid="{00000000-0005-0000-0000-00007D390000}"/>
    <cellStyle name="Normal 10 4 3 2 3 5 3" xfId="25417" xr:uid="{00000000-0005-0000-0000-00007E390000}"/>
    <cellStyle name="Normal 10 4 3 2 3 5 3 2" xfId="50970" xr:uid="{00000000-0005-0000-0000-00007F390000}"/>
    <cellStyle name="Normal 10 4 3 2 3 5 4" xfId="31900" xr:uid="{00000000-0005-0000-0000-000080390000}"/>
    <cellStyle name="Normal 10 4 3 2 3 6" xfId="7785" xr:uid="{00000000-0005-0000-0000-000081390000}"/>
    <cellStyle name="Normal 10 4 3 2 3 6 2" xfId="20730" xr:uid="{00000000-0005-0000-0000-000082390000}"/>
    <cellStyle name="Normal 10 4 3 2 3 6 2 2" xfId="46283" xr:uid="{00000000-0005-0000-0000-000083390000}"/>
    <cellStyle name="Normal 10 4 3 2 3 6 3" xfId="33342" xr:uid="{00000000-0005-0000-0000-000084390000}"/>
    <cellStyle name="Normal 10 4 3 2 3 7" xfId="16532" xr:uid="{00000000-0005-0000-0000-000085390000}"/>
    <cellStyle name="Normal 10 4 3 2 3 7 2" xfId="42085" xr:uid="{00000000-0005-0000-0000-000086390000}"/>
    <cellStyle name="Normal 10 4 3 2 3 8" xfId="27213" xr:uid="{00000000-0005-0000-0000-000087390000}"/>
    <cellStyle name="Normal 10 4 3 2 4" xfId="3061" xr:uid="{00000000-0005-0000-0000-000088390000}"/>
    <cellStyle name="Normal 10 4 3 2 4 2" xfId="5439" xr:uid="{00000000-0005-0000-0000-000089390000}"/>
    <cellStyle name="Normal 10 4 3 2 4 2 2" xfId="14276" xr:uid="{00000000-0005-0000-0000-00008A390000}"/>
    <cellStyle name="Normal 10 4 3 2 4 2 2 2" xfId="24527" xr:uid="{00000000-0005-0000-0000-00008B390000}"/>
    <cellStyle name="Normal 10 4 3 2 4 2 2 2 2" xfId="50080" xr:uid="{00000000-0005-0000-0000-00008C390000}"/>
    <cellStyle name="Normal 10 4 3 2 4 2 2 3" xfId="39831" xr:uid="{00000000-0005-0000-0000-00008D390000}"/>
    <cellStyle name="Normal 10 4 3 2 4 2 3" xfId="10697" xr:uid="{00000000-0005-0000-0000-00008E390000}"/>
    <cellStyle name="Normal 10 4 3 2 4 2 3 2" xfId="36254" xr:uid="{00000000-0005-0000-0000-00008F390000}"/>
    <cellStyle name="Normal 10 4 3 2 4 2 4" xfId="19520" xr:uid="{00000000-0005-0000-0000-000090390000}"/>
    <cellStyle name="Normal 10 4 3 2 4 2 4 2" xfId="45073" xr:uid="{00000000-0005-0000-0000-000091390000}"/>
    <cellStyle name="Normal 10 4 3 2 4 2 5" xfId="31010" xr:uid="{00000000-0005-0000-0000-000092390000}"/>
    <cellStyle name="Normal 10 4 3 2 4 3" xfId="6894" xr:uid="{00000000-0005-0000-0000-000093390000}"/>
    <cellStyle name="Normal 10 4 3 2 4 3 2" xfId="15721" xr:uid="{00000000-0005-0000-0000-000094390000}"/>
    <cellStyle name="Normal 10 4 3 2 4 3 2 2" xfId="41276" xr:uid="{00000000-0005-0000-0000-000095390000}"/>
    <cellStyle name="Normal 10 4 3 2 4 3 3" xfId="25972" xr:uid="{00000000-0005-0000-0000-000096390000}"/>
    <cellStyle name="Normal 10 4 3 2 4 3 3 2" xfId="51525" xr:uid="{00000000-0005-0000-0000-000097390000}"/>
    <cellStyle name="Normal 10 4 3 2 4 3 4" xfId="32455" xr:uid="{00000000-0005-0000-0000-000098390000}"/>
    <cellStyle name="Normal 10 4 3 2 4 4" xfId="8340" xr:uid="{00000000-0005-0000-0000-000099390000}"/>
    <cellStyle name="Normal 10 4 3 2 4 4 2" xfId="22422" xr:uid="{00000000-0005-0000-0000-00009A390000}"/>
    <cellStyle name="Normal 10 4 3 2 4 4 2 2" xfId="47975" xr:uid="{00000000-0005-0000-0000-00009B390000}"/>
    <cellStyle name="Normal 10 4 3 2 4 4 3" xfId="33897" xr:uid="{00000000-0005-0000-0000-00009C390000}"/>
    <cellStyle name="Normal 10 4 3 2 4 5" xfId="17415" xr:uid="{00000000-0005-0000-0000-00009D390000}"/>
    <cellStyle name="Normal 10 4 3 2 4 5 2" xfId="42968" xr:uid="{00000000-0005-0000-0000-00009E390000}"/>
    <cellStyle name="Normal 10 4 3 2 4 6" xfId="28905" xr:uid="{00000000-0005-0000-0000-00009F390000}"/>
    <cellStyle name="Normal 10 4 3 2 5" xfId="4395" xr:uid="{00000000-0005-0000-0000-0000A0390000}"/>
    <cellStyle name="Normal 10 4 3 2 5 2" xfId="13233" xr:uid="{00000000-0005-0000-0000-0000A1390000}"/>
    <cellStyle name="Normal 10 4 3 2 5 2 2" xfId="23484" xr:uid="{00000000-0005-0000-0000-0000A2390000}"/>
    <cellStyle name="Normal 10 4 3 2 5 2 2 2" xfId="49037" xr:uid="{00000000-0005-0000-0000-0000A3390000}"/>
    <cellStyle name="Normal 10 4 3 2 5 2 3" xfId="38788" xr:uid="{00000000-0005-0000-0000-0000A4390000}"/>
    <cellStyle name="Normal 10 4 3 2 5 3" xfId="9654" xr:uid="{00000000-0005-0000-0000-0000A5390000}"/>
    <cellStyle name="Normal 10 4 3 2 5 3 2" xfId="35211" xr:uid="{00000000-0005-0000-0000-0000A6390000}"/>
    <cellStyle name="Normal 10 4 3 2 5 4" xfId="18477" xr:uid="{00000000-0005-0000-0000-0000A7390000}"/>
    <cellStyle name="Normal 10 4 3 2 5 4 2" xfId="44030" xr:uid="{00000000-0005-0000-0000-0000A8390000}"/>
    <cellStyle name="Normal 10 4 3 2 5 5" xfId="29967" xr:uid="{00000000-0005-0000-0000-0000A9390000}"/>
    <cellStyle name="Normal 10 4 3 2 6" xfId="1667" xr:uid="{00000000-0005-0000-0000-0000AA390000}"/>
    <cellStyle name="Normal 10 4 3 2 6 2" xfId="11044" xr:uid="{00000000-0005-0000-0000-0000AB390000}"/>
    <cellStyle name="Normal 10 4 3 2 6 2 2" xfId="36599" xr:uid="{00000000-0005-0000-0000-0000AC390000}"/>
    <cellStyle name="Normal 10 4 3 2 6 3" xfId="21048" xr:uid="{00000000-0005-0000-0000-0000AD390000}"/>
    <cellStyle name="Normal 10 4 3 2 6 3 2" xfId="46601" xr:uid="{00000000-0005-0000-0000-0000AE390000}"/>
    <cellStyle name="Normal 10 4 3 2 6 4" xfId="27531" xr:uid="{00000000-0005-0000-0000-0000AF390000}"/>
    <cellStyle name="Normal 10 4 3 2 7" xfId="5851" xr:uid="{00000000-0005-0000-0000-0000B0390000}"/>
    <cellStyle name="Normal 10 4 3 2 7 2" xfId="14678" xr:uid="{00000000-0005-0000-0000-0000B1390000}"/>
    <cellStyle name="Normal 10 4 3 2 7 2 2" xfId="40233" xr:uid="{00000000-0005-0000-0000-0000B2390000}"/>
    <cellStyle name="Normal 10 4 3 2 7 3" xfId="24929" xr:uid="{00000000-0005-0000-0000-0000B3390000}"/>
    <cellStyle name="Normal 10 4 3 2 7 3 2" xfId="50482" xr:uid="{00000000-0005-0000-0000-0000B4390000}"/>
    <cellStyle name="Normal 10 4 3 2 7 4" xfId="31412" xr:uid="{00000000-0005-0000-0000-0000B5390000}"/>
    <cellStyle name="Normal 10 4 3 2 8" xfId="7295" xr:uid="{00000000-0005-0000-0000-0000B6390000}"/>
    <cellStyle name="Normal 10 4 3 2 8 2" xfId="20021" xr:uid="{00000000-0005-0000-0000-0000B7390000}"/>
    <cellStyle name="Normal 10 4 3 2 8 2 2" xfId="45574" xr:uid="{00000000-0005-0000-0000-0000B8390000}"/>
    <cellStyle name="Normal 10 4 3 2 8 3" xfId="32852" xr:uid="{00000000-0005-0000-0000-0000B9390000}"/>
    <cellStyle name="Normal 10 4 3 2 9" xfId="16041" xr:uid="{00000000-0005-0000-0000-0000BA390000}"/>
    <cellStyle name="Normal 10 4 3 2 9 2" xfId="41594" xr:uid="{00000000-0005-0000-0000-0000BB390000}"/>
    <cellStyle name="Normal 10 4 3 2_Degree data" xfId="2601" xr:uid="{00000000-0005-0000-0000-0000BC390000}"/>
    <cellStyle name="Normal 10 4 3 3" xfId="370" xr:uid="{00000000-0005-0000-0000-0000BD390000}"/>
    <cellStyle name="Normal 10 4 3 3 2" xfId="2856" xr:uid="{00000000-0005-0000-0000-0000BE390000}"/>
    <cellStyle name="Normal 10 4 3 3 2 2" xfId="12144" xr:uid="{00000000-0005-0000-0000-0000BF390000}"/>
    <cellStyle name="Normal 10 4 3 3 2 2 2" xfId="22217" xr:uid="{00000000-0005-0000-0000-0000C0390000}"/>
    <cellStyle name="Normal 10 4 3 3 2 2 2 2" xfId="47770" xr:uid="{00000000-0005-0000-0000-0000C1390000}"/>
    <cellStyle name="Normal 10 4 3 3 2 2 3" xfId="37699" xr:uid="{00000000-0005-0000-0000-0000C2390000}"/>
    <cellStyle name="Normal 10 4 3 3 2 3" xfId="8413" xr:uid="{00000000-0005-0000-0000-0000C3390000}"/>
    <cellStyle name="Normal 10 4 3 3 2 3 2" xfId="33970" xr:uid="{00000000-0005-0000-0000-0000C4390000}"/>
    <cellStyle name="Normal 10 4 3 3 2 4" xfId="17210" xr:uid="{00000000-0005-0000-0000-0000C5390000}"/>
    <cellStyle name="Normal 10 4 3 3 2 4 2" xfId="42763" xr:uid="{00000000-0005-0000-0000-0000C6390000}"/>
    <cellStyle name="Normal 10 4 3 3 2 5" xfId="28700" xr:uid="{00000000-0005-0000-0000-0000C7390000}"/>
    <cellStyle name="Normal 10 4 3 3 3" xfId="4534" xr:uid="{00000000-0005-0000-0000-0000C8390000}"/>
    <cellStyle name="Normal 10 4 3 3 3 2" xfId="13372" xr:uid="{00000000-0005-0000-0000-0000C9390000}"/>
    <cellStyle name="Normal 10 4 3 3 3 2 2" xfId="23623" xr:uid="{00000000-0005-0000-0000-0000CA390000}"/>
    <cellStyle name="Normal 10 4 3 3 3 2 2 2" xfId="49176" xr:uid="{00000000-0005-0000-0000-0000CB390000}"/>
    <cellStyle name="Normal 10 4 3 3 3 2 3" xfId="38927" xr:uid="{00000000-0005-0000-0000-0000CC390000}"/>
    <cellStyle name="Normal 10 4 3 3 3 3" xfId="9793" xr:uid="{00000000-0005-0000-0000-0000CD390000}"/>
    <cellStyle name="Normal 10 4 3 3 3 3 2" xfId="35350" xr:uid="{00000000-0005-0000-0000-0000CE390000}"/>
    <cellStyle name="Normal 10 4 3 3 3 4" xfId="18616" xr:uid="{00000000-0005-0000-0000-0000CF390000}"/>
    <cellStyle name="Normal 10 4 3 3 3 4 2" xfId="44169" xr:uid="{00000000-0005-0000-0000-0000D0390000}"/>
    <cellStyle name="Normal 10 4 3 3 3 5" xfId="30106" xr:uid="{00000000-0005-0000-0000-0000D1390000}"/>
    <cellStyle name="Normal 10 4 3 3 4" xfId="1965" xr:uid="{00000000-0005-0000-0000-0000D2390000}"/>
    <cellStyle name="Normal 10 4 3 3 4 2" xfId="11330" xr:uid="{00000000-0005-0000-0000-0000D3390000}"/>
    <cellStyle name="Normal 10 4 3 3 4 2 2" xfId="36885" xr:uid="{00000000-0005-0000-0000-0000D4390000}"/>
    <cellStyle name="Normal 10 4 3 3 4 3" xfId="21334" xr:uid="{00000000-0005-0000-0000-0000D5390000}"/>
    <cellStyle name="Normal 10 4 3 3 4 3 2" xfId="46887" xr:uid="{00000000-0005-0000-0000-0000D6390000}"/>
    <cellStyle name="Normal 10 4 3 3 4 4" xfId="27817" xr:uid="{00000000-0005-0000-0000-0000D7390000}"/>
    <cellStyle name="Normal 10 4 3 3 5" xfId="5990" xr:uid="{00000000-0005-0000-0000-0000D8390000}"/>
    <cellStyle name="Normal 10 4 3 3 5 2" xfId="14817" xr:uid="{00000000-0005-0000-0000-0000D9390000}"/>
    <cellStyle name="Normal 10 4 3 3 5 2 2" xfId="40372" xr:uid="{00000000-0005-0000-0000-0000DA390000}"/>
    <cellStyle name="Normal 10 4 3 3 5 3" xfId="25068" xr:uid="{00000000-0005-0000-0000-0000DB390000}"/>
    <cellStyle name="Normal 10 4 3 3 5 3 2" xfId="50621" xr:uid="{00000000-0005-0000-0000-0000DC390000}"/>
    <cellStyle name="Normal 10 4 3 3 5 4" xfId="31551" xr:uid="{00000000-0005-0000-0000-0000DD390000}"/>
    <cellStyle name="Normal 10 4 3 3 6" xfId="7434" xr:uid="{00000000-0005-0000-0000-0000DE390000}"/>
    <cellStyle name="Normal 10 4 3 3 6 2" xfId="19816" xr:uid="{00000000-0005-0000-0000-0000DF390000}"/>
    <cellStyle name="Normal 10 4 3 3 6 2 2" xfId="45369" xr:uid="{00000000-0005-0000-0000-0000E0390000}"/>
    <cellStyle name="Normal 10 4 3 3 6 3" xfId="32991" xr:uid="{00000000-0005-0000-0000-0000E1390000}"/>
    <cellStyle name="Normal 10 4 3 3 7" xfId="16327" xr:uid="{00000000-0005-0000-0000-0000E2390000}"/>
    <cellStyle name="Normal 10 4 3 3 7 2" xfId="41880" xr:uid="{00000000-0005-0000-0000-0000E3390000}"/>
    <cellStyle name="Normal 10 4 3 3 8" xfId="26299" xr:uid="{00000000-0005-0000-0000-0000E4390000}"/>
    <cellStyle name="Normal 10 4 3 4" xfId="719" xr:uid="{00000000-0005-0000-0000-0000E5390000}"/>
    <cellStyle name="Normal 10 4 3 4 2" xfId="3205" xr:uid="{00000000-0005-0000-0000-0000E6390000}"/>
    <cellStyle name="Normal 10 4 3 4 2 2" xfId="12348" xr:uid="{00000000-0005-0000-0000-0000E7390000}"/>
    <cellStyle name="Normal 10 4 3 4 2 2 2" xfId="22566" xr:uid="{00000000-0005-0000-0000-0000E8390000}"/>
    <cellStyle name="Normal 10 4 3 4 2 2 2 2" xfId="48119" xr:uid="{00000000-0005-0000-0000-0000E9390000}"/>
    <cellStyle name="Normal 10 4 3 4 2 2 3" xfId="37903" xr:uid="{00000000-0005-0000-0000-0000EA390000}"/>
    <cellStyle name="Normal 10 4 3 4 2 3" xfId="8770" xr:uid="{00000000-0005-0000-0000-0000EB390000}"/>
    <cellStyle name="Normal 10 4 3 4 2 3 2" xfId="34327" xr:uid="{00000000-0005-0000-0000-0000EC390000}"/>
    <cellStyle name="Normal 10 4 3 4 2 4" xfId="17559" xr:uid="{00000000-0005-0000-0000-0000ED390000}"/>
    <cellStyle name="Normal 10 4 3 4 2 4 2" xfId="43112" xr:uid="{00000000-0005-0000-0000-0000EE390000}"/>
    <cellStyle name="Normal 10 4 3 4 2 5" xfId="29049" xr:uid="{00000000-0005-0000-0000-0000EF390000}"/>
    <cellStyle name="Normal 10 4 3 4 3" xfId="4883" xr:uid="{00000000-0005-0000-0000-0000F0390000}"/>
    <cellStyle name="Normal 10 4 3 4 3 2" xfId="13720" xr:uid="{00000000-0005-0000-0000-0000F1390000}"/>
    <cellStyle name="Normal 10 4 3 4 3 2 2" xfId="23971" xr:uid="{00000000-0005-0000-0000-0000F2390000}"/>
    <cellStyle name="Normal 10 4 3 4 3 2 2 2" xfId="49524" xr:uid="{00000000-0005-0000-0000-0000F3390000}"/>
    <cellStyle name="Normal 10 4 3 4 3 2 3" xfId="39275" xr:uid="{00000000-0005-0000-0000-0000F4390000}"/>
    <cellStyle name="Normal 10 4 3 4 3 3" xfId="10141" xr:uid="{00000000-0005-0000-0000-0000F5390000}"/>
    <cellStyle name="Normal 10 4 3 4 3 3 2" xfId="35698" xr:uid="{00000000-0005-0000-0000-0000F6390000}"/>
    <cellStyle name="Normal 10 4 3 4 3 4" xfId="18964" xr:uid="{00000000-0005-0000-0000-0000F7390000}"/>
    <cellStyle name="Normal 10 4 3 4 3 4 2" xfId="44517" xr:uid="{00000000-0005-0000-0000-0000F8390000}"/>
    <cellStyle name="Normal 10 4 3 4 3 5" xfId="30454" xr:uid="{00000000-0005-0000-0000-0000F9390000}"/>
    <cellStyle name="Normal 10 4 3 4 4" xfId="2314" xr:uid="{00000000-0005-0000-0000-0000FA390000}"/>
    <cellStyle name="Normal 10 4 3 4 4 2" xfId="11679" xr:uid="{00000000-0005-0000-0000-0000FB390000}"/>
    <cellStyle name="Normal 10 4 3 4 4 2 2" xfId="37234" xr:uid="{00000000-0005-0000-0000-0000FC390000}"/>
    <cellStyle name="Normal 10 4 3 4 4 3" xfId="21683" xr:uid="{00000000-0005-0000-0000-0000FD390000}"/>
    <cellStyle name="Normal 10 4 3 4 4 3 2" xfId="47236" xr:uid="{00000000-0005-0000-0000-0000FE390000}"/>
    <cellStyle name="Normal 10 4 3 4 4 4" xfId="28166" xr:uid="{00000000-0005-0000-0000-0000FF390000}"/>
    <cellStyle name="Normal 10 4 3 4 5" xfId="6338" xr:uid="{00000000-0005-0000-0000-0000003A0000}"/>
    <cellStyle name="Normal 10 4 3 4 5 2" xfId="15165" xr:uid="{00000000-0005-0000-0000-0000013A0000}"/>
    <cellStyle name="Normal 10 4 3 4 5 2 2" xfId="40720" xr:uid="{00000000-0005-0000-0000-0000023A0000}"/>
    <cellStyle name="Normal 10 4 3 4 5 3" xfId="25416" xr:uid="{00000000-0005-0000-0000-0000033A0000}"/>
    <cellStyle name="Normal 10 4 3 4 5 3 2" xfId="50969" xr:uid="{00000000-0005-0000-0000-0000043A0000}"/>
    <cellStyle name="Normal 10 4 3 4 5 4" xfId="31899" xr:uid="{00000000-0005-0000-0000-0000053A0000}"/>
    <cellStyle name="Normal 10 4 3 4 6" xfId="7784" xr:uid="{00000000-0005-0000-0000-0000063A0000}"/>
    <cellStyle name="Normal 10 4 3 4 6 2" xfId="20165" xr:uid="{00000000-0005-0000-0000-0000073A0000}"/>
    <cellStyle name="Normal 10 4 3 4 6 2 2" xfId="45718" xr:uid="{00000000-0005-0000-0000-0000083A0000}"/>
    <cellStyle name="Normal 10 4 3 4 6 3" xfId="33341" xr:uid="{00000000-0005-0000-0000-0000093A0000}"/>
    <cellStyle name="Normal 10 4 3 4 7" xfId="16676" xr:uid="{00000000-0005-0000-0000-00000A3A0000}"/>
    <cellStyle name="Normal 10 4 3 4 7 2" xfId="42229" xr:uid="{00000000-0005-0000-0000-00000B3A0000}"/>
    <cellStyle name="Normal 10 4 3 4 8" xfId="26648" xr:uid="{00000000-0005-0000-0000-00000C3A0000}"/>
    <cellStyle name="Normal 10 4 3 5" xfId="1142" xr:uid="{00000000-0005-0000-0000-00000D3A0000}"/>
    <cellStyle name="Normal 10 4 3 5 2" xfId="3571" xr:uid="{00000000-0005-0000-0000-00000E3A0000}"/>
    <cellStyle name="Normal 10 4 3 5 2 2" xfId="12707" xr:uid="{00000000-0005-0000-0000-00000F3A0000}"/>
    <cellStyle name="Normal 10 4 3 5 2 2 2" xfId="22926" xr:uid="{00000000-0005-0000-0000-0000103A0000}"/>
    <cellStyle name="Normal 10 4 3 5 2 2 2 2" xfId="48479" xr:uid="{00000000-0005-0000-0000-0000113A0000}"/>
    <cellStyle name="Normal 10 4 3 5 2 2 3" xfId="38262" xr:uid="{00000000-0005-0000-0000-0000123A0000}"/>
    <cellStyle name="Normal 10 4 3 5 2 3" xfId="9128" xr:uid="{00000000-0005-0000-0000-0000133A0000}"/>
    <cellStyle name="Normal 10 4 3 5 2 3 2" xfId="34685" xr:uid="{00000000-0005-0000-0000-0000143A0000}"/>
    <cellStyle name="Normal 10 4 3 5 2 4" xfId="17919" xr:uid="{00000000-0005-0000-0000-0000153A0000}"/>
    <cellStyle name="Normal 10 4 3 5 2 4 2" xfId="43472" xr:uid="{00000000-0005-0000-0000-0000163A0000}"/>
    <cellStyle name="Normal 10 4 3 5 2 5" xfId="29409" xr:uid="{00000000-0005-0000-0000-0000173A0000}"/>
    <cellStyle name="Normal 10 4 3 5 3" xfId="5234" xr:uid="{00000000-0005-0000-0000-0000183A0000}"/>
    <cellStyle name="Normal 10 4 3 5 3 2" xfId="14071" xr:uid="{00000000-0005-0000-0000-0000193A0000}"/>
    <cellStyle name="Normal 10 4 3 5 3 2 2" xfId="24322" xr:uid="{00000000-0005-0000-0000-00001A3A0000}"/>
    <cellStyle name="Normal 10 4 3 5 3 2 2 2" xfId="49875" xr:uid="{00000000-0005-0000-0000-00001B3A0000}"/>
    <cellStyle name="Normal 10 4 3 5 3 2 3" xfId="39626" xr:uid="{00000000-0005-0000-0000-00001C3A0000}"/>
    <cellStyle name="Normal 10 4 3 5 3 3" xfId="10492" xr:uid="{00000000-0005-0000-0000-00001D3A0000}"/>
    <cellStyle name="Normal 10 4 3 5 3 3 2" xfId="36049" xr:uid="{00000000-0005-0000-0000-00001E3A0000}"/>
    <cellStyle name="Normal 10 4 3 5 3 4" xfId="19315" xr:uid="{00000000-0005-0000-0000-00001F3A0000}"/>
    <cellStyle name="Normal 10 4 3 5 3 4 2" xfId="44868" xr:uid="{00000000-0005-0000-0000-0000203A0000}"/>
    <cellStyle name="Normal 10 4 3 5 3 5" xfId="30805" xr:uid="{00000000-0005-0000-0000-0000213A0000}"/>
    <cellStyle name="Normal 10 4 3 5 4" xfId="1850" xr:uid="{00000000-0005-0000-0000-0000223A0000}"/>
    <cellStyle name="Normal 10 4 3 5 4 2" xfId="11218" xr:uid="{00000000-0005-0000-0000-0000233A0000}"/>
    <cellStyle name="Normal 10 4 3 5 4 2 2" xfId="36773" xr:uid="{00000000-0005-0000-0000-0000243A0000}"/>
    <cellStyle name="Normal 10 4 3 5 4 3" xfId="21222" xr:uid="{00000000-0005-0000-0000-0000253A0000}"/>
    <cellStyle name="Normal 10 4 3 5 4 3 2" xfId="46775" xr:uid="{00000000-0005-0000-0000-0000263A0000}"/>
    <cellStyle name="Normal 10 4 3 5 4 4" xfId="27705" xr:uid="{00000000-0005-0000-0000-0000273A0000}"/>
    <cellStyle name="Normal 10 4 3 5 5" xfId="6689" xr:uid="{00000000-0005-0000-0000-0000283A0000}"/>
    <cellStyle name="Normal 10 4 3 5 5 2" xfId="15516" xr:uid="{00000000-0005-0000-0000-0000293A0000}"/>
    <cellStyle name="Normal 10 4 3 5 5 2 2" xfId="41071" xr:uid="{00000000-0005-0000-0000-00002A3A0000}"/>
    <cellStyle name="Normal 10 4 3 5 5 3" xfId="25767" xr:uid="{00000000-0005-0000-0000-00002B3A0000}"/>
    <cellStyle name="Normal 10 4 3 5 5 3 2" xfId="51320" xr:uid="{00000000-0005-0000-0000-00002C3A0000}"/>
    <cellStyle name="Normal 10 4 3 5 5 4" xfId="32250" xr:uid="{00000000-0005-0000-0000-00002D3A0000}"/>
    <cellStyle name="Normal 10 4 3 5 6" xfId="8135" xr:uid="{00000000-0005-0000-0000-00002E3A0000}"/>
    <cellStyle name="Normal 10 4 3 5 6 2" xfId="20525" xr:uid="{00000000-0005-0000-0000-00002F3A0000}"/>
    <cellStyle name="Normal 10 4 3 5 6 2 2" xfId="46078" xr:uid="{00000000-0005-0000-0000-0000303A0000}"/>
    <cellStyle name="Normal 10 4 3 5 6 3" xfId="33692" xr:uid="{00000000-0005-0000-0000-0000313A0000}"/>
    <cellStyle name="Normal 10 4 3 5 7" xfId="16215" xr:uid="{00000000-0005-0000-0000-0000323A0000}"/>
    <cellStyle name="Normal 10 4 3 5 7 2" xfId="41768" xr:uid="{00000000-0005-0000-0000-0000333A0000}"/>
    <cellStyle name="Normal 10 4 3 5 8" xfId="27008" xr:uid="{00000000-0005-0000-0000-0000343A0000}"/>
    <cellStyle name="Normal 10 4 3 6" xfId="2744" xr:uid="{00000000-0005-0000-0000-0000353A0000}"/>
    <cellStyle name="Normal 10 4 3 6 2" xfId="12061" xr:uid="{00000000-0005-0000-0000-0000363A0000}"/>
    <cellStyle name="Normal 10 4 3 6 2 2" xfId="22105" xr:uid="{00000000-0005-0000-0000-0000373A0000}"/>
    <cellStyle name="Normal 10 4 3 6 2 2 2" xfId="47658" xr:uid="{00000000-0005-0000-0000-0000383A0000}"/>
    <cellStyle name="Normal 10 4 3 6 2 3" xfId="37616" xr:uid="{00000000-0005-0000-0000-0000393A0000}"/>
    <cellStyle name="Normal 10 4 3 6 3" xfId="8428" xr:uid="{00000000-0005-0000-0000-00003A3A0000}"/>
    <cellStyle name="Normal 10 4 3 6 3 2" xfId="33985" xr:uid="{00000000-0005-0000-0000-00003B3A0000}"/>
    <cellStyle name="Normal 10 4 3 6 4" xfId="17098" xr:uid="{00000000-0005-0000-0000-00003C3A0000}"/>
    <cellStyle name="Normal 10 4 3 6 4 2" xfId="42651" xr:uid="{00000000-0005-0000-0000-00003D3A0000}"/>
    <cellStyle name="Normal 10 4 3 6 5" xfId="28588" xr:uid="{00000000-0005-0000-0000-00003E3A0000}"/>
    <cellStyle name="Normal 10 4 3 7" xfId="4190" xr:uid="{00000000-0005-0000-0000-00003F3A0000}"/>
    <cellStyle name="Normal 10 4 3 7 2" xfId="13028" xr:uid="{00000000-0005-0000-0000-0000403A0000}"/>
    <cellStyle name="Normal 10 4 3 7 2 2" xfId="23279" xr:uid="{00000000-0005-0000-0000-0000413A0000}"/>
    <cellStyle name="Normal 10 4 3 7 2 2 2" xfId="48832" xr:uid="{00000000-0005-0000-0000-0000423A0000}"/>
    <cellStyle name="Normal 10 4 3 7 2 3" xfId="38583" xr:uid="{00000000-0005-0000-0000-0000433A0000}"/>
    <cellStyle name="Normal 10 4 3 7 3" xfId="9449" xr:uid="{00000000-0005-0000-0000-0000443A0000}"/>
    <cellStyle name="Normal 10 4 3 7 3 2" xfId="35006" xr:uid="{00000000-0005-0000-0000-0000453A0000}"/>
    <cellStyle name="Normal 10 4 3 7 4" xfId="18272" xr:uid="{00000000-0005-0000-0000-0000463A0000}"/>
    <cellStyle name="Normal 10 4 3 7 4 2" xfId="43825" xr:uid="{00000000-0005-0000-0000-0000473A0000}"/>
    <cellStyle name="Normal 10 4 3 7 5" xfId="29762" xr:uid="{00000000-0005-0000-0000-0000483A0000}"/>
    <cellStyle name="Normal 10 4 3 8" xfId="1462" xr:uid="{00000000-0005-0000-0000-0000493A0000}"/>
    <cellStyle name="Normal 10 4 3 8 2" xfId="10839" xr:uid="{00000000-0005-0000-0000-00004A3A0000}"/>
    <cellStyle name="Normal 10 4 3 8 2 2" xfId="36394" xr:uid="{00000000-0005-0000-0000-00004B3A0000}"/>
    <cellStyle name="Normal 10 4 3 8 3" xfId="20843" xr:uid="{00000000-0005-0000-0000-00004C3A0000}"/>
    <cellStyle name="Normal 10 4 3 8 3 2" xfId="46396" xr:uid="{00000000-0005-0000-0000-00004D3A0000}"/>
    <cellStyle name="Normal 10 4 3 8 4" xfId="27326" xr:uid="{00000000-0005-0000-0000-00004E3A0000}"/>
    <cellStyle name="Normal 10 4 3 9" xfId="5646" xr:uid="{00000000-0005-0000-0000-00004F3A0000}"/>
    <cellStyle name="Normal 10 4 3 9 2" xfId="14473" xr:uid="{00000000-0005-0000-0000-0000503A0000}"/>
    <cellStyle name="Normal 10 4 3 9 2 2" xfId="40028" xr:uid="{00000000-0005-0000-0000-0000513A0000}"/>
    <cellStyle name="Normal 10 4 3 9 3" xfId="24724" xr:uid="{00000000-0005-0000-0000-0000523A0000}"/>
    <cellStyle name="Normal 10 4 3 9 3 2" xfId="50277" xr:uid="{00000000-0005-0000-0000-0000533A0000}"/>
    <cellStyle name="Normal 10 4 3 9 4" xfId="31207" xr:uid="{00000000-0005-0000-0000-0000543A0000}"/>
    <cellStyle name="Normal 10 4 3_Degree data" xfId="2626" xr:uid="{00000000-0005-0000-0000-0000553A0000}"/>
    <cellStyle name="Normal 10 4 4" xfId="470" xr:uid="{00000000-0005-0000-0000-0000563A0000}"/>
    <cellStyle name="Normal 10 4 4 10" xfId="26399" xr:uid="{00000000-0005-0000-0000-0000573A0000}"/>
    <cellStyle name="Normal 10 4 4 2" xfId="721" xr:uid="{00000000-0005-0000-0000-0000583A0000}"/>
    <cellStyle name="Normal 10 4 4 2 2" xfId="3207" xr:uid="{00000000-0005-0000-0000-0000593A0000}"/>
    <cellStyle name="Normal 10 4 4 2 2 2" xfId="12350" xr:uid="{00000000-0005-0000-0000-00005A3A0000}"/>
    <cellStyle name="Normal 10 4 4 2 2 2 2" xfId="22568" xr:uid="{00000000-0005-0000-0000-00005B3A0000}"/>
    <cellStyle name="Normal 10 4 4 2 2 2 2 2" xfId="48121" xr:uid="{00000000-0005-0000-0000-00005C3A0000}"/>
    <cellStyle name="Normal 10 4 4 2 2 2 3" xfId="37905" xr:uid="{00000000-0005-0000-0000-00005D3A0000}"/>
    <cellStyle name="Normal 10 4 4 2 2 3" xfId="8772" xr:uid="{00000000-0005-0000-0000-00005E3A0000}"/>
    <cellStyle name="Normal 10 4 4 2 2 3 2" xfId="34329" xr:uid="{00000000-0005-0000-0000-00005F3A0000}"/>
    <cellStyle name="Normal 10 4 4 2 2 4" xfId="17561" xr:uid="{00000000-0005-0000-0000-0000603A0000}"/>
    <cellStyle name="Normal 10 4 4 2 2 4 2" xfId="43114" xr:uid="{00000000-0005-0000-0000-0000613A0000}"/>
    <cellStyle name="Normal 10 4 4 2 2 5" xfId="29051" xr:uid="{00000000-0005-0000-0000-0000623A0000}"/>
    <cellStyle name="Normal 10 4 4 2 3" xfId="4536" xr:uid="{00000000-0005-0000-0000-0000633A0000}"/>
    <cellStyle name="Normal 10 4 4 2 3 2" xfId="13374" xr:uid="{00000000-0005-0000-0000-0000643A0000}"/>
    <cellStyle name="Normal 10 4 4 2 3 2 2" xfId="23625" xr:uid="{00000000-0005-0000-0000-0000653A0000}"/>
    <cellStyle name="Normal 10 4 4 2 3 2 2 2" xfId="49178" xr:uid="{00000000-0005-0000-0000-0000663A0000}"/>
    <cellStyle name="Normal 10 4 4 2 3 2 3" xfId="38929" xr:uid="{00000000-0005-0000-0000-0000673A0000}"/>
    <cellStyle name="Normal 10 4 4 2 3 3" xfId="9795" xr:uid="{00000000-0005-0000-0000-0000683A0000}"/>
    <cellStyle name="Normal 10 4 4 2 3 3 2" xfId="35352" xr:uid="{00000000-0005-0000-0000-0000693A0000}"/>
    <cellStyle name="Normal 10 4 4 2 3 4" xfId="18618" xr:uid="{00000000-0005-0000-0000-00006A3A0000}"/>
    <cellStyle name="Normal 10 4 4 2 3 4 2" xfId="44171" xr:uid="{00000000-0005-0000-0000-00006B3A0000}"/>
    <cellStyle name="Normal 10 4 4 2 3 5" xfId="30108" xr:uid="{00000000-0005-0000-0000-00006C3A0000}"/>
    <cellStyle name="Normal 10 4 4 2 4" xfId="2316" xr:uid="{00000000-0005-0000-0000-00006D3A0000}"/>
    <cellStyle name="Normal 10 4 4 2 4 2" xfId="11681" xr:uid="{00000000-0005-0000-0000-00006E3A0000}"/>
    <cellStyle name="Normal 10 4 4 2 4 2 2" xfId="37236" xr:uid="{00000000-0005-0000-0000-00006F3A0000}"/>
    <cellStyle name="Normal 10 4 4 2 4 3" xfId="21685" xr:uid="{00000000-0005-0000-0000-0000703A0000}"/>
    <cellStyle name="Normal 10 4 4 2 4 3 2" xfId="47238" xr:uid="{00000000-0005-0000-0000-0000713A0000}"/>
    <cellStyle name="Normal 10 4 4 2 4 4" xfId="28168" xr:uid="{00000000-0005-0000-0000-0000723A0000}"/>
    <cellStyle name="Normal 10 4 4 2 5" xfId="5992" xr:uid="{00000000-0005-0000-0000-0000733A0000}"/>
    <cellStyle name="Normal 10 4 4 2 5 2" xfId="14819" xr:uid="{00000000-0005-0000-0000-0000743A0000}"/>
    <cellStyle name="Normal 10 4 4 2 5 2 2" xfId="40374" xr:uid="{00000000-0005-0000-0000-0000753A0000}"/>
    <cellStyle name="Normal 10 4 4 2 5 3" xfId="25070" xr:uid="{00000000-0005-0000-0000-0000763A0000}"/>
    <cellStyle name="Normal 10 4 4 2 5 3 2" xfId="50623" xr:uid="{00000000-0005-0000-0000-0000773A0000}"/>
    <cellStyle name="Normal 10 4 4 2 5 4" xfId="31553" xr:uid="{00000000-0005-0000-0000-0000783A0000}"/>
    <cellStyle name="Normal 10 4 4 2 6" xfId="7436" xr:uid="{00000000-0005-0000-0000-0000793A0000}"/>
    <cellStyle name="Normal 10 4 4 2 6 2" xfId="20167" xr:uid="{00000000-0005-0000-0000-00007A3A0000}"/>
    <cellStyle name="Normal 10 4 4 2 6 2 2" xfId="45720" xr:uid="{00000000-0005-0000-0000-00007B3A0000}"/>
    <cellStyle name="Normal 10 4 4 2 6 3" xfId="32993" xr:uid="{00000000-0005-0000-0000-00007C3A0000}"/>
    <cellStyle name="Normal 10 4 4 2 7" xfId="16678" xr:uid="{00000000-0005-0000-0000-00007D3A0000}"/>
    <cellStyle name="Normal 10 4 4 2 7 2" xfId="42231" xr:uid="{00000000-0005-0000-0000-00007E3A0000}"/>
    <cellStyle name="Normal 10 4 4 2 8" xfId="26650" xr:uid="{00000000-0005-0000-0000-00007F3A0000}"/>
    <cellStyle name="Normal 10 4 4 3" xfId="1242" xr:uid="{00000000-0005-0000-0000-0000803A0000}"/>
    <cellStyle name="Normal 10 4 4 3 2" xfId="3671" xr:uid="{00000000-0005-0000-0000-0000813A0000}"/>
    <cellStyle name="Normal 10 4 4 3 2 2" xfId="12807" xr:uid="{00000000-0005-0000-0000-0000823A0000}"/>
    <cellStyle name="Normal 10 4 4 3 2 2 2" xfId="23026" xr:uid="{00000000-0005-0000-0000-0000833A0000}"/>
    <cellStyle name="Normal 10 4 4 3 2 2 2 2" xfId="48579" xr:uid="{00000000-0005-0000-0000-0000843A0000}"/>
    <cellStyle name="Normal 10 4 4 3 2 2 3" xfId="38362" xr:uid="{00000000-0005-0000-0000-0000853A0000}"/>
    <cellStyle name="Normal 10 4 4 3 2 3" xfId="9228" xr:uid="{00000000-0005-0000-0000-0000863A0000}"/>
    <cellStyle name="Normal 10 4 4 3 2 3 2" xfId="34785" xr:uid="{00000000-0005-0000-0000-0000873A0000}"/>
    <cellStyle name="Normal 10 4 4 3 2 4" xfId="18019" xr:uid="{00000000-0005-0000-0000-0000883A0000}"/>
    <cellStyle name="Normal 10 4 4 3 2 4 2" xfId="43572" xr:uid="{00000000-0005-0000-0000-0000893A0000}"/>
    <cellStyle name="Normal 10 4 4 3 2 5" xfId="29509" xr:uid="{00000000-0005-0000-0000-00008A3A0000}"/>
    <cellStyle name="Normal 10 4 4 3 3" xfId="4885" xr:uid="{00000000-0005-0000-0000-00008B3A0000}"/>
    <cellStyle name="Normal 10 4 4 3 3 2" xfId="13722" xr:uid="{00000000-0005-0000-0000-00008C3A0000}"/>
    <cellStyle name="Normal 10 4 4 3 3 2 2" xfId="23973" xr:uid="{00000000-0005-0000-0000-00008D3A0000}"/>
    <cellStyle name="Normal 10 4 4 3 3 2 2 2" xfId="49526" xr:uid="{00000000-0005-0000-0000-00008E3A0000}"/>
    <cellStyle name="Normal 10 4 4 3 3 2 3" xfId="39277" xr:uid="{00000000-0005-0000-0000-00008F3A0000}"/>
    <cellStyle name="Normal 10 4 4 3 3 3" xfId="10143" xr:uid="{00000000-0005-0000-0000-0000903A0000}"/>
    <cellStyle name="Normal 10 4 4 3 3 3 2" xfId="35700" xr:uid="{00000000-0005-0000-0000-0000913A0000}"/>
    <cellStyle name="Normal 10 4 4 3 3 4" xfId="18966" xr:uid="{00000000-0005-0000-0000-0000923A0000}"/>
    <cellStyle name="Normal 10 4 4 3 3 4 2" xfId="44519" xr:uid="{00000000-0005-0000-0000-0000933A0000}"/>
    <cellStyle name="Normal 10 4 4 3 3 5" xfId="30456" xr:uid="{00000000-0005-0000-0000-0000943A0000}"/>
    <cellStyle name="Normal 10 4 4 3 4" xfId="2065" xr:uid="{00000000-0005-0000-0000-0000953A0000}"/>
    <cellStyle name="Normal 10 4 4 3 4 2" xfId="11430" xr:uid="{00000000-0005-0000-0000-0000963A0000}"/>
    <cellStyle name="Normal 10 4 4 3 4 2 2" xfId="36985" xr:uid="{00000000-0005-0000-0000-0000973A0000}"/>
    <cellStyle name="Normal 10 4 4 3 4 3" xfId="21434" xr:uid="{00000000-0005-0000-0000-0000983A0000}"/>
    <cellStyle name="Normal 10 4 4 3 4 3 2" xfId="46987" xr:uid="{00000000-0005-0000-0000-0000993A0000}"/>
    <cellStyle name="Normal 10 4 4 3 4 4" xfId="27917" xr:uid="{00000000-0005-0000-0000-00009A3A0000}"/>
    <cellStyle name="Normal 10 4 4 3 5" xfId="6340" xr:uid="{00000000-0005-0000-0000-00009B3A0000}"/>
    <cellStyle name="Normal 10 4 4 3 5 2" xfId="15167" xr:uid="{00000000-0005-0000-0000-00009C3A0000}"/>
    <cellStyle name="Normal 10 4 4 3 5 2 2" xfId="40722" xr:uid="{00000000-0005-0000-0000-00009D3A0000}"/>
    <cellStyle name="Normal 10 4 4 3 5 3" xfId="25418" xr:uid="{00000000-0005-0000-0000-00009E3A0000}"/>
    <cellStyle name="Normal 10 4 4 3 5 3 2" xfId="50971" xr:uid="{00000000-0005-0000-0000-00009F3A0000}"/>
    <cellStyle name="Normal 10 4 4 3 5 4" xfId="31901" xr:uid="{00000000-0005-0000-0000-0000A03A0000}"/>
    <cellStyle name="Normal 10 4 4 3 6" xfId="7786" xr:uid="{00000000-0005-0000-0000-0000A13A0000}"/>
    <cellStyle name="Normal 10 4 4 3 6 2" xfId="20625" xr:uid="{00000000-0005-0000-0000-0000A23A0000}"/>
    <cellStyle name="Normal 10 4 4 3 6 2 2" xfId="46178" xr:uid="{00000000-0005-0000-0000-0000A33A0000}"/>
    <cellStyle name="Normal 10 4 4 3 6 3" xfId="33343" xr:uid="{00000000-0005-0000-0000-0000A43A0000}"/>
    <cellStyle name="Normal 10 4 4 3 7" xfId="16427" xr:uid="{00000000-0005-0000-0000-0000A53A0000}"/>
    <cellStyle name="Normal 10 4 4 3 7 2" xfId="41980" xr:uid="{00000000-0005-0000-0000-0000A63A0000}"/>
    <cellStyle name="Normal 10 4 4 3 8" xfId="27108" xr:uid="{00000000-0005-0000-0000-0000A73A0000}"/>
    <cellStyle name="Normal 10 4 4 4" xfId="2956" xr:uid="{00000000-0005-0000-0000-0000A83A0000}"/>
    <cellStyle name="Normal 10 4 4 4 2" xfId="5334" xr:uid="{00000000-0005-0000-0000-0000A93A0000}"/>
    <cellStyle name="Normal 10 4 4 4 2 2" xfId="14171" xr:uid="{00000000-0005-0000-0000-0000AA3A0000}"/>
    <cellStyle name="Normal 10 4 4 4 2 2 2" xfId="24422" xr:uid="{00000000-0005-0000-0000-0000AB3A0000}"/>
    <cellStyle name="Normal 10 4 4 4 2 2 2 2" xfId="49975" xr:uid="{00000000-0005-0000-0000-0000AC3A0000}"/>
    <cellStyle name="Normal 10 4 4 4 2 2 3" xfId="39726" xr:uid="{00000000-0005-0000-0000-0000AD3A0000}"/>
    <cellStyle name="Normal 10 4 4 4 2 3" xfId="10592" xr:uid="{00000000-0005-0000-0000-0000AE3A0000}"/>
    <cellStyle name="Normal 10 4 4 4 2 3 2" xfId="36149" xr:uid="{00000000-0005-0000-0000-0000AF3A0000}"/>
    <cellStyle name="Normal 10 4 4 4 2 4" xfId="19415" xr:uid="{00000000-0005-0000-0000-0000B03A0000}"/>
    <cellStyle name="Normal 10 4 4 4 2 4 2" xfId="44968" xr:uid="{00000000-0005-0000-0000-0000B13A0000}"/>
    <cellStyle name="Normal 10 4 4 4 2 5" xfId="30905" xr:uid="{00000000-0005-0000-0000-0000B23A0000}"/>
    <cellStyle name="Normal 10 4 4 4 3" xfId="6789" xr:uid="{00000000-0005-0000-0000-0000B33A0000}"/>
    <cellStyle name="Normal 10 4 4 4 3 2" xfId="15616" xr:uid="{00000000-0005-0000-0000-0000B43A0000}"/>
    <cellStyle name="Normal 10 4 4 4 3 2 2" xfId="41171" xr:uid="{00000000-0005-0000-0000-0000B53A0000}"/>
    <cellStyle name="Normal 10 4 4 4 3 3" xfId="25867" xr:uid="{00000000-0005-0000-0000-0000B63A0000}"/>
    <cellStyle name="Normal 10 4 4 4 3 3 2" xfId="51420" xr:uid="{00000000-0005-0000-0000-0000B73A0000}"/>
    <cellStyle name="Normal 10 4 4 4 3 4" xfId="32350" xr:uid="{00000000-0005-0000-0000-0000B83A0000}"/>
    <cellStyle name="Normal 10 4 4 4 4" xfId="8235" xr:uid="{00000000-0005-0000-0000-0000B93A0000}"/>
    <cellStyle name="Normal 10 4 4 4 4 2" xfId="22317" xr:uid="{00000000-0005-0000-0000-0000BA3A0000}"/>
    <cellStyle name="Normal 10 4 4 4 4 2 2" xfId="47870" xr:uid="{00000000-0005-0000-0000-0000BB3A0000}"/>
    <cellStyle name="Normal 10 4 4 4 4 3" xfId="33792" xr:uid="{00000000-0005-0000-0000-0000BC3A0000}"/>
    <cellStyle name="Normal 10 4 4 4 5" xfId="17310" xr:uid="{00000000-0005-0000-0000-0000BD3A0000}"/>
    <cellStyle name="Normal 10 4 4 4 5 2" xfId="42863" xr:uid="{00000000-0005-0000-0000-0000BE3A0000}"/>
    <cellStyle name="Normal 10 4 4 4 6" xfId="28800" xr:uid="{00000000-0005-0000-0000-0000BF3A0000}"/>
    <cellStyle name="Normal 10 4 4 5" xfId="4290" xr:uid="{00000000-0005-0000-0000-0000C03A0000}"/>
    <cellStyle name="Normal 10 4 4 5 2" xfId="13128" xr:uid="{00000000-0005-0000-0000-0000C13A0000}"/>
    <cellStyle name="Normal 10 4 4 5 2 2" xfId="23379" xr:uid="{00000000-0005-0000-0000-0000C23A0000}"/>
    <cellStyle name="Normal 10 4 4 5 2 2 2" xfId="48932" xr:uid="{00000000-0005-0000-0000-0000C33A0000}"/>
    <cellStyle name="Normal 10 4 4 5 2 3" xfId="38683" xr:uid="{00000000-0005-0000-0000-0000C43A0000}"/>
    <cellStyle name="Normal 10 4 4 5 3" xfId="9549" xr:uid="{00000000-0005-0000-0000-0000C53A0000}"/>
    <cellStyle name="Normal 10 4 4 5 3 2" xfId="35106" xr:uid="{00000000-0005-0000-0000-0000C63A0000}"/>
    <cellStyle name="Normal 10 4 4 5 4" xfId="18372" xr:uid="{00000000-0005-0000-0000-0000C73A0000}"/>
    <cellStyle name="Normal 10 4 4 5 4 2" xfId="43925" xr:uid="{00000000-0005-0000-0000-0000C83A0000}"/>
    <cellStyle name="Normal 10 4 4 5 5" xfId="29862" xr:uid="{00000000-0005-0000-0000-0000C93A0000}"/>
    <cellStyle name="Normal 10 4 4 6" xfId="1562" xr:uid="{00000000-0005-0000-0000-0000CA3A0000}"/>
    <cellStyle name="Normal 10 4 4 6 2" xfId="10939" xr:uid="{00000000-0005-0000-0000-0000CB3A0000}"/>
    <cellStyle name="Normal 10 4 4 6 2 2" xfId="36494" xr:uid="{00000000-0005-0000-0000-0000CC3A0000}"/>
    <cellStyle name="Normal 10 4 4 6 3" xfId="20943" xr:uid="{00000000-0005-0000-0000-0000CD3A0000}"/>
    <cellStyle name="Normal 10 4 4 6 3 2" xfId="46496" xr:uid="{00000000-0005-0000-0000-0000CE3A0000}"/>
    <cellStyle name="Normal 10 4 4 6 4" xfId="27426" xr:uid="{00000000-0005-0000-0000-0000CF3A0000}"/>
    <cellStyle name="Normal 10 4 4 7" xfId="5746" xr:uid="{00000000-0005-0000-0000-0000D03A0000}"/>
    <cellStyle name="Normal 10 4 4 7 2" xfId="14573" xr:uid="{00000000-0005-0000-0000-0000D13A0000}"/>
    <cellStyle name="Normal 10 4 4 7 2 2" xfId="40128" xr:uid="{00000000-0005-0000-0000-0000D23A0000}"/>
    <cellStyle name="Normal 10 4 4 7 3" xfId="24824" xr:uid="{00000000-0005-0000-0000-0000D33A0000}"/>
    <cellStyle name="Normal 10 4 4 7 3 2" xfId="50377" xr:uid="{00000000-0005-0000-0000-0000D43A0000}"/>
    <cellStyle name="Normal 10 4 4 7 4" xfId="31307" xr:uid="{00000000-0005-0000-0000-0000D53A0000}"/>
    <cellStyle name="Normal 10 4 4 8" xfId="7190" xr:uid="{00000000-0005-0000-0000-0000D63A0000}"/>
    <cellStyle name="Normal 10 4 4 8 2" xfId="19916" xr:uid="{00000000-0005-0000-0000-0000D73A0000}"/>
    <cellStyle name="Normal 10 4 4 8 2 2" xfId="45469" xr:uid="{00000000-0005-0000-0000-0000D83A0000}"/>
    <cellStyle name="Normal 10 4 4 8 3" xfId="32747" xr:uid="{00000000-0005-0000-0000-0000D93A0000}"/>
    <cellStyle name="Normal 10 4 4 9" xfId="15936" xr:uid="{00000000-0005-0000-0000-0000DA3A0000}"/>
    <cellStyle name="Normal 10 4 4 9 2" xfId="41489" xr:uid="{00000000-0005-0000-0000-0000DB3A0000}"/>
    <cellStyle name="Normal 10 4 4_Degree data" xfId="3464" xr:uid="{00000000-0005-0000-0000-0000DC3A0000}"/>
    <cellStyle name="Normal 10 4 5" xfId="311" xr:uid="{00000000-0005-0000-0000-0000DD3A0000}"/>
    <cellStyle name="Normal 10 4 5 2" xfId="2797" xr:uid="{00000000-0005-0000-0000-0000DE3A0000}"/>
    <cellStyle name="Normal 10 4 5 2 2" xfId="12101" xr:uid="{00000000-0005-0000-0000-0000DF3A0000}"/>
    <cellStyle name="Normal 10 4 5 2 2 2" xfId="22158" xr:uid="{00000000-0005-0000-0000-0000E03A0000}"/>
    <cellStyle name="Normal 10 4 5 2 2 2 2" xfId="47711" xr:uid="{00000000-0005-0000-0000-0000E13A0000}"/>
    <cellStyle name="Normal 10 4 5 2 2 3" xfId="37656" xr:uid="{00000000-0005-0000-0000-0000E23A0000}"/>
    <cellStyle name="Normal 10 4 5 2 3" xfId="8532" xr:uid="{00000000-0005-0000-0000-0000E33A0000}"/>
    <cellStyle name="Normal 10 4 5 2 3 2" xfId="34089" xr:uid="{00000000-0005-0000-0000-0000E43A0000}"/>
    <cellStyle name="Normal 10 4 5 2 4" xfId="17151" xr:uid="{00000000-0005-0000-0000-0000E53A0000}"/>
    <cellStyle name="Normal 10 4 5 2 4 2" xfId="42704" xr:uid="{00000000-0005-0000-0000-0000E63A0000}"/>
    <cellStyle name="Normal 10 4 5 2 5" xfId="28641" xr:uid="{00000000-0005-0000-0000-0000E73A0000}"/>
    <cellStyle name="Normal 10 4 5 3" xfId="4531" xr:uid="{00000000-0005-0000-0000-0000E83A0000}"/>
    <cellStyle name="Normal 10 4 5 3 2" xfId="13369" xr:uid="{00000000-0005-0000-0000-0000E93A0000}"/>
    <cellStyle name="Normal 10 4 5 3 2 2" xfId="23620" xr:uid="{00000000-0005-0000-0000-0000EA3A0000}"/>
    <cellStyle name="Normal 10 4 5 3 2 2 2" xfId="49173" xr:uid="{00000000-0005-0000-0000-0000EB3A0000}"/>
    <cellStyle name="Normal 10 4 5 3 2 3" xfId="38924" xr:uid="{00000000-0005-0000-0000-0000EC3A0000}"/>
    <cellStyle name="Normal 10 4 5 3 3" xfId="9790" xr:uid="{00000000-0005-0000-0000-0000ED3A0000}"/>
    <cellStyle name="Normal 10 4 5 3 3 2" xfId="35347" xr:uid="{00000000-0005-0000-0000-0000EE3A0000}"/>
    <cellStyle name="Normal 10 4 5 3 4" xfId="18613" xr:uid="{00000000-0005-0000-0000-0000EF3A0000}"/>
    <cellStyle name="Normal 10 4 5 3 4 2" xfId="44166" xr:uid="{00000000-0005-0000-0000-0000F03A0000}"/>
    <cellStyle name="Normal 10 4 5 3 5" xfId="30103" xr:uid="{00000000-0005-0000-0000-0000F13A0000}"/>
    <cellStyle name="Normal 10 4 5 4" xfId="1906" xr:uid="{00000000-0005-0000-0000-0000F23A0000}"/>
    <cellStyle name="Normal 10 4 5 4 2" xfId="11271" xr:uid="{00000000-0005-0000-0000-0000F33A0000}"/>
    <cellStyle name="Normal 10 4 5 4 2 2" xfId="36826" xr:uid="{00000000-0005-0000-0000-0000F43A0000}"/>
    <cellStyle name="Normal 10 4 5 4 3" xfId="21275" xr:uid="{00000000-0005-0000-0000-0000F53A0000}"/>
    <cellStyle name="Normal 10 4 5 4 3 2" xfId="46828" xr:uid="{00000000-0005-0000-0000-0000F63A0000}"/>
    <cellStyle name="Normal 10 4 5 4 4" xfId="27758" xr:uid="{00000000-0005-0000-0000-0000F73A0000}"/>
    <cellStyle name="Normal 10 4 5 5" xfId="5987" xr:uid="{00000000-0005-0000-0000-0000F83A0000}"/>
    <cellStyle name="Normal 10 4 5 5 2" xfId="14814" xr:uid="{00000000-0005-0000-0000-0000F93A0000}"/>
    <cellStyle name="Normal 10 4 5 5 2 2" xfId="40369" xr:uid="{00000000-0005-0000-0000-0000FA3A0000}"/>
    <cellStyle name="Normal 10 4 5 5 3" xfId="25065" xr:uid="{00000000-0005-0000-0000-0000FB3A0000}"/>
    <cellStyle name="Normal 10 4 5 5 3 2" xfId="50618" xr:uid="{00000000-0005-0000-0000-0000FC3A0000}"/>
    <cellStyle name="Normal 10 4 5 5 4" xfId="31548" xr:uid="{00000000-0005-0000-0000-0000FD3A0000}"/>
    <cellStyle name="Normal 10 4 5 6" xfId="7431" xr:uid="{00000000-0005-0000-0000-0000FE3A0000}"/>
    <cellStyle name="Normal 10 4 5 6 2" xfId="19757" xr:uid="{00000000-0005-0000-0000-0000FF3A0000}"/>
    <cellStyle name="Normal 10 4 5 6 2 2" xfId="45310" xr:uid="{00000000-0005-0000-0000-0000003B0000}"/>
    <cellStyle name="Normal 10 4 5 6 3" xfId="32988" xr:uid="{00000000-0005-0000-0000-0000013B0000}"/>
    <cellStyle name="Normal 10 4 5 7" xfId="16268" xr:uid="{00000000-0005-0000-0000-0000023B0000}"/>
    <cellStyle name="Normal 10 4 5 7 2" xfId="41821" xr:uid="{00000000-0005-0000-0000-0000033B0000}"/>
    <cellStyle name="Normal 10 4 5 8" xfId="26240" xr:uid="{00000000-0005-0000-0000-0000043B0000}"/>
    <cellStyle name="Normal 10 4 6" xfId="716" xr:uid="{00000000-0005-0000-0000-0000053B0000}"/>
    <cellStyle name="Normal 10 4 6 2" xfId="3202" xr:uid="{00000000-0005-0000-0000-0000063B0000}"/>
    <cellStyle name="Normal 10 4 6 2 2" xfId="12345" xr:uid="{00000000-0005-0000-0000-0000073B0000}"/>
    <cellStyle name="Normal 10 4 6 2 2 2" xfId="22563" xr:uid="{00000000-0005-0000-0000-0000083B0000}"/>
    <cellStyle name="Normal 10 4 6 2 2 2 2" xfId="48116" xr:uid="{00000000-0005-0000-0000-0000093B0000}"/>
    <cellStyle name="Normal 10 4 6 2 2 3" xfId="37900" xr:uid="{00000000-0005-0000-0000-00000A3B0000}"/>
    <cellStyle name="Normal 10 4 6 2 3" xfId="8767" xr:uid="{00000000-0005-0000-0000-00000B3B0000}"/>
    <cellStyle name="Normal 10 4 6 2 3 2" xfId="34324" xr:uid="{00000000-0005-0000-0000-00000C3B0000}"/>
    <cellStyle name="Normal 10 4 6 2 4" xfId="17556" xr:uid="{00000000-0005-0000-0000-00000D3B0000}"/>
    <cellStyle name="Normal 10 4 6 2 4 2" xfId="43109" xr:uid="{00000000-0005-0000-0000-00000E3B0000}"/>
    <cellStyle name="Normal 10 4 6 2 5" xfId="29046" xr:uid="{00000000-0005-0000-0000-00000F3B0000}"/>
    <cellStyle name="Normal 10 4 6 3" xfId="4880" xr:uid="{00000000-0005-0000-0000-0000103B0000}"/>
    <cellStyle name="Normal 10 4 6 3 2" xfId="13717" xr:uid="{00000000-0005-0000-0000-0000113B0000}"/>
    <cellStyle name="Normal 10 4 6 3 2 2" xfId="23968" xr:uid="{00000000-0005-0000-0000-0000123B0000}"/>
    <cellStyle name="Normal 10 4 6 3 2 2 2" xfId="49521" xr:uid="{00000000-0005-0000-0000-0000133B0000}"/>
    <cellStyle name="Normal 10 4 6 3 2 3" xfId="39272" xr:uid="{00000000-0005-0000-0000-0000143B0000}"/>
    <cellStyle name="Normal 10 4 6 3 3" xfId="10138" xr:uid="{00000000-0005-0000-0000-0000153B0000}"/>
    <cellStyle name="Normal 10 4 6 3 3 2" xfId="35695" xr:uid="{00000000-0005-0000-0000-0000163B0000}"/>
    <cellStyle name="Normal 10 4 6 3 4" xfId="18961" xr:uid="{00000000-0005-0000-0000-0000173B0000}"/>
    <cellStyle name="Normal 10 4 6 3 4 2" xfId="44514" xr:uid="{00000000-0005-0000-0000-0000183B0000}"/>
    <cellStyle name="Normal 10 4 6 3 5" xfId="30451" xr:uid="{00000000-0005-0000-0000-0000193B0000}"/>
    <cellStyle name="Normal 10 4 6 4" xfId="2311" xr:uid="{00000000-0005-0000-0000-00001A3B0000}"/>
    <cellStyle name="Normal 10 4 6 4 2" xfId="11676" xr:uid="{00000000-0005-0000-0000-00001B3B0000}"/>
    <cellStyle name="Normal 10 4 6 4 2 2" xfId="37231" xr:uid="{00000000-0005-0000-0000-00001C3B0000}"/>
    <cellStyle name="Normal 10 4 6 4 3" xfId="21680" xr:uid="{00000000-0005-0000-0000-00001D3B0000}"/>
    <cellStyle name="Normal 10 4 6 4 3 2" xfId="47233" xr:uid="{00000000-0005-0000-0000-00001E3B0000}"/>
    <cellStyle name="Normal 10 4 6 4 4" xfId="28163" xr:uid="{00000000-0005-0000-0000-00001F3B0000}"/>
    <cellStyle name="Normal 10 4 6 5" xfId="6335" xr:uid="{00000000-0005-0000-0000-0000203B0000}"/>
    <cellStyle name="Normal 10 4 6 5 2" xfId="15162" xr:uid="{00000000-0005-0000-0000-0000213B0000}"/>
    <cellStyle name="Normal 10 4 6 5 2 2" xfId="40717" xr:uid="{00000000-0005-0000-0000-0000223B0000}"/>
    <cellStyle name="Normal 10 4 6 5 3" xfId="25413" xr:uid="{00000000-0005-0000-0000-0000233B0000}"/>
    <cellStyle name="Normal 10 4 6 5 3 2" xfId="50966" xr:uid="{00000000-0005-0000-0000-0000243B0000}"/>
    <cellStyle name="Normal 10 4 6 5 4" xfId="31896" xr:uid="{00000000-0005-0000-0000-0000253B0000}"/>
    <cellStyle name="Normal 10 4 6 6" xfId="7781" xr:uid="{00000000-0005-0000-0000-0000263B0000}"/>
    <cellStyle name="Normal 10 4 6 6 2" xfId="20162" xr:uid="{00000000-0005-0000-0000-0000273B0000}"/>
    <cellStyle name="Normal 10 4 6 6 2 2" xfId="45715" xr:uid="{00000000-0005-0000-0000-0000283B0000}"/>
    <cellStyle name="Normal 10 4 6 6 3" xfId="33338" xr:uid="{00000000-0005-0000-0000-0000293B0000}"/>
    <cellStyle name="Normal 10 4 6 7" xfId="16673" xr:uid="{00000000-0005-0000-0000-00002A3B0000}"/>
    <cellStyle name="Normal 10 4 6 7 2" xfId="42226" xr:uid="{00000000-0005-0000-0000-00002B3B0000}"/>
    <cellStyle name="Normal 10 4 6 8" xfId="26645" xr:uid="{00000000-0005-0000-0000-00002C3B0000}"/>
    <cellStyle name="Normal 10 4 7" xfId="1083" xr:uid="{00000000-0005-0000-0000-00002D3B0000}"/>
    <cellStyle name="Normal 10 4 7 2" xfId="3512" xr:uid="{00000000-0005-0000-0000-00002E3B0000}"/>
    <cellStyle name="Normal 10 4 7 2 2" xfId="12648" xr:uid="{00000000-0005-0000-0000-00002F3B0000}"/>
    <cellStyle name="Normal 10 4 7 2 2 2" xfId="22867" xr:uid="{00000000-0005-0000-0000-0000303B0000}"/>
    <cellStyle name="Normal 10 4 7 2 2 2 2" xfId="48420" xr:uid="{00000000-0005-0000-0000-0000313B0000}"/>
    <cellStyle name="Normal 10 4 7 2 2 3" xfId="38203" xr:uid="{00000000-0005-0000-0000-0000323B0000}"/>
    <cellStyle name="Normal 10 4 7 2 3" xfId="9070" xr:uid="{00000000-0005-0000-0000-0000333B0000}"/>
    <cellStyle name="Normal 10 4 7 2 3 2" xfId="34627" xr:uid="{00000000-0005-0000-0000-0000343B0000}"/>
    <cellStyle name="Normal 10 4 7 2 4" xfId="17860" xr:uid="{00000000-0005-0000-0000-0000353B0000}"/>
    <cellStyle name="Normal 10 4 7 2 4 2" xfId="43413" xr:uid="{00000000-0005-0000-0000-0000363B0000}"/>
    <cellStyle name="Normal 10 4 7 2 5" xfId="29350" xr:uid="{00000000-0005-0000-0000-0000373B0000}"/>
    <cellStyle name="Normal 10 4 7 3" xfId="5175" xr:uid="{00000000-0005-0000-0000-0000383B0000}"/>
    <cellStyle name="Normal 10 4 7 3 2" xfId="14012" xr:uid="{00000000-0005-0000-0000-0000393B0000}"/>
    <cellStyle name="Normal 10 4 7 3 2 2" xfId="24263" xr:uid="{00000000-0005-0000-0000-00003A3B0000}"/>
    <cellStyle name="Normal 10 4 7 3 2 2 2" xfId="49816" xr:uid="{00000000-0005-0000-0000-00003B3B0000}"/>
    <cellStyle name="Normal 10 4 7 3 2 3" xfId="39567" xr:uid="{00000000-0005-0000-0000-00003C3B0000}"/>
    <cellStyle name="Normal 10 4 7 3 3" xfId="10433" xr:uid="{00000000-0005-0000-0000-00003D3B0000}"/>
    <cellStyle name="Normal 10 4 7 3 3 2" xfId="35990" xr:uid="{00000000-0005-0000-0000-00003E3B0000}"/>
    <cellStyle name="Normal 10 4 7 3 4" xfId="19256" xr:uid="{00000000-0005-0000-0000-00003F3B0000}"/>
    <cellStyle name="Normal 10 4 7 3 4 2" xfId="44809" xr:uid="{00000000-0005-0000-0000-0000403B0000}"/>
    <cellStyle name="Normal 10 4 7 3 5" xfId="30746" xr:uid="{00000000-0005-0000-0000-0000413B0000}"/>
    <cellStyle name="Normal 10 4 7 4" xfId="1741" xr:uid="{00000000-0005-0000-0000-0000423B0000}"/>
    <cellStyle name="Normal 10 4 7 4 2" xfId="11112" xr:uid="{00000000-0005-0000-0000-0000433B0000}"/>
    <cellStyle name="Normal 10 4 7 4 2 2" xfId="36667" xr:uid="{00000000-0005-0000-0000-0000443B0000}"/>
    <cellStyle name="Normal 10 4 7 4 3" xfId="21116" xr:uid="{00000000-0005-0000-0000-0000453B0000}"/>
    <cellStyle name="Normal 10 4 7 4 3 2" xfId="46669" xr:uid="{00000000-0005-0000-0000-0000463B0000}"/>
    <cellStyle name="Normal 10 4 7 4 4" xfId="27599" xr:uid="{00000000-0005-0000-0000-0000473B0000}"/>
    <cellStyle name="Normal 10 4 7 5" xfId="6630" xr:uid="{00000000-0005-0000-0000-0000483B0000}"/>
    <cellStyle name="Normal 10 4 7 5 2" xfId="15457" xr:uid="{00000000-0005-0000-0000-0000493B0000}"/>
    <cellStyle name="Normal 10 4 7 5 2 2" xfId="41012" xr:uid="{00000000-0005-0000-0000-00004A3B0000}"/>
    <cellStyle name="Normal 10 4 7 5 3" xfId="25708" xr:uid="{00000000-0005-0000-0000-00004B3B0000}"/>
    <cellStyle name="Normal 10 4 7 5 3 2" xfId="51261" xr:uid="{00000000-0005-0000-0000-00004C3B0000}"/>
    <cellStyle name="Normal 10 4 7 5 4" xfId="32191" xr:uid="{00000000-0005-0000-0000-00004D3B0000}"/>
    <cellStyle name="Normal 10 4 7 6" xfId="8076" xr:uid="{00000000-0005-0000-0000-00004E3B0000}"/>
    <cellStyle name="Normal 10 4 7 6 2" xfId="20466" xr:uid="{00000000-0005-0000-0000-00004F3B0000}"/>
    <cellStyle name="Normal 10 4 7 6 2 2" xfId="46019" xr:uid="{00000000-0005-0000-0000-0000503B0000}"/>
    <cellStyle name="Normal 10 4 7 6 3" xfId="33633" xr:uid="{00000000-0005-0000-0000-0000513B0000}"/>
    <cellStyle name="Normal 10 4 7 7" xfId="16109" xr:uid="{00000000-0005-0000-0000-0000523B0000}"/>
    <cellStyle name="Normal 10 4 7 7 2" xfId="41662" xr:uid="{00000000-0005-0000-0000-0000533B0000}"/>
    <cellStyle name="Normal 10 4 7 8" xfId="26949" xr:uid="{00000000-0005-0000-0000-0000543B0000}"/>
    <cellStyle name="Normal 10 4 8" xfId="2639" xr:uid="{00000000-0005-0000-0000-0000553B0000}"/>
    <cellStyle name="Normal 10 4 8 2" xfId="5587" xr:uid="{00000000-0005-0000-0000-0000563B0000}"/>
    <cellStyle name="Normal 10 4 8 2 2" xfId="14414" xr:uid="{00000000-0005-0000-0000-0000573B0000}"/>
    <cellStyle name="Normal 10 4 8 2 2 2" xfId="39969" xr:uid="{00000000-0005-0000-0000-0000583B0000}"/>
    <cellStyle name="Normal 10 4 8 2 3" xfId="24665" xr:uid="{00000000-0005-0000-0000-0000593B0000}"/>
    <cellStyle name="Normal 10 4 8 2 3 2" xfId="50218" xr:uid="{00000000-0005-0000-0000-00005A3B0000}"/>
    <cellStyle name="Normal 10 4 8 2 4" xfId="31148" xr:uid="{00000000-0005-0000-0000-00005B3B0000}"/>
    <cellStyle name="Normal 10 4 8 3" xfId="7031" xr:uid="{00000000-0005-0000-0000-00005C3B0000}"/>
    <cellStyle name="Normal 10 4 8 3 2" xfId="22000" xr:uid="{00000000-0005-0000-0000-00005D3B0000}"/>
    <cellStyle name="Normal 10 4 8 3 2 2" xfId="47553" xr:uid="{00000000-0005-0000-0000-00005E3B0000}"/>
    <cellStyle name="Normal 10 4 8 3 3" xfId="32588" xr:uid="{00000000-0005-0000-0000-00005F3B0000}"/>
    <cellStyle name="Normal 10 4 8 4" xfId="16993" xr:uid="{00000000-0005-0000-0000-0000603B0000}"/>
    <cellStyle name="Normal 10 4 8 4 2" xfId="42546" xr:uid="{00000000-0005-0000-0000-0000613B0000}"/>
    <cellStyle name="Normal 10 4 8 5" xfId="28483" xr:uid="{00000000-0005-0000-0000-0000623B0000}"/>
    <cellStyle name="Normal 10 4 9" xfId="4129" xr:uid="{00000000-0005-0000-0000-0000633B0000}"/>
    <cellStyle name="Normal 10 4 9 2" xfId="12967" xr:uid="{00000000-0005-0000-0000-0000643B0000}"/>
    <cellStyle name="Normal 10 4 9 2 2" xfId="23218" xr:uid="{00000000-0005-0000-0000-0000653B0000}"/>
    <cellStyle name="Normal 10 4 9 2 2 2" xfId="48771" xr:uid="{00000000-0005-0000-0000-0000663B0000}"/>
    <cellStyle name="Normal 10 4 9 2 3" xfId="38522" xr:uid="{00000000-0005-0000-0000-0000673B0000}"/>
    <cellStyle name="Normal 10 4 9 3" xfId="9388" xr:uid="{00000000-0005-0000-0000-0000683B0000}"/>
    <cellStyle name="Normal 10 4 9 3 2" xfId="34945" xr:uid="{00000000-0005-0000-0000-0000693B0000}"/>
    <cellStyle name="Normal 10 4 9 4" xfId="18211" xr:uid="{00000000-0005-0000-0000-00006A3B0000}"/>
    <cellStyle name="Normal 10 4 9 4 2" xfId="43764" xr:uid="{00000000-0005-0000-0000-00006B3B0000}"/>
    <cellStyle name="Normal 10 4 9 5" xfId="29701" xr:uid="{00000000-0005-0000-0000-00006C3B0000}"/>
    <cellStyle name="Normal 10 4_Degree data" xfId="3907" xr:uid="{00000000-0005-0000-0000-00006D3B0000}"/>
    <cellStyle name="Normal 10 5" xfId="176" xr:uid="{00000000-0005-0000-0000-00006E3B0000}"/>
    <cellStyle name="Normal 10 5 10" xfId="7124" xr:uid="{00000000-0005-0000-0000-00006F3B0000}"/>
    <cellStyle name="Normal 10 5 10 2" xfId="19633" xr:uid="{00000000-0005-0000-0000-0000703B0000}"/>
    <cellStyle name="Normal 10 5 10 2 2" xfId="45186" xr:uid="{00000000-0005-0000-0000-0000713B0000}"/>
    <cellStyle name="Normal 10 5 10 3" xfId="32681" xr:uid="{00000000-0005-0000-0000-0000723B0000}"/>
    <cellStyle name="Normal 10 5 11" xfId="15870" xr:uid="{00000000-0005-0000-0000-0000733B0000}"/>
    <cellStyle name="Normal 10 5 11 2" xfId="41423" xr:uid="{00000000-0005-0000-0000-0000743B0000}"/>
    <cellStyle name="Normal 10 5 12" xfId="26116" xr:uid="{00000000-0005-0000-0000-0000753B0000}"/>
    <cellStyle name="Normal 10 5 2" xfId="504" xr:uid="{00000000-0005-0000-0000-0000763B0000}"/>
    <cellStyle name="Normal 10 5 2 10" xfId="26433" xr:uid="{00000000-0005-0000-0000-0000773B0000}"/>
    <cellStyle name="Normal 10 5 2 2" xfId="723" xr:uid="{00000000-0005-0000-0000-0000783B0000}"/>
    <cellStyle name="Normal 10 5 2 2 2" xfId="3209" xr:uid="{00000000-0005-0000-0000-0000793B0000}"/>
    <cellStyle name="Normal 10 5 2 2 2 2" xfId="12352" xr:uid="{00000000-0005-0000-0000-00007A3B0000}"/>
    <cellStyle name="Normal 10 5 2 2 2 2 2" xfId="22570" xr:uid="{00000000-0005-0000-0000-00007B3B0000}"/>
    <cellStyle name="Normal 10 5 2 2 2 2 2 2" xfId="48123" xr:uid="{00000000-0005-0000-0000-00007C3B0000}"/>
    <cellStyle name="Normal 10 5 2 2 2 2 3" xfId="37907" xr:uid="{00000000-0005-0000-0000-00007D3B0000}"/>
    <cellStyle name="Normal 10 5 2 2 2 3" xfId="8774" xr:uid="{00000000-0005-0000-0000-00007E3B0000}"/>
    <cellStyle name="Normal 10 5 2 2 2 3 2" xfId="34331" xr:uid="{00000000-0005-0000-0000-00007F3B0000}"/>
    <cellStyle name="Normal 10 5 2 2 2 4" xfId="17563" xr:uid="{00000000-0005-0000-0000-0000803B0000}"/>
    <cellStyle name="Normal 10 5 2 2 2 4 2" xfId="43116" xr:uid="{00000000-0005-0000-0000-0000813B0000}"/>
    <cellStyle name="Normal 10 5 2 2 2 5" xfId="29053" xr:uid="{00000000-0005-0000-0000-0000823B0000}"/>
    <cellStyle name="Normal 10 5 2 2 3" xfId="4538" xr:uid="{00000000-0005-0000-0000-0000833B0000}"/>
    <cellStyle name="Normal 10 5 2 2 3 2" xfId="13376" xr:uid="{00000000-0005-0000-0000-0000843B0000}"/>
    <cellStyle name="Normal 10 5 2 2 3 2 2" xfId="23627" xr:uid="{00000000-0005-0000-0000-0000853B0000}"/>
    <cellStyle name="Normal 10 5 2 2 3 2 2 2" xfId="49180" xr:uid="{00000000-0005-0000-0000-0000863B0000}"/>
    <cellStyle name="Normal 10 5 2 2 3 2 3" xfId="38931" xr:uid="{00000000-0005-0000-0000-0000873B0000}"/>
    <cellStyle name="Normal 10 5 2 2 3 3" xfId="9797" xr:uid="{00000000-0005-0000-0000-0000883B0000}"/>
    <cellStyle name="Normal 10 5 2 2 3 3 2" xfId="35354" xr:uid="{00000000-0005-0000-0000-0000893B0000}"/>
    <cellStyle name="Normal 10 5 2 2 3 4" xfId="18620" xr:uid="{00000000-0005-0000-0000-00008A3B0000}"/>
    <cellStyle name="Normal 10 5 2 2 3 4 2" xfId="44173" xr:uid="{00000000-0005-0000-0000-00008B3B0000}"/>
    <cellStyle name="Normal 10 5 2 2 3 5" xfId="30110" xr:uid="{00000000-0005-0000-0000-00008C3B0000}"/>
    <cellStyle name="Normal 10 5 2 2 4" xfId="2318" xr:uid="{00000000-0005-0000-0000-00008D3B0000}"/>
    <cellStyle name="Normal 10 5 2 2 4 2" xfId="11683" xr:uid="{00000000-0005-0000-0000-00008E3B0000}"/>
    <cellStyle name="Normal 10 5 2 2 4 2 2" xfId="37238" xr:uid="{00000000-0005-0000-0000-00008F3B0000}"/>
    <cellStyle name="Normal 10 5 2 2 4 3" xfId="21687" xr:uid="{00000000-0005-0000-0000-0000903B0000}"/>
    <cellStyle name="Normal 10 5 2 2 4 3 2" xfId="47240" xr:uid="{00000000-0005-0000-0000-0000913B0000}"/>
    <cellStyle name="Normal 10 5 2 2 4 4" xfId="28170" xr:uid="{00000000-0005-0000-0000-0000923B0000}"/>
    <cellStyle name="Normal 10 5 2 2 5" xfId="5994" xr:uid="{00000000-0005-0000-0000-0000933B0000}"/>
    <cellStyle name="Normal 10 5 2 2 5 2" xfId="14821" xr:uid="{00000000-0005-0000-0000-0000943B0000}"/>
    <cellStyle name="Normal 10 5 2 2 5 2 2" xfId="40376" xr:uid="{00000000-0005-0000-0000-0000953B0000}"/>
    <cellStyle name="Normal 10 5 2 2 5 3" xfId="25072" xr:uid="{00000000-0005-0000-0000-0000963B0000}"/>
    <cellStyle name="Normal 10 5 2 2 5 3 2" xfId="50625" xr:uid="{00000000-0005-0000-0000-0000973B0000}"/>
    <cellStyle name="Normal 10 5 2 2 5 4" xfId="31555" xr:uid="{00000000-0005-0000-0000-0000983B0000}"/>
    <cellStyle name="Normal 10 5 2 2 6" xfId="7438" xr:uid="{00000000-0005-0000-0000-0000993B0000}"/>
    <cellStyle name="Normal 10 5 2 2 6 2" xfId="20169" xr:uid="{00000000-0005-0000-0000-00009A3B0000}"/>
    <cellStyle name="Normal 10 5 2 2 6 2 2" xfId="45722" xr:uid="{00000000-0005-0000-0000-00009B3B0000}"/>
    <cellStyle name="Normal 10 5 2 2 6 3" xfId="32995" xr:uid="{00000000-0005-0000-0000-00009C3B0000}"/>
    <cellStyle name="Normal 10 5 2 2 7" xfId="16680" xr:uid="{00000000-0005-0000-0000-00009D3B0000}"/>
    <cellStyle name="Normal 10 5 2 2 7 2" xfId="42233" xr:uid="{00000000-0005-0000-0000-00009E3B0000}"/>
    <cellStyle name="Normal 10 5 2 2 8" xfId="26652" xr:uid="{00000000-0005-0000-0000-00009F3B0000}"/>
    <cellStyle name="Normal 10 5 2 3" xfId="1276" xr:uid="{00000000-0005-0000-0000-0000A03B0000}"/>
    <cellStyle name="Normal 10 5 2 3 2" xfId="3705" xr:uid="{00000000-0005-0000-0000-0000A13B0000}"/>
    <cellStyle name="Normal 10 5 2 3 2 2" xfId="12841" xr:uid="{00000000-0005-0000-0000-0000A23B0000}"/>
    <cellStyle name="Normal 10 5 2 3 2 2 2" xfId="23060" xr:uid="{00000000-0005-0000-0000-0000A33B0000}"/>
    <cellStyle name="Normal 10 5 2 3 2 2 2 2" xfId="48613" xr:uid="{00000000-0005-0000-0000-0000A43B0000}"/>
    <cellStyle name="Normal 10 5 2 3 2 2 3" xfId="38396" xr:uid="{00000000-0005-0000-0000-0000A53B0000}"/>
    <cellStyle name="Normal 10 5 2 3 2 3" xfId="9262" xr:uid="{00000000-0005-0000-0000-0000A63B0000}"/>
    <cellStyle name="Normal 10 5 2 3 2 3 2" xfId="34819" xr:uid="{00000000-0005-0000-0000-0000A73B0000}"/>
    <cellStyle name="Normal 10 5 2 3 2 4" xfId="18053" xr:uid="{00000000-0005-0000-0000-0000A83B0000}"/>
    <cellStyle name="Normal 10 5 2 3 2 4 2" xfId="43606" xr:uid="{00000000-0005-0000-0000-0000A93B0000}"/>
    <cellStyle name="Normal 10 5 2 3 2 5" xfId="29543" xr:uid="{00000000-0005-0000-0000-0000AA3B0000}"/>
    <cellStyle name="Normal 10 5 2 3 3" xfId="4887" xr:uid="{00000000-0005-0000-0000-0000AB3B0000}"/>
    <cellStyle name="Normal 10 5 2 3 3 2" xfId="13724" xr:uid="{00000000-0005-0000-0000-0000AC3B0000}"/>
    <cellStyle name="Normal 10 5 2 3 3 2 2" xfId="23975" xr:uid="{00000000-0005-0000-0000-0000AD3B0000}"/>
    <cellStyle name="Normal 10 5 2 3 3 2 2 2" xfId="49528" xr:uid="{00000000-0005-0000-0000-0000AE3B0000}"/>
    <cellStyle name="Normal 10 5 2 3 3 2 3" xfId="39279" xr:uid="{00000000-0005-0000-0000-0000AF3B0000}"/>
    <cellStyle name="Normal 10 5 2 3 3 3" xfId="10145" xr:uid="{00000000-0005-0000-0000-0000B03B0000}"/>
    <cellStyle name="Normal 10 5 2 3 3 3 2" xfId="35702" xr:uid="{00000000-0005-0000-0000-0000B13B0000}"/>
    <cellStyle name="Normal 10 5 2 3 3 4" xfId="18968" xr:uid="{00000000-0005-0000-0000-0000B23B0000}"/>
    <cellStyle name="Normal 10 5 2 3 3 4 2" xfId="44521" xr:uid="{00000000-0005-0000-0000-0000B33B0000}"/>
    <cellStyle name="Normal 10 5 2 3 3 5" xfId="30458" xr:uid="{00000000-0005-0000-0000-0000B43B0000}"/>
    <cellStyle name="Normal 10 5 2 3 4" xfId="2099" xr:uid="{00000000-0005-0000-0000-0000B53B0000}"/>
    <cellStyle name="Normal 10 5 2 3 4 2" xfId="11464" xr:uid="{00000000-0005-0000-0000-0000B63B0000}"/>
    <cellStyle name="Normal 10 5 2 3 4 2 2" xfId="37019" xr:uid="{00000000-0005-0000-0000-0000B73B0000}"/>
    <cellStyle name="Normal 10 5 2 3 4 3" xfId="21468" xr:uid="{00000000-0005-0000-0000-0000B83B0000}"/>
    <cellStyle name="Normal 10 5 2 3 4 3 2" xfId="47021" xr:uid="{00000000-0005-0000-0000-0000B93B0000}"/>
    <cellStyle name="Normal 10 5 2 3 4 4" xfId="27951" xr:uid="{00000000-0005-0000-0000-0000BA3B0000}"/>
    <cellStyle name="Normal 10 5 2 3 5" xfId="6342" xr:uid="{00000000-0005-0000-0000-0000BB3B0000}"/>
    <cellStyle name="Normal 10 5 2 3 5 2" xfId="15169" xr:uid="{00000000-0005-0000-0000-0000BC3B0000}"/>
    <cellStyle name="Normal 10 5 2 3 5 2 2" xfId="40724" xr:uid="{00000000-0005-0000-0000-0000BD3B0000}"/>
    <cellStyle name="Normal 10 5 2 3 5 3" xfId="25420" xr:uid="{00000000-0005-0000-0000-0000BE3B0000}"/>
    <cellStyle name="Normal 10 5 2 3 5 3 2" xfId="50973" xr:uid="{00000000-0005-0000-0000-0000BF3B0000}"/>
    <cellStyle name="Normal 10 5 2 3 5 4" xfId="31903" xr:uid="{00000000-0005-0000-0000-0000C03B0000}"/>
    <cellStyle name="Normal 10 5 2 3 6" xfId="7788" xr:uid="{00000000-0005-0000-0000-0000C13B0000}"/>
    <cellStyle name="Normal 10 5 2 3 6 2" xfId="20659" xr:uid="{00000000-0005-0000-0000-0000C23B0000}"/>
    <cellStyle name="Normal 10 5 2 3 6 2 2" xfId="46212" xr:uid="{00000000-0005-0000-0000-0000C33B0000}"/>
    <cellStyle name="Normal 10 5 2 3 6 3" xfId="33345" xr:uid="{00000000-0005-0000-0000-0000C43B0000}"/>
    <cellStyle name="Normal 10 5 2 3 7" xfId="16461" xr:uid="{00000000-0005-0000-0000-0000C53B0000}"/>
    <cellStyle name="Normal 10 5 2 3 7 2" xfId="42014" xr:uid="{00000000-0005-0000-0000-0000C63B0000}"/>
    <cellStyle name="Normal 10 5 2 3 8" xfId="27142" xr:uid="{00000000-0005-0000-0000-0000C73B0000}"/>
    <cellStyle name="Normal 10 5 2 4" xfId="2990" xr:uid="{00000000-0005-0000-0000-0000C83B0000}"/>
    <cellStyle name="Normal 10 5 2 4 2" xfId="5368" xr:uid="{00000000-0005-0000-0000-0000C93B0000}"/>
    <cellStyle name="Normal 10 5 2 4 2 2" xfId="14205" xr:uid="{00000000-0005-0000-0000-0000CA3B0000}"/>
    <cellStyle name="Normal 10 5 2 4 2 2 2" xfId="24456" xr:uid="{00000000-0005-0000-0000-0000CB3B0000}"/>
    <cellStyle name="Normal 10 5 2 4 2 2 2 2" xfId="50009" xr:uid="{00000000-0005-0000-0000-0000CC3B0000}"/>
    <cellStyle name="Normal 10 5 2 4 2 2 3" xfId="39760" xr:uid="{00000000-0005-0000-0000-0000CD3B0000}"/>
    <cellStyle name="Normal 10 5 2 4 2 3" xfId="10626" xr:uid="{00000000-0005-0000-0000-0000CE3B0000}"/>
    <cellStyle name="Normal 10 5 2 4 2 3 2" xfId="36183" xr:uid="{00000000-0005-0000-0000-0000CF3B0000}"/>
    <cellStyle name="Normal 10 5 2 4 2 4" xfId="19449" xr:uid="{00000000-0005-0000-0000-0000D03B0000}"/>
    <cellStyle name="Normal 10 5 2 4 2 4 2" xfId="45002" xr:uid="{00000000-0005-0000-0000-0000D13B0000}"/>
    <cellStyle name="Normal 10 5 2 4 2 5" xfId="30939" xr:uid="{00000000-0005-0000-0000-0000D23B0000}"/>
    <cellStyle name="Normal 10 5 2 4 3" xfId="6823" xr:uid="{00000000-0005-0000-0000-0000D33B0000}"/>
    <cellStyle name="Normal 10 5 2 4 3 2" xfId="15650" xr:uid="{00000000-0005-0000-0000-0000D43B0000}"/>
    <cellStyle name="Normal 10 5 2 4 3 2 2" xfId="41205" xr:uid="{00000000-0005-0000-0000-0000D53B0000}"/>
    <cellStyle name="Normal 10 5 2 4 3 3" xfId="25901" xr:uid="{00000000-0005-0000-0000-0000D63B0000}"/>
    <cellStyle name="Normal 10 5 2 4 3 3 2" xfId="51454" xr:uid="{00000000-0005-0000-0000-0000D73B0000}"/>
    <cellStyle name="Normal 10 5 2 4 3 4" xfId="32384" xr:uid="{00000000-0005-0000-0000-0000D83B0000}"/>
    <cellStyle name="Normal 10 5 2 4 4" xfId="8269" xr:uid="{00000000-0005-0000-0000-0000D93B0000}"/>
    <cellStyle name="Normal 10 5 2 4 4 2" xfId="22351" xr:uid="{00000000-0005-0000-0000-0000DA3B0000}"/>
    <cellStyle name="Normal 10 5 2 4 4 2 2" xfId="47904" xr:uid="{00000000-0005-0000-0000-0000DB3B0000}"/>
    <cellStyle name="Normal 10 5 2 4 4 3" xfId="33826" xr:uid="{00000000-0005-0000-0000-0000DC3B0000}"/>
    <cellStyle name="Normal 10 5 2 4 5" xfId="17344" xr:uid="{00000000-0005-0000-0000-0000DD3B0000}"/>
    <cellStyle name="Normal 10 5 2 4 5 2" xfId="42897" xr:uid="{00000000-0005-0000-0000-0000DE3B0000}"/>
    <cellStyle name="Normal 10 5 2 4 6" xfId="28834" xr:uid="{00000000-0005-0000-0000-0000DF3B0000}"/>
    <cellStyle name="Normal 10 5 2 5" xfId="4324" xr:uid="{00000000-0005-0000-0000-0000E03B0000}"/>
    <cellStyle name="Normal 10 5 2 5 2" xfId="13162" xr:uid="{00000000-0005-0000-0000-0000E13B0000}"/>
    <cellStyle name="Normal 10 5 2 5 2 2" xfId="23413" xr:uid="{00000000-0005-0000-0000-0000E23B0000}"/>
    <cellStyle name="Normal 10 5 2 5 2 2 2" xfId="48966" xr:uid="{00000000-0005-0000-0000-0000E33B0000}"/>
    <cellStyle name="Normal 10 5 2 5 2 3" xfId="38717" xr:uid="{00000000-0005-0000-0000-0000E43B0000}"/>
    <cellStyle name="Normal 10 5 2 5 3" xfId="9583" xr:uid="{00000000-0005-0000-0000-0000E53B0000}"/>
    <cellStyle name="Normal 10 5 2 5 3 2" xfId="35140" xr:uid="{00000000-0005-0000-0000-0000E63B0000}"/>
    <cellStyle name="Normal 10 5 2 5 4" xfId="18406" xr:uid="{00000000-0005-0000-0000-0000E73B0000}"/>
    <cellStyle name="Normal 10 5 2 5 4 2" xfId="43959" xr:uid="{00000000-0005-0000-0000-0000E83B0000}"/>
    <cellStyle name="Normal 10 5 2 5 5" xfId="29896" xr:uid="{00000000-0005-0000-0000-0000E93B0000}"/>
    <cellStyle name="Normal 10 5 2 6" xfId="1596" xr:uid="{00000000-0005-0000-0000-0000EA3B0000}"/>
    <cellStyle name="Normal 10 5 2 6 2" xfId="10973" xr:uid="{00000000-0005-0000-0000-0000EB3B0000}"/>
    <cellStyle name="Normal 10 5 2 6 2 2" xfId="36528" xr:uid="{00000000-0005-0000-0000-0000EC3B0000}"/>
    <cellStyle name="Normal 10 5 2 6 3" xfId="20977" xr:uid="{00000000-0005-0000-0000-0000ED3B0000}"/>
    <cellStyle name="Normal 10 5 2 6 3 2" xfId="46530" xr:uid="{00000000-0005-0000-0000-0000EE3B0000}"/>
    <cellStyle name="Normal 10 5 2 6 4" xfId="27460" xr:uid="{00000000-0005-0000-0000-0000EF3B0000}"/>
    <cellStyle name="Normal 10 5 2 7" xfId="5780" xr:uid="{00000000-0005-0000-0000-0000F03B0000}"/>
    <cellStyle name="Normal 10 5 2 7 2" xfId="14607" xr:uid="{00000000-0005-0000-0000-0000F13B0000}"/>
    <cellStyle name="Normal 10 5 2 7 2 2" xfId="40162" xr:uid="{00000000-0005-0000-0000-0000F23B0000}"/>
    <cellStyle name="Normal 10 5 2 7 3" xfId="24858" xr:uid="{00000000-0005-0000-0000-0000F33B0000}"/>
    <cellStyle name="Normal 10 5 2 7 3 2" xfId="50411" xr:uid="{00000000-0005-0000-0000-0000F43B0000}"/>
    <cellStyle name="Normal 10 5 2 7 4" xfId="31341" xr:uid="{00000000-0005-0000-0000-0000F53B0000}"/>
    <cellStyle name="Normal 10 5 2 8" xfId="7224" xr:uid="{00000000-0005-0000-0000-0000F63B0000}"/>
    <cellStyle name="Normal 10 5 2 8 2" xfId="19950" xr:uid="{00000000-0005-0000-0000-0000F73B0000}"/>
    <cellStyle name="Normal 10 5 2 8 2 2" xfId="45503" xr:uid="{00000000-0005-0000-0000-0000F83B0000}"/>
    <cellStyle name="Normal 10 5 2 8 3" xfId="32781" xr:uid="{00000000-0005-0000-0000-0000F93B0000}"/>
    <cellStyle name="Normal 10 5 2 9" xfId="15970" xr:uid="{00000000-0005-0000-0000-0000FA3B0000}"/>
    <cellStyle name="Normal 10 5 2 9 2" xfId="41523" xr:uid="{00000000-0005-0000-0000-0000FB3B0000}"/>
    <cellStyle name="Normal 10 5 2_Degree data" xfId="3829" xr:uid="{00000000-0005-0000-0000-0000FC3B0000}"/>
    <cellStyle name="Normal 10 5 3" xfId="404" xr:uid="{00000000-0005-0000-0000-0000FD3B0000}"/>
    <cellStyle name="Normal 10 5 3 2" xfId="2890" xr:uid="{00000000-0005-0000-0000-0000FE3B0000}"/>
    <cellStyle name="Normal 10 5 3 2 2" xfId="12178" xr:uid="{00000000-0005-0000-0000-0000FF3B0000}"/>
    <cellStyle name="Normal 10 5 3 2 2 2" xfId="22251" xr:uid="{00000000-0005-0000-0000-0000003C0000}"/>
    <cellStyle name="Normal 10 5 3 2 2 2 2" xfId="47804" xr:uid="{00000000-0005-0000-0000-0000013C0000}"/>
    <cellStyle name="Normal 10 5 3 2 2 3" xfId="37733" xr:uid="{00000000-0005-0000-0000-0000023C0000}"/>
    <cellStyle name="Normal 10 5 3 2 3" xfId="8384" xr:uid="{00000000-0005-0000-0000-0000033C0000}"/>
    <cellStyle name="Normal 10 5 3 2 3 2" xfId="33941" xr:uid="{00000000-0005-0000-0000-0000043C0000}"/>
    <cellStyle name="Normal 10 5 3 2 4" xfId="17244" xr:uid="{00000000-0005-0000-0000-0000053C0000}"/>
    <cellStyle name="Normal 10 5 3 2 4 2" xfId="42797" xr:uid="{00000000-0005-0000-0000-0000063C0000}"/>
    <cellStyle name="Normal 10 5 3 2 5" xfId="28734" xr:uid="{00000000-0005-0000-0000-0000073C0000}"/>
    <cellStyle name="Normal 10 5 3 3" xfId="4537" xr:uid="{00000000-0005-0000-0000-0000083C0000}"/>
    <cellStyle name="Normal 10 5 3 3 2" xfId="13375" xr:uid="{00000000-0005-0000-0000-0000093C0000}"/>
    <cellStyle name="Normal 10 5 3 3 2 2" xfId="23626" xr:uid="{00000000-0005-0000-0000-00000A3C0000}"/>
    <cellStyle name="Normal 10 5 3 3 2 2 2" xfId="49179" xr:uid="{00000000-0005-0000-0000-00000B3C0000}"/>
    <cellStyle name="Normal 10 5 3 3 2 3" xfId="38930" xr:uid="{00000000-0005-0000-0000-00000C3C0000}"/>
    <cellStyle name="Normal 10 5 3 3 3" xfId="9796" xr:uid="{00000000-0005-0000-0000-00000D3C0000}"/>
    <cellStyle name="Normal 10 5 3 3 3 2" xfId="35353" xr:uid="{00000000-0005-0000-0000-00000E3C0000}"/>
    <cellStyle name="Normal 10 5 3 3 4" xfId="18619" xr:uid="{00000000-0005-0000-0000-00000F3C0000}"/>
    <cellStyle name="Normal 10 5 3 3 4 2" xfId="44172" xr:uid="{00000000-0005-0000-0000-0000103C0000}"/>
    <cellStyle name="Normal 10 5 3 3 5" xfId="30109" xr:uid="{00000000-0005-0000-0000-0000113C0000}"/>
    <cellStyle name="Normal 10 5 3 4" xfId="1999" xr:uid="{00000000-0005-0000-0000-0000123C0000}"/>
    <cellStyle name="Normal 10 5 3 4 2" xfId="11364" xr:uid="{00000000-0005-0000-0000-0000133C0000}"/>
    <cellStyle name="Normal 10 5 3 4 2 2" xfId="36919" xr:uid="{00000000-0005-0000-0000-0000143C0000}"/>
    <cellStyle name="Normal 10 5 3 4 3" xfId="21368" xr:uid="{00000000-0005-0000-0000-0000153C0000}"/>
    <cellStyle name="Normal 10 5 3 4 3 2" xfId="46921" xr:uid="{00000000-0005-0000-0000-0000163C0000}"/>
    <cellStyle name="Normal 10 5 3 4 4" xfId="27851" xr:uid="{00000000-0005-0000-0000-0000173C0000}"/>
    <cellStyle name="Normal 10 5 3 5" xfId="5993" xr:uid="{00000000-0005-0000-0000-0000183C0000}"/>
    <cellStyle name="Normal 10 5 3 5 2" xfId="14820" xr:uid="{00000000-0005-0000-0000-0000193C0000}"/>
    <cellStyle name="Normal 10 5 3 5 2 2" xfId="40375" xr:uid="{00000000-0005-0000-0000-00001A3C0000}"/>
    <cellStyle name="Normal 10 5 3 5 3" xfId="25071" xr:uid="{00000000-0005-0000-0000-00001B3C0000}"/>
    <cellStyle name="Normal 10 5 3 5 3 2" xfId="50624" xr:uid="{00000000-0005-0000-0000-00001C3C0000}"/>
    <cellStyle name="Normal 10 5 3 5 4" xfId="31554" xr:uid="{00000000-0005-0000-0000-00001D3C0000}"/>
    <cellStyle name="Normal 10 5 3 6" xfId="7437" xr:uid="{00000000-0005-0000-0000-00001E3C0000}"/>
    <cellStyle name="Normal 10 5 3 6 2" xfId="19850" xr:uid="{00000000-0005-0000-0000-00001F3C0000}"/>
    <cellStyle name="Normal 10 5 3 6 2 2" xfId="45403" xr:uid="{00000000-0005-0000-0000-0000203C0000}"/>
    <cellStyle name="Normal 10 5 3 6 3" xfId="32994" xr:uid="{00000000-0005-0000-0000-0000213C0000}"/>
    <cellStyle name="Normal 10 5 3 7" xfId="16361" xr:uid="{00000000-0005-0000-0000-0000223C0000}"/>
    <cellStyle name="Normal 10 5 3 7 2" xfId="41914" xr:uid="{00000000-0005-0000-0000-0000233C0000}"/>
    <cellStyle name="Normal 10 5 3 8" xfId="26333" xr:uid="{00000000-0005-0000-0000-0000243C0000}"/>
    <cellStyle name="Normal 10 5 4" xfId="722" xr:uid="{00000000-0005-0000-0000-0000253C0000}"/>
    <cellStyle name="Normal 10 5 4 2" xfId="3208" xr:uid="{00000000-0005-0000-0000-0000263C0000}"/>
    <cellStyle name="Normal 10 5 4 2 2" xfId="12351" xr:uid="{00000000-0005-0000-0000-0000273C0000}"/>
    <cellStyle name="Normal 10 5 4 2 2 2" xfId="22569" xr:uid="{00000000-0005-0000-0000-0000283C0000}"/>
    <cellStyle name="Normal 10 5 4 2 2 2 2" xfId="48122" xr:uid="{00000000-0005-0000-0000-0000293C0000}"/>
    <cellStyle name="Normal 10 5 4 2 2 3" xfId="37906" xr:uid="{00000000-0005-0000-0000-00002A3C0000}"/>
    <cellStyle name="Normal 10 5 4 2 3" xfId="8773" xr:uid="{00000000-0005-0000-0000-00002B3C0000}"/>
    <cellStyle name="Normal 10 5 4 2 3 2" xfId="34330" xr:uid="{00000000-0005-0000-0000-00002C3C0000}"/>
    <cellStyle name="Normal 10 5 4 2 4" xfId="17562" xr:uid="{00000000-0005-0000-0000-00002D3C0000}"/>
    <cellStyle name="Normal 10 5 4 2 4 2" xfId="43115" xr:uid="{00000000-0005-0000-0000-00002E3C0000}"/>
    <cellStyle name="Normal 10 5 4 2 5" xfId="29052" xr:uid="{00000000-0005-0000-0000-00002F3C0000}"/>
    <cellStyle name="Normal 10 5 4 3" xfId="4886" xr:uid="{00000000-0005-0000-0000-0000303C0000}"/>
    <cellStyle name="Normal 10 5 4 3 2" xfId="13723" xr:uid="{00000000-0005-0000-0000-0000313C0000}"/>
    <cellStyle name="Normal 10 5 4 3 2 2" xfId="23974" xr:uid="{00000000-0005-0000-0000-0000323C0000}"/>
    <cellStyle name="Normal 10 5 4 3 2 2 2" xfId="49527" xr:uid="{00000000-0005-0000-0000-0000333C0000}"/>
    <cellStyle name="Normal 10 5 4 3 2 3" xfId="39278" xr:uid="{00000000-0005-0000-0000-0000343C0000}"/>
    <cellStyle name="Normal 10 5 4 3 3" xfId="10144" xr:uid="{00000000-0005-0000-0000-0000353C0000}"/>
    <cellStyle name="Normal 10 5 4 3 3 2" xfId="35701" xr:uid="{00000000-0005-0000-0000-0000363C0000}"/>
    <cellStyle name="Normal 10 5 4 3 4" xfId="18967" xr:uid="{00000000-0005-0000-0000-0000373C0000}"/>
    <cellStyle name="Normal 10 5 4 3 4 2" xfId="44520" xr:uid="{00000000-0005-0000-0000-0000383C0000}"/>
    <cellStyle name="Normal 10 5 4 3 5" xfId="30457" xr:uid="{00000000-0005-0000-0000-0000393C0000}"/>
    <cellStyle name="Normal 10 5 4 4" xfId="2317" xr:uid="{00000000-0005-0000-0000-00003A3C0000}"/>
    <cellStyle name="Normal 10 5 4 4 2" xfId="11682" xr:uid="{00000000-0005-0000-0000-00003B3C0000}"/>
    <cellStyle name="Normal 10 5 4 4 2 2" xfId="37237" xr:uid="{00000000-0005-0000-0000-00003C3C0000}"/>
    <cellStyle name="Normal 10 5 4 4 3" xfId="21686" xr:uid="{00000000-0005-0000-0000-00003D3C0000}"/>
    <cellStyle name="Normal 10 5 4 4 3 2" xfId="47239" xr:uid="{00000000-0005-0000-0000-00003E3C0000}"/>
    <cellStyle name="Normal 10 5 4 4 4" xfId="28169" xr:uid="{00000000-0005-0000-0000-00003F3C0000}"/>
    <cellStyle name="Normal 10 5 4 5" xfId="6341" xr:uid="{00000000-0005-0000-0000-0000403C0000}"/>
    <cellStyle name="Normal 10 5 4 5 2" xfId="15168" xr:uid="{00000000-0005-0000-0000-0000413C0000}"/>
    <cellStyle name="Normal 10 5 4 5 2 2" xfId="40723" xr:uid="{00000000-0005-0000-0000-0000423C0000}"/>
    <cellStyle name="Normal 10 5 4 5 3" xfId="25419" xr:uid="{00000000-0005-0000-0000-0000433C0000}"/>
    <cellStyle name="Normal 10 5 4 5 3 2" xfId="50972" xr:uid="{00000000-0005-0000-0000-0000443C0000}"/>
    <cellStyle name="Normal 10 5 4 5 4" xfId="31902" xr:uid="{00000000-0005-0000-0000-0000453C0000}"/>
    <cellStyle name="Normal 10 5 4 6" xfId="7787" xr:uid="{00000000-0005-0000-0000-0000463C0000}"/>
    <cellStyle name="Normal 10 5 4 6 2" xfId="20168" xr:uid="{00000000-0005-0000-0000-0000473C0000}"/>
    <cellStyle name="Normal 10 5 4 6 2 2" xfId="45721" xr:uid="{00000000-0005-0000-0000-0000483C0000}"/>
    <cellStyle name="Normal 10 5 4 6 3" xfId="33344" xr:uid="{00000000-0005-0000-0000-0000493C0000}"/>
    <cellStyle name="Normal 10 5 4 7" xfId="16679" xr:uid="{00000000-0005-0000-0000-00004A3C0000}"/>
    <cellStyle name="Normal 10 5 4 7 2" xfId="42232" xr:uid="{00000000-0005-0000-0000-00004B3C0000}"/>
    <cellStyle name="Normal 10 5 4 8" xfId="26651" xr:uid="{00000000-0005-0000-0000-00004C3C0000}"/>
    <cellStyle name="Normal 10 5 5" xfId="1176" xr:uid="{00000000-0005-0000-0000-00004D3C0000}"/>
    <cellStyle name="Normal 10 5 5 2" xfId="3605" xr:uid="{00000000-0005-0000-0000-00004E3C0000}"/>
    <cellStyle name="Normal 10 5 5 2 2" xfId="12741" xr:uid="{00000000-0005-0000-0000-00004F3C0000}"/>
    <cellStyle name="Normal 10 5 5 2 2 2" xfId="22960" xr:uid="{00000000-0005-0000-0000-0000503C0000}"/>
    <cellStyle name="Normal 10 5 5 2 2 2 2" xfId="48513" xr:uid="{00000000-0005-0000-0000-0000513C0000}"/>
    <cellStyle name="Normal 10 5 5 2 2 3" xfId="38296" xr:uid="{00000000-0005-0000-0000-0000523C0000}"/>
    <cellStyle name="Normal 10 5 5 2 3" xfId="9162" xr:uid="{00000000-0005-0000-0000-0000533C0000}"/>
    <cellStyle name="Normal 10 5 5 2 3 2" xfId="34719" xr:uid="{00000000-0005-0000-0000-0000543C0000}"/>
    <cellStyle name="Normal 10 5 5 2 4" xfId="17953" xr:uid="{00000000-0005-0000-0000-0000553C0000}"/>
    <cellStyle name="Normal 10 5 5 2 4 2" xfId="43506" xr:uid="{00000000-0005-0000-0000-0000563C0000}"/>
    <cellStyle name="Normal 10 5 5 2 5" xfId="29443" xr:uid="{00000000-0005-0000-0000-0000573C0000}"/>
    <cellStyle name="Normal 10 5 5 3" xfId="5268" xr:uid="{00000000-0005-0000-0000-0000583C0000}"/>
    <cellStyle name="Normal 10 5 5 3 2" xfId="14105" xr:uid="{00000000-0005-0000-0000-0000593C0000}"/>
    <cellStyle name="Normal 10 5 5 3 2 2" xfId="24356" xr:uid="{00000000-0005-0000-0000-00005A3C0000}"/>
    <cellStyle name="Normal 10 5 5 3 2 2 2" xfId="49909" xr:uid="{00000000-0005-0000-0000-00005B3C0000}"/>
    <cellStyle name="Normal 10 5 5 3 2 3" xfId="39660" xr:uid="{00000000-0005-0000-0000-00005C3C0000}"/>
    <cellStyle name="Normal 10 5 5 3 3" xfId="10526" xr:uid="{00000000-0005-0000-0000-00005D3C0000}"/>
    <cellStyle name="Normal 10 5 5 3 3 2" xfId="36083" xr:uid="{00000000-0005-0000-0000-00005E3C0000}"/>
    <cellStyle name="Normal 10 5 5 3 4" xfId="19349" xr:uid="{00000000-0005-0000-0000-00005F3C0000}"/>
    <cellStyle name="Normal 10 5 5 3 4 2" xfId="44902" xr:uid="{00000000-0005-0000-0000-0000603C0000}"/>
    <cellStyle name="Normal 10 5 5 3 5" xfId="30839" xr:uid="{00000000-0005-0000-0000-0000613C0000}"/>
    <cellStyle name="Normal 10 5 5 4" xfId="1778" xr:uid="{00000000-0005-0000-0000-0000623C0000}"/>
    <cellStyle name="Normal 10 5 5 4 2" xfId="11147" xr:uid="{00000000-0005-0000-0000-0000633C0000}"/>
    <cellStyle name="Normal 10 5 5 4 2 2" xfId="36702" xr:uid="{00000000-0005-0000-0000-0000643C0000}"/>
    <cellStyle name="Normal 10 5 5 4 3" xfId="21151" xr:uid="{00000000-0005-0000-0000-0000653C0000}"/>
    <cellStyle name="Normal 10 5 5 4 3 2" xfId="46704" xr:uid="{00000000-0005-0000-0000-0000663C0000}"/>
    <cellStyle name="Normal 10 5 5 4 4" xfId="27634" xr:uid="{00000000-0005-0000-0000-0000673C0000}"/>
    <cellStyle name="Normal 10 5 5 5" xfId="6723" xr:uid="{00000000-0005-0000-0000-0000683C0000}"/>
    <cellStyle name="Normal 10 5 5 5 2" xfId="15550" xr:uid="{00000000-0005-0000-0000-0000693C0000}"/>
    <cellStyle name="Normal 10 5 5 5 2 2" xfId="41105" xr:uid="{00000000-0005-0000-0000-00006A3C0000}"/>
    <cellStyle name="Normal 10 5 5 5 3" xfId="25801" xr:uid="{00000000-0005-0000-0000-00006B3C0000}"/>
    <cellStyle name="Normal 10 5 5 5 3 2" xfId="51354" xr:uid="{00000000-0005-0000-0000-00006C3C0000}"/>
    <cellStyle name="Normal 10 5 5 5 4" xfId="32284" xr:uid="{00000000-0005-0000-0000-00006D3C0000}"/>
    <cellStyle name="Normal 10 5 5 6" xfId="8169" xr:uid="{00000000-0005-0000-0000-00006E3C0000}"/>
    <cellStyle name="Normal 10 5 5 6 2" xfId="20559" xr:uid="{00000000-0005-0000-0000-00006F3C0000}"/>
    <cellStyle name="Normal 10 5 5 6 2 2" xfId="46112" xr:uid="{00000000-0005-0000-0000-0000703C0000}"/>
    <cellStyle name="Normal 10 5 5 6 3" xfId="33726" xr:uid="{00000000-0005-0000-0000-0000713C0000}"/>
    <cellStyle name="Normal 10 5 5 7" xfId="16144" xr:uid="{00000000-0005-0000-0000-0000723C0000}"/>
    <cellStyle name="Normal 10 5 5 7 2" xfId="41697" xr:uid="{00000000-0005-0000-0000-0000733C0000}"/>
    <cellStyle name="Normal 10 5 5 8" xfId="27042" xr:uid="{00000000-0005-0000-0000-0000743C0000}"/>
    <cellStyle name="Normal 10 5 6" xfId="2673" xr:uid="{00000000-0005-0000-0000-0000753C0000}"/>
    <cellStyle name="Normal 10 5 6 2" xfId="11990" xr:uid="{00000000-0005-0000-0000-0000763C0000}"/>
    <cellStyle name="Normal 10 5 6 2 2" xfId="22034" xr:uid="{00000000-0005-0000-0000-0000773C0000}"/>
    <cellStyle name="Normal 10 5 6 2 2 2" xfId="47587" xr:uid="{00000000-0005-0000-0000-0000783C0000}"/>
    <cellStyle name="Normal 10 5 6 2 3" xfId="37545" xr:uid="{00000000-0005-0000-0000-0000793C0000}"/>
    <cellStyle name="Normal 10 5 6 3" xfId="8390" xr:uid="{00000000-0005-0000-0000-00007A3C0000}"/>
    <cellStyle name="Normal 10 5 6 3 2" xfId="33947" xr:uid="{00000000-0005-0000-0000-00007B3C0000}"/>
    <cellStyle name="Normal 10 5 6 4" xfId="17027" xr:uid="{00000000-0005-0000-0000-00007C3C0000}"/>
    <cellStyle name="Normal 10 5 6 4 2" xfId="42580" xr:uid="{00000000-0005-0000-0000-00007D3C0000}"/>
    <cellStyle name="Normal 10 5 6 5" xfId="28517" xr:uid="{00000000-0005-0000-0000-00007E3C0000}"/>
    <cellStyle name="Normal 10 5 7" xfId="4224" xr:uid="{00000000-0005-0000-0000-00007F3C0000}"/>
    <cellStyle name="Normal 10 5 7 2" xfId="13062" xr:uid="{00000000-0005-0000-0000-0000803C0000}"/>
    <cellStyle name="Normal 10 5 7 2 2" xfId="23313" xr:uid="{00000000-0005-0000-0000-0000813C0000}"/>
    <cellStyle name="Normal 10 5 7 2 2 2" xfId="48866" xr:uid="{00000000-0005-0000-0000-0000823C0000}"/>
    <cellStyle name="Normal 10 5 7 2 3" xfId="38617" xr:uid="{00000000-0005-0000-0000-0000833C0000}"/>
    <cellStyle name="Normal 10 5 7 3" xfId="9483" xr:uid="{00000000-0005-0000-0000-0000843C0000}"/>
    <cellStyle name="Normal 10 5 7 3 2" xfId="35040" xr:uid="{00000000-0005-0000-0000-0000853C0000}"/>
    <cellStyle name="Normal 10 5 7 4" xfId="18306" xr:uid="{00000000-0005-0000-0000-0000863C0000}"/>
    <cellStyle name="Normal 10 5 7 4 2" xfId="43859" xr:uid="{00000000-0005-0000-0000-0000873C0000}"/>
    <cellStyle name="Normal 10 5 7 5" xfId="29796" xr:uid="{00000000-0005-0000-0000-0000883C0000}"/>
    <cellStyle name="Normal 10 5 8" xfId="1496" xr:uid="{00000000-0005-0000-0000-0000893C0000}"/>
    <cellStyle name="Normal 10 5 8 2" xfId="10873" xr:uid="{00000000-0005-0000-0000-00008A3C0000}"/>
    <cellStyle name="Normal 10 5 8 2 2" xfId="36428" xr:uid="{00000000-0005-0000-0000-00008B3C0000}"/>
    <cellStyle name="Normal 10 5 8 3" xfId="20877" xr:uid="{00000000-0005-0000-0000-00008C3C0000}"/>
    <cellStyle name="Normal 10 5 8 3 2" xfId="46430" xr:uid="{00000000-0005-0000-0000-00008D3C0000}"/>
    <cellStyle name="Normal 10 5 8 4" xfId="27360" xr:uid="{00000000-0005-0000-0000-00008E3C0000}"/>
    <cellStyle name="Normal 10 5 9" xfId="5680" xr:uid="{00000000-0005-0000-0000-00008F3C0000}"/>
    <cellStyle name="Normal 10 5 9 2" xfId="14507" xr:uid="{00000000-0005-0000-0000-0000903C0000}"/>
    <cellStyle name="Normal 10 5 9 2 2" xfId="40062" xr:uid="{00000000-0005-0000-0000-0000913C0000}"/>
    <cellStyle name="Normal 10 5 9 3" xfId="24758" xr:uid="{00000000-0005-0000-0000-0000923C0000}"/>
    <cellStyle name="Normal 10 5 9 3 2" xfId="50311" xr:uid="{00000000-0005-0000-0000-0000933C0000}"/>
    <cellStyle name="Normal 10 5 9 4" xfId="31241" xr:uid="{00000000-0005-0000-0000-0000943C0000}"/>
    <cellStyle name="Normal 10 5_Degree data" xfId="3827" xr:uid="{00000000-0005-0000-0000-0000953C0000}"/>
    <cellStyle name="Normal 10 6" xfId="697" xr:uid="{00000000-0005-0000-0000-0000963C0000}"/>
    <cellStyle name="Normal 10 6 2" xfId="3183" xr:uid="{00000000-0005-0000-0000-0000973C0000}"/>
    <cellStyle name="Normal 10 6 2 2" xfId="12326" xr:uid="{00000000-0005-0000-0000-0000983C0000}"/>
    <cellStyle name="Normal 10 6 2 2 2" xfId="22544" xr:uid="{00000000-0005-0000-0000-0000993C0000}"/>
    <cellStyle name="Normal 10 6 2 2 2 2" xfId="48097" xr:uid="{00000000-0005-0000-0000-00009A3C0000}"/>
    <cellStyle name="Normal 10 6 2 2 3" xfId="37881" xr:uid="{00000000-0005-0000-0000-00009B3C0000}"/>
    <cellStyle name="Normal 10 6 2 3" xfId="8748" xr:uid="{00000000-0005-0000-0000-00009C3C0000}"/>
    <cellStyle name="Normal 10 6 2 3 2" xfId="34305" xr:uid="{00000000-0005-0000-0000-00009D3C0000}"/>
    <cellStyle name="Normal 10 6 2 4" xfId="17537" xr:uid="{00000000-0005-0000-0000-00009E3C0000}"/>
    <cellStyle name="Normal 10 6 2 4 2" xfId="43090" xr:uid="{00000000-0005-0000-0000-00009F3C0000}"/>
    <cellStyle name="Normal 10 6 2 5" xfId="29027" xr:uid="{00000000-0005-0000-0000-0000A03C0000}"/>
    <cellStyle name="Normal 10 6 3" xfId="4512" xr:uid="{00000000-0005-0000-0000-0000A13C0000}"/>
    <cellStyle name="Normal 10 6 3 2" xfId="13350" xr:uid="{00000000-0005-0000-0000-0000A23C0000}"/>
    <cellStyle name="Normal 10 6 3 2 2" xfId="23601" xr:uid="{00000000-0005-0000-0000-0000A33C0000}"/>
    <cellStyle name="Normal 10 6 3 2 2 2" xfId="49154" xr:uid="{00000000-0005-0000-0000-0000A43C0000}"/>
    <cellStyle name="Normal 10 6 3 2 3" xfId="38905" xr:uid="{00000000-0005-0000-0000-0000A53C0000}"/>
    <cellStyle name="Normal 10 6 3 3" xfId="9771" xr:uid="{00000000-0005-0000-0000-0000A63C0000}"/>
    <cellStyle name="Normal 10 6 3 3 2" xfId="35328" xr:uid="{00000000-0005-0000-0000-0000A73C0000}"/>
    <cellStyle name="Normal 10 6 3 4" xfId="18594" xr:uid="{00000000-0005-0000-0000-0000A83C0000}"/>
    <cellStyle name="Normal 10 6 3 4 2" xfId="44147" xr:uid="{00000000-0005-0000-0000-0000A93C0000}"/>
    <cellStyle name="Normal 10 6 3 5" xfId="30084" xr:uid="{00000000-0005-0000-0000-0000AA3C0000}"/>
    <cellStyle name="Normal 10 6 4" xfId="2292" xr:uid="{00000000-0005-0000-0000-0000AB3C0000}"/>
    <cellStyle name="Normal 10 6 4 2" xfId="11657" xr:uid="{00000000-0005-0000-0000-0000AC3C0000}"/>
    <cellStyle name="Normal 10 6 4 2 2" xfId="37212" xr:uid="{00000000-0005-0000-0000-0000AD3C0000}"/>
    <cellStyle name="Normal 10 6 4 3" xfId="21661" xr:uid="{00000000-0005-0000-0000-0000AE3C0000}"/>
    <cellStyle name="Normal 10 6 4 3 2" xfId="47214" xr:uid="{00000000-0005-0000-0000-0000AF3C0000}"/>
    <cellStyle name="Normal 10 6 4 4" xfId="28144" xr:uid="{00000000-0005-0000-0000-0000B03C0000}"/>
    <cellStyle name="Normal 10 6 5" xfId="5968" xr:uid="{00000000-0005-0000-0000-0000B13C0000}"/>
    <cellStyle name="Normal 10 6 5 2" xfId="14795" xr:uid="{00000000-0005-0000-0000-0000B23C0000}"/>
    <cellStyle name="Normal 10 6 5 2 2" xfId="40350" xr:uid="{00000000-0005-0000-0000-0000B33C0000}"/>
    <cellStyle name="Normal 10 6 5 3" xfId="25046" xr:uid="{00000000-0005-0000-0000-0000B43C0000}"/>
    <cellStyle name="Normal 10 6 5 3 2" xfId="50599" xr:uid="{00000000-0005-0000-0000-0000B53C0000}"/>
    <cellStyle name="Normal 10 6 5 4" xfId="31529" xr:uid="{00000000-0005-0000-0000-0000B63C0000}"/>
    <cellStyle name="Normal 10 6 6" xfId="7412" xr:uid="{00000000-0005-0000-0000-0000B73C0000}"/>
    <cellStyle name="Normal 10 6 6 2" xfId="20143" xr:uid="{00000000-0005-0000-0000-0000B83C0000}"/>
    <cellStyle name="Normal 10 6 6 2 2" xfId="45696" xr:uid="{00000000-0005-0000-0000-0000B93C0000}"/>
    <cellStyle name="Normal 10 6 6 3" xfId="32969" xr:uid="{00000000-0005-0000-0000-0000BA3C0000}"/>
    <cellStyle name="Normal 10 6 7" xfId="16654" xr:uid="{00000000-0005-0000-0000-0000BB3C0000}"/>
    <cellStyle name="Normal 10 6 7 2" xfId="42207" xr:uid="{00000000-0005-0000-0000-0000BC3C0000}"/>
    <cellStyle name="Normal 10 6 8" xfId="26626" xr:uid="{00000000-0005-0000-0000-0000BD3C0000}"/>
    <cellStyle name="Normal 10 7" xfId="1040" xr:uid="{00000000-0005-0000-0000-0000BE3C0000}"/>
    <cellStyle name="Normal 10 7 2" xfId="3469" xr:uid="{00000000-0005-0000-0000-0000BF3C0000}"/>
    <cellStyle name="Normal 10 7 2 2" xfId="12605" xr:uid="{00000000-0005-0000-0000-0000C03C0000}"/>
    <cellStyle name="Normal 10 7 2 2 2" xfId="22824" xr:uid="{00000000-0005-0000-0000-0000C13C0000}"/>
    <cellStyle name="Normal 10 7 2 2 2 2" xfId="48377" xr:uid="{00000000-0005-0000-0000-0000C23C0000}"/>
    <cellStyle name="Normal 10 7 2 2 3" xfId="38160" xr:uid="{00000000-0005-0000-0000-0000C33C0000}"/>
    <cellStyle name="Normal 10 7 2 3" xfId="9027" xr:uid="{00000000-0005-0000-0000-0000C43C0000}"/>
    <cellStyle name="Normal 10 7 2 3 2" xfId="34584" xr:uid="{00000000-0005-0000-0000-0000C53C0000}"/>
    <cellStyle name="Normal 10 7 2 4" xfId="17817" xr:uid="{00000000-0005-0000-0000-0000C63C0000}"/>
    <cellStyle name="Normal 10 7 2 4 2" xfId="43370" xr:uid="{00000000-0005-0000-0000-0000C73C0000}"/>
    <cellStyle name="Normal 10 7 2 5" xfId="29307" xr:uid="{00000000-0005-0000-0000-0000C83C0000}"/>
    <cellStyle name="Normal 10 7 3" xfId="4861" xr:uid="{00000000-0005-0000-0000-0000C93C0000}"/>
    <cellStyle name="Normal 10 7 3 2" xfId="13698" xr:uid="{00000000-0005-0000-0000-0000CA3C0000}"/>
    <cellStyle name="Normal 10 7 3 2 2" xfId="23949" xr:uid="{00000000-0005-0000-0000-0000CB3C0000}"/>
    <cellStyle name="Normal 10 7 3 2 2 2" xfId="49502" xr:uid="{00000000-0005-0000-0000-0000CC3C0000}"/>
    <cellStyle name="Normal 10 7 3 2 3" xfId="39253" xr:uid="{00000000-0005-0000-0000-0000CD3C0000}"/>
    <cellStyle name="Normal 10 7 3 3" xfId="10119" xr:uid="{00000000-0005-0000-0000-0000CE3C0000}"/>
    <cellStyle name="Normal 10 7 3 3 2" xfId="35676" xr:uid="{00000000-0005-0000-0000-0000CF3C0000}"/>
    <cellStyle name="Normal 10 7 3 4" xfId="18942" xr:uid="{00000000-0005-0000-0000-0000D03C0000}"/>
    <cellStyle name="Normal 10 7 3 4 2" xfId="44495" xr:uid="{00000000-0005-0000-0000-0000D13C0000}"/>
    <cellStyle name="Normal 10 7 3 5" xfId="30432" xr:uid="{00000000-0005-0000-0000-0000D23C0000}"/>
    <cellStyle name="Normal 10 7 4" xfId="2582" xr:uid="{00000000-0005-0000-0000-0000D33C0000}"/>
    <cellStyle name="Normal 10 7 4 2" xfId="11946" xr:uid="{00000000-0005-0000-0000-0000D43C0000}"/>
    <cellStyle name="Normal 10 7 4 2 2" xfId="37501" xr:uid="{00000000-0005-0000-0000-0000D53C0000}"/>
    <cellStyle name="Normal 10 7 4 3" xfId="21950" xr:uid="{00000000-0005-0000-0000-0000D63C0000}"/>
    <cellStyle name="Normal 10 7 4 3 2" xfId="47503" xr:uid="{00000000-0005-0000-0000-0000D73C0000}"/>
    <cellStyle name="Normal 10 7 4 4" xfId="28433" xr:uid="{00000000-0005-0000-0000-0000D83C0000}"/>
    <cellStyle name="Normal 10 7 5" xfId="6316" xr:uid="{00000000-0005-0000-0000-0000D93C0000}"/>
    <cellStyle name="Normal 10 7 5 2" xfId="15143" xr:uid="{00000000-0005-0000-0000-0000DA3C0000}"/>
    <cellStyle name="Normal 10 7 5 2 2" xfId="40698" xr:uid="{00000000-0005-0000-0000-0000DB3C0000}"/>
    <cellStyle name="Normal 10 7 5 3" xfId="25394" xr:uid="{00000000-0005-0000-0000-0000DC3C0000}"/>
    <cellStyle name="Normal 10 7 5 3 2" xfId="50947" xr:uid="{00000000-0005-0000-0000-0000DD3C0000}"/>
    <cellStyle name="Normal 10 7 5 4" xfId="31877" xr:uid="{00000000-0005-0000-0000-0000DE3C0000}"/>
    <cellStyle name="Normal 10 7 6" xfId="7762" xr:uid="{00000000-0005-0000-0000-0000DF3C0000}"/>
    <cellStyle name="Normal 10 7 6 2" xfId="20423" xr:uid="{00000000-0005-0000-0000-0000E03C0000}"/>
    <cellStyle name="Normal 10 7 6 2 2" xfId="45976" xr:uid="{00000000-0005-0000-0000-0000E13C0000}"/>
    <cellStyle name="Normal 10 7 6 3" xfId="33319" xr:uid="{00000000-0005-0000-0000-0000E23C0000}"/>
    <cellStyle name="Normal 10 7 7" xfId="16943" xr:uid="{00000000-0005-0000-0000-0000E33C0000}"/>
    <cellStyle name="Normal 10 7 7 2" xfId="42496" xr:uid="{00000000-0005-0000-0000-0000E43C0000}"/>
    <cellStyle name="Normal 10 7 8" xfId="26906" xr:uid="{00000000-0005-0000-0000-0000E53C0000}"/>
    <cellStyle name="Normal 10 8" xfId="3900" xr:uid="{00000000-0005-0000-0000-0000E63C0000}"/>
    <cellStyle name="Normal 10 8 2" xfId="5132" xr:uid="{00000000-0005-0000-0000-0000E73C0000}"/>
    <cellStyle name="Normal 10 8 2 2" xfId="13969" xr:uid="{00000000-0005-0000-0000-0000E83C0000}"/>
    <cellStyle name="Normal 10 8 2 2 2" xfId="24220" xr:uid="{00000000-0005-0000-0000-0000E93C0000}"/>
    <cellStyle name="Normal 10 8 2 2 2 2" xfId="49773" xr:uid="{00000000-0005-0000-0000-0000EA3C0000}"/>
    <cellStyle name="Normal 10 8 2 2 3" xfId="39524" xr:uid="{00000000-0005-0000-0000-0000EB3C0000}"/>
    <cellStyle name="Normal 10 8 2 3" xfId="10390" xr:uid="{00000000-0005-0000-0000-0000EC3C0000}"/>
    <cellStyle name="Normal 10 8 2 3 2" xfId="35947" xr:uid="{00000000-0005-0000-0000-0000ED3C0000}"/>
    <cellStyle name="Normal 10 8 2 4" xfId="19213" xr:uid="{00000000-0005-0000-0000-0000EE3C0000}"/>
    <cellStyle name="Normal 10 8 2 4 2" xfId="44766" xr:uid="{00000000-0005-0000-0000-0000EF3C0000}"/>
    <cellStyle name="Normal 10 8 2 5" xfId="30703" xr:uid="{00000000-0005-0000-0000-0000F03C0000}"/>
    <cellStyle name="Normal 10 8 3" xfId="6587" xr:uid="{00000000-0005-0000-0000-0000F13C0000}"/>
    <cellStyle name="Normal 10 8 3 2" xfId="15414" xr:uid="{00000000-0005-0000-0000-0000F23C0000}"/>
    <cellStyle name="Normal 10 8 3 2 2" xfId="40969" xr:uid="{00000000-0005-0000-0000-0000F33C0000}"/>
    <cellStyle name="Normal 10 8 3 3" xfId="25665" xr:uid="{00000000-0005-0000-0000-0000F43C0000}"/>
    <cellStyle name="Normal 10 8 3 3 2" xfId="51218" xr:uid="{00000000-0005-0000-0000-0000F53C0000}"/>
    <cellStyle name="Normal 10 8 3 4" xfId="32148" xr:uid="{00000000-0005-0000-0000-0000F63C0000}"/>
    <cellStyle name="Normal 10 8 4" xfId="8033" xr:uid="{00000000-0005-0000-0000-0000F73C0000}"/>
    <cellStyle name="Normal 10 8 4 2" xfId="23170" xr:uid="{00000000-0005-0000-0000-0000F83C0000}"/>
    <cellStyle name="Normal 10 8 4 2 2" xfId="48723" xr:uid="{00000000-0005-0000-0000-0000F93C0000}"/>
    <cellStyle name="Normal 10 8 4 3" xfId="33590" xr:uid="{00000000-0005-0000-0000-0000FA3C0000}"/>
    <cellStyle name="Normal 10 8 5" xfId="18163" xr:uid="{00000000-0005-0000-0000-0000FB3C0000}"/>
    <cellStyle name="Normal 10 8 5 2" xfId="43716" xr:uid="{00000000-0005-0000-0000-0000FC3C0000}"/>
    <cellStyle name="Normal 10 8 6" xfId="29653" xr:uid="{00000000-0005-0000-0000-0000FD3C0000}"/>
    <cellStyle name="Normal 10 9" xfId="4085" xr:uid="{00000000-0005-0000-0000-0000FE3C0000}"/>
    <cellStyle name="Normal 10 9 2" xfId="5544" xr:uid="{00000000-0005-0000-0000-0000FF3C0000}"/>
    <cellStyle name="Normal 10 9 2 2" xfId="14371" xr:uid="{00000000-0005-0000-0000-0000003D0000}"/>
    <cellStyle name="Normal 10 9 2 2 2" xfId="39926" xr:uid="{00000000-0005-0000-0000-0000013D0000}"/>
    <cellStyle name="Normal 10 9 2 3" xfId="24622" xr:uid="{00000000-0005-0000-0000-0000023D0000}"/>
    <cellStyle name="Normal 10 9 2 3 2" xfId="50175" xr:uid="{00000000-0005-0000-0000-0000033D0000}"/>
    <cellStyle name="Normal 10 9 2 4" xfId="31105" xr:uid="{00000000-0005-0000-0000-0000043D0000}"/>
    <cellStyle name="Normal 10 9 3" xfId="6988" xr:uid="{00000000-0005-0000-0000-0000053D0000}"/>
    <cellStyle name="Normal 10 9 3 2" xfId="23174" xr:uid="{00000000-0005-0000-0000-0000063D0000}"/>
    <cellStyle name="Normal 10 9 3 2 2" xfId="48727" xr:uid="{00000000-0005-0000-0000-0000073D0000}"/>
    <cellStyle name="Normal 10 9 3 3" xfId="32545" xr:uid="{00000000-0005-0000-0000-0000083D0000}"/>
    <cellStyle name="Normal 10 9 4" xfId="18167" xr:uid="{00000000-0005-0000-0000-0000093D0000}"/>
    <cellStyle name="Normal 10 9 4 2" xfId="43720" xr:uid="{00000000-0005-0000-0000-00000A3D0000}"/>
    <cellStyle name="Normal 10 9 5" xfId="29657" xr:uid="{00000000-0005-0000-0000-00000B3D0000}"/>
    <cellStyle name="Normal 10_Degree data" xfId="3816" xr:uid="{00000000-0005-0000-0000-00000C3D0000}"/>
    <cellStyle name="Normal 100" xfId="5496" xr:uid="{00000000-0005-0000-0000-00000D3D0000}"/>
    <cellStyle name="Normal 101" xfId="6932" xr:uid="{00000000-0005-0000-0000-00000E3D0000}"/>
    <cellStyle name="Normal 101 2" xfId="10746" xr:uid="{00000000-0005-0000-0000-00000F3D0000}"/>
    <cellStyle name="Normal 102" xfId="6934" xr:uid="{00000000-0005-0000-0000-0000103D0000}"/>
    <cellStyle name="Normal 102 2" xfId="10763" xr:uid="{00000000-0005-0000-0000-0000113D0000}"/>
    <cellStyle name="Normal 103" xfId="15759" xr:uid="{00000000-0005-0000-0000-0000123D0000}"/>
    <cellStyle name="Normal 104" xfId="6933" xr:uid="{00000000-0005-0000-0000-0000133D0000}"/>
    <cellStyle name="Normal 105" xfId="6969" xr:uid="{00000000-0005-0000-0000-0000143D0000}"/>
    <cellStyle name="Normal 106" xfId="15760" xr:uid="{00000000-0005-0000-0000-0000153D0000}"/>
    <cellStyle name="Normal 107" xfId="51605" xr:uid="{813188CE-FAD8-4A6F-9B22-915434593C13}"/>
    <cellStyle name="Normal 109" xfId="26018" xr:uid="{00000000-0005-0000-0000-0000163D0000}"/>
    <cellStyle name="Normal 109 2" xfId="51571" xr:uid="{00000000-0005-0000-0000-0000173D0000}"/>
    <cellStyle name="Normal 11" xfId="17" xr:uid="{00000000-0005-0000-0000-0000183D0000}"/>
    <cellStyle name="Normal 111" xfId="26019" xr:uid="{00000000-0005-0000-0000-0000193D0000}"/>
    <cellStyle name="Normal 111 2" xfId="51572" xr:uid="{00000000-0005-0000-0000-00001A3D0000}"/>
    <cellStyle name="Normal 112" xfId="26020" xr:uid="{00000000-0005-0000-0000-00001B3D0000}"/>
    <cellStyle name="Normal 112 2" xfId="51573" xr:uid="{00000000-0005-0000-0000-00001C3D0000}"/>
    <cellStyle name="Normal 113" xfId="26021" xr:uid="{00000000-0005-0000-0000-00001D3D0000}"/>
    <cellStyle name="Normal 113 2" xfId="51574" xr:uid="{00000000-0005-0000-0000-00001E3D0000}"/>
    <cellStyle name="Normal 114" xfId="26022" xr:uid="{00000000-0005-0000-0000-00001F3D0000}"/>
    <cellStyle name="Normal 114 2" xfId="51575" xr:uid="{00000000-0005-0000-0000-0000203D0000}"/>
    <cellStyle name="Normal 12" xfId="8" xr:uid="{00000000-0005-0000-0000-0000213D0000}"/>
    <cellStyle name="Normal 12 2" xfId="32" xr:uid="{00000000-0005-0000-0000-0000223D0000}"/>
    <cellStyle name="Normal 12 3" xfId="149" xr:uid="{00000000-0005-0000-0000-0000233D0000}"/>
    <cellStyle name="Normal 13" xfId="22" xr:uid="{00000000-0005-0000-0000-0000243D0000}"/>
    <cellStyle name="Normal 13 2" xfId="33" xr:uid="{00000000-0005-0000-0000-0000253D0000}"/>
    <cellStyle name="Normal 13 3" xfId="61" xr:uid="{00000000-0005-0000-0000-0000263D0000}"/>
    <cellStyle name="Normal 13 3 2" xfId="119" xr:uid="{00000000-0005-0000-0000-0000273D0000}"/>
    <cellStyle name="Normal 13 3 3" xfId="221" xr:uid="{00000000-0005-0000-0000-0000283D0000}"/>
    <cellStyle name="Normal 14" xfId="6" xr:uid="{00000000-0005-0000-0000-0000293D0000}"/>
    <cellStyle name="Normal 14 2" xfId="31" xr:uid="{00000000-0005-0000-0000-00002A3D0000}"/>
    <cellStyle name="Normal 14 3" xfId="148" xr:uid="{00000000-0005-0000-0000-00002B3D0000}"/>
    <cellStyle name="Normal 141" xfId="26011" xr:uid="{00000000-0005-0000-0000-00002C3D0000}"/>
    <cellStyle name="Normal 141 2" xfId="51564" xr:uid="{00000000-0005-0000-0000-00002D3D0000}"/>
    <cellStyle name="Normal 142" xfId="26012" xr:uid="{00000000-0005-0000-0000-00002E3D0000}"/>
    <cellStyle name="Normal 142 2" xfId="51565" xr:uid="{00000000-0005-0000-0000-00002F3D0000}"/>
    <cellStyle name="Normal 143" xfId="26013" xr:uid="{00000000-0005-0000-0000-0000303D0000}"/>
    <cellStyle name="Normal 143 2" xfId="51566" xr:uid="{00000000-0005-0000-0000-0000313D0000}"/>
    <cellStyle name="Normal 144" xfId="26014" xr:uid="{00000000-0005-0000-0000-0000323D0000}"/>
    <cellStyle name="Normal 144 2" xfId="51567" xr:uid="{00000000-0005-0000-0000-0000333D0000}"/>
    <cellStyle name="Normal 145" xfId="26015" xr:uid="{00000000-0005-0000-0000-0000343D0000}"/>
    <cellStyle name="Normal 145 2" xfId="51568" xr:uid="{00000000-0005-0000-0000-0000353D0000}"/>
    <cellStyle name="Normal 146" xfId="26016" xr:uid="{00000000-0005-0000-0000-0000363D0000}"/>
    <cellStyle name="Normal 146 2" xfId="51569" xr:uid="{00000000-0005-0000-0000-0000373D0000}"/>
    <cellStyle name="Normal 147" xfId="26017" xr:uid="{00000000-0005-0000-0000-0000383D0000}"/>
    <cellStyle name="Normal 147 2" xfId="51570" xr:uid="{00000000-0005-0000-0000-0000393D0000}"/>
    <cellStyle name="Normal 15" xfId="7" xr:uid="{00000000-0005-0000-0000-00003A3D0000}"/>
    <cellStyle name="Normal 15 2" xfId="724" xr:uid="{00000000-0005-0000-0000-00003B3D0000}"/>
    <cellStyle name="Normal 15 2 2" xfId="1384" xr:uid="{00000000-0005-0000-0000-00003C3D0000}"/>
    <cellStyle name="Normal 15 2 2 2" xfId="3813" xr:uid="{00000000-0005-0000-0000-00003D3D0000}"/>
    <cellStyle name="Normal 15 2 2 2 2" xfId="12949" xr:uid="{00000000-0005-0000-0000-00003E3D0000}"/>
    <cellStyle name="Normal 15 2 2 2 2 2" xfId="23168" xr:uid="{00000000-0005-0000-0000-00003F3D0000}"/>
    <cellStyle name="Normal 15 2 2 2 2 2 2" xfId="48721" xr:uid="{00000000-0005-0000-0000-0000403D0000}"/>
    <cellStyle name="Normal 15 2 2 2 2 3" xfId="38504" xr:uid="{00000000-0005-0000-0000-0000413D0000}"/>
    <cellStyle name="Normal 15 2 2 2 3" xfId="9370" xr:uid="{00000000-0005-0000-0000-0000423D0000}"/>
    <cellStyle name="Normal 15 2 2 2 3 2" xfId="34927" xr:uid="{00000000-0005-0000-0000-0000433D0000}"/>
    <cellStyle name="Normal 15 2 2 2 4" xfId="18161" xr:uid="{00000000-0005-0000-0000-0000443D0000}"/>
    <cellStyle name="Normal 15 2 2 2 4 2" xfId="43714" xr:uid="{00000000-0005-0000-0000-0000453D0000}"/>
    <cellStyle name="Normal 15 2 2 2 5" xfId="29651" xr:uid="{00000000-0005-0000-0000-0000463D0000}"/>
    <cellStyle name="Normal 15 2 2 3" xfId="4888" xr:uid="{00000000-0005-0000-0000-0000473D0000}"/>
    <cellStyle name="Normal 15 2 2 3 2" xfId="13725" xr:uid="{00000000-0005-0000-0000-0000483D0000}"/>
    <cellStyle name="Normal 15 2 2 3 2 2" xfId="23976" xr:uid="{00000000-0005-0000-0000-0000493D0000}"/>
    <cellStyle name="Normal 15 2 2 3 2 2 2" xfId="49529" xr:uid="{00000000-0005-0000-0000-00004A3D0000}"/>
    <cellStyle name="Normal 15 2 2 3 2 3" xfId="39280" xr:uid="{00000000-0005-0000-0000-00004B3D0000}"/>
    <cellStyle name="Normal 15 2 2 3 3" xfId="10146" xr:uid="{00000000-0005-0000-0000-00004C3D0000}"/>
    <cellStyle name="Normal 15 2 2 3 3 2" xfId="35703" xr:uid="{00000000-0005-0000-0000-00004D3D0000}"/>
    <cellStyle name="Normal 15 2 2 3 4" xfId="18969" xr:uid="{00000000-0005-0000-0000-00004E3D0000}"/>
    <cellStyle name="Normal 15 2 2 3 4 2" xfId="44522" xr:uid="{00000000-0005-0000-0000-00004F3D0000}"/>
    <cellStyle name="Normal 15 2 2 3 5" xfId="30459" xr:uid="{00000000-0005-0000-0000-0000503D0000}"/>
    <cellStyle name="Normal 15 2 2 4" xfId="2579" xr:uid="{00000000-0005-0000-0000-0000513D0000}"/>
    <cellStyle name="Normal 15 2 2 4 2" xfId="11943" xr:uid="{00000000-0005-0000-0000-0000523D0000}"/>
    <cellStyle name="Normal 15 2 2 4 2 2" xfId="37498" xr:uid="{00000000-0005-0000-0000-0000533D0000}"/>
    <cellStyle name="Normal 15 2 2 4 3" xfId="21947" xr:uid="{00000000-0005-0000-0000-0000543D0000}"/>
    <cellStyle name="Normal 15 2 2 4 3 2" xfId="47500" xr:uid="{00000000-0005-0000-0000-0000553D0000}"/>
    <cellStyle name="Normal 15 2 2 4 4" xfId="28430" xr:uid="{00000000-0005-0000-0000-0000563D0000}"/>
    <cellStyle name="Normal 15 2 2 5" xfId="6343" xr:uid="{00000000-0005-0000-0000-0000573D0000}"/>
    <cellStyle name="Normal 15 2 2 5 2" xfId="15170" xr:uid="{00000000-0005-0000-0000-0000583D0000}"/>
    <cellStyle name="Normal 15 2 2 5 2 2" xfId="40725" xr:uid="{00000000-0005-0000-0000-0000593D0000}"/>
    <cellStyle name="Normal 15 2 2 5 3" xfId="25421" xr:uid="{00000000-0005-0000-0000-00005A3D0000}"/>
    <cellStyle name="Normal 15 2 2 5 3 2" xfId="50974" xr:uid="{00000000-0005-0000-0000-00005B3D0000}"/>
    <cellStyle name="Normal 15 2 2 5 4" xfId="31904" xr:uid="{00000000-0005-0000-0000-00005C3D0000}"/>
    <cellStyle name="Normal 15 2 2 6" xfId="7789" xr:uid="{00000000-0005-0000-0000-00005D3D0000}"/>
    <cellStyle name="Normal 15 2 2 6 2" xfId="20767" xr:uid="{00000000-0005-0000-0000-00005E3D0000}"/>
    <cellStyle name="Normal 15 2 2 6 2 2" xfId="46320" xr:uid="{00000000-0005-0000-0000-00005F3D0000}"/>
    <cellStyle name="Normal 15 2 2 6 3" xfId="33346" xr:uid="{00000000-0005-0000-0000-0000603D0000}"/>
    <cellStyle name="Normal 15 2 2 7" xfId="16940" xr:uid="{00000000-0005-0000-0000-0000613D0000}"/>
    <cellStyle name="Normal 15 2 2 7 2" xfId="42493" xr:uid="{00000000-0005-0000-0000-0000623D0000}"/>
    <cellStyle name="Normal 15 2 2 8" xfId="27250" xr:uid="{00000000-0005-0000-0000-0000633D0000}"/>
    <cellStyle name="Normal 15 2 3" xfId="3210" xr:uid="{00000000-0005-0000-0000-0000643D0000}"/>
    <cellStyle name="Normal 15 2 3 2" xfId="5476" xr:uid="{00000000-0005-0000-0000-0000653D0000}"/>
    <cellStyle name="Normal 15 2 3 2 2" xfId="14313" xr:uid="{00000000-0005-0000-0000-0000663D0000}"/>
    <cellStyle name="Normal 15 2 3 2 2 2" xfId="24564" xr:uid="{00000000-0005-0000-0000-0000673D0000}"/>
    <cellStyle name="Normal 15 2 3 2 2 2 2" xfId="50117" xr:uid="{00000000-0005-0000-0000-0000683D0000}"/>
    <cellStyle name="Normal 15 2 3 2 2 3" xfId="39868" xr:uid="{00000000-0005-0000-0000-0000693D0000}"/>
    <cellStyle name="Normal 15 2 3 2 3" xfId="10734" xr:uid="{00000000-0005-0000-0000-00006A3D0000}"/>
    <cellStyle name="Normal 15 2 3 2 3 2" xfId="36291" xr:uid="{00000000-0005-0000-0000-00006B3D0000}"/>
    <cellStyle name="Normal 15 2 3 2 4" xfId="19557" xr:uid="{00000000-0005-0000-0000-00006C3D0000}"/>
    <cellStyle name="Normal 15 2 3 2 4 2" xfId="45110" xr:uid="{00000000-0005-0000-0000-00006D3D0000}"/>
    <cellStyle name="Normal 15 2 3 2 5" xfId="31047" xr:uid="{00000000-0005-0000-0000-00006E3D0000}"/>
    <cellStyle name="Normal 15 2 3 3" xfId="6931" xr:uid="{00000000-0005-0000-0000-00006F3D0000}"/>
    <cellStyle name="Normal 15 2 3 3 2" xfId="15758" xr:uid="{00000000-0005-0000-0000-0000703D0000}"/>
    <cellStyle name="Normal 15 2 3 3 2 2" xfId="41313" xr:uid="{00000000-0005-0000-0000-0000713D0000}"/>
    <cellStyle name="Normal 15 2 3 3 3" xfId="26009" xr:uid="{00000000-0005-0000-0000-0000723D0000}"/>
    <cellStyle name="Normal 15 2 3 3 3 2" xfId="51562" xr:uid="{00000000-0005-0000-0000-0000733D0000}"/>
    <cellStyle name="Normal 15 2 3 3 4" xfId="32492" xr:uid="{00000000-0005-0000-0000-0000743D0000}"/>
    <cellStyle name="Normal 15 2 3 4" xfId="8377" xr:uid="{00000000-0005-0000-0000-0000753D0000}"/>
    <cellStyle name="Normal 15 2 3 4 2" xfId="22571" xr:uid="{00000000-0005-0000-0000-0000763D0000}"/>
    <cellStyle name="Normal 15 2 3 4 2 2" xfId="48124" xr:uid="{00000000-0005-0000-0000-0000773D0000}"/>
    <cellStyle name="Normal 15 2 3 4 3" xfId="33934" xr:uid="{00000000-0005-0000-0000-0000783D0000}"/>
    <cellStyle name="Normal 15 2 3 5" xfId="17564" xr:uid="{00000000-0005-0000-0000-0000793D0000}"/>
    <cellStyle name="Normal 15 2 3 5 2" xfId="43117" xr:uid="{00000000-0005-0000-0000-00007A3D0000}"/>
    <cellStyle name="Normal 15 2 3 6" xfId="29054" xr:uid="{00000000-0005-0000-0000-00007B3D0000}"/>
    <cellStyle name="Normal 15 2 4" xfId="4539" xr:uid="{00000000-0005-0000-0000-00007C3D0000}"/>
    <cellStyle name="Normal 15 2 4 2" xfId="13377" xr:uid="{00000000-0005-0000-0000-00007D3D0000}"/>
    <cellStyle name="Normal 15 2 4 2 2" xfId="23628" xr:uid="{00000000-0005-0000-0000-00007E3D0000}"/>
    <cellStyle name="Normal 15 2 4 2 2 2" xfId="49181" xr:uid="{00000000-0005-0000-0000-00007F3D0000}"/>
    <cellStyle name="Normal 15 2 4 2 3" xfId="38932" xr:uid="{00000000-0005-0000-0000-0000803D0000}"/>
    <cellStyle name="Normal 15 2 4 3" xfId="9798" xr:uid="{00000000-0005-0000-0000-0000813D0000}"/>
    <cellStyle name="Normal 15 2 4 3 2" xfId="35355" xr:uid="{00000000-0005-0000-0000-0000823D0000}"/>
    <cellStyle name="Normal 15 2 4 4" xfId="18621" xr:uid="{00000000-0005-0000-0000-0000833D0000}"/>
    <cellStyle name="Normal 15 2 4 4 2" xfId="44174" xr:uid="{00000000-0005-0000-0000-0000843D0000}"/>
    <cellStyle name="Normal 15 2 4 5" xfId="30111" xr:uid="{00000000-0005-0000-0000-0000853D0000}"/>
    <cellStyle name="Normal 15 2 5" xfId="2319" xr:uid="{00000000-0005-0000-0000-0000863D0000}"/>
    <cellStyle name="Normal 15 2 5 2" xfId="11684" xr:uid="{00000000-0005-0000-0000-0000873D0000}"/>
    <cellStyle name="Normal 15 2 5 2 2" xfId="37239" xr:uid="{00000000-0005-0000-0000-0000883D0000}"/>
    <cellStyle name="Normal 15 2 5 3" xfId="21688" xr:uid="{00000000-0005-0000-0000-0000893D0000}"/>
    <cellStyle name="Normal 15 2 5 3 2" xfId="47241" xr:uid="{00000000-0005-0000-0000-00008A3D0000}"/>
    <cellStyle name="Normal 15 2 5 4" xfId="28171" xr:uid="{00000000-0005-0000-0000-00008B3D0000}"/>
    <cellStyle name="Normal 15 2 6" xfId="5995" xr:uid="{00000000-0005-0000-0000-00008C3D0000}"/>
    <cellStyle name="Normal 15 2 6 2" xfId="14822" xr:uid="{00000000-0005-0000-0000-00008D3D0000}"/>
    <cellStyle name="Normal 15 2 6 2 2" xfId="40377" xr:uid="{00000000-0005-0000-0000-00008E3D0000}"/>
    <cellStyle name="Normal 15 2 6 3" xfId="25073" xr:uid="{00000000-0005-0000-0000-00008F3D0000}"/>
    <cellStyle name="Normal 15 2 6 3 2" xfId="50626" xr:uid="{00000000-0005-0000-0000-0000903D0000}"/>
    <cellStyle name="Normal 15 2 6 4" xfId="31556" xr:uid="{00000000-0005-0000-0000-0000913D0000}"/>
    <cellStyle name="Normal 15 2 7" xfId="7439" xr:uid="{00000000-0005-0000-0000-0000923D0000}"/>
    <cellStyle name="Normal 15 2 7 2" xfId="20170" xr:uid="{00000000-0005-0000-0000-0000933D0000}"/>
    <cellStyle name="Normal 15 2 7 2 2" xfId="45723" xr:uid="{00000000-0005-0000-0000-0000943D0000}"/>
    <cellStyle name="Normal 15 2 7 3" xfId="32996" xr:uid="{00000000-0005-0000-0000-0000953D0000}"/>
    <cellStyle name="Normal 15 2 8" xfId="16681" xr:uid="{00000000-0005-0000-0000-0000963D0000}"/>
    <cellStyle name="Normal 15 2 8 2" xfId="42234" xr:uid="{00000000-0005-0000-0000-0000973D0000}"/>
    <cellStyle name="Normal 15 2 9" xfId="26653" xr:uid="{00000000-0005-0000-0000-0000983D0000}"/>
    <cellStyle name="Normal 15 2_Degree data" xfId="3925" xr:uid="{00000000-0005-0000-0000-0000993D0000}"/>
    <cellStyle name="Normal 16" xfId="62" xr:uid="{00000000-0005-0000-0000-00009A3D0000}"/>
    <cellStyle name="Normal 165" xfId="26049" xr:uid="{00000000-0005-0000-0000-00009B3D0000}"/>
    <cellStyle name="Normal 166" xfId="26050" xr:uid="{00000000-0005-0000-0000-00009C3D0000}"/>
    <cellStyle name="Normal 167" xfId="26051" xr:uid="{00000000-0005-0000-0000-00009D3D0000}"/>
    <cellStyle name="Normal 168" xfId="26048" xr:uid="{00000000-0005-0000-0000-00009E3D0000}"/>
    <cellStyle name="Normal 17" xfId="63" xr:uid="{00000000-0005-0000-0000-00009F3D0000}"/>
    <cellStyle name="Normal 18" xfId="64" xr:uid="{00000000-0005-0000-0000-0000A03D0000}"/>
    <cellStyle name="Normal 19" xfId="97" xr:uid="{00000000-0005-0000-0000-0000A13D0000}"/>
    <cellStyle name="Normal 19 2" xfId="121" xr:uid="{00000000-0005-0000-0000-0000A23D0000}"/>
    <cellStyle name="Normal 19 3" xfId="116" xr:uid="{00000000-0005-0000-0000-0000A33D0000}"/>
    <cellStyle name="Normal 192" xfId="26024" xr:uid="{00000000-0005-0000-0000-0000A43D0000}"/>
    <cellStyle name="Normal 192 2" xfId="51577" xr:uid="{00000000-0005-0000-0000-0000A53D0000}"/>
    <cellStyle name="Normal 193" xfId="26025" xr:uid="{00000000-0005-0000-0000-0000A63D0000}"/>
    <cellStyle name="Normal 193 2" xfId="51578" xr:uid="{00000000-0005-0000-0000-0000A73D0000}"/>
    <cellStyle name="Normal 194" xfId="26026" xr:uid="{00000000-0005-0000-0000-0000A83D0000}"/>
    <cellStyle name="Normal 194 2" xfId="26035" xr:uid="{00000000-0005-0000-0000-0000A93D0000}"/>
    <cellStyle name="Normal 194 2 2" xfId="51588" xr:uid="{00000000-0005-0000-0000-0000AA3D0000}"/>
    <cellStyle name="Normal 194 3" xfId="51579" xr:uid="{00000000-0005-0000-0000-0000AB3D0000}"/>
    <cellStyle name="Normal 195" xfId="26027" xr:uid="{00000000-0005-0000-0000-0000AC3D0000}"/>
    <cellStyle name="Normal 195 2" xfId="51580" xr:uid="{00000000-0005-0000-0000-0000AD3D0000}"/>
    <cellStyle name="Normal 196" xfId="26028" xr:uid="{00000000-0005-0000-0000-0000AE3D0000}"/>
    <cellStyle name="Normal 196 2" xfId="51581" xr:uid="{00000000-0005-0000-0000-0000AF3D0000}"/>
    <cellStyle name="Normal 197" xfId="26029" xr:uid="{00000000-0005-0000-0000-0000B03D0000}"/>
    <cellStyle name="Normal 197 2" xfId="51582" xr:uid="{00000000-0005-0000-0000-0000B13D0000}"/>
    <cellStyle name="Normal 198" xfId="26030" xr:uid="{00000000-0005-0000-0000-0000B23D0000}"/>
    <cellStyle name="Normal 198 2" xfId="51583" xr:uid="{00000000-0005-0000-0000-0000B33D0000}"/>
    <cellStyle name="Normal 2" xfId="5" xr:uid="{00000000-0005-0000-0000-0000B43D0000}"/>
    <cellStyle name="Normal 2 2" xfId="25" xr:uid="{00000000-0005-0000-0000-0000B53D0000}"/>
    <cellStyle name="Normal 2 2 2" xfId="47" xr:uid="{00000000-0005-0000-0000-0000B63D0000}"/>
    <cellStyle name="Normal 2 3" xfId="46" xr:uid="{00000000-0005-0000-0000-0000B73D0000}"/>
    <cellStyle name="Normal 2 3 2" xfId="48" xr:uid="{00000000-0005-0000-0000-0000B83D0000}"/>
    <cellStyle name="Normal 2 4" xfId="58" xr:uid="{00000000-0005-0000-0000-0000B93D0000}"/>
    <cellStyle name="Normal 2 4 2" xfId="286" xr:uid="{00000000-0005-0000-0000-0000BA3D0000}"/>
    <cellStyle name="Normal 2 5" xfId="49" xr:uid="{00000000-0005-0000-0000-0000BB3D0000}"/>
    <cellStyle name="Normal 2 5 10" xfId="298" xr:uid="{00000000-0005-0000-0000-0000BC3D0000}"/>
    <cellStyle name="Normal 2 5 10 10" xfId="26227" xr:uid="{00000000-0005-0000-0000-0000BD3D0000}"/>
    <cellStyle name="Normal 2 5 10 2" xfId="726" xr:uid="{00000000-0005-0000-0000-0000BE3D0000}"/>
    <cellStyle name="Normal 2 5 10 2 2" xfId="3212" xr:uid="{00000000-0005-0000-0000-0000BF3D0000}"/>
    <cellStyle name="Normal 2 5 10 2 2 2" xfId="12354" xr:uid="{00000000-0005-0000-0000-0000C03D0000}"/>
    <cellStyle name="Normal 2 5 10 2 2 2 2" xfId="22573" xr:uid="{00000000-0005-0000-0000-0000C13D0000}"/>
    <cellStyle name="Normal 2 5 10 2 2 2 2 2" xfId="48126" xr:uid="{00000000-0005-0000-0000-0000C23D0000}"/>
    <cellStyle name="Normal 2 5 10 2 2 2 3" xfId="37909" xr:uid="{00000000-0005-0000-0000-0000C33D0000}"/>
    <cellStyle name="Normal 2 5 10 2 2 3" xfId="8776" xr:uid="{00000000-0005-0000-0000-0000C43D0000}"/>
    <cellStyle name="Normal 2 5 10 2 2 3 2" xfId="34333" xr:uid="{00000000-0005-0000-0000-0000C53D0000}"/>
    <cellStyle name="Normal 2 5 10 2 2 4" xfId="17566" xr:uid="{00000000-0005-0000-0000-0000C63D0000}"/>
    <cellStyle name="Normal 2 5 10 2 2 4 2" xfId="43119" xr:uid="{00000000-0005-0000-0000-0000C73D0000}"/>
    <cellStyle name="Normal 2 5 10 2 2 5" xfId="29056" xr:uid="{00000000-0005-0000-0000-0000C83D0000}"/>
    <cellStyle name="Normal 2 5 10 2 3" xfId="4541" xr:uid="{00000000-0005-0000-0000-0000C93D0000}"/>
    <cellStyle name="Normal 2 5 10 2 3 2" xfId="13379" xr:uid="{00000000-0005-0000-0000-0000CA3D0000}"/>
    <cellStyle name="Normal 2 5 10 2 3 2 2" xfId="23630" xr:uid="{00000000-0005-0000-0000-0000CB3D0000}"/>
    <cellStyle name="Normal 2 5 10 2 3 2 2 2" xfId="49183" xr:uid="{00000000-0005-0000-0000-0000CC3D0000}"/>
    <cellStyle name="Normal 2 5 10 2 3 2 3" xfId="38934" xr:uid="{00000000-0005-0000-0000-0000CD3D0000}"/>
    <cellStyle name="Normal 2 5 10 2 3 3" xfId="9800" xr:uid="{00000000-0005-0000-0000-0000CE3D0000}"/>
    <cellStyle name="Normal 2 5 10 2 3 3 2" xfId="35357" xr:uid="{00000000-0005-0000-0000-0000CF3D0000}"/>
    <cellStyle name="Normal 2 5 10 2 3 4" xfId="18623" xr:uid="{00000000-0005-0000-0000-0000D03D0000}"/>
    <cellStyle name="Normal 2 5 10 2 3 4 2" xfId="44176" xr:uid="{00000000-0005-0000-0000-0000D13D0000}"/>
    <cellStyle name="Normal 2 5 10 2 3 5" xfId="30113" xr:uid="{00000000-0005-0000-0000-0000D23D0000}"/>
    <cellStyle name="Normal 2 5 10 2 4" xfId="2321" xr:uid="{00000000-0005-0000-0000-0000D33D0000}"/>
    <cellStyle name="Normal 2 5 10 2 4 2" xfId="11686" xr:uid="{00000000-0005-0000-0000-0000D43D0000}"/>
    <cellStyle name="Normal 2 5 10 2 4 2 2" xfId="37241" xr:uid="{00000000-0005-0000-0000-0000D53D0000}"/>
    <cellStyle name="Normal 2 5 10 2 4 3" xfId="21690" xr:uid="{00000000-0005-0000-0000-0000D63D0000}"/>
    <cellStyle name="Normal 2 5 10 2 4 3 2" xfId="47243" xr:uid="{00000000-0005-0000-0000-0000D73D0000}"/>
    <cellStyle name="Normal 2 5 10 2 4 4" xfId="28173" xr:uid="{00000000-0005-0000-0000-0000D83D0000}"/>
    <cellStyle name="Normal 2 5 10 2 5" xfId="5997" xr:uid="{00000000-0005-0000-0000-0000D93D0000}"/>
    <cellStyle name="Normal 2 5 10 2 5 2" xfId="14824" xr:uid="{00000000-0005-0000-0000-0000DA3D0000}"/>
    <cellStyle name="Normal 2 5 10 2 5 2 2" xfId="40379" xr:uid="{00000000-0005-0000-0000-0000DB3D0000}"/>
    <cellStyle name="Normal 2 5 10 2 5 3" xfId="25075" xr:uid="{00000000-0005-0000-0000-0000DC3D0000}"/>
    <cellStyle name="Normal 2 5 10 2 5 3 2" xfId="50628" xr:uid="{00000000-0005-0000-0000-0000DD3D0000}"/>
    <cellStyle name="Normal 2 5 10 2 5 4" xfId="31558" xr:uid="{00000000-0005-0000-0000-0000DE3D0000}"/>
    <cellStyle name="Normal 2 5 10 2 6" xfId="7441" xr:uid="{00000000-0005-0000-0000-0000DF3D0000}"/>
    <cellStyle name="Normal 2 5 10 2 6 2" xfId="20172" xr:uid="{00000000-0005-0000-0000-0000E03D0000}"/>
    <cellStyle name="Normal 2 5 10 2 6 2 2" xfId="45725" xr:uid="{00000000-0005-0000-0000-0000E13D0000}"/>
    <cellStyle name="Normal 2 5 10 2 6 3" xfId="32998" xr:uid="{00000000-0005-0000-0000-0000E23D0000}"/>
    <cellStyle name="Normal 2 5 10 2 7" xfId="16683" xr:uid="{00000000-0005-0000-0000-0000E33D0000}"/>
    <cellStyle name="Normal 2 5 10 2 7 2" xfId="42236" xr:uid="{00000000-0005-0000-0000-0000E43D0000}"/>
    <cellStyle name="Normal 2 5 10 2 8" xfId="26655" xr:uid="{00000000-0005-0000-0000-0000E53D0000}"/>
    <cellStyle name="Normal 2 5 10 3" xfId="1070" xr:uid="{00000000-0005-0000-0000-0000E63D0000}"/>
    <cellStyle name="Normal 2 5 10 3 2" xfId="3499" xr:uid="{00000000-0005-0000-0000-0000E73D0000}"/>
    <cellStyle name="Normal 2 5 10 3 2 2" xfId="12635" xr:uid="{00000000-0005-0000-0000-0000E83D0000}"/>
    <cellStyle name="Normal 2 5 10 3 2 2 2" xfId="22854" xr:uid="{00000000-0005-0000-0000-0000E93D0000}"/>
    <cellStyle name="Normal 2 5 10 3 2 2 2 2" xfId="48407" xr:uid="{00000000-0005-0000-0000-0000EA3D0000}"/>
    <cellStyle name="Normal 2 5 10 3 2 2 3" xfId="38190" xr:uid="{00000000-0005-0000-0000-0000EB3D0000}"/>
    <cellStyle name="Normal 2 5 10 3 2 3" xfId="9057" xr:uid="{00000000-0005-0000-0000-0000EC3D0000}"/>
    <cellStyle name="Normal 2 5 10 3 2 3 2" xfId="34614" xr:uid="{00000000-0005-0000-0000-0000ED3D0000}"/>
    <cellStyle name="Normal 2 5 10 3 2 4" xfId="17847" xr:uid="{00000000-0005-0000-0000-0000EE3D0000}"/>
    <cellStyle name="Normal 2 5 10 3 2 4 2" xfId="43400" xr:uid="{00000000-0005-0000-0000-0000EF3D0000}"/>
    <cellStyle name="Normal 2 5 10 3 2 5" xfId="29337" xr:uid="{00000000-0005-0000-0000-0000F03D0000}"/>
    <cellStyle name="Normal 2 5 10 3 3" xfId="4890" xr:uid="{00000000-0005-0000-0000-0000F13D0000}"/>
    <cellStyle name="Normal 2 5 10 3 3 2" xfId="13727" xr:uid="{00000000-0005-0000-0000-0000F23D0000}"/>
    <cellStyle name="Normal 2 5 10 3 3 2 2" xfId="23978" xr:uid="{00000000-0005-0000-0000-0000F33D0000}"/>
    <cellStyle name="Normal 2 5 10 3 3 2 2 2" xfId="49531" xr:uid="{00000000-0005-0000-0000-0000F43D0000}"/>
    <cellStyle name="Normal 2 5 10 3 3 2 3" xfId="39282" xr:uid="{00000000-0005-0000-0000-0000F53D0000}"/>
    <cellStyle name="Normal 2 5 10 3 3 3" xfId="10148" xr:uid="{00000000-0005-0000-0000-0000F63D0000}"/>
    <cellStyle name="Normal 2 5 10 3 3 3 2" xfId="35705" xr:uid="{00000000-0005-0000-0000-0000F73D0000}"/>
    <cellStyle name="Normal 2 5 10 3 3 4" xfId="18971" xr:uid="{00000000-0005-0000-0000-0000F83D0000}"/>
    <cellStyle name="Normal 2 5 10 3 3 4 2" xfId="44524" xr:uid="{00000000-0005-0000-0000-0000F93D0000}"/>
    <cellStyle name="Normal 2 5 10 3 3 5" xfId="30461" xr:uid="{00000000-0005-0000-0000-0000FA3D0000}"/>
    <cellStyle name="Normal 2 5 10 3 4" xfId="2573" xr:uid="{00000000-0005-0000-0000-0000FB3D0000}"/>
    <cellStyle name="Normal 2 5 10 3 4 2" xfId="11937" xr:uid="{00000000-0005-0000-0000-0000FC3D0000}"/>
    <cellStyle name="Normal 2 5 10 3 4 2 2" xfId="37492" xr:uid="{00000000-0005-0000-0000-0000FD3D0000}"/>
    <cellStyle name="Normal 2 5 10 3 4 3" xfId="21941" xr:uid="{00000000-0005-0000-0000-0000FE3D0000}"/>
    <cellStyle name="Normal 2 5 10 3 4 3 2" xfId="47494" xr:uid="{00000000-0005-0000-0000-0000FF3D0000}"/>
    <cellStyle name="Normal 2 5 10 3 4 4" xfId="28424" xr:uid="{00000000-0005-0000-0000-0000003E0000}"/>
    <cellStyle name="Normal 2 5 10 3 5" xfId="6345" xr:uid="{00000000-0005-0000-0000-0000013E0000}"/>
    <cellStyle name="Normal 2 5 10 3 5 2" xfId="15172" xr:uid="{00000000-0005-0000-0000-0000023E0000}"/>
    <cellStyle name="Normal 2 5 10 3 5 2 2" xfId="40727" xr:uid="{00000000-0005-0000-0000-0000033E0000}"/>
    <cellStyle name="Normal 2 5 10 3 5 3" xfId="25423" xr:uid="{00000000-0005-0000-0000-0000043E0000}"/>
    <cellStyle name="Normal 2 5 10 3 5 3 2" xfId="50976" xr:uid="{00000000-0005-0000-0000-0000053E0000}"/>
    <cellStyle name="Normal 2 5 10 3 5 4" xfId="31906" xr:uid="{00000000-0005-0000-0000-0000063E0000}"/>
    <cellStyle name="Normal 2 5 10 3 6" xfId="7791" xr:uid="{00000000-0005-0000-0000-0000073E0000}"/>
    <cellStyle name="Normal 2 5 10 3 6 2" xfId="20453" xr:uid="{00000000-0005-0000-0000-0000083E0000}"/>
    <cellStyle name="Normal 2 5 10 3 6 2 2" xfId="46006" xr:uid="{00000000-0005-0000-0000-0000093E0000}"/>
    <cellStyle name="Normal 2 5 10 3 6 3" xfId="33348" xr:uid="{00000000-0005-0000-0000-00000A3E0000}"/>
    <cellStyle name="Normal 2 5 10 3 7" xfId="16934" xr:uid="{00000000-0005-0000-0000-00000B3E0000}"/>
    <cellStyle name="Normal 2 5 10 3 7 2" xfId="42487" xr:uid="{00000000-0005-0000-0000-00000C3E0000}"/>
    <cellStyle name="Normal 2 5 10 3 8" xfId="26936" xr:uid="{00000000-0005-0000-0000-00000D3E0000}"/>
    <cellStyle name="Normal 2 5 10 4" xfId="2784" xr:uid="{00000000-0005-0000-0000-00000E3E0000}"/>
    <cellStyle name="Normal 2 5 10 4 2" xfId="5162" xr:uid="{00000000-0005-0000-0000-00000F3E0000}"/>
    <cellStyle name="Normal 2 5 10 4 2 2" xfId="13999" xr:uid="{00000000-0005-0000-0000-0000103E0000}"/>
    <cellStyle name="Normal 2 5 10 4 2 2 2" xfId="24250" xr:uid="{00000000-0005-0000-0000-0000113E0000}"/>
    <cellStyle name="Normal 2 5 10 4 2 2 2 2" xfId="49803" xr:uid="{00000000-0005-0000-0000-0000123E0000}"/>
    <cellStyle name="Normal 2 5 10 4 2 2 3" xfId="39554" xr:uid="{00000000-0005-0000-0000-0000133E0000}"/>
    <cellStyle name="Normal 2 5 10 4 2 3" xfId="10420" xr:uid="{00000000-0005-0000-0000-0000143E0000}"/>
    <cellStyle name="Normal 2 5 10 4 2 3 2" xfId="35977" xr:uid="{00000000-0005-0000-0000-0000153E0000}"/>
    <cellStyle name="Normal 2 5 10 4 2 4" xfId="19243" xr:uid="{00000000-0005-0000-0000-0000163E0000}"/>
    <cellStyle name="Normal 2 5 10 4 2 4 2" xfId="44796" xr:uid="{00000000-0005-0000-0000-0000173E0000}"/>
    <cellStyle name="Normal 2 5 10 4 2 5" xfId="30733" xr:uid="{00000000-0005-0000-0000-0000183E0000}"/>
    <cellStyle name="Normal 2 5 10 4 3" xfId="6617" xr:uid="{00000000-0005-0000-0000-0000193E0000}"/>
    <cellStyle name="Normal 2 5 10 4 3 2" xfId="15444" xr:uid="{00000000-0005-0000-0000-00001A3E0000}"/>
    <cellStyle name="Normal 2 5 10 4 3 2 2" xfId="40999" xr:uid="{00000000-0005-0000-0000-00001B3E0000}"/>
    <cellStyle name="Normal 2 5 10 4 3 3" xfId="25695" xr:uid="{00000000-0005-0000-0000-00001C3E0000}"/>
    <cellStyle name="Normal 2 5 10 4 3 3 2" xfId="51248" xr:uid="{00000000-0005-0000-0000-00001D3E0000}"/>
    <cellStyle name="Normal 2 5 10 4 3 4" xfId="32178" xr:uid="{00000000-0005-0000-0000-00001E3E0000}"/>
    <cellStyle name="Normal 2 5 10 4 4" xfId="8063" xr:uid="{00000000-0005-0000-0000-00001F3E0000}"/>
    <cellStyle name="Normal 2 5 10 4 4 2" xfId="22145" xr:uid="{00000000-0005-0000-0000-0000203E0000}"/>
    <cellStyle name="Normal 2 5 10 4 4 2 2" xfId="47698" xr:uid="{00000000-0005-0000-0000-0000213E0000}"/>
    <cellStyle name="Normal 2 5 10 4 4 3" xfId="33620" xr:uid="{00000000-0005-0000-0000-0000223E0000}"/>
    <cellStyle name="Normal 2 5 10 4 5" xfId="17138" xr:uid="{00000000-0005-0000-0000-0000233E0000}"/>
    <cellStyle name="Normal 2 5 10 4 5 2" xfId="42691" xr:uid="{00000000-0005-0000-0000-0000243E0000}"/>
    <cellStyle name="Normal 2 5 10 4 6" xfId="28628" xr:uid="{00000000-0005-0000-0000-0000253E0000}"/>
    <cellStyle name="Normal 2 5 10 5" xfId="4116" xr:uid="{00000000-0005-0000-0000-0000263E0000}"/>
    <cellStyle name="Normal 2 5 10 5 2" xfId="12954" xr:uid="{00000000-0005-0000-0000-0000273E0000}"/>
    <cellStyle name="Normal 2 5 10 5 2 2" xfId="23205" xr:uid="{00000000-0005-0000-0000-0000283E0000}"/>
    <cellStyle name="Normal 2 5 10 5 2 2 2" xfId="48758" xr:uid="{00000000-0005-0000-0000-0000293E0000}"/>
    <cellStyle name="Normal 2 5 10 5 2 3" xfId="38509" xr:uid="{00000000-0005-0000-0000-00002A3E0000}"/>
    <cellStyle name="Normal 2 5 10 5 3" xfId="9375" xr:uid="{00000000-0005-0000-0000-00002B3E0000}"/>
    <cellStyle name="Normal 2 5 10 5 3 2" xfId="34932" xr:uid="{00000000-0005-0000-0000-00002C3E0000}"/>
    <cellStyle name="Normal 2 5 10 5 4" xfId="18198" xr:uid="{00000000-0005-0000-0000-00002D3E0000}"/>
    <cellStyle name="Normal 2 5 10 5 4 2" xfId="43751" xr:uid="{00000000-0005-0000-0000-00002E3E0000}"/>
    <cellStyle name="Normal 2 5 10 5 5" xfId="29688" xr:uid="{00000000-0005-0000-0000-00002F3E0000}"/>
    <cellStyle name="Normal 2 5 10 6" xfId="1893" xr:uid="{00000000-0005-0000-0000-0000303E0000}"/>
    <cellStyle name="Normal 2 5 10 6 2" xfId="11258" xr:uid="{00000000-0005-0000-0000-0000313E0000}"/>
    <cellStyle name="Normal 2 5 10 6 2 2" xfId="36813" xr:uid="{00000000-0005-0000-0000-0000323E0000}"/>
    <cellStyle name="Normal 2 5 10 6 3" xfId="21262" xr:uid="{00000000-0005-0000-0000-0000333E0000}"/>
    <cellStyle name="Normal 2 5 10 6 3 2" xfId="46815" xr:uid="{00000000-0005-0000-0000-0000343E0000}"/>
    <cellStyle name="Normal 2 5 10 6 4" xfId="27745" xr:uid="{00000000-0005-0000-0000-0000353E0000}"/>
    <cellStyle name="Normal 2 5 10 7" xfId="5574" xr:uid="{00000000-0005-0000-0000-0000363E0000}"/>
    <cellStyle name="Normal 2 5 10 7 2" xfId="14401" xr:uid="{00000000-0005-0000-0000-0000373E0000}"/>
    <cellStyle name="Normal 2 5 10 7 2 2" xfId="39956" xr:uid="{00000000-0005-0000-0000-0000383E0000}"/>
    <cellStyle name="Normal 2 5 10 7 3" xfId="24652" xr:uid="{00000000-0005-0000-0000-0000393E0000}"/>
    <cellStyle name="Normal 2 5 10 7 3 2" xfId="50205" xr:uid="{00000000-0005-0000-0000-00003A3E0000}"/>
    <cellStyle name="Normal 2 5 10 7 4" xfId="31135" xr:uid="{00000000-0005-0000-0000-00003B3E0000}"/>
    <cellStyle name="Normal 2 5 10 8" xfId="7018" xr:uid="{00000000-0005-0000-0000-00003C3E0000}"/>
    <cellStyle name="Normal 2 5 10 8 2" xfId="19744" xr:uid="{00000000-0005-0000-0000-00003D3E0000}"/>
    <cellStyle name="Normal 2 5 10 8 2 2" xfId="45297" xr:uid="{00000000-0005-0000-0000-00003E3E0000}"/>
    <cellStyle name="Normal 2 5 10 8 3" xfId="32575" xr:uid="{00000000-0005-0000-0000-00003F3E0000}"/>
    <cellStyle name="Normal 2 5 10 9" xfId="16255" xr:uid="{00000000-0005-0000-0000-0000403E0000}"/>
    <cellStyle name="Normal 2 5 10 9 2" xfId="41808" xr:uid="{00000000-0005-0000-0000-0000413E0000}"/>
    <cellStyle name="Normal 2 5 10_Degree data" xfId="3922" xr:uid="{00000000-0005-0000-0000-0000423E0000}"/>
    <cellStyle name="Normal 2 5 11" xfId="725" xr:uid="{00000000-0005-0000-0000-0000433E0000}"/>
    <cellStyle name="Normal 2 5 11 2" xfId="3211" xr:uid="{00000000-0005-0000-0000-0000443E0000}"/>
    <cellStyle name="Normal 2 5 11 2 2" xfId="12353" xr:uid="{00000000-0005-0000-0000-0000453E0000}"/>
    <cellStyle name="Normal 2 5 11 2 2 2" xfId="22572" xr:uid="{00000000-0005-0000-0000-0000463E0000}"/>
    <cellStyle name="Normal 2 5 11 2 2 2 2" xfId="48125" xr:uid="{00000000-0005-0000-0000-0000473E0000}"/>
    <cellStyle name="Normal 2 5 11 2 2 3" xfId="37908" xr:uid="{00000000-0005-0000-0000-0000483E0000}"/>
    <cellStyle name="Normal 2 5 11 2 3" xfId="8775" xr:uid="{00000000-0005-0000-0000-0000493E0000}"/>
    <cellStyle name="Normal 2 5 11 2 3 2" xfId="34332" xr:uid="{00000000-0005-0000-0000-00004A3E0000}"/>
    <cellStyle name="Normal 2 5 11 2 4" xfId="17565" xr:uid="{00000000-0005-0000-0000-00004B3E0000}"/>
    <cellStyle name="Normal 2 5 11 2 4 2" xfId="43118" xr:uid="{00000000-0005-0000-0000-00004C3E0000}"/>
    <cellStyle name="Normal 2 5 11 2 5" xfId="29055" xr:uid="{00000000-0005-0000-0000-00004D3E0000}"/>
    <cellStyle name="Normal 2 5 11 3" xfId="4540" xr:uid="{00000000-0005-0000-0000-00004E3E0000}"/>
    <cellStyle name="Normal 2 5 11 3 2" xfId="13378" xr:uid="{00000000-0005-0000-0000-00004F3E0000}"/>
    <cellStyle name="Normal 2 5 11 3 2 2" xfId="23629" xr:uid="{00000000-0005-0000-0000-0000503E0000}"/>
    <cellStyle name="Normal 2 5 11 3 2 2 2" xfId="49182" xr:uid="{00000000-0005-0000-0000-0000513E0000}"/>
    <cellStyle name="Normal 2 5 11 3 2 3" xfId="38933" xr:uid="{00000000-0005-0000-0000-0000523E0000}"/>
    <cellStyle name="Normal 2 5 11 3 3" xfId="9799" xr:uid="{00000000-0005-0000-0000-0000533E0000}"/>
    <cellStyle name="Normal 2 5 11 3 3 2" xfId="35356" xr:uid="{00000000-0005-0000-0000-0000543E0000}"/>
    <cellStyle name="Normal 2 5 11 3 4" xfId="18622" xr:uid="{00000000-0005-0000-0000-0000553E0000}"/>
    <cellStyle name="Normal 2 5 11 3 4 2" xfId="44175" xr:uid="{00000000-0005-0000-0000-0000563E0000}"/>
    <cellStyle name="Normal 2 5 11 3 5" xfId="30112" xr:uid="{00000000-0005-0000-0000-0000573E0000}"/>
    <cellStyle name="Normal 2 5 11 4" xfId="2320" xr:uid="{00000000-0005-0000-0000-0000583E0000}"/>
    <cellStyle name="Normal 2 5 11 4 2" xfId="11685" xr:uid="{00000000-0005-0000-0000-0000593E0000}"/>
    <cellStyle name="Normal 2 5 11 4 2 2" xfId="37240" xr:uid="{00000000-0005-0000-0000-00005A3E0000}"/>
    <cellStyle name="Normal 2 5 11 4 3" xfId="21689" xr:uid="{00000000-0005-0000-0000-00005B3E0000}"/>
    <cellStyle name="Normal 2 5 11 4 3 2" xfId="47242" xr:uid="{00000000-0005-0000-0000-00005C3E0000}"/>
    <cellStyle name="Normal 2 5 11 4 4" xfId="28172" xr:uid="{00000000-0005-0000-0000-00005D3E0000}"/>
    <cellStyle name="Normal 2 5 11 5" xfId="5996" xr:uid="{00000000-0005-0000-0000-00005E3E0000}"/>
    <cellStyle name="Normal 2 5 11 5 2" xfId="14823" xr:uid="{00000000-0005-0000-0000-00005F3E0000}"/>
    <cellStyle name="Normal 2 5 11 5 2 2" xfId="40378" xr:uid="{00000000-0005-0000-0000-0000603E0000}"/>
    <cellStyle name="Normal 2 5 11 5 3" xfId="25074" xr:uid="{00000000-0005-0000-0000-0000613E0000}"/>
    <cellStyle name="Normal 2 5 11 5 3 2" xfId="50627" xr:uid="{00000000-0005-0000-0000-0000623E0000}"/>
    <cellStyle name="Normal 2 5 11 5 4" xfId="31557" xr:uid="{00000000-0005-0000-0000-0000633E0000}"/>
    <cellStyle name="Normal 2 5 11 6" xfId="7440" xr:uid="{00000000-0005-0000-0000-0000643E0000}"/>
    <cellStyle name="Normal 2 5 11 6 2" xfId="20171" xr:uid="{00000000-0005-0000-0000-0000653E0000}"/>
    <cellStyle name="Normal 2 5 11 6 2 2" xfId="45724" xr:uid="{00000000-0005-0000-0000-0000663E0000}"/>
    <cellStyle name="Normal 2 5 11 6 3" xfId="32997" xr:uid="{00000000-0005-0000-0000-0000673E0000}"/>
    <cellStyle name="Normal 2 5 11 7" xfId="16682" xr:uid="{00000000-0005-0000-0000-0000683E0000}"/>
    <cellStyle name="Normal 2 5 11 7 2" xfId="42235" xr:uid="{00000000-0005-0000-0000-0000693E0000}"/>
    <cellStyle name="Normal 2 5 11 8" xfId="26654" xr:uid="{00000000-0005-0000-0000-00006A3E0000}"/>
    <cellStyle name="Normal 2 5 12" xfId="1038" xr:uid="{00000000-0005-0000-0000-00006B3E0000}"/>
    <cellStyle name="Normal 2 5 12 2" xfId="3467" xr:uid="{00000000-0005-0000-0000-00006C3E0000}"/>
    <cellStyle name="Normal 2 5 12 2 2" xfId="12603" xr:uid="{00000000-0005-0000-0000-00006D3E0000}"/>
    <cellStyle name="Normal 2 5 12 2 2 2" xfId="22822" xr:uid="{00000000-0005-0000-0000-00006E3E0000}"/>
    <cellStyle name="Normal 2 5 12 2 2 2 2" xfId="48375" xr:uid="{00000000-0005-0000-0000-00006F3E0000}"/>
    <cellStyle name="Normal 2 5 12 2 2 3" xfId="38158" xr:uid="{00000000-0005-0000-0000-0000703E0000}"/>
    <cellStyle name="Normal 2 5 12 2 3" xfId="9025" xr:uid="{00000000-0005-0000-0000-0000713E0000}"/>
    <cellStyle name="Normal 2 5 12 2 3 2" xfId="34582" xr:uid="{00000000-0005-0000-0000-0000723E0000}"/>
    <cellStyle name="Normal 2 5 12 2 4" xfId="17815" xr:uid="{00000000-0005-0000-0000-0000733E0000}"/>
    <cellStyle name="Normal 2 5 12 2 4 2" xfId="43368" xr:uid="{00000000-0005-0000-0000-0000743E0000}"/>
    <cellStyle name="Normal 2 5 12 2 5" xfId="29305" xr:uid="{00000000-0005-0000-0000-0000753E0000}"/>
    <cellStyle name="Normal 2 5 12 3" xfId="4889" xr:uid="{00000000-0005-0000-0000-0000763E0000}"/>
    <cellStyle name="Normal 2 5 12 3 2" xfId="13726" xr:uid="{00000000-0005-0000-0000-0000773E0000}"/>
    <cellStyle name="Normal 2 5 12 3 2 2" xfId="23977" xr:uid="{00000000-0005-0000-0000-0000783E0000}"/>
    <cellStyle name="Normal 2 5 12 3 2 2 2" xfId="49530" xr:uid="{00000000-0005-0000-0000-0000793E0000}"/>
    <cellStyle name="Normal 2 5 12 3 2 3" xfId="39281" xr:uid="{00000000-0005-0000-0000-00007A3E0000}"/>
    <cellStyle name="Normal 2 5 12 3 3" xfId="10147" xr:uid="{00000000-0005-0000-0000-00007B3E0000}"/>
    <cellStyle name="Normal 2 5 12 3 3 2" xfId="35704" xr:uid="{00000000-0005-0000-0000-00007C3E0000}"/>
    <cellStyle name="Normal 2 5 12 3 4" xfId="18970" xr:uid="{00000000-0005-0000-0000-00007D3E0000}"/>
    <cellStyle name="Normal 2 5 12 3 4 2" xfId="44523" xr:uid="{00000000-0005-0000-0000-00007E3E0000}"/>
    <cellStyle name="Normal 2 5 12 3 5" xfId="30460" xr:uid="{00000000-0005-0000-0000-00007F3E0000}"/>
    <cellStyle name="Normal 2 5 12 4" xfId="1710" xr:uid="{00000000-0005-0000-0000-0000803E0000}"/>
    <cellStyle name="Normal 2 5 12 4 2" xfId="11087" xr:uid="{00000000-0005-0000-0000-0000813E0000}"/>
    <cellStyle name="Normal 2 5 12 4 2 2" xfId="36642" xr:uid="{00000000-0005-0000-0000-0000823E0000}"/>
    <cellStyle name="Normal 2 5 12 4 3" xfId="21091" xr:uid="{00000000-0005-0000-0000-0000833E0000}"/>
    <cellStyle name="Normal 2 5 12 4 3 2" xfId="46644" xr:uid="{00000000-0005-0000-0000-0000843E0000}"/>
    <cellStyle name="Normal 2 5 12 4 4" xfId="27574" xr:uid="{00000000-0005-0000-0000-0000853E0000}"/>
    <cellStyle name="Normal 2 5 12 5" xfId="6344" xr:uid="{00000000-0005-0000-0000-0000863E0000}"/>
    <cellStyle name="Normal 2 5 12 5 2" xfId="15171" xr:uid="{00000000-0005-0000-0000-0000873E0000}"/>
    <cellStyle name="Normal 2 5 12 5 2 2" xfId="40726" xr:uid="{00000000-0005-0000-0000-0000883E0000}"/>
    <cellStyle name="Normal 2 5 12 5 3" xfId="25422" xr:uid="{00000000-0005-0000-0000-0000893E0000}"/>
    <cellStyle name="Normal 2 5 12 5 3 2" xfId="50975" xr:uid="{00000000-0005-0000-0000-00008A3E0000}"/>
    <cellStyle name="Normal 2 5 12 5 4" xfId="31905" xr:uid="{00000000-0005-0000-0000-00008B3E0000}"/>
    <cellStyle name="Normal 2 5 12 6" xfId="7790" xr:uid="{00000000-0005-0000-0000-00008C3E0000}"/>
    <cellStyle name="Normal 2 5 12 6 2" xfId="20421" xr:uid="{00000000-0005-0000-0000-00008D3E0000}"/>
    <cellStyle name="Normal 2 5 12 6 2 2" xfId="45974" xr:uid="{00000000-0005-0000-0000-00008E3E0000}"/>
    <cellStyle name="Normal 2 5 12 6 3" xfId="33347" xr:uid="{00000000-0005-0000-0000-00008F3E0000}"/>
    <cellStyle name="Normal 2 5 12 7" xfId="16084" xr:uid="{00000000-0005-0000-0000-0000903E0000}"/>
    <cellStyle name="Normal 2 5 12 7 2" xfId="41637" xr:uid="{00000000-0005-0000-0000-0000913E0000}"/>
    <cellStyle name="Normal 2 5 12 8" xfId="26904" xr:uid="{00000000-0005-0000-0000-0000923E0000}"/>
    <cellStyle name="Normal 2 5 13" xfId="2610" xr:uid="{00000000-0005-0000-0000-0000933E0000}"/>
    <cellStyle name="Normal 2 5 13 2" xfId="5130" xr:uid="{00000000-0005-0000-0000-0000943E0000}"/>
    <cellStyle name="Normal 2 5 13 2 2" xfId="13967" xr:uid="{00000000-0005-0000-0000-0000953E0000}"/>
    <cellStyle name="Normal 2 5 13 2 2 2" xfId="24218" xr:uid="{00000000-0005-0000-0000-0000963E0000}"/>
    <cellStyle name="Normal 2 5 13 2 2 2 2" xfId="49771" xr:uid="{00000000-0005-0000-0000-0000973E0000}"/>
    <cellStyle name="Normal 2 5 13 2 2 3" xfId="39522" xr:uid="{00000000-0005-0000-0000-0000983E0000}"/>
    <cellStyle name="Normal 2 5 13 2 3" xfId="10388" xr:uid="{00000000-0005-0000-0000-0000993E0000}"/>
    <cellStyle name="Normal 2 5 13 2 3 2" xfId="35945" xr:uid="{00000000-0005-0000-0000-00009A3E0000}"/>
    <cellStyle name="Normal 2 5 13 2 4" xfId="19211" xr:uid="{00000000-0005-0000-0000-00009B3E0000}"/>
    <cellStyle name="Normal 2 5 13 2 4 2" xfId="44764" xr:uid="{00000000-0005-0000-0000-00009C3E0000}"/>
    <cellStyle name="Normal 2 5 13 2 5" xfId="30701" xr:uid="{00000000-0005-0000-0000-00009D3E0000}"/>
    <cellStyle name="Normal 2 5 13 3" xfId="6585" xr:uid="{00000000-0005-0000-0000-00009E3E0000}"/>
    <cellStyle name="Normal 2 5 13 3 2" xfId="15412" xr:uid="{00000000-0005-0000-0000-00009F3E0000}"/>
    <cellStyle name="Normal 2 5 13 3 2 2" xfId="40967" xr:uid="{00000000-0005-0000-0000-0000A03E0000}"/>
    <cellStyle name="Normal 2 5 13 3 3" xfId="25663" xr:uid="{00000000-0005-0000-0000-0000A13E0000}"/>
    <cellStyle name="Normal 2 5 13 3 3 2" xfId="51216" xr:uid="{00000000-0005-0000-0000-0000A23E0000}"/>
    <cellStyle name="Normal 2 5 13 3 4" xfId="32146" xr:uid="{00000000-0005-0000-0000-0000A33E0000}"/>
    <cellStyle name="Normal 2 5 13 4" xfId="8031" xr:uid="{00000000-0005-0000-0000-0000A43E0000}"/>
    <cellStyle name="Normal 2 5 13 4 2" xfId="21974" xr:uid="{00000000-0005-0000-0000-0000A53E0000}"/>
    <cellStyle name="Normal 2 5 13 4 2 2" xfId="47527" xr:uid="{00000000-0005-0000-0000-0000A63E0000}"/>
    <cellStyle name="Normal 2 5 13 4 3" xfId="33588" xr:uid="{00000000-0005-0000-0000-0000A73E0000}"/>
    <cellStyle name="Normal 2 5 13 5" xfId="16967" xr:uid="{00000000-0005-0000-0000-0000A83E0000}"/>
    <cellStyle name="Normal 2 5 13 5 2" xfId="42520" xr:uid="{00000000-0005-0000-0000-0000A93E0000}"/>
    <cellStyle name="Normal 2 5 13 6" xfId="28457" xr:uid="{00000000-0005-0000-0000-0000AA3E0000}"/>
    <cellStyle name="Normal 2 5 14" xfId="4083" xr:uid="{00000000-0005-0000-0000-0000AB3E0000}"/>
    <cellStyle name="Normal 2 5 14 2" xfId="5542" xr:uid="{00000000-0005-0000-0000-0000AC3E0000}"/>
    <cellStyle name="Normal 2 5 14 2 2" xfId="14369" xr:uid="{00000000-0005-0000-0000-0000AD3E0000}"/>
    <cellStyle name="Normal 2 5 14 2 2 2" xfId="39924" xr:uid="{00000000-0005-0000-0000-0000AE3E0000}"/>
    <cellStyle name="Normal 2 5 14 2 3" xfId="24620" xr:uid="{00000000-0005-0000-0000-0000AF3E0000}"/>
    <cellStyle name="Normal 2 5 14 2 3 2" xfId="50173" xr:uid="{00000000-0005-0000-0000-0000B03E0000}"/>
    <cellStyle name="Normal 2 5 14 2 4" xfId="31103" xr:uid="{00000000-0005-0000-0000-0000B13E0000}"/>
    <cellStyle name="Normal 2 5 14 3" xfId="6986" xr:uid="{00000000-0005-0000-0000-0000B23E0000}"/>
    <cellStyle name="Normal 2 5 14 3 2" xfId="23172" xr:uid="{00000000-0005-0000-0000-0000B33E0000}"/>
    <cellStyle name="Normal 2 5 14 3 2 2" xfId="48725" xr:uid="{00000000-0005-0000-0000-0000B43E0000}"/>
    <cellStyle name="Normal 2 5 14 3 3" xfId="32543" xr:uid="{00000000-0005-0000-0000-0000B53E0000}"/>
    <cellStyle name="Normal 2 5 14 4" xfId="18165" xr:uid="{00000000-0005-0000-0000-0000B63E0000}"/>
    <cellStyle name="Normal 2 5 14 4 2" xfId="43718" xr:uid="{00000000-0005-0000-0000-0000B73E0000}"/>
    <cellStyle name="Normal 2 5 14 5" xfId="29655" xr:uid="{00000000-0005-0000-0000-0000B83E0000}"/>
    <cellStyle name="Normal 2 5 15" xfId="1390" xr:uid="{00000000-0005-0000-0000-0000B93E0000}"/>
    <cellStyle name="Normal 2 5 15 2" xfId="10767" xr:uid="{00000000-0005-0000-0000-0000BA3E0000}"/>
    <cellStyle name="Normal 2 5 15 2 2" xfId="36322" xr:uid="{00000000-0005-0000-0000-0000BB3E0000}"/>
    <cellStyle name="Normal 2 5 15 3" xfId="20771" xr:uid="{00000000-0005-0000-0000-0000BC3E0000}"/>
    <cellStyle name="Normal 2 5 15 3 2" xfId="46324" xr:uid="{00000000-0005-0000-0000-0000BD3E0000}"/>
    <cellStyle name="Normal 2 5 15 4" xfId="27254" xr:uid="{00000000-0005-0000-0000-0000BE3E0000}"/>
    <cellStyle name="Normal 2 5 16" xfId="5502" xr:uid="{00000000-0005-0000-0000-0000BF3E0000}"/>
    <cellStyle name="Normal 2 5 16 2" xfId="14329" xr:uid="{00000000-0005-0000-0000-0000C03E0000}"/>
    <cellStyle name="Normal 2 5 16 2 2" xfId="39884" xr:uid="{00000000-0005-0000-0000-0000C13E0000}"/>
    <cellStyle name="Normal 2 5 16 3" xfId="24580" xr:uid="{00000000-0005-0000-0000-0000C23E0000}"/>
    <cellStyle name="Normal 2 5 16 3 2" xfId="50133" xr:uid="{00000000-0005-0000-0000-0000C33E0000}"/>
    <cellStyle name="Normal 2 5 16 4" xfId="31063" xr:uid="{00000000-0005-0000-0000-0000C43E0000}"/>
    <cellStyle name="Normal 2 5 17" xfId="6941" xr:uid="{00000000-0005-0000-0000-0000C53E0000}"/>
    <cellStyle name="Normal 2 5 17 2" xfId="19574" xr:uid="{00000000-0005-0000-0000-0000C63E0000}"/>
    <cellStyle name="Normal 2 5 17 2 2" xfId="45127" xr:uid="{00000000-0005-0000-0000-0000C73E0000}"/>
    <cellStyle name="Normal 2 5 17 3" xfId="32499" xr:uid="{00000000-0005-0000-0000-0000C83E0000}"/>
    <cellStyle name="Normal 2 5 18" xfId="15764" xr:uid="{00000000-0005-0000-0000-0000C93E0000}"/>
    <cellStyle name="Normal 2 5 18 2" xfId="41317" xr:uid="{00000000-0005-0000-0000-0000CA3E0000}"/>
    <cellStyle name="Normal 2 5 19" xfId="26057" xr:uid="{00000000-0005-0000-0000-0000CB3E0000}"/>
    <cellStyle name="Normal 2 5 2" xfId="114" xr:uid="{00000000-0005-0000-0000-0000CC3E0000}"/>
    <cellStyle name="Normal 2 5 2 10" xfId="2624" xr:uid="{00000000-0005-0000-0000-0000CD3E0000}"/>
    <cellStyle name="Normal 2 5 2 10 2" xfId="5138" xr:uid="{00000000-0005-0000-0000-0000CE3E0000}"/>
    <cellStyle name="Normal 2 5 2 10 2 2" xfId="13975" xr:uid="{00000000-0005-0000-0000-0000CF3E0000}"/>
    <cellStyle name="Normal 2 5 2 10 2 2 2" xfId="24226" xr:uid="{00000000-0005-0000-0000-0000D03E0000}"/>
    <cellStyle name="Normal 2 5 2 10 2 2 2 2" xfId="49779" xr:uid="{00000000-0005-0000-0000-0000D13E0000}"/>
    <cellStyle name="Normal 2 5 2 10 2 2 3" xfId="39530" xr:uid="{00000000-0005-0000-0000-0000D23E0000}"/>
    <cellStyle name="Normal 2 5 2 10 2 3" xfId="10396" xr:uid="{00000000-0005-0000-0000-0000D33E0000}"/>
    <cellStyle name="Normal 2 5 2 10 2 3 2" xfId="35953" xr:uid="{00000000-0005-0000-0000-0000D43E0000}"/>
    <cellStyle name="Normal 2 5 2 10 2 4" xfId="19219" xr:uid="{00000000-0005-0000-0000-0000D53E0000}"/>
    <cellStyle name="Normal 2 5 2 10 2 4 2" xfId="44772" xr:uid="{00000000-0005-0000-0000-0000D63E0000}"/>
    <cellStyle name="Normal 2 5 2 10 2 5" xfId="30709" xr:uid="{00000000-0005-0000-0000-0000D73E0000}"/>
    <cellStyle name="Normal 2 5 2 10 3" xfId="6593" xr:uid="{00000000-0005-0000-0000-0000D83E0000}"/>
    <cellStyle name="Normal 2 5 2 10 3 2" xfId="15420" xr:uid="{00000000-0005-0000-0000-0000D93E0000}"/>
    <cellStyle name="Normal 2 5 2 10 3 2 2" xfId="40975" xr:uid="{00000000-0005-0000-0000-0000DA3E0000}"/>
    <cellStyle name="Normal 2 5 2 10 3 3" xfId="25671" xr:uid="{00000000-0005-0000-0000-0000DB3E0000}"/>
    <cellStyle name="Normal 2 5 2 10 3 3 2" xfId="51224" xr:uid="{00000000-0005-0000-0000-0000DC3E0000}"/>
    <cellStyle name="Normal 2 5 2 10 3 4" xfId="32154" xr:uid="{00000000-0005-0000-0000-0000DD3E0000}"/>
    <cellStyle name="Normal 2 5 2 10 4" xfId="8039" xr:uid="{00000000-0005-0000-0000-0000DE3E0000}"/>
    <cellStyle name="Normal 2 5 2 10 4 2" xfId="21987" xr:uid="{00000000-0005-0000-0000-0000DF3E0000}"/>
    <cellStyle name="Normal 2 5 2 10 4 2 2" xfId="47540" xr:uid="{00000000-0005-0000-0000-0000E03E0000}"/>
    <cellStyle name="Normal 2 5 2 10 4 3" xfId="33596" xr:uid="{00000000-0005-0000-0000-0000E13E0000}"/>
    <cellStyle name="Normal 2 5 2 10 5" xfId="16980" xr:uid="{00000000-0005-0000-0000-0000E23E0000}"/>
    <cellStyle name="Normal 2 5 2 10 5 2" xfId="42533" xr:uid="{00000000-0005-0000-0000-0000E33E0000}"/>
    <cellStyle name="Normal 2 5 2 10 6" xfId="28470" xr:uid="{00000000-0005-0000-0000-0000E43E0000}"/>
    <cellStyle name="Normal 2 5 2 11" xfId="4092" xr:uid="{00000000-0005-0000-0000-0000E53E0000}"/>
    <cellStyle name="Normal 2 5 2 11 2" xfId="5550" xr:uid="{00000000-0005-0000-0000-0000E63E0000}"/>
    <cellStyle name="Normal 2 5 2 11 2 2" xfId="14377" xr:uid="{00000000-0005-0000-0000-0000E73E0000}"/>
    <cellStyle name="Normal 2 5 2 11 2 2 2" xfId="39932" xr:uid="{00000000-0005-0000-0000-0000E83E0000}"/>
    <cellStyle name="Normal 2 5 2 11 2 3" xfId="24628" xr:uid="{00000000-0005-0000-0000-0000E93E0000}"/>
    <cellStyle name="Normal 2 5 2 11 2 3 2" xfId="50181" xr:uid="{00000000-0005-0000-0000-0000EA3E0000}"/>
    <cellStyle name="Normal 2 5 2 11 2 4" xfId="31111" xr:uid="{00000000-0005-0000-0000-0000EB3E0000}"/>
    <cellStyle name="Normal 2 5 2 11 3" xfId="6994" xr:uid="{00000000-0005-0000-0000-0000EC3E0000}"/>
    <cellStyle name="Normal 2 5 2 11 3 2" xfId="23181" xr:uid="{00000000-0005-0000-0000-0000ED3E0000}"/>
    <cellStyle name="Normal 2 5 2 11 3 2 2" xfId="48734" xr:uid="{00000000-0005-0000-0000-0000EE3E0000}"/>
    <cellStyle name="Normal 2 5 2 11 3 3" xfId="32551" xr:uid="{00000000-0005-0000-0000-0000EF3E0000}"/>
    <cellStyle name="Normal 2 5 2 11 4" xfId="18174" xr:uid="{00000000-0005-0000-0000-0000F03E0000}"/>
    <cellStyle name="Normal 2 5 2 11 4 2" xfId="43727" xr:uid="{00000000-0005-0000-0000-0000F13E0000}"/>
    <cellStyle name="Normal 2 5 2 11 5" xfId="29664" xr:uid="{00000000-0005-0000-0000-0000F23E0000}"/>
    <cellStyle name="Normal 2 5 2 12" xfId="1398" xr:uid="{00000000-0005-0000-0000-0000F33E0000}"/>
    <cellStyle name="Normal 2 5 2 12 2" xfId="10775" xr:uid="{00000000-0005-0000-0000-0000F43E0000}"/>
    <cellStyle name="Normal 2 5 2 12 2 2" xfId="36330" xr:uid="{00000000-0005-0000-0000-0000F53E0000}"/>
    <cellStyle name="Normal 2 5 2 12 3" xfId="20779" xr:uid="{00000000-0005-0000-0000-0000F63E0000}"/>
    <cellStyle name="Normal 2 5 2 12 3 2" xfId="46332" xr:uid="{00000000-0005-0000-0000-0000F73E0000}"/>
    <cellStyle name="Normal 2 5 2 12 4" xfId="27262" xr:uid="{00000000-0005-0000-0000-0000F83E0000}"/>
    <cellStyle name="Normal 2 5 2 13" xfId="5510" xr:uid="{00000000-0005-0000-0000-0000F93E0000}"/>
    <cellStyle name="Normal 2 5 2 13 2" xfId="14337" xr:uid="{00000000-0005-0000-0000-0000FA3E0000}"/>
    <cellStyle name="Normal 2 5 2 13 2 2" xfId="39892" xr:uid="{00000000-0005-0000-0000-0000FB3E0000}"/>
    <cellStyle name="Normal 2 5 2 13 3" xfId="24588" xr:uid="{00000000-0005-0000-0000-0000FC3E0000}"/>
    <cellStyle name="Normal 2 5 2 13 3 2" xfId="50141" xr:uid="{00000000-0005-0000-0000-0000FD3E0000}"/>
    <cellStyle name="Normal 2 5 2 13 4" xfId="31071" xr:uid="{00000000-0005-0000-0000-0000FE3E0000}"/>
    <cellStyle name="Normal 2 5 2 14" xfId="6950" xr:uid="{00000000-0005-0000-0000-0000FF3E0000}"/>
    <cellStyle name="Normal 2 5 2 14 2" xfId="19587" xr:uid="{00000000-0005-0000-0000-0000003F0000}"/>
    <cellStyle name="Normal 2 5 2 14 2 2" xfId="45140" xr:uid="{00000000-0005-0000-0000-0000013F0000}"/>
    <cellStyle name="Normal 2 5 2 14 3" xfId="32508" xr:uid="{00000000-0005-0000-0000-0000023F0000}"/>
    <cellStyle name="Normal 2 5 2 15" xfId="15772" xr:uid="{00000000-0005-0000-0000-0000033F0000}"/>
    <cellStyle name="Normal 2 5 2 15 2" xfId="41325" xr:uid="{00000000-0005-0000-0000-0000043F0000}"/>
    <cellStyle name="Normal 2 5 2 16" xfId="26070" xr:uid="{00000000-0005-0000-0000-0000053F0000}"/>
    <cellStyle name="Normal 2 5 2 2" xfId="158" xr:uid="{00000000-0005-0000-0000-0000063F0000}"/>
    <cellStyle name="Normal 2 5 2 2 10" xfId="1423" xr:uid="{00000000-0005-0000-0000-0000073F0000}"/>
    <cellStyle name="Normal 2 5 2 2 10 2" xfId="10800" xr:uid="{00000000-0005-0000-0000-0000083F0000}"/>
    <cellStyle name="Normal 2 5 2 2 10 2 2" xfId="36355" xr:uid="{00000000-0005-0000-0000-0000093F0000}"/>
    <cellStyle name="Normal 2 5 2 2 10 3" xfId="20804" xr:uid="{00000000-0005-0000-0000-00000A3F0000}"/>
    <cellStyle name="Normal 2 5 2 2 10 3 2" xfId="46357" xr:uid="{00000000-0005-0000-0000-00000B3F0000}"/>
    <cellStyle name="Normal 2 5 2 2 10 4" xfId="27287" xr:uid="{00000000-0005-0000-0000-00000C3F0000}"/>
    <cellStyle name="Normal 2 5 2 2 11" xfId="5532" xr:uid="{00000000-0005-0000-0000-00000D3F0000}"/>
    <cellStyle name="Normal 2 5 2 2 11 2" xfId="14359" xr:uid="{00000000-0005-0000-0000-00000E3F0000}"/>
    <cellStyle name="Normal 2 5 2 2 11 2 2" xfId="39914" xr:uid="{00000000-0005-0000-0000-00000F3F0000}"/>
    <cellStyle name="Normal 2 5 2 2 11 3" xfId="24610" xr:uid="{00000000-0005-0000-0000-0000103F0000}"/>
    <cellStyle name="Normal 2 5 2 2 11 3 2" xfId="50163" xr:uid="{00000000-0005-0000-0000-0000113F0000}"/>
    <cellStyle name="Normal 2 5 2 2 11 4" xfId="31093" xr:uid="{00000000-0005-0000-0000-0000123F0000}"/>
    <cellStyle name="Normal 2 5 2 2 12" xfId="6976" xr:uid="{00000000-0005-0000-0000-0000133F0000}"/>
    <cellStyle name="Normal 2 5 2 2 12 2" xfId="19617" xr:uid="{00000000-0005-0000-0000-0000143F0000}"/>
    <cellStyle name="Normal 2 5 2 2 12 2 2" xfId="45170" xr:uid="{00000000-0005-0000-0000-0000153F0000}"/>
    <cellStyle name="Normal 2 5 2 2 12 3" xfId="32533" xr:uid="{00000000-0005-0000-0000-0000163F0000}"/>
    <cellStyle name="Normal 2 5 2 2 13" xfId="15797" xr:uid="{00000000-0005-0000-0000-0000173F0000}"/>
    <cellStyle name="Normal 2 5 2 2 13 2" xfId="41350" xr:uid="{00000000-0005-0000-0000-0000183F0000}"/>
    <cellStyle name="Normal 2 5 2 2 14" xfId="26100" xr:uid="{00000000-0005-0000-0000-0000193F0000}"/>
    <cellStyle name="Normal 2 5 2 2 2" xfId="205" xr:uid="{00000000-0005-0000-0000-00001A3F0000}"/>
    <cellStyle name="Normal 2 5 2 2 2 10" xfId="7151" xr:uid="{00000000-0005-0000-0000-00001B3F0000}"/>
    <cellStyle name="Normal 2 5 2 2 2 10 2" xfId="19660" xr:uid="{00000000-0005-0000-0000-00001C3F0000}"/>
    <cellStyle name="Normal 2 5 2 2 2 10 2 2" xfId="45213" xr:uid="{00000000-0005-0000-0000-00001D3F0000}"/>
    <cellStyle name="Normal 2 5 2 2 2 10 3" xfId="32708" xr:uid="{00000000-0005-0000-0000-00001E3F0000}"/>
    <cellStyle name="Normal 2 5 2 2 2 11" xfId="15897" xr:uid="{00000000-0005-0000-0000-00001F3F0000}"/>
    <cellStyle name="Normal 2 5 2 2 2 11 2" xfId="41450" xr:uid="{00000000-0005-0000-0000-0000203F0000}"/>
    <cellStyle name="Normal 2 5 2 2 2 12" xfId="26143" xr:uid="{00000000-0005-0000-0000-0000213F0000}"/>
    <cellStyle name="Normal 2 5 2 2 2 2" xfId="531" xr:uid="{00000000-0005-0000-0000-0000223F0000}"/>
    <cellStyle name="Normal 2 5 2 2 2 2 10" xfId="26460" xr:uid="{00000000-0005-0000-0000-0000233F0000}"/>
    <cellStyle name="Normal 2 5 2 2 2 2 2" xfId="730" xr:uid="{00000000-0005-0000-0000-0000243F0000}"/>
    <cellStyle name="Normal 2 5 2 2 2 2 2 2" xfId="3216" xr:uid="{00000000-0005-0000-0000-0000253F0000}"/>
    <cellStyle name="Normal 2 5 2 2 2 2 2 2 2" xfId="12358" xr:uid="{00000000-0005-0000-0000-0000263F0000}"/>
    <cellStyle name="Normal 2 5 2 2 2 2 2 2 2 2" xfId="22577" xr:uid="{00000000-0005-0000-0000-0000273F0000}"/>
    <cellStyle name="Normal 2 5 2 2 2 2 2 2 2 2 2" xfId="48130" xr:uid="{00000000-0005-0000-0000-0000283F0000}"/>
    <cellStyle name="Normal 2 5 2 2 2 2 2 2 2 3" xfId="37913" xr:uid="{00000000-0005-0000-0000-0000293F0000}"/>
    <cellStyle name="Normal 2 5 2 2 2 2 2 2 3" xfId="8780" xr:uid="{00000000-0005-0000-0000-00002A3F0000}"/>
    <cellStyle name="Normal 2 5 2 2 2 2 2 2 3 2" xfId="34337" xr:uid="{00000000-0005-0000-0000-00002B3F0000}"/>
    <cellStyle name="Normal 2 5 2 2 2 2 2 2 4" xfId="17570" xr:uid="{00000000-0005-0000-0000-00002C3F0000}"/>
    <cellStyle name="Normal 2 5 2 2 2 2 2 2 4 2" xfId="43123" xr:uid="{00000000-0005-0000-0000-00002D3F0000}"/>
    <cellStyle name="Normal 2 5 2 2 2 2 2 2 5" xfId="29060" xr:uid="{00000000-0005-0000-0000-00002E3F0000}"/>
    <cellStyle name="Normal 2 5 2 2 2 2 2 3" xfId="4545" xr:uid="{00000000-0005-0000-0000-00002F3F0000}"/>
    <cellStyle name="Normal 2 5 2 2 2 2 2 3 2" xfId="13383" xr:uid="{00000000-0005-0000-0000-0000303F0000}"/>
    <cellStyle name="Normal 2 5 2 2 2 2 2 3 2 2" xfId="23634" xr:uid="{00000000-0005-0000-0000-0000313F0000}"/>
    <cellStyle name="Normal 2 5 2 2 2 2 2 3 2 2 2" xfId="49187" xr:uid="{00000000-0005-0000-0000-0000323F0000}"/>
    <cellStyle name="Normal 2 5 2 2 2 2 2 3 2 3" xfId="38938" xr:uid="{00000000-0005-0000-0000-0000333F0000}"/>
    <cellStyle name="Normal 2 5 2 2 2 2 2 3 3" xfId="9804" xr:uid="{00000000-0005-0000-0000-0000343F0000}"/>
    <cellStyle name="Normal 2 5 2 2 2 2 2 3 3 2" xfId="35361" xr:uid="{00000000-0005-0000-0000-0000353F0000}"/>
    <cellStyle name="Normal 2 5 2 2 2 2 2 3 4" xfId="18627" xr:uid="{00000000-0005-0000-0000-0000363F0000}"/>
    <cellStyle name="Normal 2 5 2 2 2 2 2 3 4 2" xfId="44180" xr:uid="{00000000-0005-0000-0000-0000373F0000}"/>
    <cellStyle name="Normal 2 5 2 2 2 2 2 3 5" xfId="30117" xr:uid="{00000000-0005-0000-0000-0000383F0000}"/>
    <cellStyle name="Normal 2 5 2 2 2 2 2 4" xfId="2325" xr:uid="{00000000-0005-0000-0000-0000393F0000}"/>
    <cellStyle name="Normal 2 5 2 2 2 2 2 4 2" xfId="11690" xr:uid="{00000000-0005-0000-0000-00003A3F0000}"/>
    <cellStyle name="Normal 2 5 2 2 2 2 2 4 2 2" xfId="37245" xr:uid="{00000000-0005-0000-0000-00003B3F0000}"/>
    <cellStyle name="Normal 2 5 2 2 2 2 2 4 3" xfId="21694" xr:uid="{00000000-0005-0000-0000-00003C3F0000}"/>
    <cellStyle name="Normal 2 5 2 2 2 2 2 4 3 2" xfId="47247" xr:uid="{00000000-0005-0000-0000-00003D3F0000}"/>
    <cellStyle name="Normal 2 5 2 2 2 2 2 4 4" xfId="28177" xr:uid="{00000000-0005-0000-0000-00003E3F0000}"/>
    <cellStyle name="Normal 2 5 2 2 2 2 2 5" xfId="6001" xr:uid="{00000000-0005-0000-0000-00003F3F0000}"/>
    <cellStyle name="Normal 2 5 2 2 2 2 2 5 2" xfId="14828" xr:uid="{00000000-0005-0000-0000-0000403F0000}"/>
    <cellStyle name="Normal 2 5 2 2 2 2 2 5 2 2" xfId="40383" xr:uid="{00000000-0005-0000-0000-0000413F0000}"/>
    <cellStyle name="Normal 2 5 2 2 2 2 2 5 3" xfId="25079" xr:uid="{00000000-0005-0000-0000-0000423F0000}"/>
    <cellStyle name="Normal 2 5 2 2 2 2 2 5 3 2" xfId="50632" xr:uid="{00000000-0005-0000-0000-0000433F0000}"/>
    <cellStyle name="Normal 2 5 2 2 2 2 2 5 4" xfId="31562" xr:uid="{00000000-0005-0000-0000-0000443F0000}"/>
    <cellStyle name="Normal 2 5 2 2 2 2 2 6" xfId="7445" xr:uid="{00000000-0005-0000-0000-0000453F0000}"/>
    <cellStyle name="Normal 2 5 2 2 2 2 2 6 2" xfId="20176" xr:uid="{00000000-0005-0000-0000-0000463F0000}"/>
    <cellStyle name="Normal 2 5 2 2 2 2 2 6 2 2" xfId="45729" xr:uid="{00000000-0005-0000-0000-0000473F0000}"/>
    <cellStyle name="Normal 2 5 2 2 2 2 2 6 3" xfId="33002" xr:uid="{00000000-0005-0000-0000-0000483F0000}"/>
    <cellStyle name="Normal 2 5 2 2 2 2 2 7" xfId="16687" xr:uid="{00000000-0005-0000-0000-0000493F0000}"/>
    <cellStyle name="Normal 2 5 2 2 2 2 2 7 2" xfId="42240" xr:uid="{00000000-0005-0000-0000-00004A3F0000}"/>
    <cellStyle name="Normal 2 5 2 2 2 2 2 8" xfId="26659" xr:uid="{00000000-0005-0000-0000-00004B3F0000}"/>
    <cellStyle name="Normal 2 5 2 2 2 2 3" xfId="1303" xr:uid="{00000000-0005-0000-0000-00004C3F0000}"/>
    <cellStyle name="Normal 2 5 2 2 2 2 3 2" xfId="3732" xr:uid="{00000000-0005-0000-0000-00004D3F0000}"/>
    <cellStyle name="Normal 2 5 2 2 2 2 3 2 2" xfId="12868" xr:uid="{00000000-0005-0000-0000-00004E3F0000}"/>
    <cellStyle name="Normal 2 5 2 2 2 2 3 2 2 2" xfId="23087" xr:uid="{00000000-0005-0000-0000-00004F3F0000}"/>
    <cellStyle name="Normal 2 5 2 2 2 2 3 2 2 2 2" xfId="48640" xr:uid="{00000000-0005-0000-0000-0000503F0000}"/>
    <cellStyle name="Normal 2 5 2 2 2 2 3 2 2 3" xfId="38423" xr:uid="{00000000-0005-0000-0000-0000513F0000}"/>
    <cellStyle name="Normal 2 5 2 2 2 2 3 2 3" xfId="9289" xr:uid="{00000000-0005-0000-0000-0000523F0000}"/>
    <cellStyle name="Normal 2 5 2 2 2 2 3 2 3 2" xfId="34846" xr:uid="{00000000-0005-0000-0000-0000533F0000}"/>
    <cellStyle name="Normal 2 5 2 2 2 2 3 2 4" xfId="18080" xr:uid="{00000000-0005-0000-0000-0000543F0000}"/>
    <cellStyle name="Normal 2 5 2 2 2 2 3 2 4 2" xfId="43633" xr:uid="{00000000-0005-0000-0000-0000553F0000}"/>
    <cellStyle name="Normal 2 5 2 2 2 2 3 2 5" xfId="29570" xr:uid="{00000000-0005-0000-0000-0000563F0000}"/>
    <cellStyle name="Normal 2 5 2 2 2 2 3 3" xfId="4894" xr:uid="{00000000-0005-0000-0000-0000573F0000}"/>
    <cellStyle name="Normal 2 5 2 2 2 2 3 3 2" xfId="13731" xr:uid="{00000000-0005-0000-0000-0000583F0000}"/>
    <cellStyle name="Normal 2 5 2 2 2 2 3 3 2 2" xfId="23982" xr:uid="{00000000-0005-0000-0000-0000593F0000}"/>
    <cellStyle name="Normal 2 5 2 2 2 2 3 3 2 2 2" xfId="49535" xr:uid="{00000000-0005-0000-0000-00005A3F0000}"/>
    <cellStyle name="Normal 2 5 2 2 2 2 3 3 2 3" xfId="39286" xr:uid="{00000000-0005-0000-0000-00005B3F0000}"/>
    <cellStyle name="Normal 2 5 2 2 2 2 3 3 3" xfId="10152" xr:uid="{00000000-0005-0000-0000-00005C3F0000}"/>
    <cellStyle name="Normal 2 5 2 2 2 2 3 3 3 2" xfId="35709" xr:uid="{00000000-0005-0000-0000-00005D3F0000}"/>
    <cellStyle name="Normal 2 5 2 2 2 2 3 3 4" xfId="18975" xr:uid="{00000000-0005-0000-0000-00005E3F0000}"/>
    <cellStyle name="Normal 2 5 2 2 2 2 3 3 4 2" xfId="44528" xr:uid="{00000000-0005-0000-0000-00005F3F0000}"/>
    <cellStyle name="Normal 2 5 2 2 2 2 3 3 5" xfId="30465" xr:uid="{00000000-0005-0000-0000-0000603F0000}"/>
    <cellStyle name="Normal 2 5 2 2 2 2 3 4" xfId="2126" xr:uid="{00000000-0005-0000-0000-0000613F0000}"/>
    <cellStyle name="Normal 2 5 2 2 2 2 3 4 2" xfId="11491" xr:uid="{00000000-0005-0000-0000-0000623F0000}"/>
    <cellStyle name="Normal 2 5 2 2 2 2 3 4 2 2" xfId="37046" xr:uid="{00000000-0005-0000-0000-0000633F0000}"/>
    <cellStyle name="Normal 2 5 2 2 2 2 3 4 3" xfId="21495" xr:uid="{00000000-0005-0000-0000-0000643F0000}"/>
    <cellStyle name="Normal 2 5 2 2 2 2 3 4 3 2" xfId="47048" xr:uid="{00000000-0005-0000-0000-0000653F0000}"/>
    <cellStyle name="Normal 2 5 2 2 2 2 3 4 4" xfId="27978" xr:uid="{00000000-0005-0000-0000-0000663F0000}"/>
    <cellStyle name="Normal 2 5 2 2 2 2 3 5" xfId="6349" xr:uid="{00000000-0005-0000-0000-0000673F0000}"/>
    <cellStyle name="Normal 2 5 2 2 2 2 3 5 2" xfId="15176" xr:uid="{00000000-0005-0000-0000-0000683F0000}"/>
    <cellStyle name="Normal 2 5 2 2 2 2 3 5 2 2" xfId="40731" xr:uid="{00000000-0005-0000-0000-0000693F0000}"/>
    <cellStyle name="Normal 2 5 2 2 2 2 3 5 3" xfId="25427" xr:uid="{00000000-0005-0000-0000-00006A3F0000}"/>
    <cellStyle name="Normal 2 5 2 2 2 2 3 5 3 2" xfId="50980" xr:uid="{00000000-0005-0000-0000-00006B3F0000}"/>
    <cellStyle name="Normal 2 5 2 2 2 2 3 5 4" xfId="31910" xr:uid="{00000000-0005-0000-0000-00006C3F0000}"/>
    <cellStyle name="Normal 2 5 2 2 2 2 3 6" xfId="7795" xr:uid="{00000000-0005-0000-0000-00006D3F0000}"/>
    <cellStyle name="Normal 2 5 2 2 2 2 3 6 2" xfId="20686" xr:uid="{00000000-0005-0000-0000-00006E3F0000}"/>
    <cellStyle name="Normal 2 5 2 2 2 2 3 6 2 2" xfId="46239" xr:uid="{00000000-0005-0000-0000-00006F3F0000}"/>
    <cellStyle name="Normal 2 5 2 2 2 2 3 6 3" xfId="33352" xr:uid="{00000000-0005-0000-0000-0000703F0000}"/>
    <cellStyle name="Normal 2 5 2 2 2 2 3 7" xfId="16488" xr:uid="{00000000-0005-0000-0000-0000713F0000}"/>
    <cellStyle name="Normal 2 5 2 2 2 2 3 7 2" xfId="42041" xr:uid="{00000000-0005-0000-0000-0000723F0000}"/>
    <cellStyle name="Normal 2 5 2 2 2 2 3 8" xfId="27169" xr:uid="{00000000-0005-0000-0000-0000733F0000}"/>
    <cellStyle name="Normal 2 5 2 2 2 2 4" xfId="3017" xr:uid="{00000000-0005-0000-0000-0000743F0000}"/>
    <cellStyle name="Normal 2 5 2 2 2 2 4 2" xfId="5395" xr:uid="{00000000-0005-0000-0000-0000753F0000}"/>
    <cellStyle name="Normal 2 5 2 2 2 2 4 2 2" xfId="14232" xr:uid="{00000000-0005-0000-0000-0000763F0000}"/>
    <cellStyle name="Normal 2 5 2 2 2 2 4 2 2 2" xfId="24483" xr:uid="{00000000-0005-0000-0000-0000773F0000}"/>
    <cellStyle name="Normal 2 5 2 2 2 2 4 2 2 2 2" xfId="50036" xr:uid="{00000000-0005-0000-0000-0000783F0000}"/>
    <cellStyle name="Normal 2 5 2 2 2 2 4 2 2 3" xfId="39787" xr:uid="{00000000-0005-0000-0000-0000793F0000}"/>
    <cellStyle name="Normal 2 5 2 2 2 2 4 2 3" xfId="10653" xr:uid="{00000000-0005-0000-0000-00007A3F0000}"/>
    <cellStyle name="Normal 2 5 2 2 2 2 4 2 3 2" xfId="36210" xr:uid="{00000000-0005-0000-0000-00007B3F0000}"/>
    <cellStyle name="Normal 2 5 2 2 2 2 4 2 4" xfId="19476" xr:uid="{00000000-0005-0000-0000-00007C3F0000}"/>
    <cellStyle name="Normal 2 5 2 2 2 2 4 2 4 2" xfId="45029" xr:uid="{00000000-0005-0000-0000-00007D3F0000}"/>
    <cellStyle name="Normal 2 5 2 2 2 2 4 2 5" xfId="30966" xr:uid="{00000000-0005-0000-0000-00007E3F0000}"/>
    <cellStyle name="Normal 2 5 2 2 2 2 4 3" xfId="6850" xr:uid="{00000000-0005-0000-0000-00007F3F0000}"/>
    <cellStyle name="Normal 2 5 2 2 2 2 4 3 2" xfId="15677" xr:uid="{00000000-0005-0000-0000-0000803F0000}"/>
    <cellStyle name="Normal 2 5 2 2 2 2 4 3 2 2" xfId="41232" xr:uid="{00000000-0005-0000-0000-0000813F0000}"/>
    <cellStyle name="Normal 2 5 2 2 2 2 4 3 3" xfId="25928" xr:uid="{00000000-0005-0000-0000-0000823F0000}"/>
    <cellStyle name="Normal 2 5 2 2 2 2 4 3 3 2" xfId="51481" xr:uid="{00000000-0005-0000-0000-0000833F0000}"/>
    <cellStyle name="Normal 2 5 2 2 2 2 4 3 4" xfId="32411" xr:uid="{00000000-0005-0000-0000-0000843F0000}"/>
    <cellStyle name="Normal 2 5 2 2 2 2 4 4" xfId="8296" xr:uid="{00000000-0005-0000-0000-0000853F0000}"/>
    <cellStyle name="Normal 2 5 2 2 2 2 4 4 2" xfId="22378" xr:uid="{00000000-0005-0000-0000-0000863F0000}"/>
    <cellStyle name="Normal 2 5 2 2 2 2 4 4 2 2" xfId="47931" xr:uid="{00000000-0005-0000-0000-0000873F0000}"/>
    <cellStyle name="Normal 2 5 2 2 2 2 4 4 3" xfId="33853" xr:uid="{00000000-0005-0000-0000-0000883F0000}"/>
    <cellStyle name="Normal 2 5 2 2 2 2 4 5" xfId="17371" xr:uid="{00000000-0005-0000-0000-0000893F0000}"/>
    <cellStyle name="Normal 2 5 2 2 2 2 4 5 2" xfId="42924" xr:uid="{00000000-0005-0000-0000-00008A3F0000}"/>
    <cellStyle name="Normal 2 5 2 2 2 2 4 6" xfId="28861" xr:uid="{00000000-0005-0000-0000-00008B3F0000}"/>
    <cellStyle name="Normal 2 5 2 2 2 2 5" xfId="4351" xr:uid="{00000000-0005-0000-0000-00008C3F0000}"/>
    <cellStyle name="Normal 2 5 2 2 2 2 5 2" xfId="13189" xr:uid="{00000000-0005-0000-0000-00008D3F0000}"/>
    <cellStyle name="Normal 2 5 2 2 2 2 5 2 2" xfId="23440" xr:uid="{00000000-0005-0000-0000-00008E3F0000}"/>
    <cellStyle name="Normal 2 5 2 2 2 2 5 2 2 2" xfId="48993" xr:uid="{00000000-0005-0000-0000-00008F3F0000}"/>
    <cellStyle name="Normal 2 5 2 2 2 2 5 2 3" xfId="38744" xr:uid="{00000000-0005-0000-0000-0000903F0000}"/>
    <cellStyle name="Normal 2 5 2 2 2 2 5 3" xfId="9610" xr:uid="{00000000-0005-0000-0000-0000913F0000}"/>
    <cellStyle name="Normal 2 5 2 2 2 2 5 3 2" xfId="35167" xr:uid="{00000000-0005-0000-0000-0000923F0000}"/>
    <cellStyle name="Normal 2 5 2 2 2 2 5 4" xfId="18433" xr:uid="{00000000-0005-0000-0000-0000933F0000}"/>
    <cellStyle name="Normal 2 5 2 2 2 2 5 4 2" xfId="43986" xr:uid="{00000000-0005-0000-0000-0000943F0000}"/>
    <cellStyle name="Normal 2 5 2 2 2 2 5 5" xfId="29923" xr:uid="{00000000-0005-0000-0000-0000953F0000}"/>
    <cellStyle name="Normal 2 5 2 2 2 2 6" xfId="1623" xr:uid="{00000000-0005-0000-0000-0000963F0000}"/>
    <cellStyle name="Normal 2 5 2 2 2 2 6 2" xfId="11000" xr:uid="{00000000-0005-0000-0000-0000973F0000}"/>
    <cellStyle name="Normal 2 5 2 2 2 2 6 2 2" xfId="36555" xr:uid="{00000000-0005-0000-0000-0000983F0000}"/>
    <cellStyle name="Normal 2 5 2 2 2 2 6 3" xfId="21004" xr:uid="{00000000-0005-0000-0000-0000993F0000}"/>
    <cellStyle name="Normal 2 5 2 2 2 2 6 3 2" xfId="46557" xr:uid="{00000000-0005-0000-0000-00009A3F0000}"/>
    <cellStyle name="Normal 2 5 2 2 2 2 6 4" xfId="27487" xr:uid="{00000000-0005-0000-0000-00009B3F0000}"/>
    <cellStyle name="Normal 2 5 2 2 2 2 7" xfId="5807" xr:uid="{00000000-0005-0000-0000-00009C3F0000}"/>
    <cellStyle name="Normal 2 5 2 2 2 2 7 2" xfId="14634" xr:uid="{00000000-0005-0000-0000-00009D3F0000}"/>
    <cellStyle name="Normal 2 5 2 2 2 2 7 2 2" xfId="40189" xr:uid="{00000000-0005-0000-0000-00009E3F0000}"/>
    <cellStyle name="Normal 2 5 2 2 2 2 7 3" xfId="24885" xr:uid="{00000000-0005-0000-0000-00009F3F0000}"/>
    <cellStyle name="Normal 2 5 2 2 2 2 7 3 2" xfId="50438" xr:uid="{00000000-0005-0000-0000-0000A03F0000}"/>
    <cellStyle name="Normal 2 5 2 2 2 2 7 4" xfId="31368" xr:uid="{00000000-0005-0000-0000-0000A13F0000}"/>
    <cellStyle name="Normal 2 5 2 2 2 2 8" xfId="7251" xr:uid="{00000000-0005-0000-0000-0000A23F0000}"/>
    <cellStyle name="Normal 2 5 2 2 2 2 8 2" xfId="19977" xr:uid="{00000000-0005-0000-0000-0000A33F0000}"/>
    <cellStyle name="Normal 2 5 2 2 2 2 8 2 2" xfId="45530" xr:uid="{00000000-0005-0000-0000-0000A43F0000}"/>
    <cellStyle name="Normal 2 5 2 2 2 2 8 3" xfId="32808" xr:uid="{00000000-0005-0000-0000-0000A53F0000}"/>
    <cellStyle name="Normal 2 5 2 2 2 2 9" xfId="15997" xr:uid="{00000000-0005-0000-0000-0000A63F0000}"/>
    <cellStyle name="Normal 2 5 2 2 2 2 9 2" xfId="41550" xr:uid="{00000000-0005-0000-0000-0000A73F0000}"/>
    <cellStyle name="Normal 2 5 2 2 2 2_Degree data" xfId="3857" xr:uid="{00000000-0005-0000-0000-0000A83F0000}"/>
    <cellStyle name="Normal 2 5 2 2 2 3" xfId="431" xr:uid="{00000000-0005-0000-0000-0000A93F0000}"/>
    <cellStyle name="Normal 2 5 2 2 2 3 2" xfId="2917" xr:uid="{00000000-0005-0000-0000-0000AA3F0000}"/>
    <cellStyle name="Normal 2 5 2 2 2 3 2 2" xfId="12205" xr:uid="{00000000-0005-0000-0000-0000AB3F0000}"/>
    <cellStyle name="Normal 2 5 2 2 2 3 2 2 2" xfId="22278" xr:uid="{00000000-0005-0000-0000-0000AC3F0000}"/>
    <cellStyle name="Normal 2 5 2 2 2 3 2 2 2 2" xfId="47831" xr:uid="{00000000-0005-0000-0000-0000AD3F0000}"/>
    <cellStyle name="Normal 2 5 2 2 2 3 2 2 3" xfId="37760" xr:uid="{00000000-0005-0000-0000-0000AE3F0000}"/>
    <cellStyle name="Normal 2 5 2 2 2 3 2 3" xfId="8506" xr:uid="{00000000-0005-0000-0000-0000AF3F0000}"/>
    <cellStyle name="Normal 2 5 2 2 2 3 2 3 2" xfId="34063" xr:uid="{00000000-0005-0000-0000-0000B03F0000}"/>
    <cellStyle name="Normal 2 5 2 2 2 3 2 4" xfId="17271" xr:uid="{00000000-0005-0000-0000-0000B13F0000}"/>
    <cellStyle name="Normal 2 5 2 2 2 3 2 4 2" xfId="42824" xr:uid="{00000000-0005-0000-0000-0000B23F0000}"/>
    <cellStyle name="Normal 2 5 2 2 2 3 2 5" xfId="28761" xr:uid="{00000000-0005-0000-0000-0000B33F0000}"/>
    <cellStyle name="Normal 2 5 2 2 2 3 3" xfId="4544" xr:uid="{00000000-0005-0000-0000-0000B43F0000}"/>
    <cellStyle name="Normal 2 5 2 2 2 3 3 2" xfId="13382" xr:uid="{00000000-0005-0000-0000-0000B53F0000}"/>
    <cellStyle name="Normal 2 5 2 2 2 3 3 2 2" xfId="23633" xr:uid="{00000000-0005-0000-0000-0000B63F0000}"/>
    <cellStyle name="Normal 2 5 2 2 2 3 3 2 2 2" xfId="49186" xr:uid="{00000000-0005-0000-0000-0000B73F0000}"/>
    <cellStyle name="Normal 2 5 2 2 2 3 3 2 3" xfId="38937" xr:uid="{00000000-0005-0000-0000-0000B83F0000}"/>
    <cellStyle name="Normal 2 5 2 2 2 3 3 3" xfId="9803" xr:uid="{00000000-0005-0000-0000-0000B93F0000}"/>
    <cellStyle name="Normal 2 5 2 2 2 3 3 3 2" xfId="35360" xr:uid="{00000000-0005-0000-0000-0000BA3F0000}"/>
    <cellStyle name="Normal 2 5 2 2 2 3 3 4" xfId="18626" xr:uid="{00000000-0005-0000-0000-0000BB3F0000}"/>
    <cellStyle name="Normal 2 5 2 2 2 3 3 4 2" xfId="44179" xr:uid="{00000000-0005-0000-0000-0000BC3F0000}"/>
    <cellStyle name="Normal 2 5 2 2 2 3 3 5" xfId="30116" xr:uid="{00000000-0005-0000-0000-0000BD3F0000}"/>
    <cellStyle name="Normal 2 5 2 2 2 3 4" xfId="2026" xr:uid="{00000000-0005-0000-0000-0000BE3F0000}"/>
    <cellStyle name="Normal 2 5 2 2 2 3 4 2" xfId="11391" xr:uid="{00000000-0005-0000-0000-0000BF3F0000}"/>
    <cellStyle name="Normal 2 5 2 2 2 3 4 2 2" xfId="36946" xr:uid="{00000000-0005-0000-0000-0000C03F0000}"/>
    <cellStyle name="Normal 2 5 2 2 2 3 4 3" xfId="21395" xr:uid="{00000000-0005-0000-0000-0000C13F0000}"/>
    <cellStyle name="Normal 2 5 2 2 2 3 4 3 2" xfId="46948" xr:uid="{00000000-0005-0000-0000-0000C23F0000}"/>
    <cellStyle name="Normal 2 5 2 2 2 3 4 4" xfId="27878" xr:uid="{00000000-0005-0000-0000-0000C33F0000}"/>
    <cellStyle name="Normal 2 5 2 2 2 3 5" xfId="6000" xr:uid="{00000000-0005-0000-0000-0000C43F0000}"/>
    <cellStyle name="Normal 2 5 2 2 2 3 5 2" xfId="14827" xr:uid="{00000000-0005-0000-0000-0000C53F0000}"/>
    <cellStyle name="Normal 2 5 2 2 2 3 5 2 2" xfId="40382" xr:uid="{00000000-0005-0000-0000-0000C63F0000}"/>
    <cellStyle name="Normal 2 5 2 2 2 3 5 3" xfId="25078" xr:uid="{00000000-0005-0000-0000-0000C73F0000}"/>
    <cellStyle name="Normal 2 5 2 2 2 3 5 3 2" xfId="50631" xr:uid="{00000000-0005-0000-0000-0000C83F0000}"/>
    <cellStyle name="Normal 2 5 2 2 2 3 5 4" xfId="31561" xr:uid="{00000000-0005-0000-0000-0000C93F0000}"/>
    <cellStyle name="Normal 2 5 2 2 2 3 6" xfId="7444" xr:uid="{00000000-0005-0000-0000-0000CA3F0000}"/>
    <cellStyle name="Normal 2 5 2 2 2 3 6 2" xfId="19877" xr:uid="{00000000-0005-0000-0000-0000CB3F0000}"/>
    <cellStyle name="Normal 2 5 2 2 2 3 6 2 2" xfId="45430" xr:uid="{00000000-0005-0000-0000-0000CC3F0000}"/>
    <cellStyle name="Normal 2 5 2 2 2 3 6 3" xfId="33001" xr:uid="{00000000-0005-0000-0000-0000CD3F0000}"/>
    <cellStyle name="Normal 2 5 2 2 2 3 7" xfId="16388" xr:uid="{00000000-0005-0000-0000-0000CE3F0000}"/>
    <cellStyle name="Normal 2 5 2 2 2 3 7 2" xfId="41941" xr:uid="{00000000-0005-0000-0000-0000CF3F0000}"/>
    <cellStyle name="Normal 2 5 2 2 2 3 8" xfId="26360" xr:uid="{00000000-0005-0000-0000-0000D03F0000}"/>
    <cellStyle name="Normal 2 5 2 2 2 4" xfId="729" xr:uid="{00000000-0005-0000-0000-0000D13F0000}"/>
    <cellStyle name="Normal 2 5 2 2 2 4 2" xfId="3215" xr:uid="{00000000-0005-0000-0000-0000D23F0000}"/>
    <cellStyle name="Normal 2 5 2 2 2 4 2 2" xfId="12357" xr:uid="{00000000-0005-0000-0000-0000D33F0000}"/>
    <cellStyle name="Normal 2 5 2 2 2 4 2 2 2" xfId="22576" xr:uid="{00000000-0005-0000-0000-0000D43F0000}"/>
    <cellStyle name="Normal 2 5 2 2 2 4 2 2 2 2" xfId="48129" xr:uid="{00000000-0005-0000-0000-0000D53F0000}"/>
    <cellStyle name="Normal 2 5 2 2 2 4 2 2 3" xfId="37912" xr:uid="{00000000-0005-0000-0000-0000D63F0000}"/>
    <cellStyle name="Normal 2 5 2 2 2 4 2 3" xfId="8779" xr:uid="{00000000-0005-0000-0000-0000D73F0000}"/>
    <cellStyle name="Normal 2 5 2 2 2 4 2 3 2" xfId="34336" xr:uid="{00000000-0005-0000-0000-0000D83F0000}"/>
    <cellStyle name="Normal 2 5 2 2 2 4 2 4" xfId="17569" xr:uid="{00000000-0005-0000-0000-0000D93F0000}"/>
    <cellStyle name="Normal 2 5 2 2 2 4 2 4 2" xfId="43122" xr:uid="{00000000-0005-0000-0000-0000DA3F0000}"/>
    <cellStyle name="Normal 2 5 2 2 2 4 2 5" xfId="29059" xr:uid="{00000000-0005-0000-0000-0000DB3F0000}"/>
    <cellStyle name="Normal 2 5 2 2 2 4 3" xfId="4893" xr:uid="{00000000-0005-0000-0000-0000DC3F0000}"/>
    <cellStyle name="Normal 2 5 2 2 2 4 3 2" xfId="13730" xr:uid="{00000000-0005-0000-0000-0000DD3F0000}"/>
    <cellStyle name="Normal 2 5 2 2 2 4 3 2 2" xfId="23981" xr:uid="{00000000-0005-0000-0000-0000DE3F0000}"/>
    <cellStyle name="Normal 2 5 2 2 2 4 3 2 2 2" xfId="49534" xr:uid="{00000000-0005-0000-0000-0000DF3F0000}"/>
    <cellStyle name="Normal 2 5 2 2 2 4 3 2 3" xfId="39285" xr:uid="{00000000-0005-0000-0000-0000E03F0000}"/>
    <cellStyle name="Normal 2 5 2 2 2 4 3 3" xfId="10151" xr:uid="{00000000-0005-0000-0000-0000E13F0000}"/>
    <cellStyle name="Normal 2 5 2 2 2 4 3 3 2" xfId="35708" xr:uid="{00000000-0005-0000-0000-0000E23F0000}"/>
    <cellStyle name="Normal 2 5 2 2 2 4 3 4" xfId="18974" xr:uid="{00000000-0005-0000-0000-0000E33F0000}"/>
    <cellStyle name="Normal 2 5 2 2 2 4 3 4 2" xfId="44527" xr:uid="{00000000-0005-0000-0000-0000E43F0000}"/>
    <cellStyle name="Normal 2 5 2 2 2 4 3 5" xfId="30464" xr:uid="{00000000-0005-0000-0000-0000E53F0000}"/>
    <cellStyle name="Normal 2 5 2 2 2 4 4" xfId="2324" xr:uid="{00000000-0005-0000-0000-0000E63F0000}"/>
    <cellStyle name="Normal 2 5 2 2 2 4 4 2" xfId="11689" xr:uid="{00000000-0005-0000-0000-0000E73F0000}"/>
    <cellStyle name="Normal 2 5 2 2 2 4 4 2 2" xfId="37244" xr:uid="{00000000-0005-0000-0000-0000E83F0000}"/>
    <cellStyle name="Normal 2 5 2 2 2 4 4 3" xfId="21693" xr:uid="{00000000-0005-0000-0000-0000E93F0000}"/>
    <cellStyle name="Normal 2 5 2 2 2 4 4 3 2" xfId="47246" xr:uid="{00000000-0005-0000-0000-0000EA3F0000}"/>
    <cellStyle name="Normal 2 5 2 2 2 4 4 4" xfId="28176" xr:uid="{00000000-0005-0000-0000-0000EB3F0000}"/>
    <cellStyle name="Normal 2 5 2 2 2 4 5" xfId="6348" xr:uid="{00000000-0005-0000-0000-0000EC3F0000}"/>
    <cellStyle name="Normal 2 5 2 2 2 4 5 2" xfId="15175" xr:uid="{00000000-0005-0000-0000-0000ED3F0000}"/>
    <cellStyle name="Normal 2 5 2 2 2 4 5 2 2" xfId="40730" xr:uid="{00000000-0005-0000-0000-0000EE3F0000}"/>
    <cellStyle name="Normal 2 5 2 2 2 4 5 3" xfId="25426" xr:uid="{00000000-0005-0000-0000-0000EF3F0000}"/>
    <cellStyle name="Normal 2 5 2 2 2 4 5 3 2" xfId="50979" xr:uid="{00000000-0005-0000-0000-0000F03F0000}"/>
    <cellStyle name="Normal 2 5 2 2 2 4 5 4" xfId="31909" xr:uid="{00000000-0005-0000-0000-0000F13F0000}"/>
    <cellStyle name="Normal 2 5 2 2 2 4 6" xfId="7794" xr:uid="{00000000-0005-0000-0000-0000F23F0000}"/>
    <cellStyle name="Normal 2 5 2 2 2 4 6 2" xfId="20175" xr:uid="{00000000-0005-0000-0000-0000F33F0000}"/>
    <cellStyle name="Normal 2 5 2 2 2 4 6 2 2" xfId="45728" xr:uid="{00000000-0005-0000-0000-0000F43F0000}"/>
    <cellStyle name="Normal 2 5 2 2 2 4 6 3" xfId="33351" xr:uid="{00000000-0005-0000-0000-0000F53F0000}"/>
    <cellStyle name="Normal 2 5 2 2 2 4 7" xfId="16686" xr:uid="{00000000-0005-0000-0000-0000F63F0000}"/>
    <cellStyle name="Normal 2 5 2 2 2 4 7 2" xfId="42239" xr:uid="{00000000-0005-0000-0000-0000F73F0000}"/>
    <cellStyle name="Normal 2 5 2 2 2 4 8" xfId="26658" xr:uid="{00000000-0005-0000-0000-0000F83F0000}"/>
    <cellStyle name="Normal 2 5 2 2 2 5" xfId="1203" xr:uid="{00000000-0005-0000-0000-0000F93F0000}"/>
    <cellStyle name="Normal 2 5 2 2 2 5 2" xfId="3632" xr:uid="{00000000-0005-0000-0000-0000FA3F0000}"/>
    <cellStyle name="Normal 2 5 2 2 2 5 2 2" xfId="12768" xr:uid="{00000000-0005-0000-0000-0000FB3F0000}"/>
    <cellStyle name="Normal 2 5 2 2 2 5 2 2 2" xfId="22987" xr:uid="{00000000-0005-0000-0000-0000FC3F0000}"/>
    <cellStyle name="Normal 2 5 2 2 2 5 2 2 2 2" xfId="48540" xr:uid="{00000000-0005-0000-0000-0000FD3F0000}"/>
    <cellStyle name="Normal 2 5 2 2 2 5 2 2 3" xfId="38323" xr:uid="{00000000-0005-0000-0000-0000FE3F0000}"/>
    <cellStyle name="Normal 2 5 2 2 2 5 2 3" xfId="9189" xr:uid="{00000000-0005-0000-0000-0000FF3F0000}"/>
    <cellStyle name="Normal 2 5 2 2 2 5 2 3 2" xfId="34746" xr:uid="{00000000-0005-0000-0000-000000400000}"/>
    <cellStyle name="Normal 2 5 2 2 2 5 2 4" xfId="17980" xr:uid="{00000000-0005-0000-0000-000001400000}"/>
    <cellStyle name="Normal 2 5 2 2 2 5 2 4 2" xfId="43533" xr:uid="{00000000-0005-0000-0000-000002400000}"/>
    <cellStyle name="Normal 2 5 2 2 2 5 2 5" xfId="29470" xr:uid="{00000000-0005-0000-0000-000003400000}"/>
    <cellStyle name="Normal 2 5 2 2 2 5 3" xfId="5295" xr:uid="{00000000-0005-0000-0000-000004400000}"/>
    <cellStyle name="Normal 2 5 2 2 2 5 3 2" xfId="14132" xr:uid="{00000000-0005-0000-0000-000005400000}"/>
    <cellStyle name="Normal 2 5 2 2 2 5 3 2 2" xfId="24383" xr:uid="{00000000-0005-0000-0000-000006400000}"/>
    <cellStyle name="Normal 2 5 2 2 2 5 3 2 2 2" xfId="49936" xr:uid="{00000000-0005-0000-0000-000007400000}"/>
    <cellStyle name="Normal 2 5 2 2 2 5 3 2 3" xfId="39687" xr:uid="{00000000-0005-0000-0000-000008400000}"/>
    <cellStyle name="Normal 2 5 2 2 2 5 3 3" xfId="10553" xr:uid="{00000000-0005-0000-0000-000009400000}"/>
    <cellStyle name="Normal 2 5 2 2 2 5 3 3 2" xfId="36110" xr:uid="{00000000-0005-0000-0000-00000A400000}"/>
    <cellStyle name="Normal 2 5 2 2 2 5 3 4" xfId="19376" xr:uid="{00000000-0005-0000-0000-00000B400000}"/>
    <cellStyle name="Normal 2 5 2 2 2 5 3 4 2" xfId="44929" xr:uid="{00000000-0005-0000-0000-00000C400000}"/>
    <cellStyle name="Normal 2 5 2 2 2 5 3 5" xfId="30866" xr:uid="{00000000-0005-0000-0000-00000D400000}"/>
    <cellStyle name="Normal 2 5 2 2 2 5 4" xfId="1806" xr:uid="{00000000-0005-0000-0000-00000E400000}"/>
    <cellStyle name="Normal 2 5 2 2 2 5 4 2" xfId="11174" xr:uid="{00000000-0005-0000-0000-00000F400000}"/>
    <cellStyle name="Normal 2 5 2 2 2 5 4 2 2" xfId="36729" xr:uid="{00000000-0005-0000-0000-000010400000}"/>
    <cellStyle name="Normal 2 5 2 2 2 5 4 3" xfId="21178" xr:uid="{00000000-0005-0000-0000-000011400000}"/>
    <cellStyle name="Normal 2 5 2 2 2 5 4 3 2" xfId="46731" xr:uid="{00000000-0005-0000-0000-000012400000}"/>
    <cellStyle name="Normal 2 5 2 2 2 5 4 4" xfId="27661" xr:uid="{00000000-0005-0000-0000-000013400000}"/>
    <cellStyle name="Normal 2 5 2 2 2 5 5" xfId="6750" xr:uid="{00000000-0005-0000-0000-000014400000}"/>
    <cellStyle name="Normal 2 5 2 2 2 5 5 2" xfId="15577" xr:uid="{00000000-0005-0000-0000-000015400000}"/>
    <cellStyle name="Normal 2 5 2 2 2 5 5 2 2" xfId="41132" xr:uid="{00000000-0005-0000-0000-000016400000}"/>
    <cellStyle name="Normal 2 5 2 2 2 5 5 3" xfId="25828" xr:uid="{00000000-0005-0000-0000-000017400000}"/>
    <cellStyle name="Normal 2 5 2 2 2 5 5 3 2" xfId="51381" xr:uid="{00000000-0005-0000-0000-000018400000}"/>
    <cellStyle name="Normal 2 5 2 2 2 5 5 4" xfId="32311" xr:uid="{00000000-0005-0000-0000-000019400000}"/>
    <cellStyle name="Normal 2 5 2 2 2 5 6" xfId="8196" xr:uid="{00000000-0005-0000-0000-00001A400000}"/>
    <cellStyle name="Normal 2 5 2 2 2 5 6 2" xfId="20586" xr:uid="{00000000-0005-0000-0000-00001B400000}"/>
    <cellStyle name="Normal 2 5 2 2 2 5 6 2 2" xfId="46139" xr:uid="{00000000-0005-0000-0000-00001C400000}"/>
    <cellStyle name="Normal 2 5 2 2 2 5 6 3" xfId="33753" xr:uid="{00000000-0005-0000-0000-00001D400000}"/>
    <cellStyle name="Normal 2 5 2 2 2 5 7" xfId="16171" xr:uid="{00000000-0005-0000-0000-00001E400000}"/>
    <cellStyle name="Normal 2 5 2 2 2 5 7 2" xfId="41724" xr:uid="{00000000-0005-0000-0000-00001F400000}"/>
    <cellStyle name="Normal 2 5 2 2 2 5 8" xfId="27069" xr:uid="{00000000-0005-0000-0000-000020400000}"/>
    <cellStyle name="Normal 2 5 2 2 2 6" xfId="2700" xr:uid="{00000000-0005-0000-0000-000021400000}"/>
    <cellStyle name="Normal 2 5 2 2 2 6 2" xfId="12017" xr:uid="{00000000-0005-0000-0000-000022400000}"/>
    <cellStyle name="Normal 2 5 2 2 2 6 2 2" xfId="22061" xr:uid="{00000000-0005-0000-0000-000023400000}"/>
    <cellStyle name="Normal 2 5 2 2 2 6 2 2 2" xfId="47614" xr:uid="{00000000-0005-0000-0000-000024400000}"/>
    <cellStyle name="Normal 2 5 2 2 2 6 2 3" xfId="37572" xr:uid="{00000000-0005-0000-0000-000025400000}"/>
    <cellStyle name="Normal 2 5 2 2 2 6 3" xfId="8426" xr:uid="{00000000-0005-0000-0000-000026400000}"/>
    <cellStyle name="Normal 2 5 2 2 2 6 3 2" xfId="33983" xr:uid="{00000000-0005-0000-0000-000027400000}"/>
    <cellStyle name="Normal 2 5 2 2 2 6 4" xfId="17054" xr:uid="{00000000-0005-0000-0000-000028400000}"/>
    <cellStyle name="Normal 2 5 2 2 2 6 4 2" xfId="42607" xr:uid="{00000000-0005-0000-0000-000029400000}"/>
    <cellStyle name="Normal 2 5 2 2 2 6 5" xfId="28544" xr:uid="{00000000-0005-0000-0000-00002A400000}"/>
    <cellStyle name="Normal 2 5 2 2 2 7" xfId="4251" xr:uid="{00000000-0005-0000-0000-00002B400000}"/>
    <cellStyle name="Normal 2 5 2 2 2 7 2" xfId="13089" xr:uid="{00000000-0005-0000-0000-00002C400000}"/>
    <cellStyle name="Normal 2 5 2 2 2 7 2 2" xfId="23340" xr:uid="{00000000-0005-0000-0000-00002D400000}"/>
    <cellStyle name="Normal 2 5 2 2 2 7 2 2 2" xfId="48893" xr:uid="{00000000-0005-0000-0000-00002E400000}"/>
    <cellStyle name="Normal 2 5 2 2 2 7 2 3" xfId="38644" xr:uid="{00000000-0005-0000-0000-00002F400000}"/>
    <cellStyle name="Normal 2 5 2 2 2 7 3" xfId="9510" xr:uid="{00000000-0005-0000-0000-000030400000}"/>
    <cellStyle name="Normal 2 5 2 2 2 7 3 2" xfId="35067" xr:uid="{00000000-0005-0000-0000-000031400000}"/>
    <cellStyle name="Normal 2 5 2 2 2 7 4" xfId="18333" xr:uid="{00000000-0005-0000-0000-000032400000}"/>
    <cellStyle name="Normal 2 5 2 2 2 7 4 2" xfId="43886" xr:uid="{00000000-0005-0000-0000-000033400000}"/>
    <cellStyle name="Normal 2 5 2 2 2 7 5" xfId="29823" xr:uid="{00000000-0005-0000-0000-000034400000}"/>
    <cellStyle name="Normal 2 5 2 2 2 8" xfId="1523" xr:uid="{00000000-0005-0000-0000-000035400000}"/>
    <cellStyle name="Normal 2 5 2 2 2 8 2" xfId="10900" xr:uid="{00000000-0005-0000-0000-000036400000}"/>
    <cellStyle name="Normal 2 5 2 2 2 8 2 2" xfId="36455" xr:uid="{00000000-0005-0000-0000-000037400000}"/>
    <cellStyle name="Normal 2 5 2 2 2 8 3" xfId="20904" xr:uid="{00000000-0005-0000-0000-000038400000}"/>
    <cellStyle name="Normal 2 5 2 2 2 8 3 2" xfId="46457" xr:uid="{00000000-0005-0000-0000-000039400000}"/>
    <cellStyle name="Normal 2 5 2 2 2 8 4" xfId="27387" xr:uid="{00000000-0005-0000-0000-00003A400000}"/>
    <cellStyle name="Normal 2 5 2 2 2 9" xfId="5707" xr:uid="{00000000-0005-0000-0000-00003B400000}"/>
    <cellStyle name="Normal 2 5 2 2 2 9 2" xfId="14534" xr:uid="{00000000-0005-0000-0000-00003C400000}"/>
    <cellStyle name="Normal 2 5 2 2 2 9 2 2" xfId="40089" xr:uid="{00000000-0005-0000-0000-00003D400000}"/>
    <cellStyle name="Normal 2 5 2 2 2 9 3" xfId="24785" xr:uid="{00000000-0005-0000-0000-00003E400000}"/>
    <cellStyle name="Normal 2 5 2 2 2 9 3 2" xfId="50338" xr:uid="{00000000-0005-0000-0000-00003F400000}"/>
    <cellStyle name="Normal 2 5 2 2 2 9 4" xfId="31268" xr:uid="{00000000-0005-0000-0000-000040400000}"/>
    <cellStyle name="Normal 2 5 2 2 2_Degree data" xfId="3918" xr:uid="{00000000-0005-0000-0000-000041400000}"/>
    <cellStyle name="Normal 2 5 2 2 3" xfId="270" xr:uid="{00000000-0005-0000-0000-000042400000}"/>
    <cellStyle name="Normal 2 5 2 2 3 10" xfId="7108" xr:uid="{00000000-0005-0000-0000-000043400000}"/>
    <cellStyle name="Normal 2 5 2 2 3 10 2" xfId="19721" xr:uid="{00000000-0005-0000-0000-000044400000}"/>
    <cellStyle name="Normal 2 5 2 2 3 10 2 2" xfId="45274" xr:uid="{00000000-0005-0000-0000-000045400000}"/>
    <cellStyle name="Normal 2 5 2 2 3 10 3" xfId="32665" xr:uid="{00000000-0005-0000-0000-000046400000}"/>
    <cellStyle name="Normal 2 5 2 2 3 11" xfId="15854" xr:uid="{00000000-0005-0000-0000-000047400000}"/>
    <cellStyle name="Normal 2 5 2 2 3 11 2" xfId="41407" xr:uid="{00000000-0005-0000-0000-000048400000}"/>
    <cellStyle name="Normal 2 5 2 2 3 12" xfId="26204" xr:uid="{00000000-0005-0000-0000-000049400000}"/>
    <cellStyle name="Normal 2 5 2 2 3 2" xfId="592" xr:uid="{00000000-0005-0000-0000-00004A400000}"/>
    <cellStyle name="Normal 2 5 2 2 3 2 10" xfId="26521" xr:uid="{00000000-0005-0000-0000-00004B400000}"/>
    <cellStyle name="Normal 2 5 2 2 3 2 2" xfId="732" xr:uid="{00000000-0005-0000-0000-00004C400000}"/>
    <cellStyle name="Normal 2 5 2 2 3 2 2 2" xfId="3218" xr:uid="{00000000-0005-0000-0000-00004D400000}"/>
    <cellStyle name="Normal 2 5 2 2 3 2 2 2 2" xfId="12360" xr:uid="{00000000-0005-0000-0000-00004E400000}"/>
    <cellStyle name="Normal 2 5 2 2 3 2 2 2 2 2" xfId="22579" xr:uid="{00000000-0005-0000-0000-00004F400000}"/>
    <cellStyle name="Normal 2 5 2 2 3 2 2 2 2 2 2" xfId="48132" xr:uid="{00000000-0005-0000-0000-000050400000}"/>
    <cellStyle name="Normal 2 5 2 2 3 2 2 2 2 3" xfId="37915" xr:uid="{00000000-0005-0000-0000-000051400000}"/>
    <cellStyle name="Normal 2 5 2 2 3 2 2 2 3" xfId="8782" xr:uid="{00000000-0005-0000-0000-000052400000}"/>
    <cellStyle name="Normal 2 5 2 2 3 2 2 2 3 2" xfId="34339" xr:uid="{00000000-0005-0000-0000-000053400000}"/>
    <cellStyle name="Normal 2 5 2 2 3 2 2 2 4" xfId="17572" xr:uid="{00000000-0005-0000-0000-000054400000}"/>
    <cellStyle name="Normal 2 5 2 2 3 2 2 2 4 2" xfId="43125" xr:uid="{00000000-0005-0000-0000-000055400000}"/>
    <cellStyle name="Normal 2 5 2 2 3 2 2 2 5" xfId="29062" xr:uid="{00000000-0005-0000-0000-000056400000}"/>
    <cellStyle name="Normal 2 5 2 2 3 2 2 3" xfId="4547" xr:uid="{00000000-0005-0000-0000-000057400000}"/>
    <cellStyle name="Normal 2 5 2 2 3 2 2 3 2" xfId="13385" xr:uid="{00000000-0005-0000-0000-000058400000}"/>
    <cellStyle name="Normal 2 5 2 2 3 2 2 3 2 2" xfId="23636" xr:uid="{00000000-0005-0000-0000-000059400000}"/>
    <cellStyle name="Normal 2 5 2 2 3 2 2 3 2 2 2" xfId="49189" xr:uid="{00000000-0005-0000-0000-00005A400000}"/>
    <cellStyle name="Normal 2 5 2 2 3 2 2 3 2 3" xfId="38940" xr:uid="{00000000-0005-0000-0000-00005B400000}"/>
    <cellStyle name="Normal 2 5 2 2 3 2 2 3 3" xfId="9806" xr:uid="{00000000-0005-0000-0000-00005C400000}"/>
    <cellStyle name="Normal 2 5 2 2 3 2 2 3 3 2" xfId="35363" xr:uid="{00000000-0005-0000-0000-00005D400000}"/>
    <cellStyle name="Normal 2 5 2 2 3 2 2 3 4" xfId="18629" xr:uid="{00000000-0005-0000-0000-00005E400000}"/>
    <cellStyle name="Normal 2 5 2 2 3 2 2 3 4 2" xfId="44182" xr:uid="{00000000-0005-0000-0000-00005F400000}"/>
    <cellStyle name="Normal 2 5 2 2 3 2 2 3 5" xfId="30119" xr:uid="{00000000-0005-0000-0000-000060400000}"/>
    <cellStyle name="Normal 2 5 2 2 3 2 2 4" xfId="2327" xr:uid="{00000000-0005-0000-0000-000061400000}"/>
    <cellStyle name="Normal 2 5 2 2 3 2 2 4 2" xfId="11692" xr:uid="{00000000-0005-0000-0000-000062400000}"/>
    <cellStyle name="Normal 2 5 2 2 3 2 2 4 2 2" xfId="37247" xr:uid="{00000000-0005-0000-0000-000063400000}"/>
    <cellStyle name="Normal 2 5 2 2 3 2 2 4 3" xfId="21696" xr:uid="{00000000-0005-0000-0000-000064400000}"/>
    <cellStyle name="Normal 2 5 2 2 3 2 2 4 3 2" xfId="47249" xr:uid="{00000000-0005-0000-0000-000065400000}"/>
    <cellStyle name="Normal 2 5 2 2 3 2 2 4 4" xfId="28179" xr:uid="{00000000-0005-0000-0000-000066400000}"/>
    <cellStyle name="Normal 2 5 2 2 3 2 2 5" xfId="6003" xr:uid="{00000000-0005-0000-0000-000067400000}"/>
    <cellStyle name="Normal 2 5 2 2 3 2 2 5 2" xfId="14830" xr:uid="{00000000-0005-0000-0000-000068400000}"/>
    <cellStyle name="Normal 2 5 2 2 3 2 2 5 2 2" xfId="40385" xr:uid="{00000000-0005-0000-0000-000069400000}"/>
    <cellStyle name="Normal 2 5 2 2 3 2 2 5 3" xfId="25081" xr:uid="{00000000-0005-0000-0000-00006A400000}"/>
    <cellStyle name="Normal 2 5 2 2 3 2 2 5 3 2" xfId="50634" xr:uid="{00000000-0005-0000-0000-00006B400000}"/>
    <cellStyle name="Normal 2 5 2 2 3 2 2 5 4" xfId="31564" xr:uid="{00000000-0005-0000-0000-00006C400000}"/>
    <cellStyle name="Normal 2 5 2 2 3 2 2 6" xfId="7447" xr:uid="{00000000-0005-0000-0000-00006D400000}"/>
    <cellStyle name="Normal 2 5 2 2 3 2 2 6 2" xfId="20178" xr:uid="{00000000-0005-0000-0000-00006E400000}"/>
    <cellStyle name="Normal 2 5 2 2 3 2 2 6 2 2" xfId="45731" xr:uid="{00000000-0005-0000-0000-00006F400000}"/>
    <cellStyle name="Normal 2 5 2 2 3 2 2 6 3" xfId="33004" xr:uid="{00000000-0005-0000-0000-000070400000}"/>
    <cellStyle name="Normal 2 5 2 2 3 2 2 7" xfId="16689" xr:uid="{00000000-0005-0000-0000-000071400000}"/>
    <cellStyle name="Normal 2 5 2 2 3 2 2 7 2" xfId="42242" xr:uid="{00000000-0005-0000-0000-000072400000}"/>
    <cellStyle name="Normal 2 5 2 2 3 2 2 8" xfId="26661" xr:uid="{00000000-0005-0000-0000-000073400000}"/>
    <cellStyle name="Normal 2 5 2 2 3 2 3" xfId="1364" xr:uid="{00000000-0005-0000-0000-000074400000}"/>
    <cellStyle name="Normal 2 5 2 2 3 2 3 2" xfId="3793" xr:uid="{00000000-0005-0000-0000-000075400000}"/>
    <cellStyle name="Normal 2 5 2 2 3 2 3 2 2" xfId="12929" xr:uid="{00000000-0005-0000-0000-000076400000}"/>
    <cellStyle name="Normal 2 5 2 2 3 2 3 2 2 2" xfId="23148" xr:uid="{00000000-0005-0000-0000-000077400000}"/>
    <cellStyle name="Normal 2 5 2 2 3 2 3 2 2 2 2" xfId="48701" xr:uid="{00000000-0005-0000-0000-000078400000}"/>
    <cellStyle name="Normal 2 5 2 2 3 2 3 2 2 3" xfId="38484" xr:uid="{00000000-0005-0000-0000-000079400000}"/>
    <cellStyle name="Normal 2 5 2 2 3 2 3 2 3" xfId="9350" xr:uid="{00000000-0005-0000-0000-00007A400000}"/>
    <cellStyle name="Normal 2 5 2 2 3 2 3 2 3 2" xfId="34907" xr:uid="{00000000-0005-0000-0000-00007B400000}"/>
    <cellStyle name="Normal 2 5 2 2 3 2 3 2 4" xfId="18141" xr:uid="{00000000-0005-0000-0000-00007C400000}"/>
    <cellStyle name="Normal 2 5 2 2 3 2 3 2 4 2" xfId="43694" xr:uid="{00000000-0005-0000-0000-00007D400000}"/>
    <cellStyle name="Normal 2 5 2 2 3 2 3 2 5" xfId="29631" xr:uid="{00000000-0005-0000-0000-00007E400000}"/>
    <cellStyle name="Normal 2 5 2 2 3 2 3 3" xfId="4896" xr:uid="{00000000-0005-0000-0000-00007F400000}"/>
    <cellStyle name="Normal 2 5 2 2 3 2 3 3 2" xfId="13733" xr:uid="{00000000-0005-0000-0000-000080400000}"/>
    <cellStyle name="Normal 2 5 2 2 3 2 3 3 2 2" xfId="23984" xr:uid="{00000000-0005-0000-0000-000081400000}"/>
    <cellStyle name="Normal 2 5 2 2 3 2 3 3 2 2 2" xfId="49537" xr:uid="{00000000-0005-0000-0000-000082400000}"/>
    <cellStyle name="Normal 2 5 2 2 3 2 3 3 2 3" xfId="39288" xr:uid="{00000000-0005-0000-0000-000083400000}"/>
    <cellStyle name="Normal 2 5 2 2 3 2 3 3 3" xfId="10154" xr:uid="{00000000-0005-0000-0000-000084400000}"/>
    <cellStyle name="Normal 2 5 2 2 3 2 3 3 3 2" xfId="35711" xr:uid="{00000000-0005-0000-0000-000085400000}"/>
    <cellStyle name="Normal 2 5 2 2 3 2 3 3 4" xfId="18977" xr:uid="{00000000-0005-0000-0000-000086400000}"/>
    <cellStyle name="Normal 2 5 2 2 3 2 3 3 4 2" xfId="44530" xr:uid="{00000000-0005-0000-0000-000087400000}"/>
    <cellStyle name="Normal 2 5 2 2 3 2 3 3 5" xfId="30467" xr:uid="{00000000-0005-0000-0000-000088400000}"/>
    <cellStyle name="Normal 2 5 2 2 3 2 3 4" xfId="2187" xr:uid="{00000000-0005-0000-0000-000089400000}"/>
    <cellStyle name="Normal 2 5 2 2 3 2 3 4 2" xfId="11552" xr:uid="{00000000-0005-0000-0000-00008A400000}"/>
    <cellStyle name="Normal 2 5 2 2 3 2 3 4 2 2" xfId="37107" xr:uid="{00000000-0005-0000-0000-00008B400000}"/>
    <cellStyle name="Normal 2 5 2 2 3 2 3 4 3" xfId="21556" xr:uid="{00000000-0005-0000-0000-00008C400000}"/>
    <cellStyle name="Normal 2 5 2 2 3 2 3 4 3 2" xfId="47109" xr:uid="{00000000-0005-0000-0000-00008D400000}"/>
    <cellStyle name="Normal 2 5 2 2 3 2 3 4 4" xfId="28039" xr:uid="{00000000-0005-0000-0000-00008E400000}"/>
    <cellStyle name="Normal 2 5 2 2 3 2 3 5" xfId="6351" xr:uid="{00000000-0005-0000-0000-00008F400000}"/>
    <cellStyle name="Normal 2 5 2 2 3 2 3 5 2" xfId="15178" xr:uid="{00000000-0005-0000-0000-000090400000}"/>
    <cellStyle name="Normal 2 5 2 2 3 2 3 5 2 2" xfId="40733" xr:uid="{00000000-0005-0000-0000-000091400000}"/>
    <cellStyle name="Normal 2 5 2 2 3 2 3 5 3" xfId="25429" xr:uid="{00000000-0005-0000-0000-000092400000}"/>
    <cellStyle name="Normal 2 5 2 2 3 2 3 5 3 2" xfId="50982" xr:uid="{00000000-0005-0000-0000-000093400000}"/>
    <cellStyle name="Normal 2 5 2 2 3 2 3 5 4" xfId="31912" xr:uid="{00000000-0005-0000-0000-000094400000}"/>
    <cellStyle name="Normal 2 5 2 2 3 2 3 6" xfId="7797" xr:uid="{00000000-0005-0000-0000-000095400000}"/>
    <cellStyle name="Normal 2 5 2 2 3 2 3 6 2" xfId="20747" xr:uid="{00000000-0005-0000-0000-000096400000}"/>
    <cellStyle name="Normal 2 5 2 2 3 2 3 6 2 2" xfId="46300" xr:uid="{00000000-0005-0000-0000-000097400000}"/>
    <cellStyle name="Normal 2 5 2 2 3 2 3 6 3" xfId="33354" xr:uid="{00000000-0005-0000-0000-000098400000}"/>
    <cellStyle name="Normal 2 5 2 2 3 2 3 7" xfId="16549" xr:uid="{00000000-0005-0000-0000-000099400000}"/>
    <cellStyle name="Normal 2 5 2 2 3 2 3 7 2" xfId="42102" xr:uid="{00000000-0005-0000-0000-00009A400000}"/>
    <cellStyle name="Normal 2 5 2 2 3 2 3 8" xfId="27230" xr:uid="{00000000-0005-0000-0000-00009B400000}"/>
    <cellStyle name="Normal 2 5 2 2 3 2 4" xfId="3078" xr:uid="{00000000-0005-0000-0000-00009C400000}"/>
    <cellStyle name="Normal 2 5 2 2 3 2 4 2" xfId="5456" xr:uid="{00000000-0005-0000-0000-00009D400000}"/>
    <cellStyle name="Normal 2 5 2 2 3 2 4 2 2" xfId="14293" xr:uid="{00000000-0005-0000-0000-00009E400000}"/>
    <cellStyle name="Normal 2 5 2 2 3 2 4 2 2 2" xfId="24544" xr:uid="{00000000-0005-0000-0000-00009F400000}"/>
    <cellStyle name="Normal 2 5 2 2 3 2 4 2 2 2 2" xfId="50097" xr:uid="{00000000-0005-0000-0000-0000A0400000}"/>
    <cellStyle name="Normal 2 5 2 2 3 2 4 2 2 3" xfId="39848" xr:uid="{00000000-0005-0000-0000-0000A1400000}"/>
    <cellStyle name="Normal 2 5 2 2 3 2 4 2 3" xfId="10714" xr:uid="{00000000-0005-0000-0000-0000A2400000}"/>
    <cellStyle name="Normal 2 5 2 2 3 2 4 2 3 2" xfId="36271" xr:uid="{00000000-0005-0000-0000-0000A3400000}"/>
    <cellStyle name="Normal 2 5 2 2 3 2 4 2 4" xfId="19537" xr:uid="{00000000-0005-0000-0000-0000A4400000}"/>
    <cellStyle name="Normal 2 5 2 2 3 2 4 2 4 2" xfId="45090" xr:uid="{00000000-0005-0000-0000-0000A5400000}"/>
    <cellStyle name="Normal 2 5 2 2 3 2 4 2 5" xfId="31027" xr:uid="{00000000-0005-0000-0000-0000A6400000}"/>
    <cellStyle name="Normal 2 5 2 2 3 2 4 3" xfId="6911" xr:uid="{00000000-0005-0000-0000-0000A7400000}"/>
    <cellStyle name="Normal 2 5 2 2 3 2 4 3 2" xfId="15738" xr:uid="{00000000-0005-0000-0000-0000A8400000}"/>
    <cellStyle name="Normal 2 5 2 2 3 2 4 3 2 2" xfId="41293" xr:uid="{00000000-0005-0000-0000-0000A9400000}"/>
    <cellStyle name="Normal 2 5 2 2 3 2 4 3 3" xfId="25989" xr:uid="{00000000-0005-0000-0000-0000AA400000}"/>
    <cellStyle name="Normal 2 5 2 2 3 2 4 3 3 2" xfId="51542" xr:uid="{00000000-0005-0000-0000-0000AB400000}"/>
    <cellStyle name="Normal 2 5 2 2 3 2 4 3 4" xfId="32472" xr:uid="{00000000-0005-0000-0000-0000AC400000}"/>
    <cellStyle name="Normal 2 5 2 2 3 2 4 4" xfId="8357" xr:uid="{00000000-0005-0000-0000-0000AD400000}"/>
    <cellStyle name="Normal 2 5 2 2 3 2 4 4 2" xfId="22439" xr:uid="{00000000-0005-0000-0000-0000AE400000}"/>
    <cellStyle name="Normal 2 5 2 2 3 2 4 4 2 2" xfId="47992" xr:uid="{00000000-0005-0000-0000-0000AF400000}"/>
    <cellStyle name="Normal 2 5 2 2 3 2 4 4 3" xfId="33914" xr:uid="{00000000-0005-0000-0000-0000B0400000}"/>
    <cellStyle name="Normal 2 5 2 2 3 2 4 5" xfId="17432" xr:uid="{00000000-0005-0000-0000-0000B1400000}"/>
    <cellStyle name="Normal 2 5 2 2 3 2 4 5 2" xfId="42985" xr:uid="{00000000-0005-0000-0000-0000B2400000}"/>
    <cellStyle name="Normal 2 5 2 2 3 2 4 6" xfId="28922" xr:uid="{00000000-0005-0000-0000-0000B3400000}"/>
    <cellStyle name="Normal 2 5 2 2 3 2 5" xfId="4412" xr:uid="{00000000-0005-0000-0000-0000B4400000}"/>
    <cellStyle name="Normal 2 5 2 2 3 2 5 2" xfId="13250" xr:uid="{00000000-0005-0000-0000-0000B5400000}"/>
    <cellStyle name="Normal 2 5 2 2 3 2 5 2 2" xfId="23501" xr:uid="{00000000-0005-0000-0000-0000B6400000}"/>
    <cellStyle name="Normal 2 5 2 2 3 2 5 2 2 2" xfId="49054" xr:uid="{00000000-0005-0000-0000-0000B7400000}"/>
    <cellStyle name="Normal 2 5 2 2 3 2 5 2 3" xfId="38805" xr:uid="{00000000-0005-0000-0000-0000B8400000}"/>
    <cellStyle name="Normal 2 5 2 2 3 2 5 3" xfId="9671" xr:uid="{00000000-0005-0000-0000-0000B9400000}"/>
    <cellStyle name="Normal 2 5 2 2 3 2 5 3 2" xfId="35228" xr:uid="{00000000-0005-0000-0000-0000BA400000}"/>
    <cellStyle name="Normal 2 5 2 2 3 2 5 4" xfId="18494" xr:uid="{00000000-0005-0000-0000-0000BB400000}"/>
    <cellStyle name="Normal 2 5 2 2 3 2 5 4 2" xfId="44047" xr:uid="{00000000-0005-0000-0000-0000BC400000}"/>
    <cellStyle name="Normal 2 5 2 2 3 2 5 5" xfId="29984" xr:uid="{00000000-0005-0000-0000-0000BD400000}"/>
    <cellStyle name="Normal 2 5 2 2 3 2 6" xfId="1684" xr:uid="{00000000-0005-0000-0000-0000BE400000}"/>
    <cellStyle name="Normal 2 5 2 2 3 2 6 2" xfId="11061" xr:uid="{00000000-0005-0000-0000-0000BF400000}"/>
    <cellStyle name="Normal 2 5 2 2 3 2 6 2 2" xfId="36616" xr:uid="{00000000-0005-0000-0000-0000C0400000}"/>
    <cellStyle name="Normal 2 5 2 2 3 2 6 3" xfId="21065" xr:uid="{00000000-0005-0000-0000-0000C1400000}"/>
    <cellStyle name="Normal 2 5 2 2 3 2 6 3 2" xfId="46618" xr:uid="{00000000-0005-0000-0000-0000C2400000}"/>
    <cellStyle name="Normal 2 5 2 2 3 2 6 4" xfId="27548" xr:uid="{00000000-0005-0000-0000-0000C3400000}"/>
    <cellStyle name="Normal 2 5 2 2 3 2 7" xfId="5868" xr:uid="{00000000-0005-0000-0000-0000C4400000}"/>
    <cellStyle name="Normal 2 5 2 2 3 2 7 2" xfId="14695" xr:uid="{00000000-0005-0000-0000-0000C5400000}"/>
    <cellStyle name="Normal 2 5 2 2 3 2 7 2 2" xfId="40250" xr:uid="{00000000-0005-0000-0000-0000C6400000}"/>
    <cellStyle name="Normal 2 5 2 2 3 2 7 3" xfId="24946" xr:uid="{00000000-0005-0000-0000-0000C7400000}"/>
    <cellStyle name="Normal 2 5 2 2 3 2 7 3 2" xfId="50499" xr:uid="{00000000-0005-0000-0000-0000C8400000}"/>
    <cellStyle name="Normal 2 5 2 2 3 2 7 4" xfId="31429" xr:uid="{00000000-0005-0000-0000-0000C9400000}"/>
    <cellStyle name="Normal 2 5 2 2 3 2 8" xfId="7312" xr:uid="{00000000-0005-0000-0000-0000CA400000}"/>
    <cellStyle name="Normal 2 5 2 2 3 2 8 2" xfId="20038" xr:uid="{00000000-0005-0000-0000-0000CB400000}"/>
    <cellStyle name="Normal 2 5 2 2 3 2 8 2 2" xfId="45591" xr:uid="{00000000-0005-0000-0000-0000CC400000}"/>
    <cellStyle name="Normal 2 5 2 2 3 2 8 3" xfId="32869" xr:uid="{00000000-0005-0000-0000-0000CD400000}"/>
    <cellStyle name="Normal 2 5 2 2 3 2 9" xfId="16058" xr:uid="{00000000-0005-0000-0000-0000CE400000}"/>
    <cellStyle name="Normal 2 5 2 2 3 2 9 2" xfId="41611" xr:uid="{00000000-0005-0000-0000-0000CF400000}"/>
    <cellStyle name="Normal 2 5 2 2 3 2_Degree data" xfId="3864" xr:uid="{00000000-0005-0000-0000-0000D0400000}"/>
    <cellStyle name="Normal 2 5 2 2 3 3" xfId="388" xr:uid="{00000000-0005-0000-0000-0000D1400000}"/>
    <cellStyle name="Normal 2 5 2 2 3 3 2" xfId="2874" xr:uid="{00000000-0005-0000-0000-0000D2400000}"/>
    <cellStyle name="Normal 2 5 2 2 3 3 2 2" xfId="12162" xr:uid="{00000000-0005-0000-0000-0000D3400000}"/>
    <cellStyle name="Normal 2 5 2 2 3 3 2 2 2" xfId="22235" xr:uid="{00000000-0005-0000-0000-0000D4400000}"/>
    <cellStyle name="Normal 2 5 2 2 3 3 2 2 2 2" xfId="47788" xr:uid="{00000000-0005-0000-0000-0000D5400000}"/>
    <cellStyle name="Normal 2 5 2 2 3 3 2 2 3" xfId="37717" xr:uid="{00000000-0005-0000-0000-0000D6400000}"/>
    <cellStyle name="Normal 2 5 2 2 3 3 2 3" xfId="8517" xr:uid="{00000000-0005-0000-0000-0000D7400000}"/>
    <cellStyle name="Normal 2 5 2 2 3 3 2 3 2" xfId="34074" xr:uid="{00000000-0005-0000-0000-0000D8400000}"/>
    <cellStyle name="Normal 2 5 2 2 3 3 2 4" xfId="17228" xr:uid="{00000000-0005-0000-0000-0000D9400000}"/>
    <cellStyle name="Normal 2 5 2 2 3 3 2 4 2" xfId="42781" xr:uid="{00000000-0005-0000-0000-0000DA400000}"/>
    <cellStyle name="Normal 2 5 2 2 3 3 2 5" xfId="28718" xr:uid="{00000000-0005-0000-0000-0000DB400000}"/>
    <cellStyle name="Normal 2 5 2 2 3 3 3" xfId="4546" xr:uid="{00000000-0005-0000-0000-0000DC400000}"/>
    <cellStyle name="Normal 2 5 2 2 3 3 3 2" xfId="13384" xr:uid="{00000000-0005-0000-0000-0000DD400000}"/>
    <cellStyle name="Normal 2 5 2 2 3 3 3 2 2" xfId="23635" xr:uid="{00000000-0005-0000-0000-0000DE400000}"/>
    <cellStyle name="Normal 2 5 2 2 3 3 3 2 2 2" xfId="49188" xr:uid="{00000000-0005-0000-0000-0000DF400000}"/>
    <cellStyle name="Normal 2 5 2 2 3 3 3 2 3" xfId="38939" xr:uid="{00000000-0005-0000-0000-0000E0400000}"/>
    <cellStyle name="Normal 2 5 2 2 3 3 3 3" xfId="9805" xr:uid="{00000000-0005-0000-0000-0000E1400000}"/>
    <cellStyle name="Normal 2 5 2 2 3 3 3 3 2" xfId="35362" xr:uid="{00000000-0005-0000-0000-0000E2400000}"/>
    <cellStyle name="Normal 2 5 2 2 3 3 3 4" xfId="18628" xr:uid="{00000000-0005-0000-0000-0000E3400000}"/>
    <cellStyle name="Normal 2 5 2 2 3 3 3 4 2" xfId="44181" xr:uid="{00000000-0005-0000-0000-0000E4400000}"/>
    <cellStyle name="Normal 2 5 2 2 3 3 3 5" xfId="30118" xr:uid="{00000000-0005-0000-0000-0000E5400000}"/>
    <cellStyle name="Normal 2 5 2 2 3 3 4" xfId="1983" xr:uid="{00000000-0005-0000-0000-0000E6400000}"/>
    <cellStyle name="Normal 2 5 2 2 3 3 4 2" xfId="11348" xr:uid="{00000000-0005-0000-0000-0000E7400000}"/>
    <cellStyle name="Normal 2 5 2 2 3 3 4 2 2" xfId="36903" xr:uid="{00000000-0005-0000-0000-0000E8400000}"/>
    <cellStyle name="Normal 2 5 2 2 3 3 4 3" xfId="21352" xr:uid="{00000000-0005-0000-0000-0000E9400000}"/>
    <cellStyle name="Normal 2 5 2 2 3 3 4 3 2" xfId="46905" xr:uid="{00000000-0005-0000-0000-0000EA400000}"/>
    <cellStyle name="Normal 2 5 2 2 3 3 4 4" xfId="27835" xr:uid="{00000000-0005-0000-0000-0000EB400000}"/>
    <cellStyle name="Normal 2 5 2 2 3 3 5" xfId="6002" xr:uid="{00000000-0005-0000-0000-0000EC400000}"/>
    <cellStyle name="Normal 2 5 2 2 3 3 5 2" xfId="14829" xr:uid="{00000000-0005-0000-0000-0000ED400000}"/>
    <cellStyle name="Normal 2 5 2 2 3 3 5 2 2" xfId="40384" xr:uid="{00000000-0005-0000-0000-0000EE400000}"/>
    <cellStyle name="Normal 2 5 2 2 3 3 5 3" xfId="25080" xr:uid="{00000000-0005-0000-0000-0000EF400000}"/>
    <cellStyle name="Normal 2 5 2 2 3 3 5 3 2" xfId="50633" xr:uid="{00000000-0005-0000-0000-0000F0400000}"/>
    <cellStyle name="Normal 2 5 2 2 3 3 5 4" xfId="31563" xr:uid="{00000000-0005-0000-0000-0000F1400000}"/>
    <cellStyle name="Normal 2 5 2 2 3 3 6" xfId="7446" xr:uid="{00000000-0005-0000-0000-0000F2400000}"/>
    <cellStyle name="Normal 2 5 2 2 3 3 6 2" xfId="19834" xr:uid="{00000000-0005-0000-0000-0000F3400000}"/>
    <cellStyle name="Normal 2 5 2 2 3 3 6 2 2" xfId="45387" xr:uid="{00000000-0005-0000-0000-0000F4400000}"/>
    <cellStyle name="Normal 2 5 2 2 3 3 6 3" xfId="33003" xr:uid="{00000000-0005-0000-0000-0000F5400000}"/>
    <cellStyle name="Normal 2 5 2 2 3 3 7" xfId="16345" xr:uid="{00000000-0005-0000-0000-0000F6400000}"/>
    <cellStyle name="Normal 2 5 2 2 3 3 7 2" xfId="41898" xr:uid="{00000000-0005-0000-0000-0000F7400000}"/>
    <cellStyle name="Normal 2 5 2 2 3 3 8" xfId="26317" xr:uid="{00000000-0005-0000-0000-0000F8400000}"/>
    <cellStyle name="Normal 2 5 2 2 3 4" xfId="731" xr:uid="{00000000-0005-0000-0000-0000F9400000}"/>
    <cellStyle name="Normal 2 5 2 2 3 4 2" xfId="3217" xr:uid="{00000000-0005-0000-0000-0000FA400000}"/>
    <cellStyle name="Normal 2 5 2 2 3 4 2 2" xfId="12359" xr:uid="{00000000-0005-0000-0000-0000FB400000}"/>
    <cellStyle name="Normal 2 5 2 2 3 4 2 2 2" xfId="22578" xr:uid="{00000000-0005-0000-0000-0000FC400000}"/>
    <cellStyle name="Normal 2 5 2 2 3 4 2 2 2 2" xfId="48131" xr:uid="{00000000-0005-0000-0000-0000FD400000}"/>
    <cellStyle name="Normal 2 5 2 2 3 4 2 2 3" xfId="37914" xr:uid="{00000000-0005-0000-0000-0000FE400000}"/>
    <cellStyle name="Normal 2 5 2 2 3 4 2 3" xfId="8781" xr:uid="{00000000-0005-0000-0000-0000FF400000}"/>
    <cellStyle name="Normal 2 5 2 2 3 4 2 3 2" xfId="34338" xr:uid="{00000000-0005-0000-0000-000000410000}"/>
    <cellStyle name="Normal 2 5 2 2 3 4 2 4" xfId="17571" xr:uid="{00000000-0005-0000-0000-000001410000}"/>
    <cellStyle name="Normal 2 5 2 2 3 4 2 4 2" xfId="43124" xr:uid="{00000000-0005-0000-0000-000002410000}"/>
    <cellStyle name="Normal 2 5 2 2 3 4 2 5" xfId="29061" xr:uid="{00000000-0005-0000-0000-000003410000}"/>
    <cellStyle name="Normal 2 5 2 2 3 4 3" xfId="4895" xr:uid="{00000000-0005-0000-0000-000004410000}"/>
    <cellStyle name="Normal 2 5 2 2 3 4 3 2" xfId="13732" xr:uid="{00000000-0005-0000-0000-000005410000}"/>
    <cellStyle name="Normal 2 5 2 2 3 4 3 2 2" xfId="23983" xr:uid="{00000000-0005-0000-0000-000006410000}"/>
    <cellStyle name="Normal 2 5 2 2 3 4 3 2 2 2" xfId="49536" xr:uid="{00000000-0005-0000-0000-000007410000}"/>
    <cellStyle name="Normal 2 5 2 2 3 4 3 2 3" xfId="39287" xr:uid="{00000000-0005-0000-0000-000008410000}"/>
    <cellStyle name="Normal 2 5 2 2 3 4 3 3" xfId="10153" xr:uid="{00000000-0005-0000-0000-000009410000}"/>
    <cellStyle name="Normal 2 5 2 2 3 4 3 3 2" xfId="35710" xr:uid="{00000000-0005-0000-0000-00000A410000}"/>
    <cellStyle name="Normal 2 5 2 2 3 4 3 4" xfId="18976" xr:uid="{00000000-0005-0000-0000-00000B410000}"/>
    <cellStyle name="Normal 2 5 2 2 3 4 3 4 2" xfId="44529" xr:uid="{00000000-0005-0000-0000-00000C410000}"/>
    <cellStyle name="Normal 2 5 2 2 3 4 3 5" xfId="30466" xr:uid="{00000000-0005-0000-0000-00000D410000}"/>
    <cellStyle name="Normal 2 5 2 2 3 4 4" xfId="2326" xr:uid="{00000000-0005-0000-0000-00000E410000}"/>
    <cellStyle name="Normal 2 5 2 2 3 4 4 2" xfId="11691" xr:uid="{00000000-0005-0000-0000-00000F410000}"/>
    <cellStyle name="Normal 2 5 2 2 3 4 4 2 2" xfId="37246" xr:uid="{00000000-0005-0000-0000-000010410000}"/>
    <cellStyle name="Normal 2 5 2 2 3 4 4 3" xfId="21695" xr:uid="{00000000-0005-0000-0000-000011410000}"/>
    <cellStyle name="Normal 2 5 2 2 3 4 4 3 2" xfId="47248" xr:uid="{00000000-0005-0000-0000-000012410000}"/>
    <cellStyle name="Normal 2 5 2 2 3 4 4 4" xfId="28178" xr:uid="{00000000-0005-0000-0000-000013410000}"/>
    <cellStyle name="Normal 2 5 2 2 3 4 5" xfId="6350" xr:uid="{00000000-0005-0000-0000-000014410000}"/>
    <cellStyle name="Normal 2 5 2 2 3 4 5 2" xfId="15177" xr:uid="{00000000-0005-0000-0000-000015410000}"/>
    <cellStyle name="Normal 2 5 2 2 3 4 5 2 2" xfId="40732" xr:uid="{00000000-0005-0000-0000-000016410000}"/>
    <cellStyle name="Normal 2 5 2 2 3 4 5 3" xfId="25428" xr:uid="{00000000-0005-0000-0000-000017410000}"/>
    <cellStyle name="Normal 2 5 2 2 3 4 5 3 2" xfId="50981" xr:uid="{00000000-0005-0000-0000-000018410000}"/>
    <cellStyle name="Normal 2 5 2 2 3 4 5 4" xfId="31911" xr:uid="{00000000-0005-0000-0000-000019410000}"/>
    <cellStyle name="Normal 2 5 2 2 3 4 6" xfId="7796" xr:uid="{00000000-0005-0000-0000-00001A410000}"/>
    <cellStyle name="Normal 2 5 2 2 3 4 6 2" xfId="20177" xr:uid="{00000000-0005-0000-0000-00001B410000}"/>
    <cellStyle name="Normal 2 5 2 2 3 4 6 2 2" xfId="45730" xr:uid="{00000000-0005-0000-0000-00001C410000}"/>
    <cellStyle name="Normal 2 5 2 2 3 4 6 3" xfId="33353" xr:uid="{00000000-0005-0000-0000-00001D410000}"/>
    <cellStyle name="Normal 2 5 2 2 3 4 7" xfId="16688" xr:uid="{00000000-0005-0000-0000-00001E410000}"/>
    <cellStyle name="Normal 2 5 2 2 3 4 7 2" xfId="42241" xr:uid="{00000000-0005-0000-0000-00001F410000}"/>
    <cellStyle name="Normal 2 5 2 2 3 4 8" xfId="26660" xr:uid="{00000000-0005-0000-0000-000020410000}"/>
    <cellStyle name="Normal 2 5 2 2 3 5" xfId="1160" xr:uid="{00000000-0005-0000-0000-000021410000}"/>
    <cellStyle name="Normal 2 5 2 2 3 5 2" xfId="3589" xr:uid="{00000000-0005-0000-0000-000022410000}"/>
    <cellStyle name="Normal 2 5 2 2 3 5 2 2" xfId="12725" xr:uid="{00000000-0005-0000-0000-000023410000}"/>
    <cellStyle name="Normal 2 5 2 2 3 5 2 2 2" xfId="22944" xr:uid="{00000000-0005-0000-0000-000024410000}"/>
    <cellStyle name="Normal 2 5 2 2 3 5 2 2 2 2" xfId="48497" xr:uid="{00000000-0005-0000-0000-000025410000}"/>
    <cellStyle name="Normal 2 5 2 2 3 5 2 2 3" xfId="38280" xr:uid="{00000000-0005-0000-0000-000026410000}"/>
    <cellStyle name="Normal 2 5 2 2 3 5 2 3" xfId="9146" xr:uid="{00000000-0005-0000-0000-000027410000}"/>
    <cellStyle name="Normal 2 5 2 2 3 5 2 3 2" xfId="34703" xr:uid="{00000000-0005-0000-0000-000028410000}"/>
    <cellStyle name="Normal 2 5 2 2 3 5 2 4" xfId="17937" xr:uid="{00000000-0005-0000-0000-000029410000}"/>
    <cellStyle name="Normal 2 5 2 2 3 5 2 4 2" xfId="43490" xr:uid="{00000000-0005-0000-0000-00002A410000}"/>
    <cellStyle name="Normal 2 5 2 2 3 5 2 5" xfId="29427" xr:uid="{00000000-0005-0000-0000-00002B410000}"/>
    <cellStyle name="Normal 2 5 2 2 3 5 3" xfId="5252" xr:uid="{00000000-0005-0000-0000-00002C410000}"/>
    <cellStyle name="Normal 2 5 2 2 3 5 3 2" xfId="14089" xr:uid="{00000000-0005-0000-0000-00002D410000}"/>
    <cellStyle name="Normal 2 5 2 2 3 5 3 2 2" xfId="24340" xr:uid="{00000000-0005-0000-0000-00002E410000}"/>
    <cellStyle name="Normal 2 5 2 2 3 5 3 2 2 2" xfId="49893" xr:uid="{00000000-0005-0000-0000-00002F410000}"/>
    <cellStyle name="Normal 2 5 2 2 3 5 3 2 3" xfId="39644" xr:uid="{00000000-0005-0000-0000-000030410000}"/>
    <cellStyle name="Normal 2 5 2 2 3 5 3 3" xfId="10510" xr:uid="{00000000-0005-0000-0000-000031410000}"/>
    <cellStyle name="Normal 2 5 2 2 3 5 3 3 2" xfId="36067" xr:uid="{00000000-0005-0000-0000-000032410000}"/>
    <cellStyle name="Normal 2 5 2 2 3 5 3 4" xfId="19333" xr:uid="{00000000-0005-0000-0000-000033410000}"/>
    <cellStyle name="Normal 2 5 2 2 3 5 3 4 2" xfId="44886" xr:uid="{00000000-0005-0000-0000-000034410000}"/>
    <cellStyle name="Normal 2 5 2 2 3 5 3 5" xfId="30823" xr:uid="{00000000-0005-0000-0000-000035410000}"/>
    <cellStyle name="Normal 2 5 2 2 3 5 4" xfId="1867" xr:uid="{00000000-0005-0000-0000-000036410000}"/>
    <cellStyle name="Normal 2 5 2 2 3 5 4 2" xfId="11235" xr:uid="{00000000-0005-0000-0000-000037410000}"/>
    <cellStyle name="Normal 2 5 2 2 3 5 4 2 2" xfId="36790" xr:uid="{00000000-0005-0000-0000-000038410000}"/>
    <cellStyle name="Normal 2 5 2 2 3 5 4 3" xfId="21239" xr:uid="{00000000-0005-0000-0000-000039410000}"/>
    <cellStyle name="Normal 2 5 2 2 3 5 4 3 2" xfId="46792" xr:uid="{00000000-0005-0000-0000-00003A410000}"/>
    <cellStyle name="Normal 2 5 2 2 3 5 4 4" xfId="27722" xr:uid="{00000000-0005-0000-0000-00003B410000}"/>
    <cellStyle name="Normal 2 5 2 2 3 5 5" xfId="6707" xr:uid="{00000000-0005-0000-0000-00003C410000}"/>
    <cellStyle name="Normal 2 5 2 2 3 5 5 2" xfId="15534" xr:uid="{00000000-0005-0000-0000-00003D410000}"/>
    <cellStyle name="Normal 2 5 2 2 3 5 5 2 2" xfId="41089" xr:uid="{00000000-0005-0000-0000-00003E410000}"/>
    <cellStyle name="Normal 2 5 2 2 3 5 5 3" xfId="25785" xr:uid="{00000000-0005-0000-0000-00003F410000}"/>
    <cellStyle name="Normal 2 5 2 2 3 5 5 3 2" xfId="51338" xr:uid="{00000000-0005-0000-0000-000040410000}"/>
    <cellStyle name="Normal 2 5 2 2 3 5 5 4" xfId="32268" xr:uid="{00000000-0005-0000-0000-000041410000}"/>
    <cellStyle name="Normal 2 5 2 2 3 5 6" xfId="8153" xr:uid="{00000000-0005-0000-0000-000042410000}"/>
    <cellStyle name="Normal 2 5 2 2 3 5 6 2" xfId="20543" xr:uid="{00000000-0005-0000-0000-000043410000}"/>
    <cellStyle name="Normal 2 5 2 2 3 5 6 2 2" xfId="46096" xr:uid="{00000000-0005-0000-0000-000044410000}"/>
    <cellStyle name="Normal 2 5 2 2 3 5 6 3" xfId="33710" xr:uid="{00000000-0005-0000-0000-000045410000}"/>
    <cellStyle name="Normal 2 5 2 2 3 5 7" xfId="16232" xr:uid="{00000000-0005-0000-0000-000046410000}"/>
    <cellStyle name="Normal 2 5 2 2 3 5 7 2" xfId="41785" xr:uid="{00000000-0005-0000-0000-000047410000}"/>
    <cellStyle name="Normal 2 5 2 2 3 5 8" xfId="27026" xr:uid="{00000000-0005-0000-0000-000048410000}"/>
    <cellStyle name="Normal 2 5 2 2 3 6" xfId="2761" xr:uid="{00000000-0005-0000-0000-000049410000}"/>
    <cellStyle name="Normal 2 5 2 2 3 6 2" xfId="12078" xr:uid="{00000000-0005-0000-0000-00004A410000}"/>
    <cellStyle name="Normal 2 5 2 2 3 6 2 2" xfId="22122" xr:uid="{00000000-0005-0000-0000-00004B410000}"/>
    <cellStyle name="Normal 2 5 2 2 3 6 2 2 2" xfId="47675" xr:uid="{00000000-0005-0000-0000-00004C410000}"/>
    <cellStyle name="Normal 2 5 2 2 3 6 2 3" xfId="37633" xr:uid="{00000000-0005-0000-0000-00004D410000}"/>
    <cellStyle name="Normal 2 5 2 2 3 6 3" xfId="8538" xr:uid="{00000000-0005-0000-0000-00004E410000}"/>
    <cellStyle name="Normal 2 5 2 2 3 6 3 2" xfId="34095" xr:uid="{00000000-0005-0000-0000-00004F410000}"/>
    <cellStyle name="Normal 2 5 2 2 3 6 4" xfId="17115" xr:uid="{00000000-0005-0000-0000-000050410000}"/>
    <cellStyle name="Normal 2 5 2 2 3 6 4 2" xfId="42668" xr:uid="{00000000-0005-0000-0000-000051410000}"/>
    <cellStyle name="Normal 2 5 2 2 3 6 5" xfId="28605" xr:uid="{00000000-0005-0000-0000-000052410000}"/>
    <cellStyle name="Normal 2 5 2 2 3 7" xfId="4208" xr:uid="{00000000-0005-0000-0000-000053410000}"/>
    <cellStyle name="Normal 2 5 2 2 3 7 2" xfId="13046" xr:uid="{00000000-0005-0000-0000-000054410000}"/>
    <cellStyle name="Normal 2 5 2 2 3 7 2 2" xfId="23297" xr:uid="{00000000-0005-0000-0000-000055410000}"/>
    <cellStyle name="Normal 2 5 2 2 3 7 2 2 2" xfId="48850" xr:uid="{00000000-0005-0000-0000-000056410000}"/>
    <cellStyle name="Normal 2 5 2 2 3 7 2 3" xfId="38601" xr:uid="{00000000-0005-0000-0000-000057410000}"/>
    <cellStyle name="Normal 2 5 2 2 3 7 3" xfId="9467" xr:uid="{00000000-0005-0000-0000-000058410000}"/>
    <cellStyle name="Normal 2 5 2 2 3 7 3 2" xfId="35024" xr:uid="{00000000-0005-0000-0000-000059410000}"/>
    <cellStyle name="Normal 2 5 2 2 3 7 4" xfId="18290" xr:uid="{00000000-0005-0000-0000-00005A410000}"/>
    <cellStyle name="Normal 2 5 2 2 3 7 4 2" xfId="43843" xr:uid="{00000000-0005-0000-0000-00005B410000}"/>
    <cellStyle name="Normal 2 5 2 2 3 7 5" xfId="29780" xr:uid="{00000000-0005-0000-0000-00005C410000}"/>
    <cellStyle name="Normal 2 5 2 2 3 8" xfId="1480" xr:uid="{00000000-0005-0000-0000-00005D410000}"/>
    <cellStyle name="Normal 2 5 2 2 3 8 2" xfId="10857" xr:uid="{00000000-0005-0000-0000-00005E410000}"/>
    <cellStyle name="Normal 2 5 2 2 3 8 2 2" xfId="36412" xr:uid="{00000000-0005-0000-0000-00005F410000}"/>
    <cellStyle name="Normal 2 5 2 2 3 8 3" xfId="20861" xr:uid="{00000000-0005-0000-0000-000060410000}"/>
    <cellStyle name="Normal 2 5 2 2 3 8 3 2" xfId="46414" xr:uid="{00000000-0005-0000-0000-000061410000}"/>
    <cellStyle name="Normal 2 5 2 2 3 8 4" xfId="27344" xr:uid="{00000000-0005-0000-0000-000062410000}"/>
    <cellStyle name="Normal 2 5 2 2 3 9" xfId="5664" xr:uid="{00000000-0005-0000-0000-000063410000}"/>
    <cellStyle name="Normal 2 5 2 2 3 9 2" xfId="14491" xr:uid="{00000000-0005-0000-0000-000064410000}"/>
    <cellStyle name="Normal 2 5 2 2 3 9 2 2" xfId="40046" xr:uid="{00000000-0005-0000-0000-000065410000}"/>
    <cellStyle name="Normal 2 5 2 2 3 9 3" xfId="24742" xr:uid="{00000000-0005-0000-0000-000066410000}"/>
    <cellStyle name="Normal 2 5 2 2 3 9 3 2" xfId="50295" xr:uid="{00000000-0005-0000-0000-000067410000}"/>
    <cellStyle name="Normal 2 5 2 2 3 9 4" xfId="31225" xr:uid="{00000000-0005-0000-0000-000068410000}"/>
    <cellStyle name="Normal 2 5 2 2 3_Degree data" xfId="3819" xr:uid="{00000000-0005-0000-0000-000069410000}"/>
    <cellStyle name="Normal 2 5 2 2 4" xfId="488" xr:uid="{00000000-0005-0000-0000-00006A410000}"/>
    <cellStyle name="Normal 2 5 2 2 4 10" xfId="26417" xr:uid="{00000000-0005-0000-0000-00006B410000}"/>
    <cellStyle name="Normal 2 5 2 2 4 2" xfId="733" xr:uid="{00000000-0005-0000-0000-00006C410000}"/>
    <cellStyle name="Normal 2 5 2 2 4 2 2" xfId="3219" xr:uid="{00000000-0005-0000-0000-00006D410000}"/>
    <cellStyle name="Normal 2 5 2 2 4 2 2 2" xfId="12361" xr:uid="{00000000-0005-0000-0000-00006E410000}"/>
    <cellStyle name="Normal 2 5 2 2 4 2 2 2 2" xfId="22580" xr:uid="{00000000-0005-0000-0000-00006F410000}"/>
    <cellStyle name="Normal 2 5 2 2 4 2 2 2 2 2" xfId="48133" xr:uid="{00000000-0005-0000-0000-000070410000}"/>
    <cellStyle name="Normal 2 5 2 2 4 2 2 2 3" xfId="37916" xr:uid="{00000000-0005-0000-0000-000071410000}"/>
    <cellStyle name="Normal 2 5 2 2 4 2 2 3" xfId="8783" xr:uid="{00000000-0005-0000-0000-000072410000}"/>
    <cellStyle name="Normal 2 5 2 2 4 2 2 3 2" xfId="34340" xr:uid="{00000000-0005-0000-0000-000073410000}"/>
    <cellStyle name="Normal 2 5 2 2 4 2 2 4" xfId="17573" xr:uid="{00000000-0005-0000-0000-000074410000}"/>
    <cellStyle name="Normal 2 5 2 2 4 2 2 4 2" xfId="43126" xr:uid="{00000000-0005-0000-0000-000075410000}"/>
    <cellStyle name="Normal 2 5 2 2 4 2 2 5" xfId="29063" xr:uid="{00000000-0005-0000-0000-000076410000}"/>
    <cellStyle name="Normal 2 5 2 2 4 2 3" xfId="4548" xr:uid="{00000000-0005-0000-0000-000077410000}"/>
    <cellStyle name="Normal 2 5 2 2 4 2 3 2" xfId="13386" xr:uid="{00000000-0005-0000-0000-000078410000}"/>
    <cellStyle name="Normal 2 5 2 2 4 2 3 2 2" xfId="23637" xr:uid="{00000000-0005-0000-0000-000079410000}"/>
    <cellStyle name="Normal 2 5 2 2 4 2 3 2 2 2" xfId="49190" xr:uid="{00000000-0005-0000-0000-00007A410000}"/>
    <cellStyle name="Normal 2 5 2 2 4 2 3 2 3" xfId="38941" xr:uid="{00000000-0005-0000-0000-00007B410000}"/>
    <cellStyle name="Normal 2 5 2 2 4 2 3 3" xfId="9807" xr:uid="{00000000-0005-0000-0000-00007C410000}"/>
    <cellStyle name="Normal 2 5 2 2 4 2 3 3 2" xfId="35364" xr:uid="{00000000-0005-0000-0000-00007D410000}"/>
    <cellStyle name="Normal 2 5 2 2 4 2 3 4" xfId="18630" xr:uid="{00000000-0005-0000-0000-00007E410000}"/>
    <cellStyle name="Normal 2 5 2 2 4 2 3 4 2" xfId="44183" xr:uid="{00000000-0005-0000-0000-00007F410000}"/>
    <cellStyle name="Normal 2 5 2 2 4 2 3 5" xfId="30120" xr:uid="{00000000-0005-0000-0000-000080410000}"/>
    <cellStyle name="Normal 2 5 2 2 4 2 4" xfId="2328" xr:uid="{00000000-0005-0000-0000-000081410000}"/>
    <cellStyle name="Normal 2 5 2 2 4 2 4 2" xfId="11693" xr:uid="{00000000-0005-0000-0000-000082410000}"/>
    <cellStyle name="Normal 2 5 2 2 4 2 4 2 2" xfId="37248" xr:uid="{00000000-0005-0000-0000-000083410000}"/>
    <cellStyle name="Normal 2 5 2 2 4 2 4 3" xfId="21697" xr:uid="{00000000-0005-0000-0000-000084410000}"/>
    <cellStyle name="Normal 2 5 2 2 4 2 4 3 2" xfId="47250" xr:uid="{00000000-0005-0000-0000-000085410000}"/>
    <cellStyle name="Normal 2 5 2 2 4 2 4 4" xfId="28180" xr:uid="{00000000-0005-0000-0000-000086410000}"/>
    <cellStyle name="Normal 2 5 2 2 4 2 5" xfId="6004" xr:uid="{00000000-0005-0000-0000-000087410000}"/>
    <cellStyle name="Normal 2 5 2 2 4 2 5 2" xfId="14831" xr:uid="{00000000-0005-0000-0000-000088410000}"/>
    <cellStyle name="Normal 2 5 2 2 4 2 5 2 2" xfId="40386" xr:uid="{00000000-0005-0000-0000-000089410000}"/>
    <cellStyle name="Normal 2 5 2 2 4 2 5 3" xfId="25082" xr:uid="{00000000-0005-0000-0000-00008A410000}"/>
    <cellStyle name="Normal 2 5 2 2 4 2 5 3 2" xfId="50635" xr:uid="{00000000-0005-0000-0000-00008B410000}"/>
    <cellStyle name="Normal 2 5 2 2 4 2 5 4" xfId="31565" xr:uid="{00000000-0005-0000-0000-00008C410000}"/>
    <cellStyle name="Normal 2 5 2 2 4 2 6" xfId="7448" xr:uid="{00000000-0005-0000-0000-00008D410000}"/>
    <cellStyle name="Normal 2 5 2 2 4 2 6 2" xfId="20179" xr:uid="{00000000-0005-0000-0000-00008E410000}"/>
    <cellStyle name="Normal 2 5 2 2 4 2 6 2 2" xfId="45732" xr:uid="{00000000-0005-0000-0000-00008F410000}"/>
    <cellStyle name="Normal 2 5 2 2 4 2 6 3" xfId="33005" xr:uid="{00000000-0005-0000-0000-000090410000}"/>
    <cellStyle name="Normal 2 5 2 2 4 2 7" xfId="16690" xr:uid="{00000000-0005-0000-0000-000091410000}"/>
    <cellStyle name="Normal 2 5 2 2 4 2 7 2" xfId="42243" xr:uid="{00000000-0005-0000-0000-000092410000}"/>
    <cellStyle name="Normal 2 5 2 2 4 2 8" xfId="26662" xr:uid="{00000000-0005-0000-0000-000093410000}"/>
    <cellStyle name="Normal 2 5 2 2 4 3" xfId="1260" xr:uid="{00000000-0005-0000-0000-000094410000}"/>
    <cellStyle name="Normal 2 5 2 2 4 3 2" xfId="3689" xr:uid="{00000000-0005-0000-0000-000095410000}"/>
    <cellStyle name="Normal 2 5 2 2 4 3 2 2" xfId="12825" xr:uid="{00000000-0005-0000-0000-000096410000}"/>
    <cellStyle name="Normal 2 5 2 2 4 3 2 2 2" xfId="23044" xr:uid="{00000000-0005-0000-0000-000097410000}"/>
    <cellStyle name="Normal 2 5 2 2 4 3 2 2 2 2" xfId="48597" xr:uid="{00000000-0005-0000-0000-000098410000}"/>
    <cellStyle name="Normal 2 5 2 2 4 3 2 2 3" xfId="38380" xr:uid="{00000000-0005-0000-0000-000099410000}"/>
    <cellStyle name="Normal 2 5 2 2 4 3 2 3" xfId="9246" xr:uid="{00000000-0005-0000-0000-00009A410000}"/>
    <cellStyle name="Normal 2 5 2 2 4 3 2 3 2" xfId="34803" xr:uid="{00000000-0005-0000-0000-00009B410000}"/>
    <cellStyle name="Normal 2 5 2 2 4 3 2 4" xfId="18037" xr:uid="{00000000-0005-0000-0000-00009C410000}"/>
    <cellStyle name="Normal 2 5 2 2 4 3 2 4 2" xfId="43590" xr:uid="{00000000-0005-0000-0000-00009D410000}"/>
    <cellStyle name="Normal 2 5 2 2 4 3 2 5" xfId="29527" xr:uid="{00000000-0005-0000-0000-00009E410000}"/>
    <cellStyle name="Normal 2 5 2 2 4 3 3" xfId="4897" xr:uid="{00000000-0005-0000-0000-00009F410000}"/>
    <cellStyle name="Normal 2 5 2 2 4 3 3 2" xfId="13734" xr:uid="{00000000-0005-0000-0000-0000A0410000}"/>
    <cellStyle name="Normal 2 5 2 2 4 3 3 2 2" xfId="23985" xr:uid="{00000000-0005-0000-0000-0000A1410000}"/>
    <cellStyle name="Normal 2 5 2 2 4 3 3 2 2 2" xfId="49538" xr:uid="{00000000-0005-0000-0000-0000A2410000}"/>
    <cellStyle name="Normal 2 5 2 2 4 3 3 2 3" xfId="39289" xr:uid="{00000000-0005-0000-0000-0000A3410000}"/>
    <cellStyle name="Normal 2 5 2 2 4 3 3 3" xfId="10155" xr:uid="{00000000-0005-0000-0000-0000A4410000}"/>
    <cellStyle name="Normal 2 5 2 2 4 3 3 3 2" xfId="35712" xr:uid="{00000000-0005-0000-0000-0000A5410000}"/>
    <cellStyle name="Normal 2 5 2 2 4 3 3 4" xfId="18978" xr:uid="{00000000-0005-0000-0000-0000A6410000}"/>
    <cellStyle name="Normal 2 5 2 2 4 3 3 4 2" xfId="44531" xr:uid="{00000000-0005-0000-0000-0000A7410000}"/>
    <cellStyle name="Normal 2 5 2 2 4 3 3 5" xfId="30468" xr:uid="{00000000-0005-0000-0000-0000A8410000}"/>
    <cellStyle name="Normal 2 5 2 2 4 3 4" xfId="2083" xr:uid="{00000000-0005-0000-0000-0000A9410000}"/>
    <cellStyle name="Normal 2 5 2 2 4 3 4 2" xfId="11448" xr:uid="{00000000-0005-0000-0000-0000AA410000}"/>
    <cellStyle name="Normal 2 5 2 2 4 3 4 2 2" xfId="37003" xr:uid="{00000000-0005-0000-0000-0000AB410000}"/>
    <cellStyle name="Normal 2 5 2 2 4 3 4 3" xfId="21452" xr:uid="{00000000-0005-0000-0000-0000AC410000}"/>
    <cellStyle name="Normal 2 5 2 2 4 3 4 3 2" xfId="47005" xr:uid="{00000000-0005-0000-0000-0000AD410000}"/>
    <cellStyle name="Normal 2 5 2 2 4 3 4 4" xfId="27935" xr:uid="{00000000-0005-0000-0000-0000AE410000}"/>
    <cellStyle name="Normal 2 5 2 2 4 3 5" xfId="6352" xr:uid="{00000000-0005-0000-0000-0000AF410000}"/>
    <cellStyle name="Normal 2 5 2 2 4 3 5 2" xfId="15179" xr:uid="{00000000-0005-0000-0000-0000B0410000}"/>
    <cellStyle name="Normal 2 5 2 2 4 3 5 2 2" xfId="40734" xr:uid="{00000000-0005-0000-0000-0000B1410000}"/>
    <cellStyle name="Normal 2 5 2 2 4 3 5 3" xfId="25430" xr:uid="{00000000-0005-0000-0000-0000B2410000}"/>
    <cellStyle name="Normal 2 5 2 2 4 3 5 3 2" xfId="50983" xr:uid="{00000000-0005-0000-0000-0000B3410000}"/>
    <cellStyle name="Normal 2 5 2 2 4 3 5 4" xfId="31913" xr:uid="{00000000-0005-0000-0000-0000B4410000}"/>
    <cellStyle name="Normal 2 5 2 2 4 3 6" xfId="7798" xr:uid="{00000000-0005-0000-0000-0000B5410000}"/>
    <cellStyle name="Normal 2 5 2 2 4 3 6 2" xfId="20643" xr:uid="{00000000-0005-0000-0000-0000B6410000}"/>
    <cellStyle name="Normal 2 5 2 2 4 3 6 2 2" xfId="46196" xr:uid="{00000000-0005-0000-0000-0000B7410000}"/>
    <cellStyle name="Normal 2 5 2 2 4 3 6 3" xfId="33355" xr:uid="{00000000-0005-0000-0000-0000B8410000}"/>
    <cellStyle name="Normal 2 5 2 2 4 3 7" xfId="16445" xr:uid="{00000000-0005-0000-0000-0000B9410000}"/>
    <cellStyle name="Normal 2 5 2 2 4 3 7 2" xfId="41998" xr:uid="{00000000-0005-0000-0000-0000BA410000}"/>
    <cellStyle name="Normal 2 5 2 2 4 3 8" xfId="27126" xr:uid="{00000000-0005-0000-0000-0000BB410000}"/>
    <cellStyle name="Normal 2 5 2 2 4 4" xfId="2974" xr:uid="{00000000-0005-0000-0000-0000BC410000}"/>
    <cellStyle name="Normal 2 5 2 2 4 4 2" xfId="5352" xr:uid="{00000000-0005-0000-0000-0000BD410000}"/>
    <cellStyle name="Normal 2 5 2 2 4 4 2 2" xfId="14189" xr:uid="{00000000-0005-0000-0000-0000BE410000}"/>
    <cellStyle name="Normal 2 5 2 2 4 4 2 2 2" xfId="24440" xr:uid="{00000000-0005-0000-0000-0000BF410000}"/>
    <cellStyle name="Normal 2 5 2 2 4 4 2 2 2 2" xfId="49993" xr:uid="{00000000-0005-0000-0000-0000C0410000}"/>
    <cellStyle name="Normal 2 5 2 2 4 4 2 2 3" xfId="39744" xr:uid="{00000000-0005-0000-0000-0000C1410000}"/>
    <cellStyle name="Normal 2 5 2 2 4 4 2 3" xfId="10610" xr:uid="{00000000-0005-0000-0000-0000C2410000}"/>
    <cellStyle name="Normal 2 5 2 2 4 4 2 3 2" xfId="36167" xr:uid="{00000000-0005-0000-0000-0000C3410000}"/>
    <cellStyle name="Normal 2 5 2 2 4 4 2 4" xfId="19433" xr:uid="{00000000-0005-0000-0000-0000C4410000}"/>
    <cellStyle name="Normal 2 5 2 2 4 4 2 4 2" xfId="44986" xr:uid="{00000000-0005-0000-0000-0000C5410000}"/>
    <cellStyle name="Normal 2 5 2 2 4 4 2 5" xfId="30923" xr:uid="{00000000-0005-0000-0000-0000C6410000}"/>
    <cellStyle name="Normal 2 5 2 2 4 4 3" xfId="6807" xr:uid="{00000000-0005-0000-0000-0000C7410000}"/>
    <cellStyle name="Normal 2 5 2 2 4 4 3 2" xfId="15634" xr:uid="{00000000-0005-0000-0000-0000C8410000}"/>
    <cellStyle name="Normal 2 5 2 2 4 4 3 2 2" xfId="41189" xr:uid="{00000000-0005-0000-0000-0000C9410000}"/>
    <cellStyle name="Normal 2 5 2 2 4 4 3 3" xfId="25885" xr:uid="{00000000-0005-0000-0000-0000CA410000}"/>
    <cellStyle name="Normal 2 5 2 2 4 4 3 3 2" xfId="51438" xr:uid="{00000000-0005-0000-0000-0000CB410000}"/>
    <cellStyle name="Normal 2 5 2 2 4 4 3 4" xfId="32368" xr:uid="{00000000-0005-0000-0000-0000CC410000}"/>
    <cellStyle name="Normal 2 5 2 2 4 4 4" xfId="8253" xr:uid="{00000000-0005-0000-0000-0000CD410000}"/>
    <cellStyle name="Normal 2 5 2 2 4 4 4 2" xfId="22335" xr:uid="{00000000-0005-0000-0000-0000CE410000}"/>
    <cellStyle name="Normal 2 5 2 2 4 4 4 2 2" xfId="47888" xr:uid="{00000000-0005-0000-0000-0000CF410000}"/>
    <cellStyle name="Normal 2 5 2 2 4 4 4 3" xfId="33810" xr:uid="{00000000-0005-0000-0000-0000D0410000}"/>
    <cellStyle name="Normal 2 5 2 2 4 4 5" xfId="17328" xr:uid="{00000000-0005-0000-0000-0000D1410000}"/>
    <cellStyle name="Normal 2 5 2 2 4 4 5 2" xfId="42881" xr:uid="{00000000-0005-0000-0000-0000D2410000}"/>
    <cellStyle name="Normal 2 5 2 2 4 4 6" xfId="28818" xr:uid="{00000000-0005-0000-0000-0000D3410000}"/>
    <cellStyle name="Normal 2 5 2 2 4 5" xfId="4308" xr:uid="{00000000-0005-0000-0000-0000D4410000}"/>
    <cellStyle name="Normal 2 5 2 2 4 5 2" xfId="13146" xr:uid="{00000000-0005-0000-0000-0000D5410000}"/>
    <cellStyle name="Normal 2 5 2 2 4 5 2 2" xfId="23397" xr:uid="{00000000-0005-0000-0000-0000D6410000}"/>
    <cellStyle name="Normal 2 5 2 2 4 5 2 2 2" xfId="48950" xr:uid="{00000000-0005-0000-0000-0000D7410000}"/>
    <cellStyle name="Normal 2 5 2 2 4 5 2 3" xfId="38701" xr:uid="{00000000-0005-0000-0000-0000D8410000}"/>
    <cellStyle name="Normal 2 5 2 2 4 5 3" xfId="9567" xr:uid="{00000000-0005-0000-0000-0000D9410000}"/>
    <cellStyle name="Normal 2 5 2 2 4 5 3 2" xfId="35124" xr:uid="{00000000-0005-0000-0000-0000DA410000}"/>
    <cellStyle name="Normal 2 5 2 2 4 5 4" xfId="18390" xr:uid="{00000000-0005-0000-0000-0000DB410000}"/>
    <cellStyle name="Normal 2 5 2 2 4 5 4 2" xfId="43943" xr:uid="{00000000-0005-0000-0000-0000DC410000}"/>
    <cellStyle name="Normal 2 5 2 2 4 5 5" xfId="29880" xr:uid="{00000000-0005-0000-0000-0000DD410000}"/>
    <cellStyle name="Normal 2 5 2 2 4 6" xfId="1580" xr:uid="{00000000-0005-0000-0000-0000DE410000}"/>
    <cellStyle name="Normal 2 5 2 2 4 6 2" xfId="10957" xr:uid="{00000000-0005-0000-0000-0000DF410000}"/>
    <cellStyle name="Normal 2 5 2 2 4 6 2 2" xfId="36512" xr:uid="{00000000-0005-0000-0000-0000E0410000}"/>
    <cellStyle name="Normal 2 5 2 2 4 6 3" xfId="20961" xr:uid="{00000000-0005-0000-0000-0000E1410000}"/>
    <cellStyle name="Normal 2 5 2 2 4 6 3 2" xfId="46514" xr:uid="{00000000-0005-0000-0000-0000E2410000}"/>
    <cellStyle name="Normal 2 5 2 2 4 6 4" xfId="27444" xr:uid="{00000000-0005-0000-0000-0000E3410000}"/>
    <cellStyle name="Normal 2 5 2 2 4 7" xfId="5764" xr:uid="{00000000-0005-0000-0000-0000E4410000}"/>
    <cellStyle name="Normal 2 5 2 2 4 7 2" xfId="14591" xr:uid="{00000000-0005-0000-0000-0000E5410000}"/>
    <cellStyle name="Normal 2 5 2 2 4 7 2 2" xfId="40146" xr:uid="{00000000-0005-0000-0000-0000E6410000}"/>
    <cellStyle name="Normal 2 5 2 2 4 7 3" xfId="24842" xr:uid="{00000000-0005-0000-0000-0000E7410000}"/>
    <cellStyle name="Normal 2 5 2 2 4 7 3 2" xfId="50395" xr:uid="{00000000-0005-0000-0000-0000E8410000}"/>
    <cellStyle name="Normal 2 5 2 2 4 7 4" xfId="31325" xr:uid="{00000000-0005-0000-0000-0000E9410000}"/>
    <cellStyle name="Normal 2 5 2 2 4 8" xfId="7208" xr:uid="{00000000-0005-0000-0000-0000EA410000}"/>
    <cellStyle name="Normal 2 5 2 2 4 8 2" xfId="19934" xr:uid="{00000000-0005-0000-0000-0000EB410000}"/>
    <cellStyle name="Normal 2 5 2 2 4 8 2 2" xfId="45487" xr:uid="{00000000-0005-0000-0000-0000EC410000}"/>
    <cellStyle name="Normal 2 5 2 2 4 8 3" xfId="32765" xr:uid="{00000000-0005-0000-0000-0000ED410000}"/>
    <cellStyle name="Normal 2 5 2 2 4 9" xfId="15954" xr:uid="{00000000-0005-0000-0000-0000EE410000}"/>
    <cellStyle name="Normal 2 5 2 2 4 9 2" xfId="41507" xr:uid="{00000000-0005-0000-0000-0000EF410000}"/>
    <cellStyle name="Normal 2 5 2 2 4_Degree data" xfId="3845" xr:uid="{00000000-0005-0000-0000-0000F0410000}"/>
    <cellStyle name="Normal 2 5 2 2 5" xfId="331" xr:uid="{00000000-0005-0000-0000-0000F1410000}"/>
    <cellStyle name="Normal 2 5 2 2 5 10" xfId="26260" xr:uid="{00000000-0005-0000-0000-0000F2410000}"/>
    <cellStyle name="Normal 2 5 2 2 5 2" xfId="734" xr:uid="{00000000-0005-0000-0000-0000F3410000}"/>
    <cellStyle name="Normal 2 5 2 2 5 2 2" xfId="3220" xr:uid="{00000000-0005-0000-0000-0000F4410000}"/>
    <cellStyle name="Normal 2 5 2 2 5 2 2 2" xfId="12362" xr:uid="{00000000-0005-0000-0000-0000F5410000}"/>
    <cellStyle name="Normal 2 5 2 2 5 2 2 2 2" xfId="22581" xr:uid="{00000000-0005-0000-0000-0000F6410000}"/>
    <cellStyle name="Normal 2 5 2 2 5 2 2 2 2 2" xfId="48134" xr:uid="{00000000-0005-0000-0000-0000F7410000}"/>
    <cellStyle name="Normal 2 5 2 2 5 2 2 2 3" xfId="37917" xr:uid="{00000000-0005-0000-0000-0000F8410000}"/>
    <cellStyle name="Normal 2 5 2 2 5 2 2 3" xfId="8784" xr:uid="{00000000-0005-0000-0000-0000F9410000}"/>
    <cellStyle name="Normal 2 5 2 2 5 2 2 3 2" xfId="34341" xr:uid="{00000000-0005-0000-0000-0000FA410000}"/>
    <cellStyle name="Normal 2 5 2 2 5 2 2 4" xfId="17574" xr:uid="{00000000-0005-0000-0000-0000FB410000}"/>
    <cellStyle name="Normal 2 5 2 2 5 2 2 4 2" xfId="43127" xr:uid="{00000000-0005-0000-0000-0000FC410000}"/>
    <cellStyle name="Normal 2 5 2 2 5 2 2 5" xfId="29064" xr:uid="{00000000-0005-0000-0000-0000FD410000}"/>
    <cellStyle name="Normal 2 5 2 2 5 2 3" xfId="4549" xr:uid="{00000000-0005-0000-0000-0000FE410000}"/>
    <cellStyle name="Normal 2 5 2 2 5 2 3 2" xfId="13387" xr:uid="{00000000-0005-0000-0000-0000FF410000}"/>
    <cellStyle name="Normal 2 5 2 2 5 2 3 2 2" xfId="23638" xr:uid="{00000000-0005-0000-0000-000000420000}"/>
    <cellStyle name="Normal 2 5 2 2 5 2 3 2 2 2" xfId="49191" xr:uid="{00000000-0005-0000-0000-000001420000}"/>
    <cellStyle name="Normal 2 5 2 2 5 2 3 2 3" xfId="38942" xr:uid="{00000000-0005-0000-0000-000002420000}"/>
    <cellStyle name="Normal 2 5 2 2 5 2 3 3" xfId="9808" xr:uid="{00000000-0005-0000-0000-000003420000}"/>
    <cellStyle name="Normal 2 5 2 2 5 2 3 3 2" xfId="35365" xr:uid="{00000000-0005-0000-0000-000004420000}"/>
    <cellStyle name="Normal 2 5 2 2 5 2 3 4" xfId="18631" xr:uid="{00000000-0005-0000-0000-000005420000}"/>
    <cellStyle name="Normal 2 5 2 2 5 2 3 4 2" xfId="44184" xr:uid="{00000000-0005-0000-0000-000006420000}"/>
    <cellStyle name="Normal 2 5 2 2 5 2 3 5" xfId="30121" xr:uid="{00000000-0005-0000-0000-000007420000}"/>
    <cellStyle name="Normal 2 5 2 2 5 2 4" xfId="2329" xr:uid="{00000000-0005-0000-0000-000008420000}"/>
    <cellStyle name="Normal 2 5 2 2 5 2 4 2" xfId="11694" xr:uid="{00000000-0005-0000-0000-000009420000}"/>
    <cellStyle name="Normal 2 5 2 2 5 2 4 2 2" xfId="37249" xr:uid="{00000000-0005-0000-0000-00000A420000}"/>
    <cellStyle name="Normal 2 5 2 2 5 2 4 3" xfId="21698" xr:uid="{00000000-0005-0000-0000-00000B420000}"/>
    <cellStyle name="Normal 2 5 2 2 5 2 4 3 2" xfId="47251" xr:uid="{00000000-0005-0000-0000-00000C420000}"/>
    <cellStyle name="Normal 2 5 2 2 5 2 4 4" xfId="28181" xr:uid="{00000000-0005-0000-0000-00000D420000}"/>
    <cellStyle name="Normal 2 5 2 2 5 2 5" xfId="6005" xr:uid="{00000000-0005-0000-0000-00000E420000}"/>
    <cellStyle name="Normal 2 5 2 2 5 2 5 2" xfId="14832" xr:uid="{00000000-0005-0000-0000-00000F420000}"/>
    <cellStyle name="Normal 2 5 2 2 5 2 5 2 2" xfId="40387" xr:uid="{00000000-0005-0000-0000-000010420000}"/>
    <cellStyle name="Normal 2 5 2 2 5 2 5 3" xfId="25083" xr:uid="{00000000-0005-0000-0000-000011420000}"/>
    <cellStyle name="Normal 2 5 2 2 5 2 5 3 2" xfId="50636" xr:uid="{00000000-0005-0000-0000-000012420000}"/>
    <cellStyle name="Normal 2 5 2 2 5 2 5 4" xfId="31566" xr:uid="{00000000-0005-0000-0000-000013420000}"/>
    <cellStyle name="Normal 2 5 2 2 5 2 6" xfId="7449" xr:uid="{00000000-0005-0000-0000-000014420000}"/>
    <cellStyle name="Normal 2 5 2 2 5 2 6 2" xfId="20180" xr:uid="{00000000-0005-0000-0000-000015420000}"/>
    <cellStyle name="Normal 2 5 2 2 5 2 6 2 2" xfId="45733" xr:uid="{00000000-0005-0000-0000-000016420000}"/>
    <cellStyle name="Normal 2 5 2 2 5 2 6 3" xfId="33006" xr:uid="{00000000-0005-0000-0000-000017420000}"/>
    <cellStyle name="Normal 2 5 2 2 5 2 7" xfId="16691" xr:uid="{00000000-0005-0000-0000-000018420000}"/>
    <cellStyle name="Normal 2 5 2 2 5 2 7 2" xfId="42244" xr:uid="{00000000-0005-0000-0000-000019420000}"/>
    <cellStyle name="Normal 2 5 2 2 5 2 8" xfId="26663" xr:uid="{00000000-0005-0000-0000-00001A420000}"/>
    <cellStyle name="Normal 2 5 2 2 5 3" xfId="1103" xr:uid="{00000000-0005-0000-0000-00001B420000}"/>
    <cellStyle name="Normal 2 5 2 2 5 3 2" xfId="3532" xr:uid="{00000000-0005-0000-0000-00001C420000}"/>
    <cellStyle name="Normal 2 5 2 2 5 3 2 2" xfId="12668" xr:uid="{00000000-0005-0000-0000-00001D420000}"/>
    <cellStyle name="Normal 2 5 2 2 5 3 2 2 2" xfId="22887" xr:uid="{00000000-0005-0000-0000-00001E420000}"/>
    <cellStyle name="Normal 2 5 2 2 5 3 2 2 2 2" xfId="48440" xr:uid="{00000000-0005-0000-0000-00001F420000}"/>
    <cellStyle name="Normal 2 5 2 2 5 3 2 2 3" xfId="38223" xr:uid="{00000000-0005-0000-0000-000020420000}"/>
    <cellStyle name="Normal 2 5 2 2 5 3 2 3" xfId="9089" xr:uid="{00000000-0005-0000-0000-000021420000}"/>
    <cellStyle name="Normal 2 5 2 2 5 3 2 3 2" xfId="34646" xr:uid="{00000000-0005-0000-0000-000022420000}"/>
    <cellStyle name="Normal 2 5 2 2 5 3 2 4" xfId="17880" xr:uid="{00000000-0005-0000-0000-000023420000}"/>
    <cellStyle name="Normal 2 5 2 2 5 3 2 4 2" xfId="43433" xr:uid="{00000000-0005-0000-0000-000024420000}"/>
    <cellStyle name="Normal 2 5 2 2 5 3 2 5" xfId="29370" xr:uid="{00000000-0005-0000-0000-000025420000}"/>
    <cellStyle name="Normal 2 5 2 2 5 3 3" xfId="4898" xr:uid="{00000000-0005-0000-0000-000026420000}"/>
    <cellStyle name="Normal 2 5 2 2 5 3 3 2" xfId="13735" xr:uid="{00000000-0005-0000-0000-000027420000}"/>
    <cellStyle name="Normal 2 5 2 2 5 3 3 2 2" xfId="23986" xr:uid="{00000000-0005-0000-0000-000028420000}"/>
    <cellStyle name="Normal 2 5 2 2 5 3 3 2 2 2" xfId="49539" xr:uid="{00000000-0005-0000-0000-000029420000}"/>
    <cellStyle name="Normal 2 5 2 2 5 3 3 2 3" xfId="39290" xr:uid="{00000000-0005-0000-0000-00002A420000}"/>
    <cellStyle name="Normal 2 5 2 2 5 3 3 3" xfId="10156" xr:uid="{00000000-0005-0000-0000-00002B420000}"/>
    <cellStyle name="Normal 2 5 2 2 5 3 3 3 2" xfId="35713" xr:uid="{00000000-0005-0000-0000-00002C420000}"/>
    <cellStyle name="Normal 2 5 2 2 5 3 3 4" xfId="18979" xr:uid="{00000000-0005-0000-0000-00002D420000}"/>
    <cellStyle name="Normal 2 5 2 2 5 3 3 4 2" xfId="44532" xr:uid="{00000000-0005-0000-0000-00002E420000}"/>
    <cellStyle name="Normal 2 5 2 2 5 3 3 5" xfId="30469" xr:uid="{00000000-0005-0000-0000-00002F420000}"/>
    <cellStyle name="Normal 2 5 2 2 5 3 4" xfId="2584" xr:uid="{00000000-0005-0000-0000-000030420000}"/>
    <cellStyle name="Normal 2 5 2 2 5 3 4 2" xfId="11948" xr:uid="{00000000-0005-0000-0000-000031420000}"/>
    <cellStyle name="Normal 2 5 2 2 5 3 4 2 2" xfId="37503" xr:uid="{00000000-0005-0000-0000-000032420000}"/>
    <cellStyle name="Normal 2 5 2 2 5 3 4 3" xfId="21952" xr:uid="{00000000-0005-0000-0000-000033420000}"/>
    <cellStyle name="Normal 2 5 2 2 5 3 4 3 2" xfId="47505" xr:uid="{00000000-0005-0000-0000-000034420000}"/>
    <cellStyle name="Normal 2 5 2 2 5 3 4 4" xfId="28435" xr:uid="{00000000-0005-0000-0000-000035420000}"/>
    <cellStyle name="Normal 2 5 2 2 5 3 5" xfId="6353" xr:uid="{00000000-0005-0000-0000-000036420000}"/>
    <cellStyle name="Normal 2 5 2 2 5 3 5 2" xfId="15180" xr:uid="{00000000-0005-0000-0000-000037420000}"/>
    <cellStyle name="Normal 2 5 2 2 5 3 5 2 2" xfId="40735" xr:uid="{00000000-0005-0000-0000-000038420000}"/>
    <cellStyle name="Normal 2 5 2 2 5 3 5 3" xfId="25431" xr:uid="{00000000-0005-0000-0000-000039420000}"/>
    <cellStyle name="Normal 2 5 2 2 5 3 5 3 2" xfId="50984" xr:uid="{00000000-0005-0000-0000-00003A420000}"/>
    <cellStyle name="Normal 2 5 2 2 5 3 5 4" xfId="31914" xr:uid="{00000000-0005-0000-0000-00003B420000}"/>
    <cellStyle name="Normal 2 5 2 2 5 3 6" xfId="7799" xr:uid="{00000000-0005-0000-0000-00003C420000}"/>
    <cellStyle name="Normal 2 5 2 2 5 3 6 2" xfId="20486" xr:uid="{00000000-0005-0000-0000-00003D420000}"/>
    <cellStyle name="Normal 2 5 2 2 5 3 6 2 2" xfId="46039" xr:uid="{00000000-0005-0000-0000-00003E420000}"/>
    <cellStyle name="Normal 2 5 2 2 5 3 6 3" xfId="33356" xr:uid="{00000000-0005-0000-0000-00003F420000}"/>
    <cellStyle name="Normal 2 5 2 2 5 3 7" xfId="16945" xr:uid="{00000000-0005-0000-0000-000040420000}"/>
    <cellStyle name="Normal 2 5 2 2 5 3 7 2" xfId="42498" xr:uid="{00000000-0005-0000-0000-000041420000}"/>
    <cellStyle name="Normal 2 5 2 2 5 3 8" xfId="26969" xr:uid="{00000000-0005-0000-0000-000042420000}"/>
    <cellStyle name="Normal 2 5 2 2 5 4" xfId="2817" xr:uid="{00000000-0005-0000-0000-000043420000}"/>
    <cellStyle name="Normal 2 5 2 2 5 4 2" xfId="5195" xr:uid="{00000000-0005-0000-0000-000044420000}"/>
    <cellStyle name="Normal 2 5 2 2 5 4 2 2" xfId="14032" xr:uid="{00000000-0005-0000-0000-000045420000}"/>
    <cellStyle name="Normal 2 5 2 2 5 4 2 2 2" xfId="24283" xr:uid="{00000000-0005-0000-0000-000046420000}"/>
    <cellStyle name="Normal 2 5 2 2 5 4 2 2 2 2" xfId="49836" xr:uid="{00000000-0005-0000-0000-000047420000}"/>
    <cellStyle name="Normal 2 5 2 2 5 4 2 2 3" xfId="39587" xr:uid="{00000000-0005-0000-0000-000048420000}"/>
    <cellStyle name="Normal 2 5 2 2 5 4 2 3" xfId="10453" xr:uid="{00000000-0005-0000-0000-000049420000}"/>
    <cellStyle name="Normal 2 5 2 2 5 4 2 3 2" xfId="36010" xr:uid="{00000000-0005-0000-0000-00004A420000}"/>
    <cellStyle name="Normal 2 5 2 2 5 4 2 4" xfId="19276" xr:uid="{00000000-0005-0000-0000-00004B420000}"/>
    <cellStyle name="Normal 2 5 2 2 5 4 2 4 2" xfId="44829" xr:uid="{00000000-0005-0000-0000-00004C420000}"/>
    <cellStyle name="Normal 2 5 2 2 5 4 2 5" xfId="30766" xr:uid="{00000000-0005-0000-0000-00004D420000}"/>
    <cellStyle name="Normal 2 5 2 2 5 4 3" xfId="6650" xr:uid="{00000000-0005-0000-0000-00004E420000}"/>
    <cellStyle name="Normal 2 5 2 2 5 4 3 2" xfId="15477" xr:uid="{00000000-0005-0000-0000-00004F420000}"/>
    <cellStyle name="Normal 2 5 2 2 5 4 3 2 2" xfId="41032" xr:uid="{00000000-0005-0000-0000-000050420000}"/>
    <cellStyle name="Normal 2 5 2 2 5 4 3 3" xfId="25728" xr:uid="{00000000-0005-0000-0000-000051420000}"/>
    <cellStyle name="Normal 2 5 2 2 5 4 3 3 2" xfId="51281" xr:uid="{00000000-0005-0000-0000-000052420000}"/>
    <cellStyle name="Normal 2 5 2 2 5 4 3 4" xfId="32211" xr:uid="{00000000-0005-0000-0000-000053420000}"/>
    <cellStyle name="Normal 2 5 2 2 5 4 4" xfId="8096" xr:uid="{00000000-0005-0000-0000-000054420000}"/>
    <cellStyle name="Normal 2 5 2 2 5 4 4 2" xfId="22178" xr:uid="{00000000-0005-0000-0000-000055420000}"/>
    <cellStyle name="Normal 2 5 2 2 5 4 4 2 2" xfId="47731" xr:uid="{00000000-0005-0000-0000-000056420000}"/>
    <cellStyle name="Normal 2 5 2 2 5 4 4 3" xfId="33653" xr:uid="{00000000-0005-0000-0000-000057420000}"/>
    <cellStyle name="Normal 2 5 2 2 5 4 5" xfId="17171" xr:uid="{00000000-0005-0000-0000-000058420000}"/>
    <cellStyle name="Normal 2 5 2 2 5 4 5 2" xfId="42724" xr:uid="{00000000-0005-0000-0000-000059420000}"/>
    <cellStyle name="Normal 2 5 2 2 5 4 6" xfId="28661" xr:uid="{00000000-0005-0000-0000-00005A420000}"/>
    <cellStyle name="Normal 2 5 2 2 5 5" xfId="4149" xr:uid="{00000000-0005-0000-0000-00005B420000}"/>
    <cellStyle name="Normal 2 5 2 2 5 5 2" xfId="12987" xr:uid="{00000000-0005-0000-0000-00005C420000}"/>
    <cellStyle name="Normal 2 5 2 2 5 5 2 2" xfId="23238" xr:uid="{00000000-0005-0000-0000-00005D420000}"/>
    <cellStyle name="Normal 2 5 2 2 5 5 2 2 2" xfId="48791" xr:uid="{00000000-0005-0000-0000-00005E420000}"/>
    <cellStyle name="Normal 2 5 2 2 5 5 2 3" xfId="38542" xr:uid="{00000000-0005-0000-0000-00005F420000}"/>
    <cellStyle name="Normal 2 5 2 2 5 5 3" xfId="9408" xr:uid="{00000000-0005-0000-0000-000060420000}"/>
    <cellStyle name="Normal 2 5 2 2 5 5 3 2" xfId="34965" xr:uid="{00000000-0005-0000-0000-000061420000}"/>
    <cellStyle name="Normal 2 5 2 2 5 5 4" xfId="18231" xr:uid="{00000000-0005-0000-0000-000062420000}"/>
    <cellStyle name="Normal 2 5 2 2 5 5 4 2" xfId="43784" xr:uid="{00000000-0005-0000-0000-000063420000}"/>
    <cellStyle name="Normal 2 5 2 2 5 5 5" xfId="29721" xr:uid="{00000000-0005-0000-0000-000064420000}"/>
    <cellStyle name="Normal 2 5 2 2 5 6" xfId="1926" xr:uid="{00000000-0005-0000-0000-000065420000}"/>
    <cellStyle name="Normal 2 5 2 2 5 6 2" xfId="11291" xr:uid="{00000000-0005-0000-0000-000066420000}"/>
    <cellStyle name="Normal 2 5 2 2 5 6 2 2" xfId="36846" xr:uid="{00000000-0005-0000-0000-000067420000}"/>
    <cellStyle name="Normal 2 5 2 2 5 6 3" xfId="21295" xr:uid="{00000000-0005-0000-0000-000068420000}"/>
    <cellStyle name="Normal 2 5 2 2 5 6 3 2" xfId="46848" xr:uid="{00000000-0005-0000-0000-000069420000}"/>
    <cellStyle name="Normal 2 5 2 2 5 6 4" xfId="27778" xr:uid="{00000000-0005-0000-0000-00006A420000}"/>
    <cellStyle name="Normal 2 5 2 2 5 7" xfId="5607" xr:uid="{00000000-0005-0000-0000-00006B420000}"/>
    <cellStyle name="Normal 2 5 2 2 5 7 2" xfId="14434" xr:uid="{00000000-0005-0000-0000-00006C420000}"/>
    <cellStyle name="Normal 2 5 2 2 5 7 2 2" xfId="39989" xr:uid="{00000000-0005-0000-0000-00006D420000}"/>
    <cellStyle name="Normal 2 5 2 2 5 7 3" xfId="24685" xr:uid="{00000000-0005-0000-0000-00006E420000}"/>
    <cellStyle name="Normal 2 5 2 2 5 7 3 2" xfId="50238" xr:uid="{00000000-0005-0000-0000-00006F420000}"/>
    <cellStyle name="Normal 2 5 2 2 5 7 4" xfId="31168" xr:uid="{00000000-0005-0000-0000-000070420000}"/>
    <cellStyle name="Normal 2 5 2 2 5 8" xfId="7051" xr:uid="{00000000-0005-0000-0000-000071420000}"/>
    <cellStyle name="Normal 2 5 2 2 5 8 2" xfId="19777" xr:uid="{00000000-0005-0000-0000-000072420000}"/>
    <cellStyle name="Normal 2 5 2 2 5 8 2 2" xfId="45330" xr:uid="{00000000-0005-0000-0000-000073420000}"/>
    <cellStyle name="Normal 2 5 2 2 5 8 3" xfId="32608" xr:uid="{00000000-0005-0000-0000-000074420000}"/>
    <cellStyle name="Normal 2 5 2 2 5 9" xfId="16288" xr:uid="{00000000-0005-0000-0000-000075420000}"/>
    <cellStyle name="Normal 2 5 2 2 5 9 2" xfId="41841" xr:uid="{00000000-0005-0000-0000-000076420000}"/>
    <cellStyle name="Normal 2 5 2 2 5_Degree data" xfId="3815" xr:uid="{00000000-0005-0000-0000-000077420000}"/>
    <cellStyle name="Normal 2 5 2 2 6" xfId="728" xr:uid="{00000000-0005-0000-0000-000078420000}"/>
    <cellStyle name="Normal 2 5 2 2 6 2" xfId="3214" xr:uid="{00000000-0005-0000-0000-000079420000}"/>
    <cellStyle name="Normal 2 5 2 2 6 2 2" xfId="12356" xr:uid="{00000000-0005-0000-0000-00007A420000}"/>
    <cellStyle name="Normal 2 5 2 2 6 2 2 2" xfId="22575" xr:uid="{00000000-0005-0000-0000-00007B420000}"/>
    <cellStyle name="Normal 2 5 2 2 6 2 2 2 2" xfId="48128" xr:uid="{00000000-0005-0000-0000-00007C420000}"/>
    <cellStyle name="Normal 2 5 2 2 6 2 2 3" xfId="37911" xr:uid="{00000000-0005-0000-0000-00007D420000}"/>
    <cellStyle name="Normal 2 5 2 2 6 2 3" xfId="8778" xr:uid="{00000000-0005-0000-0000-00007E420000}"/>
    <cellStyle name="Normal 2 5 2 2 6 2 3 2" xfId="34335" xr:uid="{00000000-0005-0000-0000-00007F420000}"/>
    <cellStyle name="Normal 2 5 2 2 6 2 4" xfId="17568" xr:uid="{00000000-0005-0000-0000-000080420000}"/>
    <cellStyle name="Normal 2 5 2 2 6 2 4 2" xfId="43121" xr:uid="{00000000-0005-0000-0000-000081420000}"/>
    <cellStyle name="Normal 2 5 2 2 6 2 5" xfId="29058" xr:uid="{00000000-0005-0000-0000-000082420000}"/>
    <cellStyle name="Normal 2 5 2 2 6 3" xfId="4543" xr:uid="{00000000-0005-0000-0000-000083420000}"/>
    <cellStyle name="Normal 2 5 2 2 6 3 2" xfId="13381" xr:uid="{00000000-0005-0000-0000-000084420000}"/>
    <cellStyle name="Normal 2 5 2 2 6 3 2 2" xfId="23632" xr:uid="{00000000-0005-0000-0000-000085420000}"/>
    <cellStyle name="Normal 2 5 2 2 6 3 2 2 2" xfId="49185" xr:uid="{00000000-0005-0000-0000-000086420000}"/>
    <cellStyle name="Normal 2 5 2 2 6 3 2 3" xfId="38936" xr:uid="{00000000-0005-0000-0000-000087420000}"/>
    <cellStyle name="Normal 2 5 2 2 6 3 3" xfId="9802" xr:uid="{00000000-0005-0000-0000-000088420000}"/>
    <cellStyle name="Normal 2 5 2 2 6 3 3 2" xfId="35359" xr:uid="{00000000-0005-0000-0000-000089420000}"/>
    <cellStyle name="Normal 2 5 2 2 6 3 4" xfId="18625" xr:uid="{00000000-0005-0000-0000-00008A420000}"/>
    <cellStyle name="Normal 2 5 2 2 6 3 4 2" xfId="44178" xr:uid="{00000000-0005-0000-0000-00008B420000}"/>
    <cellStyle name="Normal 2 5 2 2 6 3 5" xfId="30115" xr:uid="{00000000-0005-0000-0000-00008C420000}"/>
    <cellStyle name="Normal 2 5 2 2 6 4" xfId="2323" xr:uid="{00000000-0005-0000-0000-00008D420000}"/>
    <cellStyle name="Normal 2 5 2 2 6 4 2" xfId="11688" xr:uid="{00000000-0005-0000-0000-00008E420000}"/>
    <cellStyle name="Normal 2 5 2 2 6 4 2 2" xfId="37243" xr:uid="{00000000-0005-0000-0000-00008F420000}"/>
    <cellStyle name="Normal 2 5 2 2 6 4 3" xfId="21692" xr:uid="{00000000-0005-0000-0000-000090420000}"/>
    <cellStyle name="Normal 2 5 2 2 6 4 3 2" xfId="47245" xr:uid="{00000000-0005-0000-0000-000091420000}"/>
    <cellStyle name="Normal 2 5 2 2 6 4 4" xfId="28175" xr:uid="{00000000-0005-0000-0000-000092420000}"/>
    <cellStyle name="Normal 2 5 2 2 6 5" xfId="5999" xr:uid="{00000000-0005-0000-0000-000093420000}"/>
    <cellStyle name="Normal 2 5 2 2 6 5 2" xfId="14826" xr:uid="{00000000-0005-0000-0000-000094420000}"/>
    <cellStyle name="Normal 2 5 2 2 6 5 2 2" xfId="40381" xr:uid="{00000000-0005-0000-0000-000095420000}"/>
    <cellStyle name="Normal 2 5 2 2 6 5 3" xfId="25077" xr:uid="{00000000-0005-0000-0000-000096420000}"/>
    <cellStyle name="Normal 2 5 2 2 6 5 3 2" xfId="50630" xr:uid="{00000000-0005-0000-0000-000097420000}"/>
    <cellStyle name="Normal 2 5 2 2 6 5 4" xfId="31560" xr:uid="{00000000-0005-0000-0000-000098420000}"/>
    <cellStyle name="Normal 2 5 2 2 6 6" xfId="7443" xr:uid="{00000000-0005-0000-0000-000099420000}"/>
    <cellStyle name="Normal 2 5 2 2 6 6 2" xfId="20174" xr:uid="{00000000-0005-0000-0000-00009A420000}"/>
    <cellStyle name="Normal 2 5 2 2 6 6 2 2" xfId="45727" xr:uid="{00000000-0005-0000-0000-00009B420000}"/>
    <cellStyle name="Normal 2 5 2 2 6 6 3" xfId="33000" xr:uid="{00000000-0005-0000-0000-00009C420000}"/>
    <cellStyle name="Normal 2 5 2 2 6 7" xfId="16685" xr:uid="{00000000-0005-0000-0000-00009D420000}"/>
    <cellStyle name="Normal 2 5 2 2 6 7 2" xfId="42238" xr:uid="{00000000-0005-0000-0000-00009E420000}"/>
    <cellStyle name="Normal 2 5 2 2 6 8" xfId="26657" xr:uid="{00000000-0005-0000-0000-00009F420000}"/>
    <cellStyle name="Normal 2 5 2 2 7" xfId="1058" xr:uid="{00000000-0005-0000-0000-0000A0420000}"/>
    <cellStyle name="Normal 2 5 2 2 7 2" xfId="3487" xr:uid="{00000000-0005-0000-0000-0000A1420000}"/>
    <cellStyle name="Normal 2 5 2 2 7 2 2" xfId="12623" xr:uid="{00000000-0005-0000-0000-0000A2420000}"/>
    <cellStyle name="Normal 2 5 2 2 7 2 2 2" xfId="22842" xr:uid="{00000000-0005-0000-0000-0000A3420000}"/>
    <cellStyle name="Normal 2 5 2 2 7 2 2 2 2" xfId="48395" xr:uid="{00000000-0005-0000-0000-0000A4420000}"/>
    <cellStyle name="Normal 2 5 2 2 7 2 2 3" xfId="38178" xr:uid="{00000000-0005-0000-0000-0000A5420000}"/>
    <cellStyle name="Normal 2 5 2 2 7 2 3" xfId="9045" xr:uid="{00000000-0005-0000-0000-0000A6420000}"/>
    <cellStyle name="Normal 2 5 2 2 7 2 3 2" xfId="34602" xr:uid="{00000000-0005-0000-0000-0000A7420000}"/>
    <cellStyle name="Normal 2 5 2 2 7 2 4" xfId="17835" xr:uid="{00000000-0005-0000-0000-0000A8420000}"/>
    <cellStyle name="Normal 2 5 2 2 7 2 4 2" xfId="43388" xr:uid="{00000000-0005-0000-0000-0000A9420000}"/>
    <cellStyle name="Normal 2 5 2 2 7 2 5" xfId="29325" xr:uid="{00000000-0005-0000-0000-0000AA420000}"/>
    <cellStyle name="Normal 2 5 2 2 7 3" xfId="4892" xr:uid="{00000000-0005-0000-0000-0000AB420000}"/>
    <cellStyle name="Normal 2 5 2 2 7 3 2" xfId="13729" xr:uid="{00000000-0005-0000-0000-0000AC420000}"/>
    <cellStyle name="Normal 2 5 2 2 7 3 2 2" xfId="23980" xr:uid="{00000000-0005-0000-0000-0000AD420000}"/>
    <cellStyle name="Normal 2 5 2 2 7 3 2 2 2" xfId="49533" xr:uid="{00000000-0005-0000-0000-0000AE420000}"/>
    <cellStyle name="Normal 2 5 2 2 7 3 2 3" xfId="39284" xr:uid="{00000000-0005-0000-0000-0000AF420000}"/>
    <cellStyle name="Normal 2 5 2 2 7 3 3" xfId="10150" xr:uid="{00000000-0005-0000-0000-0000B0420000}"/>
    <cellStyle name="Normal 2 5 2 2 7 3 3 2" xfId="35707" xr:uid="{00000000-0005-0000-0000-0000B1420000}"/>
    <cellStyle name="Normal 2 5 2 2 7 3 4" xfId="18973" xr:uid="{00000000-0005-0000-0000-0000B2420000}"/>
    <cellStyle name="Normal 2 5 2 2 7 3 4 2" xfId="44526" xr:uid="{00000000-0005-0000-0000-0000B3420000}"/>
    <cellStyle name="Normal 2 5 2 2 7 3 5" xfId="30463" xr:uid="{00000000-0005-0000-0000-0000B4420000}"/>
    <cellStyle name="Normal 2 5 2 2 7 4" xfId="1760" xr:uid="{00000000-0005-0000-0000-0000B5420000}"/>
    <cellStyle name="Normal 2 5 2 2 7 4 2" xfId="11131" xr:uid="{00000000-0005-0000-0000-0000B6420000}"/>
    <cellStyle name="Normal 2 5 2 2 7 4 2 2" xfId="36686" xr:uid="{00000000-0005-0000-0000-0000B7420000}"/>
    <cellStyle name="Normal 2 5 2 2 7 4 3" xfId="21135" xr:uid="{00000000-0005-0000-0000-0000B8420000}"/>
    <cellStyle name="Normal 2 5 2 2 7 4 3 2" xfId="46688" xr:uid="{00000000-0005-0000-0000-0000B9420000}"/>
    <cellStyle name="Normal 2 5 2 2 7 4 4" xfId="27618" xr:uid="{00000000-0005-0000-0000-0000BA420000}"/>
    <cellStyle name="Normal 2 5 2 2 7 5" xfId="6347" xr:uid="{00000000-0005-0000-0000-0000BB420000}"/>
    <cellStyle name="Normal 2 5 2 2 7 5 2" xfId="15174" xr:uid="{00000000-0005-0000-0000-0000BC420000}"/>
    <cellStyle name="Normal 2 5 2 2 7 5 2 2" xfId="40729" xr:uid="{00000000-0005-0000-0000-0000BD420000}"/>
    <cellStyle name="Normal 2 5 2 2 7 5 3" xfId="25425" xr:uid="{00000000-0005-0000-0000-0000BE420000}"/>
    <cellStyle name="Normal 2 5 2 2 7 5 3 2" xfId="50978" xr:uid="{00000000-0005-0000-0000-0000BF420000}"/>
    <cellStyle name="Normal 2 5 2 2 7 5 4" xfId="31908" xr:uid="{00000000-0005-0000-0000-0000C0420000}"/>
    <cellStyle name="Normal 2 5 2 2 7 6" xfId="7793" xr:uid="{00000000-0005-0000-0000-0000C1420000}"/>
    <cellStyle name="Normal 2 5 2 2 7 6 2" xfId="20441" xr:uid="{00000000-0005-0000-0000-0000C2420000}"/>
    <cellStyle name="Normal 2 5 2 2 7 6 2 2" xfId="45994" xr:uid="{00000000-0005-0000-0000-0000C3420000}"/>
    <cellStyle name="Normal 2 5 2 2 7 6 3" xfId="33350" xr:uid="{00000000-0005-0000-0000-0000C4420000}"/>
    <cellStyle name="Normal 2 5 2 2 7 7" xfId="16128" xr:uid="{00000000-0005-0000-0000-0000C5420000}"/>
    <cellStyle name="Normal 2 5 2 2 7 7 2" xfId="41681" xr:uid="{00000000-0005-0000-0000-0000C6420000}"/>
    <cellStyle name="Normal 2 5 2 2 7 8" xfId="26924" xr:uid="{00000000-0005-0000-0000-0000C7420000}"/>
    <cellStyle name="Normal 2 5 2 2 8" xfId="2657" xr:uid="{00000000-0005-0000-0000-0000C8420000}"/>
    <cellStyle name="Normal 2 5 2 2 8 2" xfId="5150" xr:uid="{00000000-0005-0000-0000-0000C9420000}"/>
    <cellStyle name="Normal 2 5 2 2 8 2 2" xfId="13987" xr:uid="{00000000-0005-0000-0000-0000CA420000}"/>
    <cellStyle name="Normal 2 5 2 2 8 2 2 2" xfId="24238" xr:uid="{00000000-0005-0000-0000-0000CB420000}"/>
    <cellStyle name="Normal 2 5 2 2 8 2 2 2 2" xfId="49791" xr:uid="{00000000-0005-0000-0000-0000CC420000}"/>
    <cellStyle name="Normal 2 5 2 2 8 2 2 3" xfId="39542" xr:uid="{00000000-0005-0000-0000-0000CD420000}"/>
    <cellStyle name="Normal 2 5 2 2 8 2 3" xfId="10408" xr:uid="{00000000-0005-0000-0000-0000CE420000}"/>
    <cellStyle name="Normal 2 5 2 2 8 2 3 2" xfId="35965" xr:uid="{00000000-0005-0000-0000-0000CF420000}"/>
    <cellStyle name="Normal 2 5 2 2 8 2 4" xfId="19231" xr:uid="{00000000-0005-0000-0000-0000D0420000}"/>
    <cellStyle name="Normal 2 5 2 2 8 2 4 2" xfId="44784" xr:uid="{00000000-0005-0000-0000-0000D1420000}"/>
    <cellStyle name="Normal 2 5 2 2 8 2 5" xfId="30721" xr:uid="{00000000-0005-0000-0000-0000D2420000}"/>
    <cellStyle name="Normal 2 5 2 2 8 3" xfId="6605" xr:uid="{00000000-0005-0000-0000-0000D3420000}"/>
    <cellStyle name="Normal 2 5 2 2 8 3 2" xfId="15432" xr:uid="{00000000-0005-0000-0000-0000D4420000}"/>
    <cellStyle name="Normal 2 5 2 2 8 3 2 2" xfId="40987" xr:uid="{00000000-0005-0000-0000-0000D5420000}"/>
    <cellStyle name="Normal 2 5 2 2 8 3 3" xfId="25683" xr:uid="{00000000-0005-0000-0000-0000D6420000}"/>
    <cellStyle name="Normal 2 5 2 2 8 3 3 2" xfId="51236" xr:uid="{00000000-0005-0000-0000-0000D7420000}"/>
    <cellStyle name="Normal 2 5 2 2 8 3 4" xfId="32166" xr:uid="{00000000-0005-0000-0000-0000D8420000}"/>
    <cellStyle name="Normal 2 5 2 2 8 4" xfId="8051" xr:uid="{00000000-0005-0000-0000-0000D9420000}"/>
    <cellStyle name="Normal 2 5 2 2 8 4 2" xfId="22018" xr:uid="{00000000-0005-0000-0000-0000DA420000}"/>
    <cellStyle name="Normal 2 5 2 2 8 4 2 2" xfId="47571" xr:uid="{00000000-0005-0000-0000-0000DB420000}"/>
    <cellStyle name="Normal 2 5 2 2 8 4 3" xfId="33608" xr:uid="{00000000-0005-0000-0000-0000DC420000}"/>
    <cellStyle name="Normal 2 5 2 2 8 5" xfId="17011" xr:uid="{00000000-0005-0000-0000-0000DD420000}"/>
    <cellStyle name="Normal 2 5 2 2 8 5 2" xfId="42564" xr:uid="{00000000-0005-0000-0000-0000DE420000}"/>
    <cellStyle name="Normal 2 5 2 2 8 6" xfId="28501" xr:uid="{00000000-0005-0000-0000-0000DF420000}"/>
    <cellStyle name="Normal 2 5 2 2 9" xfId="4104" xr:uid="{00000000-0005-0000-0000-0000E0420000}"/>
    <cellStyle name="Normal 2 5 2 2 9 2" xfId="5562" xr:uid="{00000000-0005-0000-0000-0000E1420000}"/>
    <cellStyle name="Normal 2 5 2 2 9 2 2" xfId="14389" xr:uid="{00000000-0005-0000-0000-0000E2420000}"/>
    <cellStyle name="Normal 2 5 2 2 9 2 2 2" xfId="39944" xr:uid="{00000000-0005-0000-0000-0000E3420000}"/>
    <cellStyle name="Normal 2 5 2 2 9 2 3" xfId="24640" xr:uid="{00000000-0005-0000-0000-0000E4420000}"/>
    <cellStyle name="Normal 2 5 2 2 9 2 3 2" xfId="50193" xr:uid="{00000000-0005-0000-0000-0000E5420000}"/>
    <cellStyle name="Normal 2 5 2 2 9 2 4" xfId="31123" xr:uid="{00000000-0005-0000-0000-0000E6420000}"/>
    <cellStyle name="Normal 2 5 2 2 9 3" xfId="7006" xr:uid="{00000000-0005-0000-0000-0000E7420000}"/>
    <cellStyle name="Normal 2 5 2 2 9 3 2" xfId="23193" xr:uid="{00000000-0005-0000-0000-0000E8420000}"/>
    <cellStyle name="Normal 2 5 2 2 9 3 2 2" xfId="48746" xr:uid="{00000000-0005-0000-0000-0000E9420000}"/>
    <cellStyle name="Normal 2 5 2 2 9 3 3" xfId="32563" xr:uid="{00000000-0005-0000-0000-0000EA420000}"/>
    <cellStyle name="Normal 2 5 2 2 9 4" xfId="18186" xr:uid="{00000000-0005-0000-0000-0000EB420000}"/>
    <cellStyle name="Normal 2 5 2 2 9 4 2" xfId="43739" xr:uid="{00000000-0005-0000-0000-0000EC420000}"/>
    <cellStyle name="Normal 2 5 2 2 9 5" xfId="29676" xr:uid="{00000000-0005-0000-0000-0000ED420000}"/>
    <cellStyle name="Normal 2 5 2 2_Degree data" xfId="3920" xr:uid="{00000000-0005-0000-0000-0000EE420000}"/>
    <cellStyle name="Normal 2 5 2 3" xfId="141" xr:uid="{00000000-0005-0000-0000-0000EF420000}"/>
    <cellStyle name="Normal 2 5 2 3 10" xfId="1409" xr:uid="{00000000-0005-0000-0000-0000F0420000}"/>
    <cellStyle name="Normal 2 5 2 3 10 2" xfId="10786" xr:uid="{00000000-0005-0000-0000-0000F1420000}"/>
    <cellStyle name="Normal 2 5 2 3 10 2 2" xfId="36341" xr:uid="{00000000-0005-0000-0000-0000F2420000}"/>
    <cellStyle name="Normal 2 5 2 3 10 3" xfId="20790" xr:uid="{00000000-0005-0000-0000-0000F3420000}"/>
    <cellStyle name="Normal 2 5 2 3 10 3 2" xfId="46343" xr:uid="{00000000-0005-0000-0000-0000F4420000}"/>
    <cellStyle name="Normal 2 5 2 3 10 4" xfId="27273" xr:uid="{00000000-0005-0000-0000-0000F5420000}"/>
    <cellStyle name="Normal 2 5 2 3 11" xfId="5520" xr:uid="{00000000-0005-0000-0000-0000F6420000}"/>
    <cellStyle name="Normal 2 5 2 3 11 2" xfId="14347" xr:uid="{00000000-0005-0000-0000-0000F7420000}"/>
    <cellStyle name="Normal 2 5 2 3 11 2 2" xfId="39902" xr:uid="{00000000-0005-0000-0000-0000F8420000}"/>
    <cellStyle name="Normal 2 5 2 3 11 3" xfId="24598" xr:uid="{00000000-0005-0000-0000-0000F9420000}"/>
    <cellStyle name="Normal 2 5 2 3 11 3 2" xfId="50151" xr:uid="{00000000-0005-0000-0000-0000FA420000}"/>
    <cellStyle name="Normal 2 5 2 3 11 4" xfId="31081" xr:uid="{00000000-0005-0000-0000-0000FB420000}"/>
    <cellStyle name="Normal 2 5 2 3 12" xfId="6960" xr:uid="{00000000-0005-0000-0000-0000FC420000}"/>
    <cellStyle name="Normal 2 5 2 3 12 2" xfId="19605" xr:uid="{00000000-0005-0000-0000-0000FD420000}"/>
    <cellStyle name="Normal 2 5 2 3 12 2 2" xfId="45158" xr:uid="{00000000-0005-0000-0000-0000FE420000}"/>
    <cellStyle name="Normal 2 5 2 3 12 3" xfId="32518" xr:uid="{00000000-0005-0000-0000-0000FF420000}"/>
    <cellStyle name="Normal 2 5 2 3 13" xfId="15783" xr:uid="{00000000-0005-0000-0000-000000430000}"/>
    <cellStyle name="Normal 2 5 2 3 13 2" xfId="41336" xr:uid="{00000000-0005-0000-0000-000001430000}"/>
    <cellStyle name="Normal 2 5 2 3 14" xfId="26088" xr:uid="{00000000-0005-0000-0000-000002430000}"/>
    <cellStyle name="Normal 2 5 2 3 2" xfId="191" xr:uid="{00000000-0005-0000-0000-000003430000}"/>
    <cellStyle name="Normal 2 5 2 3 2 10" xfId="7139" xr:uid="{00000000-0005-0000-0000-000004430000}"/>
    <cellStyle name="Normal 2 5 2 3 2 10 2" xfId="19648" xr:uid="{00000000-0005-0000-0000-000005430000}"/>
    <cellStyle name="Normal 2 5 2 3 2 10 2 2" xfId="45201" xr:uid="{00000000-0005-0000-0000-000006430000}"/>
    <cellStyle name="Normal 2 5 2 3 2 10 3" xfId="32696" xr:uid="{00000000-0005-0000-0000-000007430000}"/>
    <cellStyle name="Normal 2 5 2 3 2 11" xfId="15885" xr:uid="{00000000-0005-0000-0000-000008430000}"/>
    <cellStyle name="Normal 2 5 2 3 2 11 2" xfId="41438" xr:uid="{00000000-0005-0000-0000-000009430000}"/>
    <cellStyle name="Normal 2 5 2 3 2 12" xfId="26131" xr:uid="{00000000-0005-0000-0000-00000A430000}"/>
    <cellStyle name="Normal 2 5 2 3 2 2" xfId="519" xr:uid="{00000000-0005-0000-0000-00000B430000}"/>
    <cellStyle name="Normal 2 5 2 3 2 2 10" xfId="26448" xr:uid="{00000000-0005-0000-0000-00000C430000}"/>
    <cellStyle name="Normal 2 5 2 3 2 2 2" xfId="737" xr:uid="{00000000-0005-0000-0000-00000D430000}"/>
    <cellStyle name="Normal 2 5 2 3 2 2 2 2" xfId="3223" xr:uid="{00000000-0005-0000-0000-00000E430000}"/>
    <cellStyle name="Normal 2 5 2 3 2 2 2 2 2" xfId="12365" xr:uid="{00000000-0005-0000-0000-00000F430000}"/>
    <cellStyle name="Normal 2 5 2 3 2 2 2 2 2 2" xfId="22584" xr:uid="{00000000-0005-0000-0000-000010430000}"/>
    <cellStyle name="Normal 2 5 2 3 2 2 2 2 2 2 2" xfId="48137" xr:uid="{00000000-0005-0000-0000-000011430000}"/>
    <cellStyle name="Normal 2 5 2 3 2 2 2 2 2 3" xfId="37920" xr:uid="{00000000-0005-0000-0000-000012430000}"/>
    <cellStyle name="Normal 2 5 2 3 2 2 2 2 3" xfId="8787" xr:uid="{00000000-0005-0000-0000-000013430000}"/>
    <cellStyle name="Normal 2 5 2 3 2 2 2 2 3 2" xfId="34344" xr:uid="{00000000-0005-0000-0000-000014430000}"/>
    <cellStyle name="Normal 2 5 2 3 2 2 2 2 4" xfId="17577" xr:uid="{00000000-0005-0000-0000-000015430000}"/>
    <cellStyle name="Normal 2 5 2 3 2 2 2 2 4 2" xfId="43130" xr:uid="{00000000-0005-0000-0000-000016430000}"/>
    <cellStyle name="Normal 2 5 2 3 2 2 2 2 5" xfId="29067" xr:uid="{00000000-0005-0000-0000-000017430000}"/>
    <cellStyle name="Normal 2 5 2 3 2 2 2 3" xfId="4552" xr:uid="{00000000-0005-0000-0000-000018430000}"/>
    <cellStyle name="Normal 2 5 2 3 2 2 2 3 2" xfId="13390" xr:uid="{00000000-0005-0000-0000-000019430000}"/>
    <cellStyle name="Normal 2 5 2 3 2 2 2 3 2 2" xfId="23641" xr:uid="{00000000-0005-0000-0000-00001A430000}"/>
    <cellStyle name="Normal 2 5 2 3 2 2 2 3 2 2 2" xfId="49194" xr:uid="{00000000-0005-0000-0000-00001B430000}"/>
    <cellStyle name="Normal 2 5 2 3 2 2 2 3 2 3" xfId="38945" xr:uid="{00000000-0005-0000-0000-00001C430000}"/>
    <cellStyle name="Normal 2 5 2 3 2 2 2 3 3" xfId="9811" xr:uid="{00000000-0005-0000-0000-00001D430000}"/>
    <cellStyle name="Normal 2 5 2 3 2 2 2 3 3 2" xfId="35368" xr:uid="{00000000-0005-0000-0000-00001E430000}"/>
    <cellStyle name="Normal 2 5 2 3 2 2 2 3 4" xfId="18634" xr:uid="{00000000-0005-0000-0000-00001F430000}"/>
    <cellStyle name="Normal 2 5 2 3 2 2 2 3 4 2" xfId="44187" xr:uid="{00000000-0005-0000-0000-000020430000}"/>
    <cellStyle name="Normal 2 5 2 3 2 2 2 3 5" xfId="30124" xr:uid="{00000000-0005-0000-0000-000021430000}"/>
    <cellStyle name="Normal 2 5 2 3 2 2 2 4" xfId="2332" xr:uid="{00000000-0005-0000-0000-000022430000}"/>
    <cellStyle name="Normal 2 5 2 3 2 2 2 4 2" xfId="11697" xr:uid="{00000000-0005-0000-0000-000023430000}"/>
    <cellStyle name="Normal 2 5 2 3 2 2 2 4 2 2" xfId="37252" xr:uid="{00000000-0005-0000-0000-000024430000}"/>
    <cellStyle name="Normal 2 5 2 3 2 2 2 4 3" xfId="21701" xr:uid="{00000000-0005-0000-0000-000025430000}"/>
    <cellStyle name="Normal 2 5 2 3 2 2 2 4 3 2" xfId="47254" xr:uid="{00000000-0005-0000-0000-000026430000}"/>
    <cellStyle name="Normal 2 5 2 3 2 2 2 4 4" xfId="28184" xr:uid="{00000000-0005-0000-0000-000027430000}"/>
    <cellStyle name="Normal 2 5 2 3 2 2 2 5" xfId="6008" xr:uid="{00000000-0005-0000-0000-000028430000}"/>
    <cellStyle name="Normal 2 5 2 3 2 2 2 5 2" xfId="14835" xr:uid="{00000000-0005-0000-0000-000029430000}"/>
    <cellStyle name="Normal 2 5 2 3 2 2 2 5 2 2" xfId="40390" xr:uid="{00000000-0005-0000-0000-00002A430000}"/>
    <cellStyle name="Normal 2 5 2 3 2 2 2 5 3" xfId="25086" xr:uid="{00000000-0005-0000-0000-00002B430000}"/>
    <cellStyle name="Normal 2 5 2 3 2 2 2 5 3 2" xfId="50639" xr:uid="{00000000-0005-0000-0000-00002C430000}"/>
    <cellStyle name="Normal 2 5 2 3 2 2 2 5 4" xfId="31569" xr:uid="{00000000-0005-0000-0000-00002D430000}"/>
    <cellStyle name="Normal 2 5 2 3 2 2 2 6" xfId="7452" xr:uid="{00000000-0005-0000-0000-00002E430000}"/>
    <cellStyle name="Normal 2 5 2 3 2 2 2 6 2" xfId="20183" xr:uid="{00000000-0005-0000-0000-00002F430000}"/>
    <cellStyle name="Normal 2 5 2 3 2 2 2 6 2 2" xfId="45736" xr:uid="{00000000-0005-0000-0000-000030430000}"/>
    <cellStyle name="Normal 2 5 2 3 2 2 2 6 3" xfId="33009" xr:uid="{00000000-0005-0000-0000-000031430000}"/>
    <cellStyle name="Normal 2 5 2 3 2 2 2 7" xfId="16694" xr:uid="{00000000-0005-0000-0000-000032430000}"/>
    <cellStyle name="Normal 2 5 2 3 2 2 2 7 2" xfId="42247" xr:uid="{00000000-0005-0000-0000-000033430000}"/>
    <cellStyle name="Normal 2 5 2 3 2 2 2 8" xfId="26666" xr:uid="{00000000-0005-0000-0000-000034430000}"/>
    <cellStyle name="Normal 2 5 2 3 2 2 3" xfId="1291" xr:uid="{00000000-0005-0000-0000-000035430000}"/>
    <cellStyle name="Normal 2 5 2 3 2 2 3 2" xfId="3720" xr:uid="{00000000-0005-0000-0000-000036430000}"/>
    <cellStyle name="Normal 2 5 2 3 2 2 3 2 2" xfId="12856" xr:uid="{00000000-0005-0000-0000-000037430000}"/>
    <cellStyle name="Normal 2 5 2 3 2 2 3 2 2 2" xfId="23075" xr:uid="{00000000-0005-0000-0000-000038430000}"/>
    <cellStyle name="Normal 2 5 2 3 2 2 3 2 2 2 2" xfId="48628" xr:uid="{00000000-0005-0000-0000-000039430000}"/>
    <cellStyle name="Normal 2 5 2 3 2 2 3 2 2 3" xfId="38411" xr:uid="{00000000-0005-0000-0000-00003A430000}"/>
    <cellStyle name="Normal 2 5 2 3 2 2 3 2 3" xfId="9277" xr:uid="{00000000-0005-0000-0000-00003B430000}"/>
    <cellStyle name="Normal 2 5 2 3 2 2 3 2 3 2" xfId="34834" xr:uid="{00000000-0005-0000-0000-00003C430000}"/>
    <cellStyle name="Normal 2 5 2 3 2 2 3 2 4" xfId="18068" xr:uid="{00000000-0005-0000-0000-00003D430000}"/>
    <cellStyle name="Normal 2 5 2 3 2 2 3 2 4 2" xfId="43621" xr:uid="{00000000-0005-0000-0000-00003E430000}"/>
    <cellStyle name="Normal 2 5 2 3 2 2 3 2 5" xfId="29558" xr:uid="{00000000-0005-0000-0000-00003F430000}"/>
    <cellStyle name="Normal 2 5 2 3 2 2 3 3" xfId="4901" xr:uid="{00000000-0005-0000-0000-000040430000}"/>
    <cellStyle name="Normal 2 5 2 3 2 2 3 3 2" xfId="13738" xr:uid="{00000000-0005-0000-0000-000041430000}"/>
    <cellStyle name="Normal 2 5 2 3 2 2 3 3 2 2" xfId="23989" xr:uid="{00000000-0005-0000-0000-000042430000}"/>
    <cellStyle name="Normal 2 5 2 3 2 2 3 3 2 2 2" xfId="49542" xr:uid="{00000000-0005-0000-0000-000043430000}"/>
    <cellStyle name="Normal 2 5 2 3 2 2 3 3 2 3" xfId="39293" xr:uid="{00000000-0005-0000-0000-000044430000}"/>
    <cellStyle name="Normal 2 5 2 3 2 2 3 3 3" xfId="10159" xr:uid="{00000000-0005-0000-0000-000045430000}"/>
    <cellStyle name="Normal 2 5 2 3 2 2 3 3 3 2" xfId="35716" xr:uid="{00000000-0005-0000-0000-000046430000}"/>
    <cellStyle name="Normal 2 5 2 3 2 2 3 3 4" xfId="18982" xr:uid="{00000000-0005-0000-0000-000047430000}"/>
    <cellStyle name="Normal 2 5 2 3 2 2 3 3 4 2" xfId="44535" xr:uid="{00000000-0005-0000-0000-000048430000}"/>
    <cellStyle name="Normal 2 5 2 3 2 2 3 3 5" xfId="30472" xr:uid="{00000000-0005-0000-0000-000049430000}"/>
    <cellStyle name="Normal 2 5 2 3 2 2 3 4" xfId="2114" xr:uid="{00000000-0005-0000-0000-00004A430000}"/>
    <cellStyle name="Normal 2 5 2 3 2 2 3 4 2" xfId="11479" xr:uid="{00000000-0005-0000-0000-00004B430000}"/>
    <cellStyle name="Normal 2 5 2 3 2 2 3 4 2 2" xfId="37034" xr:uid="{00000000-0005-0000-0000-00004C430000}"/>
    <cellStyle name="Normal 2 5 2 3 2 2 3 4 3" xfId="21483" xr:uid="{00000000-0005-0000-0000-00004D430000}"/>
    <cellStyle name="Normal 2 5 2 3 2 2 3 4 3 2" xfId="47036" xr:uid="{00000000-0005-0000-0000-00004E430000}"/>
    <cellStyle name="Normal 2 5 2 3 2 2 3 4 4" xfId="27966" xr:uid="{00000000-0005-0000-0000-00004F430000}"/>
    <cellStyle name="Normal 2 5 2 3 2 2 3 5" xfId="6356" xr:uid="{00000000-0005-0000-0000-000050430000}"/>
    <cellStyle name="Normal 2 5 2 3 2 2 3 5 2" xfId="15183" xr:uid="{00000000-0005-0000-0000-000051430000}"/>
    <cellStyle name="Normal 2 5 2 3 2 2 3 5 2 2" xfId="40738" xr:uid="{00000000-0005-0000-0000-000052430000}"/>
    <cellStyle name="Normal 2 5 2 3 2 2 3 5 3" xfId="25434" xr:uid="{00000000-0005-0000-0000-000053430000}"/>
    <cellStyle name="Normal 2 5 2 3 2 2 3 5 3 2" xfId="50987" xr:uid="{00000000-0005-0000-0000-000054430000}"/>
    <cellStyle name="Normal 2 5 2 3 2 2 3 5 4" xfId="31917" xr:uid="{00000000-0005-0000-0000-000055430000}"/>
    <cellStyle name="Normal 2 5 2 3 2 2 3 6" xfId="7802" xr:uid="{00000000-0005-0000-0000-000056430000}"/>
    <cellStyle name="Normal 2 5 2 3 2 2 3 6 2" xfId="20674" xr:uid="{00000000-0005-0000-0000-000057430000}"/>
    <cellStyle name="Normal 2 5 2 3 2 2 3 6 2 2" xfId="46227" xr:uid="{00000000-0005-0000-0000-000058430000}"/>
    <cellStyle name="Normal 2 5 2 3 2 2 3 6 3" xfId="33359" xr:uid="{00000000-0005-0000-0000-000059430000}"/>
    <cellStyle name="Normal 2 5 2 3 2 2 3 7" xfId="16476" xr:uid="{00000000-0005-0000-0000-00005A430000}"/>
    <cellStyle name="Normal 2 5 2 3 2 2 3 7 2" xfId="42029" xr:uid="{00000000-0005-0000-0000-00005B430000}"/>
    <cellStyle name="Normal 2 5 2 3 2 2 3 8" xfId="27157" xr:uid="{00000000-0005-0000-0000-00005C430000}"/>
    <cellStyle name="Normal 2 5 2 3 2 2 4" xfId="3005" xr:uid="{00000000-0005-0000-0000-00005D430000}"/>
    <cellStyle name="Normal 2 5 2 3 2 2 4 2" xfId="5383" xr:uid="{00000000-0005-0000-0000-00005E430000}"/>
    <cellStyle name="Normal 2 5 2 3 2 2 4 2 2" xfId="14220" xr:uid="{00000000-0005-0000-0000-00005F430000}"/>
    <cellStyle name="Normal 2 5 2 3 2 2 4 2 2 2" xfId="24471" xr:uid="{00000000-0005-0000-0000-000060430000}"/>
    <cellStyle name="Normal 2 5 2 3 2 2 4 2 2 2 2" xfId="50024" xr:uid="{00000000-0005-0000-0000-000061430000}"/>
    <cellStyle name="Normal 2 5 2 3 2 2 4 2 2 3" xfId="39775" xr:uid="{00000000-0005-0000-0000-000062430000}"/>
    <cellStyle name="Normal 2 5 2 3 2 2 4 2 3" xfId="10641" xr:uid="{00000000-0005-0000-0000-000063430000}"/>
    <cellStyle name="Normal 2 5 2 3 2 2 4 2 3 2" xfId="36198" xr:uid="{00000000-0005-0000-0000-000064430000}"/>
    <cellStyle name="Normal 2 5 2 3 2 2 4 2 4" xfId="19464" xr:uid="{00000000-0005-0000-0000-000065430000}"/>
    <cellStyle name="Normal 2 5 2 3 2 2 4 2 4 2" xfId="45017" xr:uid="{00000000-0005-0000-0000-000066430000}"/>
    <cellStyle name="Normal 2 5 2 3 2 2 4 2 5" xfId="30954" xr:uid="{00000000-0005-0000-0000-000067430000}"/>
    <cellStyle name="Normal 2 5 2 3 2 2 4 3" xfId="6838" xr:uid="{00000000-0005-0000-0000-000068430000}"/>
    <cellStyle name="Normal 2 5 2 3 2 2 4 3 2" xfId="15665" xr:uid="{00000000-0005-0000-0000-000069430000}"/>
    <cellStyle name="Normal 2 5 2 3 2 2 4 3 2 2" xfId="41220" xr:uid="{00000000-0005-0000-0000-00006A430000}"/>
    <cellStyle name="Normal 2 5 2 3 2 2 4 3 3" xfId="25916" xr:uid="{00000000-0005-0000-0000-00006B430000}"/>
    <cellStyle name="Normal 2 5 2 3 2 2 4 3 3 2" xfId="51469" xr:uid="{00000000-0005-0000-0000-00006C430000}"/>
    <cellStyle name="Normal 2 5 2 3 2 2 4 3 4" xfId="32399" xr:uid="{00000000-0005-0000-0000-00006D430000}"/>
    <cellStyle name="Normal 2 5 2 3 2 2 4 4" xfId="8284" xr:uid="{00000000-0005-0000-0000-00006E430000}"/>
    <cellStyle name="Normal 2 5 2 3 2 2 4 4 2" xfId="22366" xr:uid="{00000000-0005-0000-0000-00006F430000}"/>
    <cellStyle name="Normal 2 5 2 3 2 2 4 4 2 2" xfId="47919" xr:uid="{00000000-0005-0000-0000-000070430000}"/>
    <cellStyle name="Normal 2 5 2 3 2 2 4 4 3" xfId="33841" xr:uid="{00000000-0005-0000-0000-000071430000}"/>
    <cellStyle name="Normal 2 5 2 3 2 2 4 5" xfId="17359" xr:uid="{00000000-0005-0000-0000-000072430000}"/>
    <cellStyle name="Normal 2 5 2 3 2 2 4 5 2" xfId="42912" xr:uid="{00000000-0005-0000-0000-000073430000}"/>
    <cellStyle name="Normal 2 5 2 3 2 2 4 6" xfId="28849" xr:uid="{00000000-0005-0000-0000-000074430000}"/>
    <cellStyle name="Normal 2 5 2 3 2 2 5" xfId="4339" xr:uid="{00000000-0005-0000-0000-000075430000}"/>
    <cellStyle name="Normal 2 5 2 3 2 2 5 2" xfId="13177" xr:uid="{00000000-0005-0000-0000-000076430000}"/>
    <cellStyle name="Normal 2 5 2 3 2 2 5 2 2" xfId="23428" xr:uid="{00000000-0005-0000-0000-000077430000}"/>
    <cellStyle name="Normal 2 5 2 3 2 2 5 2 2 2" xfId="48981" xr:uid="{00000000-0005-0000-0000-000078430000}"/>
    <cellStyle name="Normal 2 5 2 3 2 2 5 2 3" xfId="38732" xr:uid="{00000000-0005-0000-0000-000079430000}"/>
    <cellStyle name="Normal 2 5 2 3 2 2 5 3" xfId="9598" xr:uid="{00000000-0005-0000-0000-00007A430000}"/>
    <cellStyle name="Normal 2 5 2 3 2 2 5 3 2" xfId="35155" xr:uid="{00000000-0005-0000-0000-00007B430000}"/>
    <cellStyle name="Normal 2 5 2 3 2 2 5 4" xfId="18421" xr:uid="{00000000-0005-0000-0000-00007C430000}"/>
    <cellStyle name="Normal 2 5 2 3 2 2 5 4 2" xfId="43974" xr:uid="{00000000-0005-0000-0000-00007D430000}"/>
    <cellStyle name="Normal 2 5 2 3 2 2 5 5" xfId="29911" xr:uid="{00000000-0005-0000-0000-00007E430000}"/>
    <cellStyle name="Normal 2 5 2 3 2 2 6" xfId="1611" xr:uid="{00000000-0005-0000-0000-00007F430000}"/>
    <cellStyle name="Normal 2 5 2 3 2 2 6 2" xfId="10988" xr:uid="{00000000-0005-0000-0000-000080430000}"/>
    <cellStyle name="Normal 2 5 2 3 2 2 6 2 2" xfId="36543" xr:uid="{00000000-0005-0000-0000-000081430000}"/>
    <cellStyle name="Normal 2 5 2 3 2 2 6 3" xfId="20992" xr:uid="{00000000-0005-0000-0000-000082430000}"/>
    <cellStyle name="Normal 2 5 2 3 2 2 6 3 2" xfId="46545" xr:uid="{00000000-0005-0000-0000-000083430000}"/>
    <cellStyle name="Normal 2 5 2 3 2 2 6 4" xfId="27475" xr:uid="{00000000-0005-0000-0000-000084430000}"/>
    <cellStyle name="Normal 2 5 2 3 2 2 7" xfId="5795" xr:uid="{00000000-0005-0000-0000-000085430000}"/>
    <cellStyle name="Normal 2 5 2 3 2 2 7 2" xfId="14622" xr:uid="{00000000-0005-0000-0000-000086430000}"/>
    <cellStyle name="Normal 2 5 2 3 2 2 7 2 2" xfId="40177" xr:uid="{00000000-0005-0000-0000-000087430000}"/>
    <cellStyle name="Normal 2 5 2 3 2 2 7 3" xfId="24873" xr:uid="{00000000-0005-0000-0000-000088430000}"/>
    <cellStyle name="Normal 2 5 2 3 2 2 7 3 2" xfId="50426" xr:uid="{00000000-0005-0000-0000-000089430000}"/>
    <cellStyle name="Normal 2 5 2 3 2 2 7 4" xfId="31356" xr:uid="{00000000-0005-0000-0000-00008A430000}"/>
    <cellStyle name="Normal 2 5 2 3 2 2 8" xfId="7239" xr:uid="{00000000-0005-0000-0000-00008B430000}"/>
    <cellStyle name="Normal 2 5 2 3 2 2 8 2" xfId="19965" xr:uid="{00000000-0005-0000-0000-00008C430000}"/>
    <cellStyle name="Normal 2 5 2 3 2 2 8 2 2" xfId="45518" xr:uid="{00000000-0005-0000-0000-00008D430000}"/>
    <cellStyle name="Normal 2 5 2 3 2 2 8 3" xfId="32796" xr:uid="{00000000-0005-0000-0000-00008E430000}"/>
    <cellStyle name="Normal 2 5 2 3 2 2 9" xfId="15985" xr:uid="{00000000-0005-0000-0000-00008F430000}"/>
    <cellStyle name="Normal 2 5 2 3 2 2 9 2" xfId="41538" xr:uid="{00000000-0005-0000-0000-000090430000}"/>
    <cellStyle name="Normal 2 5 2 3 2 2_Degree data" xfId="3849" xr:uid="{00000000-0005-0000-0000-000091430000}"/>
    <cellStyle name="Normal 2 5 2 3 2 3" xfId="419" xr:uid="{00000000-0005-0000-0000-000092430000}"/>
    <cellStyle name="Normal 2 5 2 3 2 3 2" xfId="2905" xr:uid="{00000000-0005-0000-0000-000093430000}"/>
    <cellStyle name="Normal 2 5 2 3 2 3 2 2" xfId="12193" xr:uid="{00000000-0005-0000-0000-000094430000}"/>
    <cellStyle name="Normal 2 5 2 3 2 3 2 2 2" xfId="22266" xr:uid="{00000000-0005-0000-0000-000095430000}"/>
    <cellStyle name="Normal 2 5 2 3 2 3 2 2 2 2" xfId="47819" xr:uid="{00000000-0005-0000-0000-000096430000}"/>
    <cellStyle name="Normal 2 5 2 3 2 3 2 2 3" xfId="37748" xr:uid="{00000000-0005-0000-0000-000097430000}"/>
    <cellStyle name="Normal 2 5 2 3 2 3 2 3" xfId="8430" xr:uid="{00000000-0005-0000-0000-000098430000}"/>
    <cellStyle name="Normal 2 5 2 3 2 3 2 3 2" xfId="33987" xr:uid="{00000000-0005-0000-0000-000099430000}"/>
    <cellStyle name="Normal 2 5 2 3 2 3 2 4" xfId="17259" xr:uid="{00000000-0005-0000-0000-00009A430000}"/>
    <cellStyle name="Normal 2 5 2 3 2 3 2 4 2" xfId="42812" xr:uid="{00000000-0005-0000-0000-00009B430000}"/>
    <cellStyle name="Normal 2 5 2 3 2 3 2 5" xfId="28749" xr:uid="{00000000-0005-0000-0000-00009C430000}"/>
    <cellStyle name="Normal 2 5 2 3 2 3 3" xfId="4551" xr:uid="{00000000-0005-0000-0000-00009D430000}"/>
    <cellStyle name="Normal 2 5 2 3 2 3 3 2" xfId="13389" xr:uid="{00000000-0005-0000-0000-00009E430000}"/>
    <cellStyle name="Normal 2 5 2 3 2 3 3 2 2" xfId="23640" xr:uid="{00000000-0005-0000-0000-00009F430000}"/>
    <cellStyle name="Normal 2 5 2 3 2 3 3 2 2 2" xfId="49193" xr:uid="{00000000-0005-0000-0000-0000A0430000}"/>
    <cellStyle name="Normal 2 5 2 3 2 3 3 2 3" xfId="38944" xr:uid="{00000000-0005-0000-0000-0000A1430000}"/>
    <cellStyle name="Normal 2 5 2 3 2 3 3 3" xfId="9810" xr:uid="{00000000-0005-0000-0000-0000A2430000}"/>
    <cellStyle name="Normal 2 5 2 3 2 3 3 3 2" xfId="35367" xr:uid="{00000000-0005-0000-0000-0000A3430000}"/>
    <cellStyle name="Normal 2 5 2 3 2 3 3 4" xfId="18633" xr:uid="{00000000-0005-0000-0000-0000A4430000}"/>
    <cellStyle name="Normal 2 5 2 3 2 3 3 4 2" xfId="44186" xr:uid="{00000000-0005-0000-0000-0000A5430000}"/>
    <cellStyle name="Normal 2 5 2 3 2 3 3 5" xfId="30123" xr:uid="{00000000-0005-0000-0000-0000A6430000}"/>
    <cellStyle name="Normal 2 5 2 3 2 3 4" xfId="2014" xr:uid="{00000000-0005-0000-0000-0000A7430000}"/>
    <cellStyle name="Normal 2 5 2 3 2 3 4 2" xfId="11379" xr:uid="{00000000-0005-0000-0000-0000A8430000}"/>
    <cellStyle name="Normal 2 5 2 3 2 3 4 2 2" xfId="36934" xr:uid="{00000000-0005-0000-0000-0000A9430000}"/>
    <cellStyle name="Normal 2 5 2 3 2 3 4 3" xfId="21383" xr:uid="{00000000-0005-0000-0000-0000AA430000}"/>
    <cellStyle name="Normal 2 5 2 3 2 3 4 3 2" xfId="46936" xr:uid="{00000000-0005-0000-0000-0000AB430000}"/>
    <cellStyle name="Normal 2 5 2 3 2 3 4 4" xfId="27866" xr:uid="{00000000-0005-0000-0000-0000AC430000}"/>
    <cellStyle name="Normal 2 5 2 3 2 3 5" xfId="6007" xr:uid="{00000000-0005-0000-0000-0000AD430000}"/>
    <cellStyle name="Normal 2 5 2 3 2 3 5 2" xfId="14834" xr:uid="{00000000-0005-0000-0000-0000AE430000}"/>
    <cellStyle name="Normal 2 5 2 3 2 3 5 2 2" xfId="40389" xr:uid="{00000000-0005-0000-0000-0000AF430000}"/>
    <cellStyle name="Normal 2 5 2 3 2 3 5 3" xfId="25085" xr:uid="{00000000-0005-0000-0000-0000B0430000}"/>
    <cellStyle name="Normal 2 5 2 3 2 3 5 3 2" xfId="50638" xr:uid="{00000000-0005-0000-0000-0000B1430000}"/>
    <cellStyle name="Normal 2 5 2 3 2 3 5 4" xfId="31568" xr:uid="{00000000-0005-0000-0000-0000B2430000}"/>
    <cellStyle name="Normal 2 5 2 3 2 3 6" xfId="7451" xr:uid="{00000000-0005-0000-0000-0000B3430000}"/>
    <cellStyle name="Normal 2 5 2 3 2 3 6 2" xfId="19865" xr:uid="{00000000-0005-0000-0000-0000B4430000}"/>
    <cellStyle name="Normal 2 5 2 3 2 3 6 2 2" xfId="45418" xr:uid="{00000000-0005-0000-0000-0000B5430000}"/>
    <cellStyle name="Normal 2 5 2 3 2 3 6 3" xfId="33008" xr:uid="{00000000-0005-0000-0000-0000B6430000}"/>
    <cellStyle name="Normal 2 5 2 3 2 3 7" xfId="16376" xr:uid="{00000000-0005-0000-0000-0000B7430000}"/>
    <cellStyle name="Normal 2 5 2 3 2 3 7 2" xfId="41929" xr:uid="{00000000-0005-0000-0000-0000B8430000}"/>
    <cellStyle name="Normal 2 5 2 3 2 3 8" xfId="26348" xr:uid="{00000000-0005-0000-0000-0000B9430000}"/>
    <cellStyle name="Normal 2 5 2 3 2 4" xfId="736" xr:uid="{00000000-0005-0000-0000-0000BA430000}"/>
    <cellStyle name="Normal 2 5 2 3 2 4 2" xfId="3222" xr:uid="{00000000-0005-0000-0000-0000BB430000}"/>
    <cellStyle name="Normal 2 5 2 3 2 4 2 2" xfId="12364" xr:uid="{00000000-0005-0000-0000-0000BC430000}"/>
    <cellStyle name="Normal 2 5 2 3 2 4 2 2 2" xfId="22583" xr:uid="{00000000-0005-0000-0000-0000BD430000}"/>
    <cellStyle name="Normal 2 5 2 3 2 4 2 2 2 2" xfId="48136" xr:uid="{00000000-0005-0000-0000-0000BE430000}"/>
    <cellStyle name="Normal 2 5 2 3 2 4 2 2 3" xfId="37919" xr:uid="{00000000-0005-0000-0000-0000BF430000}"/>
    <cellStyle name="Normal 2 5 2 3 2 4 2 3" xfId="8786" xr:uid="{00000000-0005-0000-0000-0000C0430000}"/>
    <cellStyle name="Normal 2 5 2 3 2 4 2 3 2" xfId="34343" xr:uid="{00000000-0005-0000-0000-0000C1430000}"/>
    <cellStyle name="Normal 2 5 2 3 2 4 2 4" xfId="17576" xr:uid="{00000000-0005-0000-0000-0000C2430000}"/>
    <cellStyle name="Normal 2 5 2 3 2 4 2 4 2" xfId="43129" xr:uid="{00000000-0005-0000-0000-0000C3430000}"/>
    <cellStyle name="Normal 2 5 2 3 2 4 2 5" xfId="29066" xr:uid="{00000000-0005-0000-0000-0000C4430000}"/>
    <cellStyle name="Normal 2 5 2 3 2 4 3" xfId="4900" xr:uid="{00000000-0005-0000-0000-0000C5430000}"/>
    <cellStyle name="Normal 2 5 2 3 2 4 3 2" xfId="13737" xr:uid="{00000000-0005-0000-0000-0000C6430000}"/>
    <cellStyle name="Normal 2 5 2 3 2 4 3 2 2" xfId="23988" xr:uid="{00000000-0005-0000-0000-0000C7430000}"/>
    <cellStyle name="Normal 2 5 2 3 2 4 3 2 2 2" xfId="49541" xr:uid="{00000000-0005-0000-0000-0000C8430000}"/>
    <cellStyle name="Normal 2 5 2 3 2 4 3 2 3" xfId="39292" xr:uid="{00000000-0005-0000-0000-0000C9430000}"/>
    <cellStyle name="Normal 2 5 2 3 2 4 3 3" xfId="10158" xr:uid="{00000000-0005-0000-0000-0000CA430000}"/>
    <cellStyle name="Normal 2 5 2 3 2 4 3 3 2" xfId="35715" xr:uid="{00000000-0005-0000-0000-0000CB430000}"/>
    <cellStyle name="Normal 2 5 2 3 2 4 3 4" xfId="18981" xr:uid="{00000000-0005-0000-0000-0000CC430000}"/>
    <cellStyle name="Normal 2 5 2 3 2 4 3 4 2" xfId="44534" xr:uid="{00000000-0005-0000-0000-0000CD430000}"/>
    <cellStyle name="Normal 2 5 2 3 2 4 3 5" xfId="30471" xr:uid="{00000000-0005-0000-0000-0000CE430000}"/>
    <cellStyle name="Normal 2 5 2 3 2 4 4" xfId="2331" xr:uid="{00000000-0005-0000-0000-0000CF430000}"/>
    <cellStyle name="Normal 2 5 2 3 2 4 4 2" xfId="11696" xr:uid="{00000000-0005-0000-0000-0000D0430000}"/>
    <cellStyle name="Normal 2 5 2 3 2 4 4 2 2" xfId="37251" xr:uid="{00000000-0005-0000-0000-0000D1430000}"/>
    <cellStyle name="Normal 2 5 2 3 2 4 4 3" xfId="21700" xr:uid="{00000000-0005-0000-0000-0000D2430000}"/>
    <cellStyle name="Normal 2 5 2 3 2 4 4 3 2" xfId="47253" xr:uid="{00000000-0005-0000-0000-0000D3430000}"/>
    <cellStyle name="Normal 2 5 2 3 2 4 4 4" xfId="28183" xr:uid="{00000000-0005-0000-0000-0000D4430000}"/>
    <cellStyle name="Normal 2 5 2 3 2 4 5" xfId="6355" xr:uid="{00000000-0005-0000-0000-0000D5430000}"/>
    <cellStyle name="Normal 2 5 2 3 2 4 5 2" xfId="15182" xr:uid="{00000000-0005-0000-0000-0000D6430000}"/>
    <cellStyle name="Normal 2 5 2 3 2 4 5 2 2" xfId="40737" xr:uid="{00000000-0005-0000-0000-0000D7430000}"/>
    <cellStyle name="Normal 2 5 2 3 2 4 5 3" xfId="25433" xr:uid="{00000000-0005-0000-0000-0000D8430000}"/>
    <cellStyle name="Normal 2 5 2 3 2 4 5 3 2" xfId="50986" xr:uid="{00000000-0005-0000-0000-0000D9430000}"/>
    <cellStyle name="Normal 2 5 2 3 2 4 5 4" xfId="31916" xr:uid="{00000000-0005-0000-0000-0000DA430000}"/>
    <cellStyle name="Normal 2 5 2 3 2 4 6" xfId="7801" xr:uid="{00000000-0005-0000-0000-0000DB430000}"/>
    <cellStyle name="Normal 2 5 2 3 2 4 6 2" xfId="20182" xr:uid="{00000000-0005-0000-0000-0000DC430000}"/>
    <cellStyle name="Normal 2 5 2 3 2 4 6 2 2" xfId="45735" xr:uid="{00000000-0005-0000-0000-0000DD430000}"/>
    <cellStyle name="Normal 2 5 2 3 2 4 6 3" xfId="33358" xr:uid="{00000000-0005-0000-0000-0000DE430000}"/>
    <cellStyle name="Normal 2 5 2 3 2 4 7" xfId="16693" xr:uid="{00000000-0005-0000-0000-0000DF430000}"/>
    <cellStyle name="Normal 2 5 2 3 2 4 7 2" xfId="42246" xr:uid="{00000000-0005-0000-0000-0000E0430000}"/>
    <cellStyle name="Normal 2 5 2 3 2 4 8" xfId="26665" xr:uid="{00000000-0005-0000-0000-0000E1430000}"/>
    <cellStyle name="Normal 2 5 2 3 2 5" xfId="1191" xr:uid="{00000000-0005-0000-0000-0000E2430000}"/>
    <cellStyle name="Normal 2 5 2 3 2 5 2" xfId="3620" xr:uid="{00000000-0005-0000-0000-0000E3430000}"/>
    <cellStyle name="Normal 2 5 2 3 2 5 2 2" xfId="12756" xr:uid="{00000000-0005-0000-0000-0000E4430000}"/>
    <cellStyle name="Normal 2 5 2 3 2 5 2 2 2" xfId="22975" xr:uid="{00000000-0005-0000-0000-0000E5430000}"/>
    <cellStyle name="Normal 2 5 2 3 2 5 2 2 2 2" xfId="48528" xr:uid="{00000000-0005-0000-0000-0000E6430000}"/>
    <cellStyle name="Normal 2 5 2 3 2 5 2 2 3" xfId="38311" xr:uid="{00000000-0005-0000-0000-0000E7430000}"/>
    <cellStyle name="Normal 2 5 2 3 2 5 2 3" xfId="9177" xr:uid="{00000000-0005-0000-0000-0000E8430000}"/>
    <cellStyle name="Normal 2 5 2 3 2 5 2 3 2" xfId="34734" xr:uid="{00000000-0005-0000-0000-0000E9430000}"/>
    <cellStyle name="Normal 2 5 2 3 2 5 2 4" xfId="17968" xr:uid="{00000000-0005-0000-0000-0000EA430000}"/>
    <cellStyle name="Normal 2 5 2 3 2 5 2 4 2" xfId="43521" xr:uid="{00000000-0005-0000-0000-0000EB430000}"/>
    <cellStyle name="Normal 2 5 2 3 2 5 2 5" xfId="29458" xr:uid="{00000000-0005-0000-0000-0000EC430000}"/>
    <cellStyle name="Normal 2 5 2 3 2 5 3" xfId="5283" xr:uid="{00000000-0005-0000-0000-0000ED430000}"/>
    <cellStyle name="Normal 2 5 2 3 2 5 3 2" xfId="14120" xr:uid="{00000000-0005-0000-0000-0000EE430000}"/>
    <cellStyle name="Normal 2 5 2 3 2 5 3 2 2" xfId="24371" xr:uid="{00000000-0005-0000-0000-0000EF430000}"/>
    <cellStyle name="Normal 2 5 2 3 2 5 3 2 2 2" xfId="49924" xr:uid="{00000000-0005-0000-0000-0000F0430000}"/>
    <cellStyle name="Normal 2 5 2 3 2 5 3 2 3" xfId="39675" xr:uid="{00000000-0005-0000-0000-0000F1430000}"/>
    <cellStyle name="Normal 2 5 2 3 2 5 3 3" xfId="10541" xr:uid="{00000000-0005-0000-0000-0000F2430000}"/>
    <cellStyle name="Normal 2 5 2 3 2 5 3 3 2" xfId="36098" xr:uid="{00000000-0005-0000-0000-0000F3430000}"/>
    <cellStyle name="Normal 2 5 2 3 2 5 3 4" xfId="19364" xr:uid="{00000000-0005-0000-0000-0000F4430000}"/>
    <cellStyle name="Normal 2 5 2 3 2 5 3 4 2" xfId="44917" xr:uid="{00000000-0005-0000-0000-0000F5430000}"/>
    <cellStyle name="Normal 2 5 2 3 2 5 3 5" xfId="30854" xr:uid="{00000000-0005-0000-0000-0000F6430000}"/>
    <cellStyle name="Normal 2 5 2 3 2 5 4" xfId="1793" xr:uid="{00000000-0005-0000-0000-0000F7430000}"/>
    <cellStyle name="Normal 2 5 2 3 2 5 4 2" xfId="11162" xr:uid="{00000000-0005-0000-0000-0000F8430000}"/>
    <cellStyle name="Normal 2 5 2 3 2 5 4 2 2" xfId="36717" xr:uid="{00000000-0005-0000-0000-0000F9430000}"/>
    <cellStyle name="Normal 2 5 2 3 2 5 4 3" xfId="21166" xr:uid="{00000000-0005-0000-0000-0000FA430000}"/>
    <cellStyle name="Normal 2 5 2 3 2 5 4 3 2" xfId="46719" xr:uid="{00000000-0005-0000-0000-0000FB430000}"/>
    <cellStyle name="Normal 2 5 2 3 2 5 4 4" xfId="27649" xr:uid="{00000000-0005-0000-0000-0000FC430000}"/>
    <cellStyle name="Normal 2 5 2 3 2 5 5" xfId="6738" xr:uid="{00000000-0005-0000-0000-0000FD430000}"/>
    <cellStyle name="Normal 2 5 2 3 2 5 5 2" xfId="15565" xr:uid="{00000000-0005-0000-0000-0000FE430000}"/>
    <cellStyle name="Normal 2 5 2 3 2 5 5 2 2" xfId="41120" xr:uid="{00000000-0005-0000-0000-0000FF430000}"/>
    <cellStyle name="Normal 2 5 2 3 2 5 5 3" xfId="25816" xr:uid="{00000000-0005-0000-0000-000000440000}"/>
    <cellStyle name="Normal 2 5 2 3 2 5 5 3 2" xfId="51369" xr:uid="{00000000-0005-0000-0000-000001440000}"/>
    <cellStyle name="Normal 2 5 2 3 2 5 5 4" xfId="32299" xr:uid="{00000000-0005-0000-0000-000002440000}"/>
    <cellStyle name="Normal 2 5 2 3 2 5 6" xfId="8184" xr:uid="{00000000-0005-0000-0000-000003440000}"/>
    <cellStyle name="Normal 2 5 2 3 2 5 6 2" xfId="20574" xr:uid="{00000000-0005-0000-0000-000004440000}"/>
    <cellStyle name="Normal 2 5 2 3 2 5 6 2 2" xfId="46127" xr:uid="{00000000-0005-0000-0000-000005440000}"/>
    <cellStyle name="Normal 2 5 2 3 2 5 6 3" xfId="33741" xr:uid="{00000000-0005-0000-0000-000006440000}"/>
    <cellStyle name="Normal 2 5 2 3 2 5 7" xfId="16159" xr:uid="{00000000-0005-0000-0000-000007440000}"/>
    <cellStyle name="Normal 2 5 2 3 2 5 7 2" xfId="41712" xr:uid="{00000000-0005-0000-0000-000008440000}"/>
    <cellStyle name="Normal 2 5 2 3 2 5 8" xfId="27057" xr:uid="{00000000-0005-0000-0000-000009440000}"/>
    <cellStyle name="Normal 2 5 2 3 2 6" xfId="2688" xr:uid="{00000000-0005-0000-0000-00000A440000}"/>
    <cellStyle name="Normal 2 5 2 3 2 6 2" xfId="12005" xr:uid="{00000000-0005-0000-0000-00000B440000}"/>
    <cellStyle name="Normal 2 5 2 3 2 6 2 2" xfId="22049" xr:uid="{00000000-0005-0000-0000-00000C440000}"/>
    <cellStyle name="Normal 2 5 2 3 2 6 2 2 2" xfId="47602" xr:uid="{00000000-0005-0000-0000-00000D440000}"/>
    <cellStyle name="Normal 2 5 2 3 2 6 2 3" xfId="37560" xr:uid="{00000000-0005-0000-0000-00000E440000}"/>
    <cellStyle name="Normal 2 5 2 3 2 6 3" xfId="8556" xr:uid="{00000000-0005-0000-0000-00000F440000}"/>
    <cellStyle name="Normal 2 5 2 3 2 6 3 2" xfId="34113" xr:uid="{00000000-0005-0000-0000-000010440000}"/>
    <cellStyle name="Normal 2 5 2 3 2 6 4" xfId="17042" xr:uid="{00000000-0005-0000-0000-000011440000}"/>
    <cellStyle name="Normal 2 5 2 3 2 6 4 2" xfId="42595" xr:uid="{00000000-0005-0000-0000-000012440000}"/>
    <cellStyle name="Normal 2 5 2 3 2 6 5" xfId="28532" xr:uid="{00000000-0005-0000-0000-000013440000}"/>
    <cellStyle name="Normal 2 5 2 3 2 7" xfId="4239" xr:uid="{00000000-0005-0000-0000-000014440000}"/>
    <cellStyle name="Normal 2 5 2 3 2 7 2" xfId="13077" xr:uid="{00000000-0005-0000-0000-000015440000}"/>
    <cellStyle name="Normal 2 5 2 3 2 7 2 2" xfId="23328" xr:uid="{00000000-0005-0000-0000-000016440000}"/>
    <cellStyle name="Normal 2 5 2 3 2 7 2 2 2" xfId="48881" xr:uid="{00000000-0005-0000-0000-000017440000}"/>
    <cellStyle name="Normal 2 5 2 3 2 7 2 3" xfId="38632" xr:uid="{00000000-0005-0000-0000-000018440000}"/>
    <cellStyle name="Normal 2 5 2 3 2 7 3" xfId="9498" xr:uid="{00000000-0005-0000-0000-000019440000}"/>
    <cellStyle name="Normal 2 5 2 3 2 7 3 2" xfId="35055" xr:uid="{00000000-0005-0000-0000-00001A440000}"/>
    <cellStyle name="Normal 2 5 2 3 2 7 4" xfId="18321" xr:uid="{00000000-0005-0000-0000-00001B440000}"/>
    <cellStyle name="Normal 2 5 2 3 2 7 4 2" xfId="43874" xr:uid="{00000000-0005-0000-0000-00001C440000}"/>
    <cellStyle name="Normal 2 5 2 3 2 7 5" xfId="29811" xr:uid="{00000000-0005-0000-0000-00001D440000}"/>
    <cellStyle name="Normal 2 5 2 3 2 8" xfId="1511" xr:uid="{00000000-0005-0000-0000-00001E440000}"/>
    <cellStyle name="Normal 2 5 2 3 2 8 2" xfId="10888" xr:uid="{00000000-0005-0000-0000-00001F440000}"/>
    <cellStyle name="Normal 2 5 2 3 2 8 2 2" xfId="36443" xr:uid="{00000000-0005-0000-0000-000020440000}"/>
    <cellStyle name="Normal 2 5 2 3 2 8 3" xfId="20892" xr:uid="{00000000-0005-0000-0000-000021440000}"/>
    <cellStyle name="Normal 2 5 2 3 2 8 3 2" xfId="46445" xr:uid="{00000000-0005-0000-0000-000022440000}"/>
    <cellStyle name="Normal 2 5 2 3 2 8 4" xfId="27375" xr:uid="{00000000-0005-0000-0000-000023440000}"/>
    <cellStyle name="Normal 2 5 2 3 2 9" xfId="5695" xr:uid="{00000000-0005-0000-0000-000024440000}"/>
    <cellStyle name="Normal 2 5 2 3 2 9 2" xfId="14522" xr:uid="{00000000-0005-0000-0000-000025440000}"/>
    <cellStyle name="Normal 2 5 2 3 2 9 2 2" xfId="40077" xr:uid="{00000000-0005-0000-0000-000026440000}"/>
    <cellStyle name="Normal 2 5 2 3 2 9 3" xfId="24773" xr:uid="{00000000-0005-0000-0000-000027440000}"/>
    <cellStyle name="Normal 2 5 2 3 2 9 3 2" xfId="50326" xr:uid="{00000000-0005-0000-0000-000028440000}"/>
    <cellStyle name="Normal 2 5 2 3 2 9 4" xfId="31256" xr:uid="{00000000-0005-0000-0000-000029440000}"/>
    <cellStyle name="Normal 2 5 2 3 2_Degree data" xfId="3913" xr:uid="{00000000-0005-0000-0000-00002A440000}"/>
    <cellStyle name="Normal 2 5 2 3 3" xfId="258" xr:uid="{00000000-0005-0000-0000-00002B440000}"/>
    <cellStyle name="Normal 2 5 2 3 3 10" xfId="7096" xr:uid="{00000000-0005-0000-0000-00002C440000}"/>
    <cellStyle name="Normal 2 5 2 3 3 10 2" xfId="19710" xr:uid="{00000000-0005-0000-0000-00002D440000}"/>
    <cellStyle name="Normal 2 5 2 3 3 10 2 2" xfId="45263" xr:uid="{00000000-0005-0000-0000-00002E440000}"/>
    <cellStyle name="Normal 2 5 2 3 3 10 3" xfId="32653" xr:uid="{00000000-0005-0000-0000-00002F440000}"/>
    <cellStyle name="Normal 2 5 2 3 3 11" xfId="15842" xr:uid="{00000000-0005-0000-0000-000030440000}"/>
    <cellStyle name="Normal 2 5 2 3 3 11 2" xfId="41395" xr:uid="{00000000-0005-0000-0000-000031440000}"/>
    <cellStyle name="Normal 2 5 2 3 3 12" xfId="26193" xr:uid="{00000000-0005-0000-0000-000032440000}"/>
    <cellStyle name="Normal 2 5 2 3 3 2" xfId="581" xr:uid="{00000000-0005-0000-0000-000033440000}"/>
    <cellStyle name="Normal 2 5 2 3 3 2 10" xfId="26510" xr:uid="{00000000-0005-0000-0000-000034440000}"/>
    <cellStyle name="Normal 2 5 2 3 3 2 2" xfId="739" xr:uid="{00000000-0005-0000-0000-000035440000}"/>
    <cellStyle name="Normal 2 5 2 3 3 2 2 2" xfId="3225" xr:uid="{00000000-0005-0000-0000-000036440000}"/>
    <cellStyle name="Normal 2 5 2 3 3 2 2 2 2" xfId="12367" xr:uid="{00000000-0005-0000-0000-000037440000}"/>
    <cellStyle name="Normal 2 5 2 3 3 2 2 2 2 2" xfId="22586" xr:uid="{00000000-0005-0000-0000-000038440000}"/>
    <cellStyle name="Normal 2 5 2 3 3 2 2 2 2 2 2" xfId="48139" xr:uid="{00000000-0005-0000-0000-000039440000}"/>
    <cellStyle name="Normal 2 5 2 3 3 2 2 2 2 3" xfId="37922" xr:uid="{00000000-0005-0000-0000-00003A440000}"/>
    <cellStyle name="Normal 2 5 2 3 3 2 2 2 3" xfId="8789" xr:uid="{00000000-0005-0000-0000-00003B440000}"/>
    <cellStyle name="Normal 2 5 2 3 3 2 2 2 3 2" xfId="34346" xr:uid="{00000000-0005-0000-0000-00003C440000}"/>
    <cellStyle name="Normal 2 5 2 3 3 2 2 2 4" xfId="17579" xr:uid="{00000000-0005-0000-0000-00003D440000}"/>
    <cellStyle name="Normal 2 5 2 3 3 2 2 2 4 2" xfId="43132" xr:uid="{00000000-0005-0000-0000-00003E440000}"/>
    <cellStyle name="Normal 2 5 2 3 3 2 2 2 5" xfId="29069" xr:uid="{00000000-0005-0000-0000-00003F440000}"/>
    <cellStyle name="Normal 2 5 2 3 3 2 2 3" xfId="4554" xr:uid="{00000000-0005-0000-0000-000040440000}"/>
    <cellStyle name="Normal 2 5 2 3 3 2 2 3 2" xfId="13392" xr:uid="{00000000-0005-0000-0000-000041440000}"/>
    <cellStyle name="Normal 2 5 2 3 3 2 2 3 2 2" xfId="23643" xr:uid="{00000000-0005-0000-0000-000042440000}"/>
    <cellStyle name="Normal 2 5 2 3 3 2 2 3 2 2 2" xfId="49196" xr:uid="{00000000-0005-0000-0000-000043440000}"/>
    <cellStyle name="Normal 2 5 2 3 3 2 2 3 2 3" xfId="38947" xr:uid="{00000000-0005-0000-0000-000044440000}"/>
    <cellStyle name="Normal 2 5 2 3 3 2 2 3 3" xfId="9813" xr:uid="{00000000-0005-0000-0000-000045440000}"/>
    <cellStyle name="Normal 2 5 2 3 3 2 2 3 3 2" xfId="35370" xr:uid="{00000000-0005-0000-0000-000046440000}"/>
    <cellStyle name="Normal 2 5 2 3 3 2 2 3 4" xfId="18636" xr:uid="{00000000-0005-0000-0000-000047440000}"/>
    <cellStyle name="Normal 2 5 2 3 3 2 2 3 4 2" xfId="44189" xr:uid="{00000000-0005-0000-0000-000048440000}"/>
    <cellStyle name="Normal 2 5 2 3 3 2 2 3 5" xfId="30126" xr:uid="{00000000-0005-0000-0000-000049440000}"/>
    <cellStyle name="Normal 2 5 2 3 3 2 2 4" xfId="2334" xr:uid="{00000000-0005-0000-0000-00004A440000}"/>
    <cellStyle name="Normal 2 5 2 3 3 2 2 4 2" xfId="11699" xr:uid="{00000000-0005-0000-0000-00004B440000}"/>
    <cellStyle name="Normal 2 5 2 3 3 2 2 4 2 2" xfId="37254" xr:uid="{00000000-0005-0000-0000-00004C440000}"/>
    <cellStyle name="Normal 2 5 2 3 3 2 2 4 3" xfId="21703" xr:uid="{00000000-0005-0000-0000-00004D440000}"/>
    <cellStyle name="Normal 2 5 2 3 3 2 2 4 3 2" xfId="47256" xr:uid="{00000000-0005-0000-0000-00004E440000}"/>
    <cellStyle name="Normal 2 5 2 3 3 2 2 4 4" xfId="28186" xr:uid="{00000000-0005-0000-0000-00004F440000}"/>
    <cellStyle name="Normal 2 5 2 3 3 2 2 5" xfId="6010" xr:uid="{00000000-0005-0000-0000-000050440000}"/>
    <cellStyle name="Normal 2 5 2 3 3 2 2 5 2" xfId="14837" xr:uid="{00000000-0005-0000-0000-000051440000}"/>
    <cellStyle name="Normal 2 5 2 3 3 2 2 5 2 2" xfId="40392" xr:uid="{00000000-0005-0000-0000-000052440000}"/>
    <cellStyle name="Normal 2 5 2 3 3 2 2 5 3" xfId="25088" xr:uid="{00000000-0005-0000-0000-000053440000}"/>
    <cellStyle name="Normal 2 5 2 3 3 2 2 5 3 2" xfId="50641" xr:uid="{00000000-0005-0000-0000-000054440000}"/>
    <cellStyle name="Normal 2 5 2 3 3 2 2 5 4" xfId="31571" xr:uid="{00000000-0005-0000-0000-000055440000}"/>
    <cellStyle name="Normal 2 5 2 3 3 2 2 6" xfId="7454" xr:uid="{00000000-0005-0000-0000-000056440000}"/>
    <cellStyle name="Normal 2 5 2 3 3 2 2 6 2" xfId="20185" xr:uid="{00000000-0005-0000-0000-000057440000}"/>
    <cellStyle name="Normal 2 5 2 3 3 2 2 6 2 2" xfId="45738" xr:uid="{00000000-0005-0000-0000-000058440000}"/>
    <cellStyle name="Normal 2 5 2 3 3 2 2 6 3" xfId="33011" xr:uid="{00000000-0005-0000-0000-000059440000}"/>
    <cellStyle name="Normal 2 5 2 3 3 2 2 7" xfId="16696" xr:uid="{00000000-0005-0000-0000-00005A440000}"/>
    <cellStyle name="Normal 2 5 2 3 3 2 2 7 2" xfId="42249" xr:uid="{00000000-0005-0000-0000-00005B440000}"/>
    <cellStyle name="Normal 2 5 2 3 3 2 2 8" xfId="26668" xr:uid="{00000000-0005-0000-0000-00005C440000}"/>
    <cellStyle name="Normal 2 5 2 3 3 2 3" xfId="1353" xr:uid="{00000000-0005-0000-0000-00005D440000}"/>
    <cellStyle name="Normal 2 5 2 3 3 2 3 2" xfId="3782" xr:uid="{00000000-0005-0000-0000-00005E440000}"/>
    <cellStyle name="Normal 2 5 2 3 3 2 3 2 2" xfId="12918" xr:uid="{00000000-0005-0000-0000-00005F440000}"/>
    <cellStyle name="Normal 2 5 2 3 3 2 3 2 2 2" xfId="23137" xr:uid="{00000000-0005-0000-0000-000060440000}"/>
    <cellStyle name="Normal 2 5 2 3 3 2 3 2 2 2 2" xfId="48690" xr:uid="{00000000-0005-0000-0000-000061440000}"/>
    <cellStyle name="Normal 2 5 2 3 3 2 3 2 2 3" xfId="38473" xr:uid="{00000000-0005-0000-0000-000062440000}"/>
    <cellStyle name="Normal 2 5 2 3 3 2 3 2 3" xfId="9339" xr:uid="{00000000-0005-0000-0000-000063440000}"/>
    <cellStyle name="Normal 2 5 2 3 3 2 3 2 3 2" xfId="34896" xr:uid="{00000000-0005-0000-0000-000064440000}"/>
    <cellStyle name="Normal 2 5 2 3 3 2 3 2 4" xfId="18130" xr:uid="{00000000-0005-0000-0000-000065440000}"/>
    <cellStyle name="Normal 2 5 2 3 3 2 3 2 4 2" xfId="43683" xr:uid="{00000000-0005-0000-0000-000066440000}"/>
    <cellStyle name="Normal 2 5 2 3 3 2 3 2 5" xfId="29620" xr:uid="{00000000-0005-0000-0000-000067440000}"/>
    <cellStyle name="Normal 2 5 2 3 3 2 3 3" xfId="4903" xr:uid="{00000000-0005-0000-0000-000068440000}"/>
    <cellStyle name="Normal 2 5 2 3 3 2 3 3 2" xfId="13740" xr:uid="{00000000-0005-0000-0000-000069440000}"/>
    <cellStyle name="Normal 2 5 2 3 3 2 3 3 2 2" xfId="23991" xr:uid="{00000000-0005-0000-0000-00006A440000}"/>
    <cellStyle name="Normal 2 5 2 3 3 2 3 3 2 2 2" xfId="49544" xr:uid="{00000000-0005-0000-0000-00006B440000}"/>
    <cellStyle name="Normal 2 5 2 3 3 2 3 3 2 3" xfId="39295" xr:uid="{00000000-0005-0000-0000-00006C440000}"/>
    <cellStyle name="Normal 2 5 2 3 3 2 3 3 3" xfId="10161" xr:uid="{00000000-0005-0000-0000-00006D440000}"/>
    <cellStyle name="Normal 2 5 2 3 3 2 3 3 3 2" xfId="35718" xr:uid="{00000000-0005-0000-0000-00006E440000}"/>
    <cellStyle name="Normal 2 5 2 3 3 2 3 3 4" xfId="18984" xr:uid="{00000000-0005-0000-0000-00006F440000}"/>
    <cellStyle name="Normal 2 5 2 3 3 2 3 3 4 2" xfId="44537" xr:uid="{00000000-0005-0000-0000-000070440000}"/>
    <cellStyle name="Normal 2 5 2 3 3 2 3 3 5" xfId="30474" xr:uid="{00000000-0005-0000-0000-000071440000}"/>
    <cellStyle name="Normal 2 5 2 3 3 2 3 4" xfId="2176" xr:uid="{00000000-0005-0000-0000-000072440000}"/>
    <cellStyle name="Normal 2 5 2 3 3 2 3 4 2" xfId="11541" xr:uid="{00000000-0005-0000-0000-000073440000}"/>
    <cellStyle name="Normal 2 5 2 3 3 2 3 4 2 2" xfId="37096" xr:uid="{00000000-0005-0000-0000-000074440000}"/>
    <cellStyle name="Normal 2 5 2 3 3 2 3 4 3" xfId="21545" xr:uid="{00000000-0005-0000-0000-000075440000}"/>
    <cellStyle name="Normal 2 5 2 3 3 2 3 4 3 2" xfId="47098" xr:uid="{00000000-0005-0000-0000-000076440000}"/>
    <cellStyle name="Normal 2 5 2 3 3 2 3 4 4" xfId="28028" xr:uid="{00000000-0005-0000-0000-000077440000}"/>
    <cellStyle name="Normal 2 5 2 3 3 2 3 5" xfId="6358" xr:uid="{00000000-0005-0000-0000-000078440000}"/>
    <cellStyle name="Normal 2 5 2 3 3 2 3 5 2" xfId="15185" xr:uid="{00000000-0005-0000-0000-000079440000}"/>
    <cellStyle name="Normal 2 5 2 3 3 2 3 5 2 2" xfId="40740" xr:uid="{00000000-0005-0000-0000-00007A440000}"/>
    <cellStyle name="Normal 2 5 2 3 3 2 3 5 3" xfId="25436" xr:uid="{00000000-0005-0000-0000-00007B440000}"/>
    <cellStyle name="Normal 2 5 2 3 3 2 3 5 3 2" xfId="50989" xr:uid="{00000000-0005-0000-0000-00007C440000}"/>
    <cellStyle name="Normal 2 5 2 3 3 2 3 5 4" xfId="31919" xr:uid="{00000000-0005-0000-0000-00007D440000}"/>
    <cellStyle name="Normal 2 5 2 3 3 2 3 6" xfId="7804" xr:uid="{00000000-0005-0000-0000-00007E440000}"/>
    <cellStyle name="Normal 2 5 2 3 3 2 3 6 2" xfId="20736" xr:uid="{00000000-0005-0000-0000-00007F440000}"/>
    <cellStyle name="Normal 2 5 2 3 3 2 3 6 2 2" xfId="46289" xr:uid="{00000000-0005-0000-0000-000080440000}"/>
    <cellStyle name="Normal 2 5 2 3 3 2 3 6 3" xfId="33361" xr:uid="{00000000-0005-0000-0000-000081440000}"/>
    <cellStyle name="Normal 2 5 2 3 3 2 3 7" xfId="16538" xr:uid="{00000000-0005-0000-0000-000082440000}"/>
    <cellStyle name="Normal 2 5 2 3 3 2 3 7 2" xfId="42091" xr:uid="{00000000-0005-0000-0000-000083440000}"/>
    <cellStyle name="Normal 2 5 2 3 3 2 3 8" xfId="27219" xr:uid="{00000000-0005-0000-0000-000084440000}"/>
    <cellStyle name="Normal 2 5 2 3 3 2 4" xfId="3067" xr:uid="{00000000-0005-0000-0000-000085440000}"/>
    <cellStyle name="Normal 2 5 2 3 3 2 4 2" xfId="5445" xr:uid="{00000000-0005-0000-0000-000086440000}"/>
    <cellStyle name="Normal 2 5 2 3 3 2 4 2 2" xfId="14282" xr:uid="{00000000-0005-0000-0000-000087440000}"/>
    <cellStyle name="Normal 2 5 2 3 3 2 4 2 2 2" xfId="24533" xr:uid="{00000000-0005-0000-0000-000088440000}"/>
    <cellStyle name="Normal 2 5 2 3 3 2 4 2 2 2 2" xfId="50086" xr:uid="{00000000-0005-0000-0000-000089440000}"/>
    <cellStyle name="Normal 2 5 2 3 3 2 4 2 2 3" xfId="39837" xr:uid="{00000000-0005-0000-0000-00008A440000}"/>
    <cellStyle name="Normal 2 5 2 3 3 2 4 2 3" xfId="10703" xr:uid="{00000000-0005-0000-0000-00008B440000}"/>
    <cellStyle name="Normal 2 5 2 3 3 2 4 2 3 2" xfId="36260" xr:uid="{00000000-0005-0000-0000-00008C440000}"/>
    <cellStyle name="Normal 2 5 2 3 3 2 4 2 4" xfId="19526" xr:uid="{00000000-0005-0000-0000-00008D440000}"/>
    <cellStyle name="Normal 2 5 2 3 3 2 4 2 4 2" xfId="45079" xr:uid="{00000000-0005-0000-0000-00008E440000}"/>
    <cellStyle name="Normal 2 5 2 3 3 2 4 2 5" xfId="31016" xr:uid="{00000000-0005-0000-0000-00008F440000}"/>
    <cellStyle name="Normal 2 5 2 3 3 2 4 3" xfId="6900" xr:uid="{00000000-0005-0000-0000-000090440000}"/>
    <cellStyle name="Normal 2 5 2 3 3 2 4 3 2" xfId="15727" xr:uid="{00000000-0005-0000-0000-000091440000}"/>
    <cellStyle name="Normal 2 5 2 3 3 2 4 3 2 2" xfId="41282" xr:uid="{00000000-0005-0000-0000-000092440000}"/>
    <cellStyle name="Normal 2 5 2 3 3 2 4 3 3" xfId="25978" xr:uid="{00000000-0005-0000-0000-000093440000}"/>
    <cellStyle name="Normal 2 5 2 3 3 2 4 3 3 2" xfId="51531" xr:uid="{00000000-0005-0000-0000-000094440000}"/>
    <cellStyle name="Normal 2 5 2 3 3 2 4 3 4" xfId="32461" xr:uid="{00000000-0005-0000-0000-000095440000}"/>
    <cellStyle name="Normal 2 5 2 3 3 2 4 4" xfId="8346" xr:uid="{00000000-0005-0000-0000-000096440000}"/>
    <cellStyle name="Normal 2 5 2 3 3 2 4 4 2" xfId="22428" xr:uid="{00000000-0005-0000-0000-000097440000}"/>
    <cellStyle name="Normal 2 5 2 3 3 2 4 4 2 2" xfId="47981" xr:uid="{00000000-0005-0000-0000-000098440000}"/>
    <cellStyle name="Normal 2 5 2 3 3 2 4 4 3" xfId="33903" xr:uid="{00000000-0005-0000-0000-000099440000}"/>
    <cellStyle name="Normal 2 5 2 3 3 2 4 5" xfId="17421" xr:uid="{00000000-0005-0000-0000-00009A440000}"/>
    <cellStyle name="Normal 2 5 2 3 3 2 4 5 2" xfId="42974" xr:uid="{00000000-0005-0000-0000-00009B440000}"/>
    <cellStyle name="Normal 2 5 2 3 3 2 4 6" xfId="28911" xr:uid="{00000000-0005-0000-0000-00009C440000}"/>
    <cellStyle name="Normal 2 5 2 3 3 2 5" xfId="4401" xr:uid="{00000000-0005-0000-0000-00009D440000}"/>
    <cellStyle name="Normal 2 5 2 3 3 2 5 2" xfId="13239" xr:uid="{00000000-0005-0000-0000-00009E440000}"/>
    <cellStyle name="Normal 2 5 2 3 3 2 5 2 2" xfId="23490" xr:uid="{00000000-0005-0000-0000-00009F440000}"/>
    <cellStyle name="Normal 2 5 2 3 3 2 5 2 2 2" xfId="49043" xr:uid="{00000000-0005-0000-0000-0000A0440000}"/>
    <cellStyle name="Normal 2 5 2 3 3 2 5 2 3" xfId="38794" xr:uid="{00000000-0005-0000-0000-0000A1440000}"/>
    <cellStyle name="Normal 2 5 2 3 3 2 5 3" xfId="9660" xr:uid="{00000000-0005-0000-0000-0000A2440000}"/>
    <cellStyle name="Normal 2 5 2 3 3 2 5 3 2" xfId="35217" xr:uid="{00000000-0005-0000-0000-0000A3440000}"/>
    <cellStyle name="Normal 2 5 2 3 3 2 5 4" xfId="18483" xr:uid="{00000000-0005-0000-0000-0000A4440000}"/>
    <cellStyle name="Normal 2 5 2 3 3 2 5 4 2" xfId="44036" xr:uid="{00000000-0005-0000-0000-0000A5440000}"/>
    <cellStyle name="Normal 2 5 2 3 3 2 5 5" xfId="29973" xr:uid="{00000000-0005-0000-0000-0000A6440000}"/>
    <cellStyle name="Normal 2 5 2 3 3 2 6" xfId="1673" xr:uid="{00000000-0005-0000-0000-0000A7440000}"/>
    <cellStyle name="Normal 2 5 2 3 3 2 6 2" xfId="11050" xr:uid="{00000000-0005-0000-0000-0000A8440000}"/>
    <cellStyle name="Normal 2 5 2 3 3 2 6 2 2" xfId="36605" xr:uid="{00000000-0005-0000-0000-0000A9440000}"/>
    <cellStyle name="Normal 2 5 2 3 3 2 6 3" xfId="21054" xr:uid="{00000000-0005-0000-0000-0000AA440000}"/>
    <cellStyle name="Normal 2 5 2 3 3 2 6 3 2" xfId="46607" xr:uid="{00000000-0005-0000-0000-0000AB440000}"/>
    <cellStyle name="Normal 2 5 2 3 3 2 6 4" xfId="27537" xr:uid="{00000000-0005-0000-0000-0000AC440000}"/>
    <cellStyle name="Normal 2 5 2 3 3 2 7" xfId="5857" xr:uid="{00000000-0005-0000-0000-0000AD440000}"/>
    <cellStyle name="Normal 2 5 2 3 3 2 7 2" xfId="14684" xr:uid="{00000000-0005-0000-0000-0000AE440000}"/>
    <cellStyle name="Normal 2 5 2 3 3 2 7 2 2" xfId="40239" xr:uid="{00000000-0005-0000-0000-0000AF440000}"/>
    <cellStyle name="Normal 2 5 2 3 3 2 7 3" xfId="24935" xr:uid="{00000000-0005-0000-0000-0000B0440000}"/>
    <cellStyle name="Normal 2 5 2 3 3 2 7 3 2" xfId="50488" xr:uid="{00000000-0005-0000-0000-0000B1440000}"/>
    <cellStyle name="Normal 2 5 2 3 3 2 7 4" xfId="31418" xr:uid="{00000000-0005-0000-0000-0000B2440000}"/>
    <cellStyle name="Normal 2 5 2 3 3 2 8" xfId="7301" xr:uid="{00000000-0005-0000-0000-0000B3440000}"/>
    <cellStyle name="Normal 2 5 2 3 3 2 8 2" xfId="20027" xr:uid="{00000000-0005-0000-0000-0000B4440000}"/>
    <cellStyle name="Normal 2 5 2 3 3 2 8 2 2" xfId="45580" xr:uid="{00000000-0005-0000-0000-0000B5440000}"/>
    <cellStyle name="Normal 2 5 2 3 3 2 8 3" xfId="32858" xr:uid="{00000000-0005-0000-0000-0000B6440000}"/>
    <cellStyle name="Normal 2 5 2 3 3 2 9" xfId="16047" xr:uid="{00000000-0005-0000-0000-0000B7440000}"/>
    <cellStyle name="Normal 2 5 2 3 3 2 9 2" xfId="41600" xr:uid="{00000000-0005-0000-0000-0000B8440000}"/>
    <cellStyle name="Normal 2 5 2 3 3 2_Degree data" xfId="3914" xr:uid="{00000000-0005-0000-0000-0000B9440000}"/>
    <cellStyle name="Normal 2 5 2 3 3 3" xfId="376" xr:uid="{00000000-0005-0000-0000-0000BA440000}"/>
    <cellStyle name="Normal 2 5 2 3 3 3 2" xfId="2862" xr:uid="{00000000-0005-0000-0000-0000BB440000}"/>
    <cellStyle name="Normal 2 5 2 3 3 3 2 2" xfId="12150" xr:uid="{00000000-0005-0000-0000-0000BC440000}"/>
    <cellStyle name="Normal 2 5 2 3 3 3 2 2 2" xfId="22223" xr:uid="{00000000-0005-0000-0000-0000BD440000}"/>
    <cellStyle name="Normal 2 5 2 3 3 3 2 2 2 2" xfId="47776" xr:uid="{00000000-0005-0000-0000-0000BE440000}"/>
    <cellStyle name="Normal 2 5 2 3 3 3 2 2 3" xfId="37705" xr:uid="{00000000-0005-0000-0000-0000BF440000}"/>
    <cellStyle name="Normal 2 5 2 3 3 3 2 3" xfId="8461" xr:uid="{00000000-0005-0000-0000-0000C0440000}"/>
    <cellStyle name="Normal 2 5 2 3 3 3 2 3 2" xfId="34018" xr:uid="{00000000-0005-0000-0000-0000C1440000}"/>
    <cellStyle name="Normal 2 5 2 3 3 3 2 4" xfId="17216" xr:uid="{00000000-0005-0000-0000-0000C2440000}"/>
    <cellStyle name="Normal 2 5 2 3 3 3 2 4 2" xfId="42769" xr:uid="{00000000-0005-0000-0000-0000C3440000}"/>
    <cellStyle name="Normal 2 5 2 3 3 3 2 5" xfId="28706" xr:uid="{00000000-0005-0000-0000-0000C4440000}"/>
    <cellStyle name="Normal 2 5 2 3 3 3 3" xfId="4553" xr:uid="{00000000-0005-0000-0000-0000C5440000}"/>
    <cellStyle name="Normal 2 5 2 3 3 3 3 2" xfId="13391" xr:uid="{00000000-0005-0000-0000-0000C6440000}"/>
    <cellStyle name="Normal 2 5 2 3 3 3 3 2 2" xfId="23642" xr:uid="{00000000-0005-0000-0000-0000C7440000}"/>
    <cellStyle name="Normal 2 5 2 3 3 3 3 2 2 2" xfId="49195" xr:uid="{00000000-0005-0000-0000-0000C8440000}"/>
    <cellStyle name="Normal 2 5 2 3 3 3 3 2 3" xfId="38946" xr:uid="{00000000-0005-0000-0000-0000C9440000}"/>
    <cellStyle name="Normal 2 5 2 3 3 3 3 3" xfId="9812" xr:uid="{00000000-0005-0000-0000-0000CA440000}"/>
    <cellStyle name="Normal 2 5 2 3 3 3 3 3 2" xfId="35369" xr:uid="{00000000-0005-0000-0000-0000CB440000}"/>
    <cellStyle name="Normal 2 5 2 3 3 3 3 4" xfId="18635" xr:uid="{00000000-0005-0000-0000-0000CC440000}"/>
    <cellStyle name="Normal 2 5 2 3 3 3 3 4 2" xfId="44188" xr:uid="{00000000-0005-0000-0000-0000CD440000}"/>
    <cellStyle name="Normal 2 5 2 3 3 3 3 5" xfId="30125" xr:uid="{00000000-0005-0000-0000-0000CE440000}"/>
    <cellStyle name="Normal 2 5 2 3 3 3 4" xfId="1971" xr:uid="{00000000-0005-0000-0000-0000CF440000}"/>
    <cellStyle name="Normal 2 5 2 3 3 3 4 2" xfId="11336" xr:uid="{00000000-0005-0000-0000-0000D0440000}"/>
    <cellStyle name="Normal 2 5 2 3 3 3 4 2 2" xfId="36891" xr:uid="{00000000-0005-0000-0000-0000D1440000}"/>
    <cellStyle name="Normal 2 5 2 3 3 3 4 3" xfId="21340" xr:uid="{00000000-0005-0000-0000-0000D2440000}"/>
    <cellStyle name="Normal 2 5 2 3 3 3 4 3 2" xfId="46893" xr:uid="{00000000-0005-0000-0000-0000D3440000}"/>
    <cellStyle name="Normal 2 5 2 3 3 3 4 4" xfId="27823" xr:uid="{00000000-0005-0000-0000-0000D4440000}"/>
    <cellStyle name="Normal 2 5 2 3 3 3 5" xfId="6009" xr:uid="{00000000-0005-0000-0000-0000D5440000}"/>
    <cellStyle name="Normal 2 5 2 3 3 3 5 2" xfId="14836" xr:uid="{00000000-0005-0000-0000-0000D6440000}"/>
    <cellStyle name="Normal 2 5 2 3 3 3 5 2 2" xfId="40391" xr:uid="{00000000-0005-0000-0000-0000D7440000}"/>
    <cellStyle name="Normal 2 5 2 3 3 3 5 3" xfId="25087" xr:uid="{00000000-0005-0000-0000-0000D8440000}"/>
    <cellStyle name="Normal 2 5 2 3 3 3 5 3 2" xfId="50640" xr:uid="{00000000-0005-0000-0000-0000D9440000}"/>
    <cellStyle name="Normal 2 5 2 3 3 3 5 4" xfId="31570" xr:uid="{00000000-0005-0000-0000-0000DA440000}"/>
    <cellStyle name="Normal 2 5 2 3 3 3 6" xfId="7453" xr:uid="{00000000-0005-0000-0000-0000DB440000}"/>
    <cellStyle name="Normal 2 5 2 3 3 3 6 2" xfId="19822" xr:uid="{00000000-0005-0000-0000-0000DC440000}"/>
    <cellStyle name="Normal 2 5 2 3 3 3 6 2 2" xfId="45375" xr:uid="{00000000-0005-0000-0000-0000DD440000}"/>
    <cellStyle name="Normal 2 5 2 3 3 3 6 3" xfId="33010" xr:uid="{00000000-0005-0000-0000-0000DE440000}"/>
    <cellStyle name="Normal 2 5 2 3 3 3 7" xfId="16333" xr:uid="{00000000-0005-0000-0000-0000DF440000}"/>
    <cellStyle name="Normal 2 5 2 3 3 3 7 2" xfId="41886" xr:uid="{00000000-0005-0000-0000-0000E0440000}"/>
    <cellStyle name="Normal 2 5 2 3 3 3 8" xfId="26305" xr:uid="{00000000-0005-0000-0000-0000E1440000}"/>
    <cellStyle name="Normal 2 5 2 3 3 4" xfId="738" xr:uid="{00000000-0005-0000-0000-0000E2440000}"/>
    <cellStyle name="Normal 2 5 2 3 3 4 2" xfId="3224" xr:uid="{00000000-0005-0000-0000-0000E3440000}"/>
    <cellStyle name="Normal 2 5 2 3 3 4 2 2" xfId="12366" xr:uid="{00000000-0005-0000-0000-0000E4440000}"/>
    <cellStyle name="Normal 2 5 2 3 3 4 2 2 2" xfId="22585" xr:uid="{00000000-0005-0000-0000-0000E5440000}"/>
    <cellStyle name="Normal 2 5 2 3 3 4 2 2 2 2" xfId="48138" xr:uid="{00000000-0005-0000-0000-0000E6440000}"/>
    <cellStyle name="Normal 2 5 2 3 3 4 2 2 3" xfId="37921" xr:uid="{00000000-0005-0000-0000-0000E7440000}"/>
    <cellStyle name="Normal 2 5 2 3 3 4 2 3" xfId="8788" xr:uid="{00000000-0005-0000-0000-0000E8440000}"/>
    <cellStyle name="Normal 2 5 2 3 3 4 2 3 2" xfId="34345" xr:uid="{00000000-0005-0000-0000-0000E9440000}"/>
    <cellStyle name="Normal 2 5 2 3 3 4 2 4" xfId="17578" xr:uid="{00000000-0005-0000-0000-0000EA440000}"/>
    <cellStyle name="Normal 2 5 2 3 3 4 2 4 2" xfId="43131" xr:uid="{00000000-0005-0000-0000-0000EB440000}"/>
    <cellStyle name="Normal 2 5 2 3 3 4 2 5" xfId="29068" xr:uid="{00000000-0005-0000-0000-0000EC440000}"/>
    <cellStyle name="Normal 2 5 2 3 3 4 3" xfId="4902" xr:uid="{00000000-0005-0000-0000-0000ED440000}"/>
    <cellStyle name="Normal 2 5 2 3 3 4 3 2" xfId="13739" xr:uid="{00000000-0005-0000-0000-0000EE440000}"/>
    <cellStyle name="Normal 2 5 2 3 3 4 3 2 2" xfId="23990" xr:uid="{00000000-0005-0000-0000-0000EF440000}"/>
    <cellStyle name="Normal 2 5 2 3 3 4 3 2 2 2" xfId="49543" xr:uid="{00000000-0005-0000-0000-0000F0440000}"/>
    <cellStyle name="Normal 2 5 2 3 3 4 3 2 3" xfId="39294" xr:uid="{00000000-0005-0000-0000-0000F1440000}"/>
    <cellStyle name="Normal 2 5 2 3 3 4 3 3" xfId="10160" xr:uid="{00000000-0005-0000-0000-0000F2440000}"/>
    <cellStyle name="Normal 2 5 2 3 3 4 3 3 2" xfId="35717" xr:uid="{00000000-0005-0000-0000-0000F3440000}"/>
    <cellStyle name="Normal 2 5 2 3 3 4 3 4" xfId="18983" xr:uid="{00000000-0005-0000-0000-0000F4440000}"/>
    <cellStyle name="Normal 2 5 2 3 3 4 3 4 2" xfId="44536" xr:uid="{00000000-0005-0000-0000-0000F5440000}"/>
    <cellStyle name="Normal 2 5 2 3 3 4 3 5" xfId="30473" xr:uid="{00000000-0005-0000-0000-0000F6440000}"/>
    <cellStyle name="Normal 2 5 2 3 3 4 4" xfId="2333" xr:uid="{00000000-0005-0000-0000-0000F7440000}"/>
    <cellStyle name="Normal 2 5 2 3 3 4 4 2" xfId="11698" xr:uid="{00000000-0005-0000-0000-0000F8440000}"/>
    <cellStyle name="Normal 2 5 2 3 3 4 4 2 2" xfId="37253" xr:uid="{00000000-0005-0000-0000-0000F9440000}"/>
    <cellStyle name="Normal 2 5 2 3 3 4 4 3" xfId="21702" xr:uid="{00000000-0005-0000-0000-0000FA440000}"/>
    <cellStyle name="Normal 2 5 2 3 3 4 4 3 2" xfId="47255" xr:uid="{00000000-0005-0000-0000-0000FB440000}"/>
    <cellStyle name="Normal 2 5 2 3 3 4 4 4" xfId="28185" xr:uid="{00000000-0005-0000-0000-0000FC440000}"/>
    <cellStyle name="Normal 2 5 2 3 3 4 5" xfId="6357" xr:uid="{00000000-0005-0000-0000-0000FD440000}"/>
    <cellStyle name="Normal 2 5 2 3 3 4 5 2" xfId="15184" xr:uid="{00000000-0005-0000-0000-0000FE440000}"/>
    <cellStyle name="Normal 2 5 2 3 3 4 5 2 2" xfId="40739" xr:uid="{00000000-0005-0000-0000-0000FF440000}"/>
    <cellStyle name="Normal 2 5 2 3 3 4 5 3" xfId="25435" xr:uid="{00000000-0005-0000-0000-000000450000}"/>
    <cellStyle name="Normal 2 5 2 3 3 4 5 3 2" xfId="50988" xr:uid="{00000000-0005-0000-0000-000001450000}"/>
    <cellStyle name="Normal 2 5 2 3 3 4 5 4" xfId="31918" xr:uid="{00000000-0005-0000-0000-000002450000}"/>
    <cellStyle name="Normal 2 5 2 3 3 4 6" xfId="7803" xr:uid="{00000000-0005-0000-0000-000003450000}"/>
    <cellStyle name="Normal 2 5 2 3 3 4 6 2" xfId="20184" xr:uid="{00000000-0005-0000-0000-000004450000}"/>
    <cellStyle name="Normal 2 5 2 3 3 4 6 2 2" xfId="45737" xr:uid="{00000000-0005-0000-0000-000005450000}"/>
    <cellStyle name="Normal 2 5 2 3 3 4 6 3" xfId="33360" xr:uid="{00000000-0005-0000-0000-000006450000}"/>
    <cellStyle name="Normal 2 5 2 3 3 4 7" xfId="16695" xr:uid="{00000000-0005-0000-0000-000007450000}"/>
    <cellStyle name="Normal 2 5 2 3 3 4 7 2" xfId="42248" xr:uid="{00000000-0005-0000-0000-000008450000}"/>
    <cellStyle name="Normal 2 5 2 3 3 4 8" xfId="26667" xr:uid="{00000000-0005-0000-0000-000009450000}"/>
    <cellStyle name="Normal 2 5 2 3 3 5" xfId="1148" xr:uid="{00000000-0005-0000-0000-00000A450000}"/>
    <cellStyle name="Normal 2 5 2 3 3 5 2" xfId="3577" xr:uid="{00000000-0005-0000-0000-00000B450000}"/>
    <cellStyle name="Normal 2 5 2 3 3 5 2 2" xfId="12713" xr:uid="{00000000-0005-0000-0000-00000C450000}"/>
    <cellStyle name="Normal 2 5 2 3 3 5 2 2 2" xfId="22932" xr:uid="{00000000-0005-0000-0000-00000D450000}"/>
    <cellStyle name="Normal 2 5 2 3 3 5 2 2 2 2" xfId="48485" xr:uid="{00000000-0005-0000-0000-00000E450000}"/>
    <cellStyle name="Normal 2 5 2 3 3 5 2 2 3" xfId="38268" xr:uid="{00000000-0005-0000-0000-00000F450000}"/>
    <cellStyle name="Normal 2 5 2 3 3 5 2 3" xfId="9134" xr:uid="{00000000-0005-0000-0000-000010450000}"/>
    <cellStyle name="Normal 2 5 2 3 3 5 2 3 2" xfId="34691" xr:uid="{00000000-0005-0000-0000-000011450000}"/>
    <cellStyle name="Normal 2 5 2 3 3 5 2 4" xfId="17925" xr:uid="{00000000-0005-0000-0000-000012450000}"/>
    <cellStyle name="Normal 2 5 2 3 3 5 2 4 2" xfId="43478" xr:uid="{00000000-0005-0000-0000-000013450000}"/>
    <cellStyle name="Normal 2 5 2 3 3 5 2 5" xfId="29415" xr:uid="{00000000-0005-0000-0000-000014450000}"/>
    <cellStyle name="Normal 2 5 2 3 3 5 3" xfId="5240" xr:uid="{00000000-0005-0000-0000-000015450000}"/>
    <cellStyle name="Normal 2 5 2 3 3 5 3 2" xfId="14077" xr:uid="{00000000-0005-0000-0000-000016450000}"/>
    <cellStyle name="Normal 2 5 2 3 3 5 3 2 2" xfId="24328" xr:uid="{00000000-0005-0000-0000-000017450000}"/>
    <cellStyle name="Normal 2 5 2 3 3 5 3 2 2 2" xfId="49881" xr:uid="{00000000-0005-0000-0000-000018450000}"/>
    <cellStyle name="Normal 2 5 2 3 3 5 3 2 3" xfId="39632" xr:uid="{00000000-0005-0000-0000-000019450000}"/>
    <cellStyle name="Normal 2 5 2 3 3 5 3 3" xfId="10498" xr:uid="{00000000-0005-0000-0000-00001A450000}"/>
    <cellStyle name="Normal 2 5 2 3 3 5 3 3 2" xfId="36055" xr:uid="{00000000-0005-0000-0000-00001B450000}"/>
    <cellStyle name="Normal 2 5 2 3 3 5 3 4" xfId="19321" xr:uid="{00000000-0005-0000-0000-00001C450000}"/>
    <cellStyle name="Normal 2 5 2 3 3 5 3 4 2" xfId="44874" xr:uid="{00000000-0005-0000-0000-00001D450000}"/>
    <cellStyle name="Normal 2 5 2 3 3 5 3 5" xfId="30811" xr:uid="{00000000-0005-0000-0000-00001E450000}"/>
    <cellStyle name="Normal 2 5 2 3 3 5 4" xfId="1856" xr:uid="{00000000-0005-0000-0000-00001F450000}"/>
    <cellStyle name="Normal 2 5 2 3 3 5 4 2" xfId="11224" xr:uid="{00000000-0005-0000-0000-000020450000}"/>
    <cellStyle name="Normal 2 5 2 3 3 5 4 2 2" xfId="36779" xr:uid="{00000000-0005-0000-0000-000021450000}"/>
    <cellStyle name="Normal 2 5 2 3 3 5 4 3" xfId="21228" xr:uid="{00000000-0005-0000-0000-000022450000}"/>
    <cellStyle name="Normal 2 5 2 3 3 5 4 3 2" xfId="46781" xr:uid="{00000000-0005-0000-0000-000023450000}"/>
    <cellStyle name="Normal 2 5 2 3 3 5 4 4" xfId="27711" xr:uid="{00000000-0005-0000-0000-000024450000}"/>
    <cellStyle name="Normal 2 5 2 3 3 5 5" xfId="6695" xr:uid="{00000000-0005-0000-0000-000025450000}"/>
    <cellStyle name="Normal 2 5 2 3 3 5 5 2" xfId="15522" xr:uid="{00000000-0005-0000-0000-000026450000}"/>
    <cellStyle name="Normal 2 5 2 3 3 5 5 2 2" xfId="41077" xr:uid="{00000000-0005-0000-0000-000027450000}"/>
    <cellStyle name="Normal 2 5 2 3 3 5 5 3" xfId="25773" xr:uid="{00000000-0005-0000-0000-000028450000}"/>
    <cellStyle name="Normal 2 5 2 3 3 5 5 3 2" xfId="51326" xr:uid="{00000000-0005-0000-0000-000029450000}"/>
    <cellStyle name="Normal 2 5 2 3 3 5 5 4" xfId="32256" xr:uid="{00000000-0005-0000-0000-00002A450000}"/>
    <cellStyle name="Normal 2 5 2 3 3 5 6" xfId="8141" xr:uid="{00000000-0005-0000-0000-00002B450000}"/>
    <cellStyle name="Normal 2 5 2 3 3 5 6 2" xfId="20531" xr:uid="{00000000-0005-0000-0000-00002C450000}"/>
    <cellStyle name="Normal 2 5 2 3 3 5 6 2 2" xfId="46084" xr:uid="{00000000-0005-0000-0000-00002D450000}"/>
    <cellStyle name="Normal 2 5 2 3 3 5 6 3" xfId="33698" xr:uid="{00000000-0005-0000-0000-00002E450000}"/>
    <cellStyle name="Normal 2 5 2 3 3 5 7" xfId="16221" xr:uid="{00000000-0005-0000-0000-00002F450000}"/>
    <cellStyle name="Normal 2 5 2 3 3 5 7 2" xfId="41774" xr:uid="{00000000-0005-0000-0000-000030450000}"/>
    <cellStyle name="Normal 2 5 2 3 3 5 8" xfId="27014" xr:uid="{00000000-0005-0000-0000-000031450000}"/>
    <cellStyle name="Normal 2 5 2 3 3 6" xfId="2750" xr:uid="{00000000-0005-0000-0000-000032450000}"/>
    <cellStyle name="Normal 2 5 2 3 3 6 2" xfId="12067" xr:uid="{00000000-0005-0000-0000-000033450000}"/>
    <cellStyle name="Normal 2 5 2 3 3 6 2 2" xfId="22111" xr:uid="{00000000-0005-0000-0000-000034450000}"/>
    <cellStyle name="Normal 2 5 2 3 3 6 2 2 2" xfId="47664" xr:uid="{00000000-0005-0000-0000-000035450000}"/>
    <cellStyle name="Normal 2 5 2 3 3 6 2 3" xfId="37622" xr:uid="{00000000-0005-0000-0000-000036450000}"/>
    <cellStyle name="Normal 2 5 2 3 3 6 3" xfId="8482" xr:uid="{00000000-0005-0000-0000-000037450000}"/>
    <cellStyle name="Normal 2 5 2 3 3 6 3 2" xfId="34039" xr:uid="{00000000-0005-0000-0000-000038450000}"/>
    <cellStyle name="Normal 2 5 2 3 3 6 4" xfId="17104" xr:uid="{00000000-0005-0000-0000-000039450000}"/>
    <cellStyle name="Normal 2 5 2 3 3 6 4 2" xfId="42657" xr:uid="{00000000-0005-0000-0000-00003A450000}"/>
    <cellStyle name="Normal 2 5 2 3 3 6 5" xfId="28594" xr:uid="{00000000-0005-0000-0000-00003B450000}"/>
    <cellStyle name="Normal 2 5 2 3 3 7" xfId="4196" xr:uid="{00000000-0005-0000-0000-00003C450000}"/>
    <cellStyle name="Normal 2 5 2 3 3 7 2" xfId="13034" xr:uid="{00000000-0005-0000-0000-00003D450000}"/>
    <cellStyle name="Normal 2 5 2 3 3 7 2 2" xfId="23285" xr:uid="{00000000-0005-0000-0000-00003E450000}"/>
    <cellStyle name="Normal 2 5 2 3 3 7 2 2 2" xfId="48838" xr:uid="{00000000-0005-0000-0000-00003F450000}"/>
    <cellStyle name="Normal 2 5 2 3 3 7 2 3" xfId="38589" xr:uid="{00000000-0005-0000-0000-000040450000}"/>
    <cellStyle name="Normal 2 5 2 3 3 7 3" xfId="9455" xr:uid="{00000000-0005-0000-0000-000041450000}"/>
    <cellStyle name="Normal 2 5 2 3 3 7 3 2" xfId="35012" xr:uid="{00000000-0005-0000-0000-000042450000}"/>
    <cellStyle name="Normal 2 5 2 3 3 7 4" xfId="18278" xr:uid="{00000000-0005-0000-0000-000043450000}"/>
    <cellStyle name="Normal 2 5 2 3 3 7 4 2" xfId="43831" xr:uid="{00000000-0005-0000-0000-000044450000}"/>
    <cellStyle name="Normal 2 5 2 3 3 7 5" xfId="29768" xr:uid="{00000000-0005-0000-0000-000045450000}"/>
    <cellStyle name="Normal 2 5 2 3 3 8" xfId="1468" xr:uid="{00000000-0005-0000-0000-000046450000}"/>
    <cellStyle name="Normal 2 5 2 3 3 8 2" xfId="10845" xr:uid="{00000000-0005-0000-0000-000047450000}"/>
    <cellStyle name="Normal 2 5 2 3 3 8 2 2" xfId="36400" xr:uid="{00000000-0005-0000-0000-000048450000}"/>
    <cellStyle name="Normal 2 5 2 3 3 8 3" xfId="20849" xr:uid="{00000000-0005-0000-0000-000049450000}"/>
    <cellStyle name="Normal 2 5 2 3 3 8 3 2" xfId="46402" xr:uid="{00000000-0005-0000-0000-00004A450000}"/>
    <cellStyle name="Normal 2 5 2 3 3 8 4" xfId="27332" xr:uid="{00000000-0005-0000-0000-00004B450000}"/>
    <cellStyle name="Normal 2 5 2 3 3 9" xfId="5652" xr:uid="{00000000-0005-0000-0000-00004C450000}"/>
    <cellStyle name="Normal 2 5 2 3 3 9 2" xfId="14479" xr:uid="{00000000-0005-0000-0000-00004D450000}"/>
    <cellStyle name="Normal 2 5 2 3 3 9 2 2" xfId="40034" xr:uid="{00000000-0005-0000-0000-00004E450000}"/>
    <cellStyle name="Normal 2 5 2 3 3 9 3" xfId="24730" xr:uid="{00000000-0005-0000-0000-00004F450000}"/>
    <cellStyle name="Normal 2 5 2 3 3 9 3 2" xfId="50283" xr:uid="{00000000-0005-0000-0000-000050450000}"/>
    <cellStyle name="Normal 2 5 2 3 3 9 4" xfId="31213" xr:uid="{00000000-0005-0000-0000-000051450000}"/>
    <cellStyle name="Normal 2 5 2 3 3_Degree data" xfId="3461" xr:uid="{00000000-0005-0000-0000-000052450000}"/>
    <cellStyle name="Normal 2 5 2 3 4" xfId="476" xr:uid="{00000000-0005-0000-0000-000053450000}"/>
    <cellStyle name="Normal 2 5 2 3 4 10" xfId="26405" xr:uid="{00000000-0005-0000-0000-000054450000}"/>
    <cellStyle name="Normal 2 5 2 3 4 2" xfId="740" xr:uid="{00000000-0005-0000-0000-000055450000}"/>
    <cellStyle name="Normal 2 5 2 3 4 2 2" xfId="3226" xr:uid="{00000000-0005-0000-0000-000056450000}"/>
    <cellStyle name="Normal 2 5 2 3 4 2 2 2" xfId="12368" xr:uid="{00000000-0005-0000-0000-000057450000}"/>
    <cellStyle name="Normal 2 5 2 3 4 2 2 2 2" xfId="22587" xr:uid="{00000000-0005-0000-0000-000058450000}"/>
    <cellStyle name="Normal 2 5 2 3 4 2 2 2 2 2" xfId="48140" xr:uid="{00000000-0005-0000-0000-000059450000}"/>
    <cellStyle name="Normal 2 5 2 3 4 2 2 2 3" xfId="37923" xr:uid="{00000000-0005-0000-0000-00005A450000}"/>
    <cellStyle name="Normal 2 5 2 3 4 2 2 3" xfId="8790" xr:uid="{00000000-0005-0000-0000-00005B450000}"/>
    <cellStyle name="Normal 2 5 2 3 4 2 2 3 2" xfId="34347" xr:uid="{00000000-0005-0000-0000-00005C450000}"/>
    <cellStyle name="Normal 2 5 2 3 4 2 2 4" xfId="17580" xr:uid="{00000000-0005-0000-0000-00005D450000}"/>
    <cellStyle name="Normal 2 5 2 3 4 2 2 4 2" xfId="43133" xr:uid="{00000000-0005-0000-0000-00005E450000}"/>
    <cellStyle name="Normal 2 5 2 3 4 2 2 5" xfId="29070" xr:uid="{00000000-0005-0000-0000-00005F450000}"/>
    <cellStyle name="Normal 2 5 2 3 4 2 3" xfId="4555" xr:uid="{00000000-0005-0000-0000-000060450000}"/>
    <cellStyle name="Normal 2 5 2 3 4 2 3 2" xfId="13393" xr:uid="{00000000-0005-0000-0000-000061450000}"/>
    <cellStyle name="Normal 2 5 2 3 4 2 3 2 2" xfId="23644" xr:uid="{00000000-0005-0000-0000-000062450000}"/>
    <cellStyle name="Normal 2 5 2 3 4 2 3 2 2 2" xfId="49197" xr:uid="{00000000-0005-0000-0000-000063450000}"/>
    <cellStyle name="Normal 2 5 2 3 4 2 3 2 3" xfId="38948" xr:uid="{00000000-0005-0000-0000-000064450000}"/>
    <cellStyle name="Normal 2 5 2 3 4 2 3 3" xfId="9814" xr:uid="{00000000-0005-0000-0000-000065450000}"/>
    <cellStyle name="Normal 2 5 2 3 4 2 3 3 2" xfId="35371" xr:uid="{00000000-0005-0000-0000-000066450000}"/>
    <cellStyle name="Normal 2 5 2 3 4 2 3 4" xfId="18637" xr:uid="{00000000-0005-0000-0000-000067450000}"/>
    <cellStyle name="Normal 2 5 2 3 4 2 3 4 2" xfId="44190" xr:uid="{00000000-0005-0000-0000-000068450000}"/>
    <cellStyle name="Normal 2 5 2 3 4 2 3 5" xfId="30127" xr:uid="{00000000-0005-0000-0000-000069450000}"/>
    <cellStyle name="Normal 2 5 2 3 4 2 4" xfId="2335" xr:uid="{00000000-0005-0000-0000-00006A450000}"/>
    <cellStyle name="Normal 2 5 2 3 4 2 4 2" xfId="11700" xr:uid="{00000000-0005-0000-0000-00006B450000}"/>
    <cellStyle name="Normal 2 5 2 3 4 2 4 2 2" xfId="37255" xr:uid="{00000000-0005-0000-0000-00006C450000}"/>
    <cellStyle name="Normal 2 5 2 3 4 2 4 3" xfId="21704" xr:uid="{00000000-0005-0000-0000-00006D450000}"/>
    <cellStyle name="Normal 2 5 2 3 4 2 4 3 2" xfId="47257" xr:uid="{00000000-0005-0000-0000-00006E450000}"/>
    <cellStyle name="Normal 2 5 2 3 4 2 4 4" xfId="28187" xr:uid="{00000000-0005-0000-0000-00006F450000}"/>
    <cellStyle name="Normal 2 5 2 3 4 2 5" xfId="6011" xr:uid="{00000000-0005-0000-0000-000070450000}"/>
    <cellStyle name="Normal 2 5 2 3 4 2 5 2" xfId="14838" xr:uid="{00000000-0005-0000-0000-000071450000}"/>
    <cellStyle name="Normal 2 5 2 3 4 2 5 2 2" xfId="40393" xr:uid="{00000000-0005-0000-0000-000072450000}"/>
    <cellStyle name="Normal 2 5 2 3 4 2 5 3" xfId="25089" xr:uid="{00000000-0005-0000-0000-000073450000}"/>
    <cellStyle name="Normal 2 5 2 3 4 2 5 3 2" xfId="50642" xr:uid="{00000000-0005-0000-0000-000074450000}"/>
    <cellStyle name="Normal 2 5 2 3 4 2 5 4" xfId="31572" xr:uid="{00000000-0005-0000-0000-000075450000}"/>
    <cellStyle name="Normal 2 5 2 3 4 2 6" xfId="7455" xr:uid="{00000000-0005-0000-0000-000076450000}"/>
    <cellStyle name="Normal 2 5 2 3 4 2 6 2" xfId="20186" xr:uid="{00000000-0005-0000-0000-000077450000}"/>
    <cellStyle name="Normal 2 5 2 3 4 2 6 2 2" xfId="45739" xr:uid="{00000000-0005-0000-0000-000078450000}"/>
    <cellStyle name="Normal 2 5 2 3 4 2 6 3" xfId="33012" xr:uid="{00000000-0005-0000-0000-000079450000}"/>
    <cellStyle name="Normal 2 5 2 3 4 2 7" xfId="16697" xr:uid="{00000000-0005-0000-0000-00007A450000}"/>
    <cellStyle name="Normal 2 5 2 3 4 2 7 2" xfId="42250" xr:uid="{00000000-0005-0000-0000-00007B450000}"/>
    <cellStyle name="Normal 2 5 2 3 4 2 8" xfId="26669" xr:uid="{00000000-0005-0000-0000-00007C450000}"/>
    <cellStyle name="Normal 2 5 2 3 4 3" xfId="1248" xr:uid="{00000000-0005-0000-0000-00007D450000}"/>
    <cellStyle name="Normal 2 5 2 3 4 3 2" xfId="3677" xr:uid="{00000000-0005-0000-0000-00007E450000}"/>
    <cellStyle name="Normal 2 5 2 3 4 3 2 2" xfId="12813" xr:uid="{00000000-0005-0000-0000-00007F450000}"/>
    <cellStyle name="Normal 2 5 2 3 4 3 2 2 2" xfId="23032" xr:uid="{00000000-0005-0000-0000-000080450000}"/>
    <cellStyle name="Normal 2 5 2 3 4 3 2 2 2 2" xfId="48585" xr:uid="{00000000-0005-0000-0000-000081450000}"/>
    <cellStyle name="Normal 2 5 2 3 4 3 2 2 3" xfId="38368" xr:uid="{00000000-0005-0000-0000-000082450000}"/>
    <cellStyle name="Normal 2 5 2 3 4 3 2 3" xfId="9234" xr:uid="{00000000-0005-0000-0000-000083450000}"/>
    <cellStyle name="Normal 2 5 2 3 4 3 2 3 2" xfId="34791" xr:uid="{00000000-0005-0000-0000-000084450000}"/>
    <cellStyle name="Normal 2 5 2 3 4 3 2 4" xfId="18025" xr:uid="{00000000-0005-0000-0000-000085450000}"/>
    <cellStyle name="Normal 2 5 2 3 4 3 2 4 2" xfId="43578" xr:uid="{00000000-0005-0000-0000-000086450000}"/>
    <cellStyle name="Normal 2 5 2 3 4 3 2 5" xfId="29515" xr:uid="{00000000-0005-0000-0000-000087450000}"/>
    <cellStyle name="Normal 2 5 2 3 4 3 3" xfId="4904" xr:uid="{00000000-0005-0000-0000-000088450000}"/>
    <cellStyle name="Normal 2 5 2 3 4 3 3 2" xfId="13741" xr:uid="{00000000-0005-0000-0000-000089450000}"/>
    <cellStyle name="Normal 2 5 2 3 4 3 3 2 2" xfId="23992" xr:uid="{00000000-0005-0000-0000-00008A450000}"/>
    <cellStyle name="Normal 2 5 2 3 4 3 3 2 2 2" xfId="49545" xr:uid="{00000000-0005-0000-0000-00008B450000}"/>
    <cellStyle name="Normal 2 5 2 3 4 3 3 2 3" xfId="39296" xr:uid="{00000000-0005-0000-0000-00008C450000}"/>
    <cellStyle name="Normal 2 5 2 3 4 3 3 3" xfId="10162" xr:uid="{00000000-0005-0000-0000-00008D450000}"/>
    <cellStyle name="Normal 2 5 2 3 4 3 3 3 2" xfId="35719" xr:uid="{00000000-0005-0000-0000-00008E450000}"/>
    <cellStyle name="Normal 2 5 2 3 4 3 3 4" xfId="18985" xr:uid="{00000000-0005-0000-0000-00008F450000}"/>
    <cellStyle name="Normal 2 5 2 3 4 3 3 4 2" xfId="44538" xr:uid="{00000000-0005-0000-0000-000090450000}"/>
    <cellStyle name="Normal 2 5 2 3 4 3 3 5" xfId="30475" xr:uid="{00000000-0005-0000-0000-000091450000}"/>
    <cellStyle name="Normal 2 5 2 3 4 3 4" xfId="2071" xr:uid="{00000000-0005-0000-0000-000092450000}"/>
    <cellStyle name="Normal 2 5 2 3 4 3 4 2" xfId="11436" xr:uid="{00000000-0005-0000-0000-000093450000}"/>
    <cellStyle name="Normal 2 5 2 3 4 3 4 2 2" xfId="36991" xr:uid="{00000000-0005-0000-0000-000094450000}"/>
    <cellStyle name="Normal 2 5 2 3 4 3 4 3" xfId="21440" xr:uid="{00000000-0005-0000-0000-000095450000}"/>
    <cellStyle name="Normal 2 5 2 3 4 3 4 3 2" xfId="46993" xr:uid="{00000000-0005-0000-0000-000096450000}"/>
    <cellStyle name="Normal 2 5 2 3 4 3 4 4" xfId="27923" xr:uid="{00000000-0005-0000-0000-000097450000}"/>
    <cellStyle name="Normal 2 5 2 3 4 3 5" xfId="6359" xr:uid="{00000000-0005-0000-0000-000098450000}"/>
    <cellStyle name="Normal 2 5 2 3 4 3 5 2" xfId="15186" xr:uid="{00000000-0005-0000-0000-000099450000}"/>
    <cellStyle name="Normal 2 5 2 3 4 3 5 2 2" xfId="40741" xr:uid="{00000000-0005-0000-0000-00009A450000}"/>
    <cellStyle name="Normal 2 5 2 3 4 3 5 3" xfId="25437" xr:uid="{00000000-0005-0000-0000-00009B450000}"/>
    <cellStyle name="Normal 2 5 2 3 4 3 5 3 2" xfId="50990" xr:uid="{00000000-0005-0000-0000-00009C450000}"/>
    <cellStyle name="Normal 2 5 2 3 4 3 5 4" xfId="31920" xr:uid="{00000000-0005-0000-0000-00009D450000}"/>
    <cellStyle name="Normal 2 5 2 3 4 3 6" xfId="7805" xr:uid="{00000000-0005-0000-0000-00009E450000}"/>
    <cellStyle name="Normal 2 5 2 3 4 3 6 2" xfId="20631" xr:uid="{00000000-0005-0000-0000-00009F450000}"/>
    <cellStyle name="Normal 2 5 2 3 4 3 6 2 2" xfId="46184" xr:uid="{00000000-0005-0000-0000-0000A0450000}"/>
    <cellStyle name="Normal 2 5 2 3 4 3 6 3" xfId="33362" xr:uid="{00000000-0005-0000-0000-0000A1450000}"/>
    <cellStyle name="Normal 2 5 2 3 4 3 7" xfId="16433" xr:uid="{00000000-0005-0000-0000-0000A2450000}"/>
    <cellStyle name="Normal 2 5 2 3 4 3 7 2" xfId="41986" xr:uid="{00000000-0005-0000-0000-0000A3450000}"/>
    <cellStyle name="Normal 2 5 2 3 4 3 8" xfId="27114" xr:uid="{00000000-0005-0000-0000-0000A4450000}"/>
    <cellStyle name="Normal 2 5 2 3 4 4" xfId="2962" xr:uid="{00000000-0005-0000-0000-0000A5450000}"/>
    <cellStyle name="Normal 2 5 2 3 4 4 2" xfId="5340" xr:uid="{00000000-0005-0000-0000-0000A6450000}"/>
    <cellStyle name="Normal 2 5 2 3 4 4 2 2" xfId="14177" xr:uid="{00000000-0005-0000-0000-0000A7450000}"/>
    <cellStyle name="Normal 2 5 2 3 4 4 2 2 2" xfId="24428" xr:uid="{00000000-0005-0000-0000-0000A8450000}"/>
    <cellStyle name="Normal 2 5 2 3 4 4 2 2 2 2" xfId="49981" xr:uid="{00000000-0005-0000-0000-0000A9450000}"/>
    <cellStyle name="Normal 2 5 2 3 4 4 2 2 3" xfId="39732" xr:uid="{00000000-0005-0000-0000-0000AA450000}"/>
    <cellStyle name="Normal 2 5 2 3 4 4 2 3" xfId="10598" xr:uid="{00000000-0005-0000-0000-0000AB450000}"/>
    <cellStyle name="Normal 2 5 2 3 4 4 2 3 2" xfId="36155" xr:uid="{00000000-0005-0000-0000-0000AC450000}"/>
    <cellStyle name="Normal 2 5 2 3 4 4 2 4" xfId="19421" xr:uid="{00000000-0005-0000-0000-0000AD450000}"/>
    <cellStyle name="Normal 2 5 2 3 4 4 2 4 2" xfId="44974" xr:uid="{00000000-0005-0000-0000-0000AE450000}"/>
    <cellStyle name="Normal 2 5 2 3 4 4 2 5" xfId="30911" xr:uid="{00000000-0005-0000-0000-0000AF450000}"/>
    <cellStyle name="Normal 2 5 2 3 4 4 3" xfId="6795" xr:uid="{00000000-0005-0000-0000-0000B0450000}"/>
    <cellStyle name="Normal 2 5 2 3 4 4 3 2" xfId="15622" xr:uid="{00000000-0005-0000-0000-0000B1450000}"/>
    <cellStyle name="Normal 2 5 2 3 4 4 3 2 2" xfId="41177" xr:uid="{00000000-0005-0000-0000-0000B2450000}"/>
    <cellStyle name="Normal 2 5 2 3 4 4 3 3" xfId="25873" xr:uid="{00000000-0005-0000-0000-0000B3450000}"/>
    <cellStyle name="Normal 2 5 2 3 4 4 3 3 2" xfId="51426" xr:uid="{00000000-0005-0000-0000-0000B4450000}"/>
    <cellStyle name="Normal 2 5 2 3 4 4 3 4" xfId="32356" xr:uid="{00000000-0005-0000-0000-0000B5450000}"/>
    <cellStyle name="Normal 2 5 2 3 4 4 4" xfId="8241" xr:uid="{00000000-0005-0000-0000-0000B6450000}"/>
    <cellStyle name="Normal 2 5 2 3 4 4 4 2" xfId="22323" xr:uid="{00000000-0005-0000-0000-0000B7450000}"/>
    <cellStyle name="Normal 2 5 2 3 4 4 4 2 2" xfId="47876" xr:uid="{00000000-0005-0000-0000-0000B8450000}"/>
    <cellStyle name="Normal 2 5 2 3 4 4 4 3" xfId="33798" xr:uid="{00000000-0005-0000-0000-0000B9450000}"/>
    <cellStyle name="Normal 2 5 2 3 4 4 5" xfId="17316" xr:uid="{00000000-0005-0000-0000-0000BA450000}"/>
    <cellStyle name="Normal 2 5 2 3 4 4 5 2" xfId="42869" xr:uid="{00000000-0005-0000-0000-0000BB450000}"/>
    <cellStyle name="Normal 2 5 2 3 4 4 6" xfId="28806" xr:uid="{00000000-0005-0000-0000-0000BC450000}"/>
    <cellStyle name="Normal 2 5 2 3 4 5" xfId="4296" xr:uid="{00000000-0005-0000-0000-0000BD450000}"/>
    <cellStyle name="Normal 2 5 2 3 4 5 2" xfId="13134" xr:uid="{00000000-0005-0000-0000-0000BE450000}"/>
    <cellStyle name="Normal 2 5 2 3 4 5 2 2" xfId="23385" xr:uid="{00000000-0005-0000-0000-0000BF450000}"/>
    <cellStyle name="Normal 2 5 2 3 4 5 2 2 2" xfId="48938" xr:uid="{00000000-0005-0000-0000-0000C0450000}"/>
    <cellStyle name="Normal 2 5 2 3 4 5 2 3" xfId="38689" xr:uid="{00000000-0005-0000-0000-0000C1450000}"/>
    <cellStyle name="Normal 2 5 2 3 4 5 3" xfId="9555" xr:uid="{00000000-0005-0000-0000-0000C2450000}"/>
    <cellStyle name="Normal 2 5 2 3 4 5 3 2" xfId="35112" xr:uid="{00000000-0005-0000-0000-0000C3450000}"/>
    <cellStyle name="Normal 2 5 2 3 4 5 4" xfId="18378" xr:uid="{00000000-0005-0000-0000-0000C4450000}"/>
    <cellStyle name="Normal 2 5 2 3 4 5 4 2" xfId="43931" xr:uid="{00000000-0005-0000-0000-0000C5450000}"/>
    <cellStyle name="Normal 2 5 2 3 4 5 5" xfId="29868" xr:uid="{00000000-0005-0000-0000-0000C6450000}"/>
    <cellStyle name="Normal 2 5 2 3 4 6" xfId="1568" xr:uid="{00000000-0005-0000-0000-0000C7450000}"/>
    <cellStyle name="Normal 2 5 2 3 4 6 2" xfId="10945" xr:uid="{00000000-0005-0000-0000-0000C8450000}"/>
    <cellStyle name="Normal 2 5 2 3 4 6 2 2" xfId="36500" xr:uid="{00000000-0005-0000-0000-0000C9450000}"/>
    <cellStyle name="Normal 2 5 2 3 4 6 3" xfId="20949" xr:uid="{00000000-0005-0000-0000-0000CA450000}"/>
    <cellStyle name="Normal 2 5 2 3 4 6 3 2" xfId="46502" xr:uid="{00000000-0005-0000-0000-0000CB450000}"/>
    <cellStyle name="Normal 2 5 2 3 4 6 4" xfId="27432" xr:uid="{00000000-0005-0000-0000-0000CC450000}"/>
    <cellStyle name="Normal 2 5 2 3 4 7" xfId="5752" xr:uid="{00000000-0005-0000-0000-0000CD450000}"/>
    <cellStyle name="Normal 2 5 2 3 4 7 2" xfId="14579" xr:uid="{00000000-0005-0000-0000-0000CE450000}"/>
    <cellStyle name="Normal 2 5 2 3 4 7 2 2" xfId="40134" xr:uid="{00000000-0005-0000-0000-0000CF450000}"/>
    <cellStyle name="Normal 2 5 2 3 4 7 3" xfId="24830" xr:uid="{00000000-0005-0000-0000-0000D0450000}"/>
    <cellStyle name="Normal 2 5 2 3 4 7 3 2" xfId="50383" xr:uid="{00000000-0005-0000-0000-0000D1450000}"/>
    <cellStyle name="Normal 2 5 2 3 4 7 4" xfId="31313" xr:uid="{00000000-0005-0000-0000-0000D2450000}"/>
    <cellStyle name="Normal 2 5 2 3 4 8" xfId="7196" xr:uid="{00000000-0005-0000-0000-0000D3450000}"/>
    <cellStyle name="Normal 2 5 2 3 4 8 2" xfId="19922" xr:uid="{00000000-0005-0000-0000-0000D4450000}"/>
    <cellStyle name="Normal 2 5 2 3 4 8 2 2" xfId="45475" xr:uid="{00000000-0005-0000-0000-0000D5450000}"/>
    <cellStyle name="Normal 2 5 2 3 4 8 3" xfId="32753" xr:uid="{00000000-0005-0000-0000-0000D6450000}"/>
    <cellStyle name="Normal 2 5 2 3 4 9" xfId="15942" xr:uid="{00000000-0005-0000-0000-0000D7450000}"/>
    <cellStyle name="Normal 2 5 2 3 4 9 2" xfId="41495" xr:uid="{00000000-0005-0000-0000-0000D8450000}"/>
    <cellStyle name="Normal 2 5 2 3 4_Degree data" xfId="3908" xr:uid="{00000000-0005-0000-0000-0000D9450000}"/>
    <cellStyle name="Normal 2 5 2 3 5" xfId="317" xr:uid="{00000000-0005-0000-0000-0000DA450000}"/>
    <cellStyle name="Normal 2 5 2 3 5 2" xfId="2803" xr:uid="{00000000-0005-0000-0000-0000DB450000}"/>
    <cellStyle name="Normal 2 5 2 3 5 2 2" xfId="12107" xr:uid="{00000000-0005-0000-0000-0000DC450000}"/>
    <cellStyle name="Normal 2 5 2 3 5 2 2 2" xfId="22164" xr:uid="{00000000-0005-0000-0000-0000DD450000}"/>
    <cellStyle name="Normal 2 5 2 3 5 2 2 2 2" xfId="47717" xr:uid="{00000000-0005-0000-0000-0000DE450000}"/>
    <cellStyle name="Normal 2 5 2 3 5 2 2 3" xfId="37662" xr:uid="{00000000-0005-0000-0000-0000DF450000}"/>
    <cellStyle name="Normal 2 5 2 3 5 2 3" xfId="8405" xr:uid="{00000000-0005-0000-0000-0000E0450000}"/>
    <cellStyle name="Normal 2 5 2 3 5 2 3 2" xfId="33962" xr:uid="{00000000-0005-0000-0000-0000E1450000}"/>
    <cellStyle name="Normal 2 5 2 3 5 2 4" xfId="17157" xr:uid="{00000000-0005-0000-0000-0000E2450000}"/>
    <cellStyle name="Normal 2 5 2 3 5 2 4 2" xfId="42710" xr:uid="{00000000-0005-0000-0000-0000E3450000}"/>
    <cellStyle name="Normal 2 5 2 3 5 2 5" xfId="28647" xr:uid="{00000000-0005-0000-0000-0000E4450000}"/>
    <cellStyle name="Normal 2 5 2 3 5 3" xfId="4550" xr:uid="{00000000-0005-0000-0000-0000E5450000}"/>
    <cellStyle name="Normal 2 5 2 3 5 3 2" xfId="13388" xr:uid="{00000000-0005-0000-0000-0000E6450000}"/>
    <cellStyle name="Normal 2 5 2 3 5 3 2 2" xfId="23639" xr:uid="{00000000-0005-0000-0000-0000E7450000}"/>
    <cellStyle name="Normal 2 5 2 3 5 3 2 2 2" xfId="49192" xr:uid="{00000000-0005-0000-0000-0000E8450000}"/>
    <cellStyle name="Normal 2 5 2 3 5 3 2 3" xfId="38943" xr:uid="{00000000-0005-0000-0000-0000E9450000}"/>
    <cellStyle name="Normal 2 5 2 3 5 3 3" xfId="9809" xr:uid="{00000000-0005-0000-0000-0000EA450000}"/>
    <cellStyle name="Normal 2 5 2 3 5 3 3 2" xfId="35366" xr:uid="{00000000-0005-0000-0000-0000EB450000}"/>
    <cellStyle name="Normal 2 5 2 3 5 3 4" xfId="18632" xr:uid="{00000000-0005-0000-0000-0000EC450000}"/>
    <cellStyle name="Normal 2 5 2 3 5 3 4 2" xfId="44185" xr:uid="{00000000-0005-0000-0000-0000ED450000}"/>
    <cellStyle name="Normal 2 5 2 3 5 3 5" xfId="30122" xr:uid="{00000000-0005-0000-0000-0000EE450000}"/>
    <cellStyle name="Normal 2 5 2 3 5 4" xfId="1912" xr:uid="{00000000-0005-0000-0000-0000EF450000}"/>
    <cellStyle name="Normal 2 5 2 3 5 4 2" xfId="11277" xr:uid="{00000000-0005-0000-0000-0000F0450000}"/>
    <cellStyle name="Normal 2 5 2 3 5 4 2 2" xfId="36832" xr:uid="{00000000-0005-0000-0000-0000F1450000}"/>
    <cellStyle name="Normal 2 5 2 3 5 4 3" xfId="21281" xr:uid="{00000000-0005-0000-0000-0000F2450000}"/>
    <cellStyle name="Normal 2 5 2 3 5 4 3 2" xfId="46834" xr:uid="{00000000-0005-0000-0000-0000F3450000}"/>
    <cellStyle name="Normal 2 5 2 3 5 4 4" xfId="27764" xr:uid="{00000000-0005-0000-0000-0000F4450000}"/>
    <cellStyle name="Normal 2 5 2 3 5 5" xfId="6006" xr:uid="{00000000-0005-0000-0000-0000F5450000}"/>
    <cellStyle name="Normal 2 5 2 3 5 5 2" xfId="14833" xr:uid="{00000000-0005-0000-0000-0000F6450000}"/>
    <cellStyle name="Normal 2 5 2 3 5 5 2 2" xfId="40388" xr:uid="{00000000-0005-0000-0000-0000F7450000}"/>
    <cellStyle name="Normal 2 5 2 3 5 5 3" xfId="25084" xr:uid="{00000000-0005-0000-0000-0000F8450000}"/>
    <cellStyle name="Normal 2 5 2 3 5 5 3 2" xfId="50637" xr:uid="{00000000-0005-0000-0000-0000F9450000}"/>
    <cellStyle name="Normal 2 5 2 3 5 5 4" xfId="31567" xr:uid="{00000000-0005-0000-0000-0000FA450000}"/>
    <cellStyle name="Normal 2 5 2 3 5 6" xfId="7450" xr:uid="{00000000-0005-0000-0000-0000FB450000}"/>
    <cellStyle name="Normal 2 5 2 3 5 6 2" xfId="19763" xr:uid="{00000000-0005-0000-0000-0000FC450000}"/>
    <cellStyle name="Normal 2 5 2 3 5 6 2 2" xfId="45316" xr:uid="{00000000-0005-0000-0000-0000FD450000}"/>
    <cellStyle name="Normal 2 5 2 3 5 6 3" xfId="33007" xr:uid="{00000000-0005-0000-0000-0000FE450000}"/>
    <cellStyle name="Normal 2 5 2 3 5 7" xfId="16274" xr:uid="{00000000-0005-0000-0000-0000FF450000}"/>
    <cellStyle name="Normal 2 5 2 3 5 7 2" xfId="41827" xr:uid="{00000000-0005-0000-0000-000000460000}"/>
    <cellStyle name="Normal 2 5 2 3 5 8" xfId="26246" xr:uid="{00000000-0005-0000-0000-000001460000}"/>
    <cellStyle name="Normal 2 5 2 3 6" xfId="735" xr:uid="{00000000-0005-0000-0000-000002460000}"/>
    <cellStyle name="Normal 2 5 2 3 6 2" xfId="3221" xr:uid="{00000000-0005-0000-0000-000003460000}"/>
    <cellStyle name="Normal 2 5 2 3 6 2 2" xfId="12363" xr:uid="{00000000-0005-0000-0000-000004460000}"/>
    <cellStyle name="Normal 2 5 2 3 6 2 2 2" xfId="22582" xr:uid="{00000000-0005-0000-0000-000005460000}"/>
    <cellStyle name="Normal 2 5 2 3 6 2 2 2 2" xfId="48135" xr:uid="{00000000-0005-0000-0000-000006460000}"/>
    <cellStyle name="Normal 2 5 2 3 6 2 2 3" xfId="37918" xr:uid="{00000000-0005-0000-0000-000007460000}"/>
    <cellStyle name="Normal 2 5 2 3 6 2 3" xfId="8785" xr:uid="{00000000-0005-0000-0000-000008460000}"/>
    <cellStyle name="Normal 2 5 2 3 6 2 3 2" xfId="34342" xr:uid="{00000000-0005-0000-0000-000009460000}"/>
    <cellStyle name="Normal 2 5 2 3 6 2 4" xfId="17575" xr:uid="{00000000-0005-0000-0000-00000A460000}"/>
    <cellStyle name="Normal 2 5 2 3 6 2 4 2" xfId="43128" xr:uid="{00000000-0005-0000-0000-00000B460000}"/>
    <cellStyle name="Normal 2 5 2 3 6 2 5" xfId="29065" xr:uid="{00000000-0005-0000-0000-00000C460000}"/>
    <cellStyle name="Normal 2 5 2 3 6 3" xfId="4899" xr:uid="{00000000-0005-0000-0000-00000D460000}"/>
    <cellStyle name="Normal 2 5 2 3 6 3 2" xfId="13736" xr:uid="{00000000-0005-0000-0000-00000E460000}"/>
    <cellStyle name="Normal 2 5 2 3 6 3 2 2" xfId="23987" xr:uid="{00000000-0005-0000-0000-00000F460000}"/>
    <cellStyle name="Normal 2 5 2 3 6 3 2 2 2" xfId="49540" xr:uid="{00000000-0005-0000-0000-000010460000}"/>
    <cellStyle name="Normal 2 5 2 3 6 3 2 3" xfId="39291" xr:uid="{00000000-0005-0000-0000-000011460000}"/>
    <cellStyle name="Normal 2 5 2 3 6 3 3" xfId="10157" xr:uid="{00000000-0005-0000-0000-000012460000}"/>
    <cellStyle name="Normal 2 5 2 3 6 3 3 2" xfId="35714" xr:uid="{00000000-0005-0000-0000-000013460000}"/>
    <cellStyle name="Normal 2 5 2 3 6 3 4" xfId="18980" xr:uid="{00000000-0005-0000-0000-000014460000}"/>
    <cellStyle name="Normal 2 5 2 3 6 3 4 2" xfId="44533" xr:uid="{00000000-0005-0000-0000-000015460000}"/>
    <cellStyle name="Normal 2 5 2 3 6 3 5" xfId="30470" xr:uid="{00000000-0005-0000-0000-000016460000}"/>
    <cellStyle name="Normal 2 5 2 3 6 4" xfId="2330" xr:uid="{00000000-0005-0000-0000-000017460000}"/>
    <cellStyle name="Normal 2 5 2 3 6 4 2" xfId="11695" xr:uid="{00000000-0005-0000-0000-000018460000}"/>
    <cellStyle name="Normal 2 5 2 3 6 4 2 2" xfId="37250" xr:uid="{00000000-0005-0000-0000-000019460000}"/>
    <cellStyle name="Normal 2 5 2 3 6 4 3" xfId="21699" xr:uid="{00000000-0005-0000-0000-00001A460000}"/>
    <cellStyle name="Normal 2 5 2 3 6 4 3 2" xfId="47252" xr:uid="{00000000-0005-0000-0000-00001B460000}"/>
    <cellStyle name="Normal 2 5 2 3 6 4 4" xfId="28182" xr:uid="{00000000-0005-0000-0000-00001C460000}"/>
    <cellStyle name="Normal 2 5 2 3 6 5" xfId="6354" xr:uid="{00000000-0005-0000-0000-00001D460000}"/>
    <cellStyle name="Normal 2 5 2 3 6 5 2" xfId="15181" xr:uid="{00000000-0005-0000-0000-00001E460000}"/>
    <cellStyle name="Normal 2 5 2 3 6 5 2 2" xfId="40736" xr:uid="{00000000-0005-0000-0000-00001F460000}"/>
    <cellStyle name="Normal 2 5 2 3 6 5 3" xfId="25432" xr:uid="{00000000-0005-0000-0000-000020460000}"/>
    <cellStyle name="Normal 2 5 2 3 6 5 3 2" xfId="50985" xr:uid="{00000000-0005-0000-0000-000021460000}"/>
    <cellStyle name="Normal 2 5 2 3 6 5 4" xfId="31915" xr:uid="{00000000-0005-0000-0000-000022460000}"/>
    <cellStyle name="Normal 2 5 2 3 6 6" xfId="7800" xr:uid="{00000000-0005-0000-0000-000023460000}"/>
    <cellStyle name="Normal 2 5 2 3 6 6 2" xfId="20181" xr:uid="{00000000-0005-0000-0000-000024460000}"/>
    <cellStyle name="Normal 2 5 2 3 6 6 2 2" xfId="45734" xr:uid="{00000000-0005-0000-0000-000025460000}"/>
    <cellStyle name="Normal 2 5 2 3 6 6 3" xfId="33357" xr:uid="{00000000-0005-0000-0000-000026460000}"/>
    <cellStyle name="Normal 2 5 2 3 6 7" xfId="16692" xr:uid="{00000000-0005-0000-0000-000027460000}"/>
    <cellStyle name="Normal 2 5 2 3 6 7 2" xfId="42245" xr:uid="{00000000-0005-0000-0000-000028460000}"/>
    <cellStyle name="Normal 2 5 2 3 6 8" xfId="26664" xr:uid="{00000000-0005-0000-0000-000029460000}"/>
    <cellStyle name="Normal 2 5 2 3 7" xfId="1089" xr:uid="{00000000-0005-0000-0000-00002A460000}"/>
    <cellStyle name="Normal 2 5 2 3 7 2" xfId="3518" xr:uid="{00000000-0005-0000-0000-00002B460000}"/>
    <cellStyle name="Normal 2 5 2 3 7 2 2" xfId="12654" xr:uid="{00000000-0005-0000-0000-00002C460000}"/>
    <cellStyle name="Normal 2 5 2 3 7 2 2 2" xfId="22873" xr:uid="{00000000-0005-0000-0000-00002D460000}"/>
    <cellStyle name="Normal 2 5 2 3 7 2 2 2 2" xfId="48426" xr:uid="{00000000-0005-0000-0000-00002E460000}"/>
    <cellStyle name="Normal 2 5 2 3 7 2 2 3" xfId="38209" xr:uid="{00000000-0005-0000-0000-00002F460000}"/>
    <cellStyle name="Normal 2 5 2 3 7 2 3" xfId="9076" xr:uid="{00000000-0005-0000-0000-000030460000}"/>
    <cellStyle name="Normal 2 5 2 3 7 2 3 2" xfId="34633" xr:uid="{00000000-0005-0000-0000-000031460000}"/>
    <cellStyle name="Normal 2 5 2 3 7 2 4" xfId="17866" xr:uid="{00000000-0005-0000-0000-000032460000}"/>
    <cellStyle name="Normal 2 5 2 3 7 2 4 2" xfId="43419" xr:uid="{00000000-0005-0000-0000-000033460000}"/>
    <cellStyle name="Normal 2 5 2 3 7 2 5" xfId="29356" xr:uid="{00000000-0005-0000-0000-000034460000}"/>
    <cellStyle name="Normal 2 5 2 3 7 3" xfId="5181" xr:uid="{00000000-0005-0000-0000-000035460000}"/>
    <cellStyle name="Normal 2 5 2 3 7 3 2" xfId="14018" xr:uid="{00000000-0005-0000-0000-000036460000}"/>
    <cellStyle name="Normal 2 5 2 3 7 3 2 2" xfId="24269" xr:uid="{00000000-0005-0000-0000-000037460000}"/>
    <cellStyle name="Normal 2 5 2 3 7 3 2 2 2" xfId="49822" xr:uid="{00000000-0005-0000-0000-000038460000}"/>
    <cellStyle name="Normal 2 5 2 3 7 3 2 3" xfId="39573" xr:uid="{00000000-0005-0000-0000-000039460000}"/>
    <cellStyle name="Normal 2 5 2 3 7 3 3" xfId="10439" xr:uid="{00000000-0005-0000-0000-00003A460000}"/>
    <cellStyle name="Normal 2 5 2 3 7 3 3 2" xfId="35996" xr:uid="{00000000-0005-0000-0000-00003B460000}"/>
    <cellStyle name="Normal 2 5 2 3 7 3 4" xfId="19262" xr:uid="{00000000-0005-0000-0000-00003C460000}"/>
    <cellStyle name="Normal 2 5 2 3 7 3 4 2" xfId="44815" xr:uid="{00000000-0005-0000-0000-00003D460000}"/>
    <cellStyle name="Normal 2 5 2 3 7 3 5" xfId="30752" xr:uid="{00000000-0005-0000-0000-00003E460000}"/>
    <cellStyle name="Normal 2 5 2 3 7 4" xfId="1747" xr:uid="{00000000-0005-0000-0000-00003F460000}"/>
    <cellStyle name="Normal 2 5 2 3 7 4 2" xfId="11118" xr:uid="{00000000-0005-0000-0000-000040460000}"/>
    <cellStyle name="Normal 2 5 2 3 7 4 2 2" xfId="36673" xr:uid="{00000000-0005-0000-0000-000041460000}"/>
    <cellStyle name="Normal 2 5 2 3 7 4 3" xfId="21122" xr:uid="{00000000-0005-0000-0000-000042460000}"/>
    <cellStyle name="Normal 2 5 2 3 7 4 3 2" xfId="46675" xr:uid="{00000000-0005-0000-0000-000043460000}"/>
    <cellStyle name="Normal 2 5 2 3 7 4 4" xfId="27605" xr:uid="{00000000-0005-0000-0000-000044460000}"/>
    <cellStyle name="Normal 2 5 2 3 7 5" xfId="6636" xr:uid="{00000000-0005-0000-0000-000045460000}"/>
    <cellStyle name="Normal 2 5 2 3 7 5 2" xfId="15463" xr:uid="{00000000-0005-0000-0000-000046460000}"/>
    <cellStyle name="Normal 2 5 2 3 7 5 2 2" xfId="41018" xr:uid="{00000000-0005-0000-0000-000047460000}"/>
    <cellStyle name="Normal 2 5 2 3 7 5 3" xfId="25714" xr:uid="{00000000-0005-0000-0000-000048460000}"/>
    <cellStyle name="Normal 2 5 2 3 7 5 3 2" xfId="51267" xr:uid="{00000000-0005-0000-0000-000049460000}"/>
    <cellStyle name="Normal 2 5 2 3 7 5 4" xfId="32197" xr:uid="{00000000-0005-0000-0000-00004A460000}"/>
    <cellStyle name="Normal 2 5 2 3 7 6" xfId="8082" xr:uid="{00000000-0005-0000-0000-00004B460000}"/>
    <cellStyle name="Normal 2 5 2 3 7 6 2" xfId="20472" xr:uid="{00000000-0005-0000-0000-00004C460000}"/>
    <cellStyle name="Normal 2 5 2 3 7 6 2 2" xfId="46025" xr:uid="{00000000-0005-0000-0000-00004D460000}"/>
    <cellStyle name="Normal 2 5 2 3 7 6 3" xfId="33639" xr:uid="{00000000-0005-0000-0000-00004E460000}"/>
    <cellStyle name="Normal 2 5 2 3 7 7" xfId="16115" xr:uid="{00000000-0005-0000-0000-00004F460000}"/>
    <cellStyle name="Normal 2 5 2 3 7 7 2" xfId="41668" xr:uid="{00000000-0005-0000-0000-000050460000}"/>
    <cellStyle name="Normal 2 5 2 3 7 8" xfId="26955" xr:uid="{00000000-0005-0000-0000-000051460000}"/>
    <cellStyle name="Normal 2 5 2 3 8" xfId="2645" xr:uid="{00000000-0005-0000-0000-000052460000}"/>
    <cellStyle name="Normal 2 5 2 3 8 2" xfId="5593" xr:uid="{00000000-0005-0000-0000-000053460000}"/>
    <cellStyle name="Normal 2 5 2 3 8 2 2" xfId="14420" xr:uid="{00000000-0005-0000-0000-000054460000}"/>
    <cellStyle name="Normal 2 5 2 3 8 2 2 2" xfId="39975" xr:uid="{00000000-0005-0000-0000-000055460000}"/>
    <cellStyle name="Normal 2 5 2 3 8 2 3" xfId="24671" xr:uid="{00000000-0005-0000-0000-000056460000}"/>
    <cellStyle name="Normal 2 5 2 3 8 2 3 2" xfId="50224" xr:uid="{00000000-0005-0000-0000-000057460000}"/>
    <cellStyle name="Normal 2 5 2 3 8 2 4" xfId="31154" xr:uid="{00000000-0005-0000-0000-000058460000}"/>
    <cellStyle name="Normal 2 5 2 3 8 3" xfId="7037" xr:uid="{00000000-0005-0000-0000-000059460000}"/>
    <cellStyle name="Normal 2 5 2 3 8 3 2" xfId="22006" xr:uid="{00000000-0005-0000-0000-00005A460000}"/>
    <cellStyle name="Normal 2 5 2 3 8 3 2 2" xfId="47559" xr:uid="{00000000-0005-0000-0000-00005B460000}"/>
    <cellStyle name="Normal 2 5 2 3 8 3 3" xfId="32594" xr:uid="{00000000-0005-0000-0000-00005C460000}"/>
    <cellStyle name="Normal 2 5 2 3 8 4" xfId="16999" xr:uid="{00000000-0005-0000-0000-00005D460000}"/>
    <cellStyle name="Normal 2 5 2 3 8 4 2" xfId="42552" xr:uid="{00000000-0005-0000-0000-00005E460000}"/>
    <cellStyle name="Normal 2 5 2 3 8 5" xfId="28489" xr:uid="{00000000-0005-0000-0000-00005F460000}"/>
    <cellStyle name="Normal 2 5 2 3 9" xfId="4135" xr:uid="{00000000-0005-0000-0000-000060460000}"/>
    <cellStyle name="Normal 2 5 2 3 9 2" xfId="12973" xr:uid="{00000000-0005-0000-0000-000061460000}"/>
    <cellStyle name="Normal 2 5 2 3 9 2 2" xfId="23224" xr:uid="{00000000-0005-0000-0000-000062460000}"/>
    <cellStyle name="Normal 2 5 2 3 9 2 2 2" xfId="48777" xr:uid="{00000000-0005-0000-0000-000063460000}"/>
    <cellStyle name="Normal 2 5 2 3 9 2 3" xfId="38528" xr:uid="{00000000-0005-0000-0000-000064460000}"/>
    <cellStyle name="Normal 2 5 2 3 9 3" xfId="9394" xr:uid="{00000000-0005-0000-0000-000065460000}"/>
    <cellStyle name="Normal 2 5 2 3 9 3 2" xfId="34951" xr:uid="{00000000-0005-0000-0000-000066460000}"/>
    <cellStyle name="Normal 2 5 2 3 9 4" xfId="18217" xr:uid="{00000000-0005-0000-0000-000067460000}"/>
    <cellStyle name="Normal 2 5 2 3 9 4 2" xfId="43770" xr:uid="{00000000-0005-0000-0000-000068460000}"/>
    <cellStyle name="Normal 2 5 2 3 9 5" xfId="29707" xr:uid="{00000000-0005-0000-0000-000069460000}"/>
    <cellStyle name="Normal 2 5 2 3_Degree data" xfId="3818" xr:uid="{00000000-0005-0000-0000-00006A460000}"/>
    <cellStyle name="Normal 2 5 2 4" xfId="181" xr:uid="{00000000-0005-0000-0000-00006B460000}"/>
    <cellStyle name="Normal 2 5 2 4 10" xfId="7129" xr:uid="{00000000-0005-0000-0000-00006C460000}"/>
    <cellStyle name="Normal 2 5 2 4 10 2" xfId="19638" xr:uid="{00000000-0005-0000-0000-00006D460000}"/>
    <cellStyle name="Normal 2 5 2 4 10 2 2" xfId="45191" xr:uid="{00000000-0005-0000-0000-00006E460000}"/>
    <cellStyle name="Normal 2 5 2 4 10 3" xfId="32686" xr:uid="{00000000-0005-0000-0000-00006F460000}"/>
    <cellStyle name="Normal 2 5 2 4 11" xfId="15875" xr:uid="{00000000-0005-0000-0000-000070460000}"/>
    <cellStyle name="Normal 2 5 2 4 11 2" xfId="41428" xr:uid="{00000000-0005-0000-0000-000071460000}"/>
    <cellStyle name="Normal 2 5 2 4 12" xfId="26121" xr:uid="{00000000-0005-0000-0000-000072460000}"/>
    <cellStyle name="Normal 2 5 2 4 2" xfId="509" xr:uid="{00000000-0005-0000-0000-000073460000}"/>
    <cellStyle name="Normal 2 5 2 4 2 10" xfId="26438" xr:uid="{00000000-0005-0000-0000-000074460000}"/>
    <cellStyle name="Normal 2 5 2 4 2 2" xfId="742" xr:uid="{00000000-0005-0000-0000-000075460000}"/>
    <cellStyle name="Normal 2 5 2 4 2 2 2" xfId="3228" xr:uid="{00000000-0005-0000-0000-000076460000}"/>
    <cellStyle name="Normal 2 5 2 4 2 2 2 2" xfId="12370" xr:uid="{00000000-0005-0000-0000-000077460000}"/>
    <cellStyle name="Normal 2 5 2 4 2 2 2 2 2" xfId="22589" xr:uid="{00000000-0005-0000-0000-000078460000}"/>
    <cellStyle name="Normal 2 5 2 4 2 2 2 2 2 2" xfId="48142" xr:uid="{00000000-0005-0000-0000-000079460000}"/>
    <cellStyle name="Normal 2 5 2 4 2 2 2 2 3" xfId="37925" xr:uid="{00000000-0005-0000-0000-00007A460000}"/>
    <cellStyle name="Normal 2 5 2 4 2 2 2 3" xfId="8792" xr:uid="{00000000-0005-0000-0000-00007B460000}"/>
    <cellStyle name="Normal 2 5 2 4 2 2 2 3 2" xfId="34349" xr:uid="{00000000-0005-0000-0000-00007C460000}"/>
    <cellStyle name="Normal 2 5 2 4 2 2 2 4" xfId="17582" xr:uid="{00000000-0005-0000-0000-00007D460000}"/>
    <cellStyle name="Normal 2 5 2 4 2 2 2 4 2" xfId="43135" xr:uid="{00000000-0005-0000-0000-00007E460000}"/>
    <cellStyle name="Normal 2 5 2 4 2 2 2 5" xfId="29072" xr:uid="{00000000-0005-0000-0000-00007F460000}"/>
    <cellStyle name="Normal 2 5 2 4 2 2 3" xfId="4557" xr:uid="{00000000-0005-0000-0000-000080460000}"/>
    <cellStyle name="Normal 2 5 2 4 2 2 3 2" xfId="13395" xr:uid="{00000000-0005-0000-0000-000081460000}"/>
    <cellStyle name="Normal 2 5 2 4 2 2 3 2 2" xfId="23646" xr:uid="{00000000-0005-0000-0000-000082460000}"/>
    <cellStyle name="Normal 2 5 2 4 2 2 3 2 2 2" xfId="49199" xr:uid="{00000000-0005-0000-0000-000083460000}"/>
    <cellStyle name="Normal 2 5 2 4 2 2 3 2 3" xfId="38950" xr:uid="{00000000-0005-0000-0000-000084460000}"/>
    <cellStyle name="Normal 2 5 2 4 2 2 3 3" xfId="9816" xr:uid="{00000000-0005-0000-0000-000085460000}"/>
    <cellStyle name="Normal 2 5 2 4 2 2 3 3 2" xfId="35373" xr:uid="{00000000-0005-0000-0000-000086460000}"/>
    <cellStyle name="Normal 2 5 2 4 2 2 3 4" xfId="18639" xr:uid="{00000000-0005-0000-0000-000087460000}"/>
    <cellStyle name="Normal 2 5 2 4 2 2 3 4 2" xfId="44192" xr:uid="{00000000-0005-0000-0000-000088460000}"/>
    <cellStyle name="Normal 2 5 2 4 2 2 3 5" xfId="30129" xr:uid="{00000000-0005-0000-0000-000089460000}"/>
    <cellStyle name="Normal 2 5 2 4 2 2 4" xfId="2337" xr:uid="{00000000-0005-0000-0000-00008A460000}"/>
    <cellStyle name="Normal 2 5 2 4 2 2 4 2" xfId="11702" xr:uid="{00000000-0005-0000-0000-00008B460000}"/>
    <cellStyle name="Normal 2 5 2 4 2 2 4 2 2" xfId="37257" xr:uid="{00000000-0005-0000-0000-00008C460000}"/>
    <cellStyle name="Normal 2 5 2 4 2 2 4 3" xfId="21706" xr:uid="{00000000-0005-0000-0000-00008D460000}"/>
    <cellStyle name="Normal 2 5 2 4 2 2 4 3 2" xfId="47259" xr:uid="{00000000-0005-0000-0000-00008E460000}"/>
    <cellStyle name="Normal 2 5 2 4 2 2 4 4" xfId="28189" xr:uid="{00000000-0005-0000-0000-00008F460000}"/>
    <cellStyle name="Normal 2 5 2 4 2 2 5" xfId="6013" xr:uid="{00000000-0005-0000-0000-000090460000}"/>
    <cellStyle name="Normal 2 5 2 4 2 2 5 2" xfId="14840" xr:uid="{00000000-0005-0000-0000-000091460000}"/>
    <cellStyle name="Normal 2 5 2 4 2 2 5 2 2" xfId="40395" xr:uid="{00000000-0005-0000-0000-000092460000}"/>
    <cellStyle name="Normal 2 5 2 4 2 2 5 3" xfId="25091" xr:uid="{00000000-0005-0000-0000-000093460000}"/>
    <cellStyle name="Normal 2 5 2 4 2 2 5 3 2" xfId="50644" xr:uid="{00000000-0005-0000-0000-000094460000}"/>
    <cellStyle name="Normal 2 5 2 4 2 2 5 4" xfId="31574" xr:uid="{00000000-0005-0000-0000-000095460000}"/>
    <cellStyle name="Normal 2 5 2 4 2 2 6" xfId="7457" xr:uid="{00000000-0005-0000-0000-000096460000}"/>
    <cellStyle name="Normal 2 5 2 4 2 2 6 2" xfId="20188" xr:uid="{00000000-0005-0000-0000-000097460000}"/>
    <cellStyle name="Normal 2 5 2 4 2 2 6 2 2" xfId="45741" xr:uid="{00000000-0005-0000-0000-000098460000}"/>
    <cellStyle name="Normal 2 5 2 4 2 2 6 3" xfId="33014" xr:uid="{00000000-0005-0000-0000-000099460000}"/>
    <cellStyle name="Normal 2 5 2 4 2 2 7" xfId="16699" xr:uid="{00000000-0005-0000-0000-00009A460000}"/>
    <cellStyle name="Normal 2 5 2 4 2 2 7 2" xfId="42252" xr:uid="{00000000-0005-0000-0000-00009B460000}"/>
    <cellStyle name="Normal 2 5 2 4 2 2 8" xfId="26671" xr:uid="{00000000-0005-0000-0000-00009C460000}"/>
    <cellStyle name="Normal 2 5 2 4 2 3" xfId="1281" xr:uid="{00000000-0005-0000-0000-00009D460000}"/>
    <cellStyle name="Normal 2 5 2 4 2 3 2" xfId="3710" xr:uid="{00000000-0005-0000-0000-00009E460000}"/>
    <cellStyle name="Normal 2 5 2 4 2 3 2 2" xfId="12846" xr:uid="{00000000-0005-0000-0000-00009F460000}"/>
    <cellStyle name="Normal 2 5 2 4 2 3 2 2 2" xfId="23065" xr:uid="{00000000-0005-0000-0000-0000A0460000}"/>
    <cellStyle name="Normal 2 5 2 4 2 3 2 2 2 2" xfId="48618" xr:uid="{00000000-0005-0000-0000-0000A1460000}"/>
    <cellStyle name="Normal 2 5 2 4 2 3 2 2 3" xfId="38401" xr:uid="{00000000-0005-0000-0000-0000A2460000}"/>
    <cellStyle name="Normal 2 5 2 4 2 3 2 3" xfId="9267" xr:uid="{00000000-0005-0000-0000-0000A3460000}"/>
    <cellStyle name="Normal 2 5 2 4 2 3 2 3 2" xfId="34824" xr:uid="{00000000-0005-0000-0000-0000A4460000}"/>
    <cellStyle name="Normal 2 5 2 4 2 3 2 4" xfId="18058" xr:uid="{00000000-0005-0000-0000-0000A5460000}"/>
    <cellStyle name="Normal 2 5 2 4 2 3 2 4 2" xfId="43611" xr:uid="{00000000-0005-0000-0000-0000A6460000}"/>
    <cellStyle name="Normal 2 5 2 4 2 3 2 5" xfId="29548" xr:uid="{00000000-0005-0000-0000-0000A7460000}"/>
    <cellStyle name="Normal 2 5 2 4 2 3 3" xfId="4906" xr:uid="{00000000-0005-0000-0000-0000A8460000}"/>
    <cellStyle name="Normal 2 5 2 4 2 3 3 2" xfId="13743" xr:uid="{00000000-0005-0000-0000-0000A9460000}"/>
    <cellStyle name="Normal 2 5 2 4 2 3 3 2 2" xfId="23994" xr:uid="{00000000-0005-0000-0000-0000AA460000}"/>
    <cellStyle name="Normal 2 5 2 4 2 3 3 2 2 2" xfId="49547" xr:uid="{00000000-0005-0000-0000-0000AB460000}"/>
    <cellStyle name="Normal 2 5 2 4 2 3 3 2 3" xfId="39298" xr:uid="{00000000-0005-0000-0000-0000AC460000}"/>
    <cellStyle name="Normal 2 5 2 4 2 3 3 3" xfId="10164" xr:uid="{00000000-0005-0000-0000-0000AD460000}"/>
    <cellStyle name="Normal 2 5 2 4 2 3 3 3 2" xfId="35721" xr:uid="{00000000-0005-0000-0000-0000AE460000}"/>
    <cellStyle name="Normal 2 5 2 4 2 3 3 4" xfId="18987" xr:uid="{00000000-0005-0000-0000-0000AF460000}"/>
    <cellStyle name="Normal 2 5 2 4 2 3 3 4 2" xfId="44540" xr:uid="{00000000-0005-0000-0000-0000B0460000}"/>
    <cellStyle name="Normal 2 5 2 4 2 3 3 5" xfId="30477" xr:uid="{00000000-0005-0000-0000-0000B1460000}"/>
    <cellStyle name="Normal 2 5 2 4 2 3 4" xfId="2104" xr:uid="{00000000-0005-0000-0000-0000B2460000}"/>
    <cellStyle name="Normal 2 5 2 4 2 3 4 2" xfId="11469" xr:uid="{00000000-0005-0000-0000-0000B3460000}"/>
    <cellStyle name="Normal 2 5 2 4 2 3 4 2 2" xfId="37024" xr:uid="{00000000-0005-0000-0000-0000B4460000}"/>
    <cellStyle name="Normal 2 5 2 4 2 3 4 3" xfId="21473" xr:uid="{00000000-0005-0000-0000-0000B5460000}"/>
    <cellStyle name="Normal 2 5 2 4 2 3 4 3 2" xfId="47026" xr:uid="{00000000-0005-0000-0000-0000B6460000}"/>
    <cellStyle name="Normal 2 5 2 4 2 3 4 4" xfId="27956" xr:uid="{00000000-0005-0000-0000-0000B7460000}"/>
    <cellStyle name="Normal 2 5 2 4 2 3 5" xfId="6361" xr:uid="{00000000-0005-0000-0000-0000B8460000}"/>
    <cellStyle name="Normal 2 5 2 4 2 3 5 2" xfId="15188" xr:uid="{00000000-0005-0000-0000-0000B9460000}"/>
    <cellStyle name="Normal 2 5 2 4 2 3 5 2 2" xfId="40743" xr:uid="{00000000-0005-0000-0000-0000BA460000}"/>
    <cellStyle name="Normal 2 5 2 4 2 3 5 3" xfId="25439" xr:uid="{00000000-0005-0000-0000-0000BB460000}"/>
    <cellStyle name="Normal 2 5 2 4 2 3 5 3 2" xfId="50992" xr:uid="{00000000-0005-0000-0000-0000BC460000}"/>
    <cellStyle name="Normal 2 5 2 4 2 3 5 4" xfId="31922" xr:uid="{00000000-0005-0000-0000-0000BD460000}"/>
    <cellStyle name="Normal 2 5 2 4 2 3 6" xfId="7807" xr:uid="{00000000-0005-0000-0000-0000BE460000}"/>
    <cellStyle name="Normal 2 5 2 4 2 3 6 2" xfId="20664" xr:uid="{00000000-0005-0000-0000-0000BF460000}"/>
    <cellStyle name="Normal 2 5 2 4 2 3 6 2 2" xfId="46217" xr:uid="{00000000-0005-0000-0000-0000C0460000}"/>
    <cellStyle name="Normal 2 5 2 4 2 3 6 3" xfId="33364" xr:uid="{00000000-0005-0000-0000-0000C1460000}"/>
    <cellStyle name="Normal 2 5 2 4 2 3 7" xfId="16466" xr:uid="{00000000-0005-0000-0000-0000C2460000}"/>
    <cellStyle name="Normal 2 5 2 4 2 3 7 2" xfId="42019" xr:uid="{00000000-0005-0000-0000-0000C3460000}"/>
    <cellStyle name="Normal 2 5 2 4 2 3 8" xfId="27147" xr:uid="{00000000-0005-0000-0000-0000C4460000}"/>
    <cellStyle name="Normal 2 5 2 4 2 4" xfId="2995" xr:uid="{00000000-0005-0000-0000-0000C5460000}"/>
    <cellStyle name="Normal 2 5 2 4 2 4 2" xfId="5373" xr:uid="{00000000-0005-0000-0000-0000C6460000}"/>
    <cellStyle name="Normal 2 5 2 4 2 4 2 2" xfId="14210" xr:uid="{00000000-0005-0000-0000-0000C7460000}"/>
    <cellStyle name="Normal 2 5 2 4 2 4 2 2 2" xfId="24461" xr:uid="{00000000-0005-0000-0000-0000C8460000}"/>
    <cellStyle name="Normal 2 5 2 4 2 4 2 2 2 2" xfId="50014" xr:uid="{00000000-0005-0000-0000-0000C9460000}"/>
    <cellStyle name="Normal 2 5 2 4 2 4 2 2 3" xfId="39765" xr:uid="{00000000-0005-0000-0000-0000CA460000}"/>
    <cellStyle name="Normal 2 5 2 4 2 4 2 3" xfId="10631" xr:uid="{00000000-0005-0000-0000-0000CB460000}"/>
    <cellStyle name="Normal 2 5 2 4 2 4 2 3 2" xfId="36188" xr:uid="{00000000-0005-0000-0000-0000CC460000}"/>
    <cellStyle name="Normal 2 5 2 4 2 4 2 4" xfId="19454" xr:uid="{00000000-0005-0000-0000-0000CD460000}"/>
    <cellStyle name="Normal 2 5 2 4 2 4 2 4 2" xfId="45007" xr:uid="{00000000-0005-0000-0000-0000CE460000}"/>
    <cellStyle name="Normal 2 5 2 4 2 4 2 5" xfId="30944" xr:uid="{00000000-0005-0000-0000-0000CF460000}"/>
    <cellStyle name="Normal 2 5 2 4 2 4 3" xfId="6828" xr:uid="{00000000-0005-0000-0000-0000D0460000}"/>
    <cellStyle name="Normal 2 5 2 4 2 4 3 2" xfId="15655" xr:uid="{00000000-0005-0000-0000-0000D1460000}"/>
    <cellStyle name="Normal 2 5 2 4 2 4 3 2 2" xfId="41210" xr:uid="{00000000-0005-0000-0000-0000D2460000}"/>
    <cellStyle name="Normal 2 5 2 4 2 4 3 3" xfId="25906" xr:uid="{00000000-0005-0000-0000-0000D3460000}"/>
    <cellStyle name="Normal 2 5 2 4 2 4 3 3 2" xfId="51459" xr:uid="{00000000-0005-0000-0000-0000D4460000}"/>
    <cellStyle name="Normal 2 5 2 4 2 4 3 4" xfId="32389" xr:uid="{00000000-0005-0000-0000-0000D5460000}"/>
    <cellStyle name="Normal 2 5 2 4 2 4 4" xfId="8274" xr:uid="{00000000-0005-0000-0000-0000D6460000}"/>
    <cellStyle name="Normal 2 5 2 4 2 4 4 2" xfId="22356" xr:uid="{00000000-0005-0000-0000-0000D7460000}"/>
    <cellStyle name="Normal 2 5 2 4 2 4 4 2 2" xfId="47909" xr:uid="{00000000-0005-0000-0000-0000D8460000}"/>
    <cellStyle name="Normal 2 5 2 4 2 4 4 3" xfId="33831" xr:uid="{00000000-0005-0000-0000-0000D9460000}"/>
    <cellStyle name="Normal 2 5 2 4 2 4 5" xfId="17349" xr:uid="{00000000-0005-0000-0000-0000DA460000}"/>
    <cellStyle name="Normal 2 5 2 4 2 4 5 2" xfId="42902" xr:uid="{00000000-0005-0000-0000-0000DB460000}"/>
    <cellStyle name="Normal 2 5 2 4 2 4 6" xfId="28839" xr:uid="{00000000-0005-0000-0000-0000DC460000}"/>
    <cellStyle name="Normal 2 5 2 4 2 5" xfId="4329" xr:uid="{00000000-0005-0000-0000-0000DD460000}"/>
    <cellStyle name="Normal 2 5 2 4 2 5 2" xfId="13167" xr:uid="{00000000-0005-0000-0000-0000DE460000}"/>
    <cellStyle name="Normal 2 5 2 4 2 5 2 2" xfId="23418" xr:uid="{00000000-0005-0000-0000-0000DF460000}"/>
    <cellStyle name="Normal 2 5 2 4 2 5 2 2 2" xfId="48971" xr:uid="{00000000-0005-0000-0000-0000E0460000}"/>
    <cellStyle name="Normal 2 5 2 4 2 5 2 3" xfId="38722" xr:uid="{00000000-0005-0000-0000-0000E1460000}"/>
    <cellStyle name="Normal 2 5 2 4 2 5 3" xfId="9588" xr:uid="{00000000-0005-0000-0000-0000E2460000}"/>
    <cellStyle name="Normal 2 5 2 4 2 5 3 2" xfId="35145" xr:uid="{00000000-0005-0000-0000-0000E3460000}"/>
    <cellStyle name="Normal 2 5 2 4 2 5 4" xfId="18411" xr:uid="{00000000-0005-0000-0000-0000E4460000}"/>
    <cellStyle name="Normal 2 5 2 4 2 5 4 2" xfId="43964" xr:uid="{00000000-0005-0000-0000-0000E5460000}"/>
    <cellStyle name="Normal 2 5 2 4 2 5 5" xfId="29901" xr:uid="{00000000-0005-0000-0000-0000E6460000}"/>
    <cellStyle name="Normal 2 5 2 4 2 6" xfId="1601" xr:uid="{00000000-0005-0000-0000-0000E7460000}"/>
    <cellStyle name="Normal 2 5 2 4 2 6 2" xfId="10978" xr:uid="{00000000-0005-0000-0000-0000E8460000}"/>
    <cellStyle name="Normal 2 5 2 4 2 6 2 2" xfId="36533" xr:uid="{00000000-0005-0000-0000-0000E9460000}"/>
    <cellStyle name="Normal 2 5 2 4 2 6 3" xfId="20982" xr:uid="{00000000-0005-0000-0000-0000EA460000}"/>
    <cellStyle name="Normal 2 5 2 4 2 6 3 2" xfId="46535" xr:uid="{00000000-0005-0000-0000-0000EB460000}"/>
    <cellStyle name="Normal 2 5 2 4 2 6 4" xfId="27465" xr:uid="{00000000-0005-0000-0000-0000EC460000}"/>
    <cellStyle name="Normal 2 5 2 4 2 7" xfId="5785" xr:uid="{00000000-0005-0000-0000-0000ED460000}"/>
    <cellStyle name="Normal 2 5 2 4 2 7 2" xfId="14612" xr:uid="{00000000-0005-0000-0000-0000EE460000}"/>
    <cellStyle name="Normal 2 5 2 4 2 7 2 2" xfId="40167" xr:uid="{00000000-0005-0000-0000-0000EF460000}"/>
    <cellStyle name="Normal 2 5 2 4 2 7 3" xfId="24863" xr:uid="{00000000-0005-0000-0000-0000F0460000}"/>
    <cellStyle name="Normal 2 5 2 4 2 7 3 2" xfId="50416" xr:uid="{00000000-0005-0000-0000-0000F1460000}"/>
    <cellStyle name="Normal 2 5 2 4 2 7 4" xfId="31346" xr:uid="{00000000-0005-0000-0000-0000F2460000}"/>
    <cellStyle name="Normal 2 5 2 4 2 8" xfId="7229" xr:uid="{00000000-0005-0000-0000-0000F3460000}"/>
    <cellStyle name="Normal 2 5 2 4 2 8 2" xfId="19955" xr:uid="{00000000-0005-0000-0000-0000F4460000}"/>
    <cellStyle name="Normal 2 5 2 4 2 8 2 2" xfId="45508" xr:uid="{00000000-0005-0000-0000-0000F5460000}"/>
    <cellStyle name="Normal 2 5 2 4 2 8 3" xfId="32786" xr:uid="{00000000-0005-0000-0000-0000F6460000}"/>
    <cellStyle name="Normal 2 5 2 4 2 9" xfId="15975" xr:uid="{00000000-0005-0000-0000-0000F7460000}"/>
    <cellStyle name="Normal 2 5 2 4 2 9 2" xfId="41528" xr:uid="{00000000-0005-0000-0000-0000F8460000}"/>
    <cellStyle name="Normal 2 5 2 4 2_Degree data" xfId="3873" xr:uid="{00000000-0005-0000-0000-0000F9460000}"/>
    <cellStyle name="Normal 2 5 2 4 3" xfId="409" xr:uid="{00000000-0005-0000-0000-0000FA460000}"/>
    <cellStyle name="Normal 2 5 2 4 3 2" xfId="2895" xr:uid="{00000000-0005-0000-0000-0000FB460000}"/>
    <cellStyle name="Normal 2 5 2 4 3 2 2" xfId="12183" xr:uid="{00000000-0005-0000-0000-0000FC460000}"/>
    <cellStyle name="Normal 2 5 2 4 3 2 2 2" xfId="22256" xr:uid="{00000000-0005-0000-0000-0000FD460000}"/>
    <cellStyle name="Normal 2 5 2 4 3 2 2 2 2" xfId="47809" xr:uid="{00000000-0005-0000-0000-0000FE460000}"/>
    <cellStyle name="Normal 2 5 2 4 3 2 2 3" xfId="37738" xr:uid="{00000000-0005-0000-0000-0000FF460000}"/>
    <cellStyle name="Normal 2 5 2 4 3 2 3" xfId="8640" xr:uid="{00000000-0005-0000-0000-000000470000}"/>
    <cellStyle name="Normal 2 5 2 4 3 2 3 2" xfId="34197" xr:uid="{00000000-0005-0000-0000-000001470000}"/>
    <cellStyle name="Normal 2 5 2 4 3 2 4" xfId="17249" xr:uid="{00000000-0005-0000-0000-000002470000}"/>
    <cellStyle name="Normal 2 5 2 4 3 2 4 2" xfId="42802" xr:uid="{00000000-0005-0000-0000-000003470000}"/>
    <cellStyle name="Normal 2 5 2 4 3 2 5" xfId="28739" xr:uid="{00000000-0005-0000-0000-000004470000}"/>
    <cellStyle name="Normal 2 5 2 4 3 3" xfId="4556" xr:uid="{00000000-0005-0000-0000-000005470000}"/>
    <cellStyle name="Normal 2 5 2 4 3 3 2" xfId="13394" xr:uid="{00000000-0005-0000-0000-000006470000}"/>
    <cellStyle name="Normal 2 5 2 4 3 3 2 2" xfId="23645" xr:uid="{00000000-0005-0000-0000-000007470000}"/>
    <cellStyle name="Normal 2 5 2 4 3 3 2 2 2" xfId="49198" xr:uid="{00000000-0005-0000-0000-000008470000}"/>
    <cellStyle name="Normal 2 5 2 4 3 3 2 3" xfId="38949" xr:uid="{00000000-0005-0000-0000-000009470000}"/>
    <cellStyle name="Normal 2 5 2 4 3 3 3" xfId="9815" xr:uid="{00000000-0005-0000-0000-00000A470000}"/>
    <cellStyle name="Normal 2 5 2 4 3 3 3 2" xfId="35372" xr:uid="{00000000-0005-0000-0000-00000B470000}"/>
    <cellStyle name="Normal 2 5 2 4 3 3 4" xfId="18638" xr:uid="{00000000-0005-0000-0000-00000C470000}"/>
    <cellStyle name="Normal 2 5 2 4 3 3 4 2" xfId="44191" xr:uid="{00000000-0005-0000-0000-00000D470000}"/>
    <cellStyle name="Normal 2 5 2 4 3 3 5" xfId="30128" xr:uid="{00000000-0005-0000-0000-00000E470000}"/>
    <cellStyle name="Normal 2 5 2 4 3 4" xfId="2004" xr:uid="{00000000-0005-0000-0000-00000F470000}"/>
    <cellStyle name="Normal 2 5 2 4 3 4 2" xfId="11369" xr:uid="{00000000-0005-0000-0000-000010470000}"/>
    <cellStyle name="Normal 2 5 2 4 3 4 2 2" xfId="36924" xr:uid="{00000000-0005-0000-0000-000011470000}"/>
    <cellStyle name="Normal 2 5 2 4 3 4 3" xfId="21373" xr:uid="{00000000-0005-0000-0000-000012470000}"/>
    <cellStyle name="Normal 2 5 2 4 3 4 3 2" xfId="46926" xr:uid="{00000000-0005-0000-0000-000013470000}"/>
    <cellStyle name="Normal 2 5 2 4 3 4 4" xfId="27856" xr:uid="{00000000-0005-0000-0000-000014470000}"/>
    <cellStyle name="Normal 2 5 2 4 3 5" xfId="6012" xr:uid="{00000000-0005-0000-0000-000015470000}"/>
    <cellStyle name="Normal 2 5 2 4 3 5 2" xfId="14839" xr:uid="{00000000-0005-0000-0000-000016470000}"/>
    <cellStyle name="Normal 2 5 2 4 3 5 2 2" xfId="40394" xr:uid="{00000000-0005-0000-0000-000017470000}"/>
    <cellStyle name="Normal 2 5 2 4 3 5 3" xfId="25090" xr:uid="{00000000-0005-0000-0000-000018470000}"/>
    <cellStyle name="Normal 2 5 2 4 3 5 3 2" xfId="50643" xr:uid="{00000000-0005-0000-0000-000019470000}"/>
    <cellStyle name="Normal 2 5 2 4 3 5 4" xfId="31573" xr:uid="{00000000-0005-0000-0000-00001A470000}"/>
    <cellStyle name="Normal 2 5 2 4 3 6" xfId="7456" xr:uid="{00000000-0005-0000-0000-00001B470000}"/>
    <cellStyle name="Normal 2 5 2 4 3 6 2" xfId="19855" xr:uid="{00000000-0005-0000-0000-00001C470000}"/>
    <cellStyle name="Normal 2 5 2 4 3 6 2 2" xfId="45408" xr:uid="{00000000-0005-0000-0000-00001D470000}"/>
    <cellStyle name="Normal 2 5 2 4 3 6 3" xfId="33013" xr:uid="{00000000-0005-0000-0000-00001E470000}"/>
    <cellStyle name="Normal 2 5 2 4 3 7" xfId="16366" xr:uid="{00000000-0005-0000-0000-00001F470000}"/>
    <cellStyle name="Normal 2 5 2 4 3 7 2" xfId="41919" xr:uid="{00000000-0005-0000-0000-000020470000}"/>
    <cellStyle name="Normal 2 5 2 4 3 8" xfId="26338" xr:uid="{00000000-0005-0000-0000-000021470000}"/>
    <cellStyle name="Normal 2 5 2 4 4" xfId="741" xr:uid="{00000000-0005-0000-0000-000022470000}"/>
    <cellStyle name="Normal 2 5 2 4 4 2" xfId="3227" xr:uid="{00000000-0005-0000-0000-000023470000}"/>
    <cellStyle name="Normal 2 5 2 4 4 2 2" xfId="12369" xr:uid="{00000000-0005-0000-0000-000024470000}"/>
    <cellStyle name="Normal 2 5 2 4 4 2 2 2" xfId="22588" xr:uid="{00000000-0005-0000-0000-000025470000}"/>
    <cellStyle name="Normal 2 5 2 4 4 2 2 2 2" xfId="48141" xr:uid="{00000000-0005-0000-0000-000026470000}"/>
    <cellStyle name="Normal 2 5 2 4 4 2 2 3" xfId="37924" xr:uid="{00000000-0005-0000-0000-000027470000}"/>
    <cellStyle name="Normal 2 5 2 4 4 2 3" xfId="8791" xr:uid="{00000000-0005-0000-0000-000028470000}"/>
    <cellStyle name="Normal 2 5 2 4 4 2 3 2" xfId="34348" xr:uid="{00000000-0005-0000-0000-000029470000}"/>
    <cellStyle name="Normal 2 5 2 4 4 2 4" xfId="17581" xr:uid="{00000000-0005-0000-0000-00002A470000}"/>
    <cellStyle name="Normal 2 5 2 4 4 2 4 2" xfId="43134" xr:uid="{00000000-0005-0000-0000-00002B470000}"/>
    <cellStyle name="Normal 2 5 2 4 4 2 5" xfId="29071" xr:uid="{00000000-0005-0000-0000-00002C470000}"/>
    <cellStyle name="Normal 2 5 2 4 4 3" xfId="4905" xr:uid="{00000000-0005-0000-0000-00002D470000}"/>
    <cellStyle name="Normal 2 5 2 4 4 3 2" xfId="13742" xr:uid="{00000000-0005-0000-0000-00002E470000}"/>
    <cellStyle name="Normal 2 5 2 4 4 3 2 2" xfId="23993" xr:uid="{00000000-0005-0000-0000-00002F470000}"/>
    <cellStyle name="Normal 2 5 2 4 4 3 2 2 2" xfId="49546" xr:uid="{00000000-0005-0000-0000-000030470000}"/>
    <cellStyle name="Normal 2 5 2 4 4 3 2 3" xfId="39297" xr:uid="{00000000-0005-0000-0000-000031470000}"/>
    <cellStyle name="Normal 2 5 2 4 4 3 3" xfId="10163" xr:uid="{00000000-0005-0000-0000-000032470000}"/>
    <cellStyle name="Normal 2 5 2 4 4 3 3 2" xfId="35720" xr:uid="{00000000-0005-0000-0000-000033470000}"/>
    <cellStyle name="Normal 2 5 2 4 4 3 4" xfId="18986" xr:uid="{00000000-0005-0000-0000-000034470000}"/>
    <cellStyle name="Normal 2 5 2 4 4 3 4 2" xfId="44539" xr:uid="{00000000-0005-0000-0000-000035470000}"/>
    <cellStyle name="Normal 2 5 2 4 4 3 5" xfId="30476" xr:uid="{00000000-0005-0000-0000-000036470000}"/>
    <cellStyle name="Normal 2 5 2 4 4 4" xfId="2336" xr:uid="{00000000-0005-0000-0000-000037470000}"/>
    <cellStyle name="Normal 2 5 2 4 4 4 2" xfId="11701" xr:uid="{00000000-0005-0000-0000-000038470000}"/>
    <cellStyle name="Normal 2 5 2 4 4 4 2 2" xfId="37256" xr:uid="{00000000-0005-0000-0000-000039470000}"/>
    <cellStyle name="Normal 2 5 2 4 4 4 3" xfId="21705" xr:uid="{00000000-0005-0000-0000-00003A470000}"/>
    <cellStyle name="Normal 2 5 2 4 4 4 3 2" xfId="47258" xr:uid="{00000000-0005-0000-0000-00003B470000}"/>
    <cellStyle name="Normal 2 5 2 4 4 4 4" xfId="28188" xr:uid="{00000000-0005-0000-0000-00003C470000}"/>
    <cellStyle name="Normal 2 5 2 4 4 5" xfId="6360" xr:uid="{00000000-0005-0000-0000-00003D470000}"/>
    <cellStyle name="Normal 2 5 2 4 4 5 2" xfId="15187" xr:uid="{00000000-0005-0000-0000-00003E470000}"/>
    <cellStyle name="Normal 2 5 2 4 4 5 2 2" xfId="40742" xr:uid="{00000000-0005-0000-0000-00003F470000}"/>
    <cellStyle name="Normal 2 5 2 4 4 5 3" xfId="25438" xr:uid="{00000000-0005-0000-0000-000040470000}"/>
    <cellStyle name="Normal 2 5 2 4 4 5 3 2" xfId="50991" xr:uid="{00000000-0005-0000-0000-000041470000}"/>
    <cellStyle name="Normal 2 5 2 4 4 5 4" xfId="31921" xr:uid="{00000000-0005-0000-0000-000042470000}"/>
    <cellStyle name="Normal 2 5 2 4 4 6" xfId="7806" xr:uid="{00000000-0005-0000-0000-000043470000}"/>
    <cellStyle name="Normal 2 5 2 4 4 6 2" xfId="20187" xr:uid="{00000000-0005-0000-0000-000044470000}"/>
    <cellStyle name="Normal 2 5 2 4 4 6 2 2" xfId="45740" xr:uid="{00000000-0005-0000-0000-000045470000}"/>
    <cellStyle name="Normal 2 5 2 4 4 6 3" xfId="33363" xr:uid="{00000000-0005-0000-0000-000046470000}"/>
    <cellStyle name="Normal 2 5 2 4 4 7" xfId="16698" xr:uid="{00000000-0005-0000-0000-000047470000}"/>
    <cellStyle name="Normal 2 5 2 4 4 7 2" xfId="42251" xr:uid="{00000000-0005-0000-0000-000048470000}"/>
    <cellStyle name="Normal 2 5 2 4 4 8" xfId="26670" xr:uid="{00000000-0005-0000-0000-000049470000}"/>
    <cellStyle name="Normal 2 5 2 4 5" xfId="1181" xr:uid="{00000000-0005-0000-0000-00004A470000}"/>
    <cellStyle name="Normal 2 5 2 4 5 2" xfId="3610" xr:uid="{00000000-0005-0000-0000-00004B470000}"/>
    <cellStyle name="Normal 2 5 2 4 5 2 2" xfId="12746" xr:uid="{00000000-0005-0000-0000-00004C470000}"/>
    <cellStyle name="Normal 2 5 2 4 5 2 2 2" xfId="22965" xr:uid="{00000000-0005-0000-0000-00004D470000}"/>
    <cellStyle name="Normal 2 5 2 4 5 2 2 2 2" xfId="48518" xr:uid="{00000000-0005-0000-0000-00004E470000}"/>
    <cellStyle name="Normal 2 5 2 4 5 2 2 3" xfId="38301" xr:uid="{00000000-0005-0000-0000-00004F470000}"/>
    <cellStyle name="Normal 2 5 2 4 5 2 3" xfId="9167" xr:uid="{00000000-0005-0000-0000-000050470000}"/>
    <cellStyle name="Normal 2 5 2 4 5 2 3 2" xfId="34724" xr:uid="{00000000-0005-0000-0000-000051470000}"/>
    <cellStyle name="Normal 2 5 2 4 5 2 4" xfId="17958" xr:uid="{00000000-0005-0000-0000-000052470000}"/>
    <cellStyle name="Normal 2 5 2 4 5 2 4 2" xfId="43511" xr:uid="{00000000-0005-0000-0000-000053470000}"/>
    <cellStyle name="Normal 2 5 2 4 5 2 5" xfId="29448" xr:uid="{00000000-0005-0000-0000-000054470000}"/>
    <cellStyle name="Normal 2 5 2 4 5 3" xfId="5273" xr:uid="{00000000-0005-0000-0000-000055470000}"/>
    <cellStyle name="Normal 2 5 2 4 5 3 2" xfId="14110" xr:uid="{00000000-0005-0000-0000-000056470000}"/>
    <cellStyle name="Normal 2 5 2 4 5 3 2 2" xfId="24361" xr:uid="{00000000-0005-0000-0000-000057470000}"/>
    <cellStyle name="Normal 2 5 2 4 5 3 2 2 2" xfId="49914" xr:uid="{00000000-0005-0000-0000-000058470000}"/>
    <cellStyle name="Normal 2 5 2 4 5 3 2 3" xfId="39665" xr:uid="{00000000-0005-0000-0000-000059470000}"/>
    <cellStyle name="Normal 2 5 2 4 5 3 3" xfId="10531" xr:uid="{00000000-0005-0000-0000-00005A470000}"/>
    <cellStyle name="Normal 2 5 2 4 5 3 3 2" xfId="36088" xr:uid="{00000000-0005-0000-0000-00005B470000}"/>
    <cellStyle name="Normal 2 5 2 4 5 3 4" xfId="19354" xr:uid="{00000000-0005-0000-0000-00005C470000}"/>
    <cellStyle name="Normal 2 5 2 4 5 3 4 2" xfId="44907" xr:uid="{00000000-0005-0000-0000-00005D470000}"/>
    <cellStyle name="Normal 2 5 2 4 5 3 5" xfId="30844" xr:uid="{00000000-0005-0000-0000-00005E470000}"/>
    <cellStyle name="Normal 2 5 2 4 5 4" xfId="1783" xr:uid="{00000000-0005-0000-0000-00005F470000}"/>
    <cellStyle name="Normal 2 5 2 4 5 4 2" xfId="11152" xr:uid="{00000000-0005-0000-0000-000060470000}"/>
    <cellStyle name="Normal 2 5 2 4 5 4 2 2" xfId="36707" xr:uid="{00000000-0005-0000-0000-000061470000}"/>
    <cellStyle name="Normal 2 5 2 4 5 4 3" xfId="21156" xr:uid="{00000000-0005-0000-0000-000062470000}"/>
    <cellStyle name="Normal 2 5 2 4 5 4 3 2" xfId="46709" xr:uid="{00000000-0005-0000-0000-000063470000}"/>
    <cellStyle name="Normal 2 5 2 4 5 4 4" xfId="27639" xr:uid="{00000000-0005-0000-0000-000064470000}"/>
    <cellStyle name="Normal 2 5 2 4 5 5" xfId="6728" xr:uid="{00000000-0005-0000-0000-000065470000}"/>
    <cellStyle name="Normal 2 5 2 4 5 5 2" xfId="15555" xr:uid="{00000000-0005-0000-0000-000066470000}"/>
    <cellStyle name="Normal 2 5 2 4 5 5 2 2" xfId="41110" xr:uid="{00000000-0005-0000-0000-000067470000}"/>
    <cellStyle name="Normal 2 5 2 4 5 5 3" xfId="25806" xr:uid="{00000000-0005-0000-0000-000068470000}"/>
    <cellStyle name="Normal 2 5 2 4 5 5 3 2" xfId="51359" xr:uid="{00000000-0005-0000-0000-000069470000}"/>
    <cellStyle name="Normal 2 5 2 4 5 5 4" xfId="32289" xr:uid="{00000000-0005-0000-0000-00006A470000}"/>
    <cellStyle name="Normal 2 5 2 4 5 6" xfId="8174" xr:uid="{00000000-0005-0000-0000-00006B470000}"/>
    <cellStyle name="Normal 2 5 2 4 5 6 2" xfId="20564" xr:uid="{00000000-0005-0000-0000-00006C470000}"/>
    <cellStyle name="Normal 2 5 2 4 5 6 2 2" xfId="46117" xr:uid="{00000000-0005-0000-0000-00006D470000}"/>
    <cellStyle name="Normal 2 5 2 4 5 6 3" xfId="33731" xr:uid="{00000000-0005-0000-0000-00006E470000}"/>
    <cellStyle name="Normal 2 5 2 4 5 7" xfId="16149" xr:uid="{00000000-0005-0000-0000-00006F470000}"/>
    <cellStyle name="Normal 2 5 2 4 5 7 2" xfId="41702" xr:uid="{00000000-0005-0000-0000-000070470000}"/>
    <cellStyle name="Normal 2 5 2 4 5 8" xfId="27047" xr:uid="{00000000-0005-0000-0000-000071470000}"/>
    <cellStyle name="Normal 2 5 2 4 6" xfId="2678" xr:uid="{00000000-0005-0000-0000-000072470000}"/>
    <cellStyle name="Normal 2 5 2 4 6 2" xfId="11995" xr:uid="{00000000-0005-0000-0000-000073470000}"/>
    <cellStyle name="Normal 2 5 2 4 6 2 2" xfId="22039" xr:uid="{00000000-0005-0000-0000-000074470000}"/>
    <cellStyle name="Normal 2 5 2 4 6 2 2 2" xfId="47592" xr:uid="{00000000-0005-0000-0000-000075470000}"/>
    <cellStyle name="Normal 2 5 2 4 6 2 3" xfId="37550" xr:uid="{00000000-0005-0000-0000-000076470000}"/>
    <cellStyle name="Normal 2 5 2 4 6 3" xfId="8617" xr:uid="{00000000-0005-0000-0000-000077470000}"/>
    <cellStyle name="Normal 2 5 2 4 6 3 2" xfId="34174" xr:uid="{00000000-0005-0000-0000-000078470000}"/>
    <cellStyle name="Normal 2 5 2 4 6 4" xfId="17032" xr:uid="{00000000-0005-0000-0000-000079470000}"/>
    <cellStyle name="Normal 2 5 2 4 6 4 2" xfId="42585" xr:uid="{00000000-0005-0000-0000-00007A470000}"/>
    <cellStyle name="Normal 2 5 2 4 6 5" xfId="28522" xr:uid="{00000000-0005-0000-0000-00007B470000}"/>
    <cellStyle name="Normal 2 5 2 4 7" xfId="4229" xr:uid="{00000000-0005-0000-0000-00007C470000}"/>
    <cellStyle name="Normal 2 5 2 4 7 2" xfId="13067" xr:uid="{00000000-0005-0000-0000-00007D470000}"/>
    <cellStyle name="Normal 2 5 2 4 7 2 2" xfId="23318" xr:uid="{00000000-0005-0000-0000-00007E470000}"/>
    <cellStyle name="Normal 2 5 2 4 7 2 2 2" xfId="48871" xr:uid="{00000000-0005-0000-0000-00007F470000}"/>
    <cellStyle name="Normal 2 5 2 4 7 2 3" xfId="38622" xr:uid="{00000000-0005-0000-0000-000080470000}"/>
    <cellStyle name="Normal 2 5 2 4 7 3" xfId="9488" xr:uid="{00000000-0005-0000-0000-000081470000}"/>
    <cellStyle name="Normal 2 5 2 4 7 3 2" xfId="35045" xr:uid="{00000000-0005-0000-0000-000082470000}"/>
    <cellStyle name="Normal 2 5 2 4 7 4" xfId="18311" xr:uid="{00000000-0005-0000-0000-000083470000}"/>
    <cellStyle name="Normal 2 5 2 4 7 4 2" xfId="43864" xr:uid="{00000000-0005-0000-0000-000084470000}"/>
    <cellStyle name="Normal 2 5 2 4 7 5" xfId="29801" xr:uid="{00000000-0005-0000-0000-000085470000}"/>
    <cellStyle name="Normal 2 5 2 4 8" xfId="1501" xr:uid="{00000000-0005-0000-0000-000086470000}"/>
    <cellStyle name="Normal 2 5 2 4 8 2" xfId="10878" xr:uid="{00000000-0005-0000-0000-000087470000}"/>
    <cellStyle name="Normal 2 5 2 4 8 2 2" xfId="36433" xr:uid="{00000000-0005-0000-0000-000088470000}"/>
    <cellStyle name="Normal 2 5 2 4 8 3" xfId="20882" xr:uid="{00000000-0005-0000-0000-000089470000}"/>
    <cellStyle name="Normal 2 5 2 4 8 3 2" xfId="46435" xr:uid="{00000000-0005-0000-0000-00008A470000}"/>
    <cellStyle name="Normal 2 5 2 4 8 4" xfId="27365" xr:uid="{00000000-0005-0000-0000-00008B470000}"/>
    <cellStyle name="Normal 2 5 2 4 9" xfId="5685" xr:uid="{00000000-0005-0000-0000-00008C470000}"/>
    <cellStyle name="Normal 2 5 2 4 9 2" xfId="14512" xr:uid="{00000000-0005-0000-0000-00008D470000}"/>
    <cellStyle name="Normal 2 5 2 4 9 2 2" xfId="40067" xr:uid="{00000000-0005-0000-0000-00008E470000}"/>
    <cellStyle name="Normal 2 5 2 4 9 3" xfId="24763" xr:uid="{00000000-0005-0000-0000-00008F470000}"/>
    <cellStyle name="Normal 2 5 2 4 9 3 2" xfId="50316" xr:uid="{00000000-0005-0000-0000-000090470000}"/>
    <cellStyle name="Normal 2 5 2 4 9 4" xfId="31246" xr:uid="{00000000-0005-0000-0000-000091470000}"/>
    <cellStyle name="Normal 2 5 2 4_Degree data" xfId="3839" xr:uid="{00000000-0005-0000-0000-000092470000}"/>
    <cellStyle name="Normal 2 5 2 5" xfId="240" xr:uid="{00000000-0005-0000-0000-000093470000}"/>
    <cellStyle name="Normal 2 5 2 5 10" xfId="7078" xr:uid="{00000000-0005-0000-0000-000094470000}"/>
    <cellStyle name="Normal 2 5 2 5 10 2" xfId="19692" xr:uid="{00000000-0005-0000-0000-000095470000}"/>
    <cellStyle name="Normal 2 5 2 5 10 2 2" xfId="45245" xr:uid="{00000000-0005-0000-0000-000096470000}"/>
    <cellStyle name="Normal 2 5 2 5 10 3" xfId="32635" xr:uid="{00000000-0005-0000-0000-000097470000}"/>
    <cellStyle name="Normal 2 5 2 5 11" xfId="15824" xr:uid="{00000000-0005-0000-0000-000098470000}"/>
    <cellStyle name="Normal 2 5 2 5 11 2" xfId="41377" xr:uid="{00000000-0005-0000-0000-000099470000}"/>
    <cellStyle name="Normal 2 5 2 5 12" xfId="26175" xr:uid="{00000000-0005-0000-0000-00009A470000}"/>
    <cellStyle name="Normal 2 5 2 5 2" xfId="563" xr:uid="{00000000-0005-0000-0000-00009B470000}"/>
    <cellStyle name="Normal 2 5 2 5 2 10" xfId="26492" xr:uid="{00000000-0005-0000-0000-00009C470000}"/>
    <cellStyle name="Normal 2 5 2 5 2 2" xfId="744" xr:uid="{00000000-0005-0000-0000-00009D470000}"/>
    <cellStyle name="Normal 2 5 2 5 2 2 2" xfId="3230" xr:uid="{00000000-0005-0000-0000-00009E470000}"/>
    <cellStyle name="Normal 2 5 2 5 2 2 2 2" xfId="12372" xr:uid="{00000000-0005-0000-0000-00009F470000}"/>
    <cellStyle name="Normal 2 5 2 5 2 2 2 2 2" xfId="22591" xr:uid="{00000000-0005-0000-0000-0000A0470000}"/>
    <cellStyle name="Normal 2 5 2 5 2 2 2 2 2 2" xfId="48144" xr:uid="{00000000-0005-0000-0000-0000A1470000}"/>
    <cellStyle name="Normal 2 5 2 5 2 2 2 2 3" xfId="37927" xr:uid="{00000000-0005-0000-0000-0000A2470000}"/>
    <cellStyle name="Normal 2 5 2 5 2 2 2 3" xfId="8794" xr:uid="{00000000-0005-0000-0000-0000A3470000}"/>
    <cellStyle name="Normal 2 5 2 5 2 2 2 3 2" xfId="34351" xr:uid="{00000000-0005-0000-0000-0000A4470000}"/>
    <cellStyle name="Normal 2 5 2 5 2 2 2 4" xfId="17584" xr:uid="{00000000-0005-0000-0000-0000A5470000}"/>
    <cellStyle name="Normal 2 5 2 5 2 2 2 4 2" xfId="43137" xr:uid="{00000000-0005-0000-0000-0000A6470000}"/>
    <cellStyle name="Normal 2 5 2 5 2 2 2 5" xfId="29074" xr:uid="{00000000-0005-0000-0000-0000A7470000}"/>
    <cellStyle name="Normal 2 5 2 5 2 2 3" xfId="4559" xr:uid="{00000000-0005-0000-0000-0000A8470000}"/>
    <cellStyle name="Normal 2 5 2 5 2 2 3 2" xfId="13397" xr:uid="{00000000-0005-0000-0000-0000A9470000}"/>
    <cellStyle name="Normal 2 5 2 5 2 2 3 2 2" xfId="23648" xr:uid="{00000000-0005-0000-0000-0000AA470000}"/>
    <cellStyle name="Normal 2 5 2 5 2 2 3 2 2 2" xfId="49201" xr:uid="{00000000-0005-0000-0000-0000AB470000}"/>
    <cellStyle name="Normal 2 5 2 5 2 2 3 2 3" xfId="38952" xr:uid="{00000000-0005-0000-0000-0000AC470000}"/>
    <cellStyle name="Normal 2 5 2 5 2 2 3 3" xfId="9818" xr:uid="{00000000-0005-0000-0000-0000AD470000}"/>
    <cellStyle name="Normal 2 5 2 5 2 2 3 3 2" xfId="35375" xr:uid="{00000000-0005-0000-0000-0000AE470000}"/>
    <cellStyle name="Normal 2 5 2 5 2 2 3 4" xfId="18641" xr:uid="{00000000-0005-0000-0000-0000AF470000}"/>
    <cellStyle name="Normal 2 5 2 5 2 2 3 4 2" xfId="44194" xr:uid="{00000000-0005-0000-0000-0000B0470000}"/>
    <cellStyle name="Normal 2 5 2 5 2 2 3 5" xfId="30131" xr:uid="{00000000-0005-0000-0000-0000B1470000}"/>
    <cellStyle name="Normal 2 5 2 5 2 2 4" xfId="2339" xr:uid="{00000000-0005-0000-0000-0000B2470000}"/>
    <cellStyle name="Normal 2 5 2 5 2 2 4 2" xfId="11704" xr:uid="{00000000-0005-0000-0000-0000B3470000}"/>
    <cellStyle name="Normal 2 5 2 5 2 2 4 2 2" xfId="37259" xr:uid="{00000000-0005-0000-0000-0000B4470000}"/>
    <cellStyle name="Normal 2 5 2 5 2 2 4 3" xfId="21708" xr:uid="{00000000-0005-0000-0000-0000B5470000}"/>
    <cellStyle name="Normal 2 5 2 5 2 2 4 3 2" xfId="47261" xr:uid="{00000000-0005-0000-0000-0000B6470000}"/>
    <cellStyle name="Normal 2 5 2 5 2 2 4 4" xfId="28191" xr:uid="{00000000-0005-0000-0000-0000B7470000}"/>
    <cellStyle name="Normal 2 5 2 5 2 2 5" xfId="6015" xr:uid="{00000000-0005-0000-0000-0000B8470000}"/>
    <cellStyle name="Normal 2 5 2 5 2 2 5 2" xfId="14842" xr:uid="{00000000-0005-0000-0000-0000B9470000}"/>
    <cellStyle name="Normal 2 5 2 5 2 2 5 2 2" xfId="40397" xr:uid="{00000000-0005-0000-0000-0000BA470000}"/>
    <cellStyle name="Normal 2 5 2 5 2 2 5 3" xfId="25093" xr:uid="{00000000-0005-0000-0000-0000BB470000}"/>
    <cellStyle name="Normal 2 5 2 5 2 2 5 3 2" xfId="50646" xr:uid="{00000000-0005-0000-0000-0000BC470000}"/>
    <cellStyle name="Normal 2 5 2 5 2 2 5 4" xfId="31576" xr:uid="{00000000-0005-0000-0000-0000BD470000}"/>
    <cellStyle name="Normal 2 5 2 5 2 2 6" xfId="7459" xr:uid="{00000000-0005-0000-0000-0000BE470000}"/>
    <cellStyle name="Normal 2 5 2 5 2 2 6 2" xfId="20190" xr:uid="{00000000-0005-0000-0000-0000BF470000}"/>
    <cellStyle name="Normal 2 5 2 5 2 2 6 2 2" xfId="45743" xr:uid="{00000000-0005-0000-0000-0000C0470000}"/>
    <cellStyle name="Normal 2 5 2 5 2 2 6 3" xfId="33016" xr:uid="{00000000-0005-0000-0000-0000C1470000}"/>
    <cellStyle name="Normal 2 5 2 5 2 2 7" xfId="16701" xr:uid="{00000000-0005-0000-0000-0000C2470000}"/>
    <cellStyle name="Normal 2 5 2 5 2 2 7 2" xfId="42254" xr:uid="{00000000-0005-0000-0000-0000C3470000}"/>
    <cellStyle name="Normal 2 5 2 5 2 2 8" xfId="26673" xr:uid="{00000000-0005-0000-0000-0000C4470000}"/>
    <cellStyle name="Normal 2 5 2 5 2 3" xfId="1335" xr:uid="{00000000-0005-0000-0000-0000C5470000}"/>
    <cellStyle name="Normal 2 5 2 5 2 3 2" xfId="3764" xr:uid="{00000000-0005-0000-0000-0000C6470000}"/>
    <cellStyle name="Normal 2 5 2 5 2 3 2 2" xfId="12900" xr:uid="{00000000-0005-0000-0000-0000C7470000}"/>
    <cellStyle name="Normal 2 5 2 5 2 3 2 2 2" xfId="23119" xr:uid="{00000000-0005-0000-0000-0000C8470000}"/>
    <cellStyle name="Normal 2 5 2 5 2 3 2 2 2 2" xfId="48672" xr:uid="{00000000-0005-0000-0000-0000C9470000}"/>
    <cellStyle name="Normal 2 5 2 5 2 3 2 2 3" xfId="38455" xr:uid="{00000000-0005-0000-0000-0000CA470000}"/>
    <cellStyle name="Normal 2 5 2 5 2 3 2 3" xfId="9321" xr:uid="{00000000-0005-0000-0000-0000CB470000}"/>
    <cellStyle name="Normal 2 5 2 5 2 3 2 3 2" xfId="34878" xr:uid="{00000000-0005-0000-0000-0000CC470000}"/>
    <cellStyle name="Normal 2 5 2 5 2 3 2 4" xfId="18112" xr:uid="{00000000-0005-0000-0000-0000CD470000}"/>
    <cellStyle name="Normal 2 5 2 5 2 3 2 4 2" xfId="43665" xr:uid="{00000000-0005-0000-0000-0000CE470000}"/>
    <cellStyle name="Normal 2 5 2 5 2 3 2 5" xfId="29602" xr:uid="{00000000-0005-0000-0000-0000CF470000}"/>
    <cellStyle name="Normal 2 5 2 5 2 3 3" xfId="4908" xr:uid="{00000000-0005-0000-0000-0000D0470000}"/>
    <cellStyle name="Normal 2 5 2 5 2 3 3 2" xfId="13745" xr:uid="{00000000-0005-0000-0000-0000D1470000}"/>
    <cellStyle name="Normal 2 5 2 5 2 3 3 2 2" xfId="23996" xr:uid="{00000000-0005-0000-0000-0000D2470000}"/>
    <cellStyle name="Normal 2 5 2 5 2 3 3 2 2 2" xfId="49549" xr:uid="{00000000-0005-0000-0000-0000D3470000}"/>
    <cellStyle name="Normal 2 5 2 5 2 3 3 2 3" xfId="39300" xr:uid="{00000000-0005-0000-0000-0000D4470000}"/>
    <cellStyle name="Normal 2 5 2 5 2 3 3 3" xfId="10166" xr:uid="{00000000-0005-0000-0000-0000D5470000}"/>
    <cellStyle name="Normal 2 5 2 5 2 3 3 3 2" xfId="35723" xr:uid="{00000000-0005-0000-0000-0000D6470000}"/>
    <cellStyle name="Normal 2 5 2 5 2 3 3 4" xfId="18989" xr:uid="{00000000-0005-0000-0000-0000D7470000}"/>
    <cellStyle name="Normal 2 5 2 5 2 3 3 4 2" xfId="44542" xr:uid="{00000000-0005-0000-0000-0000D8470000}"/>
    <cellStyle name="Normal 2 5 2 5 2 3 3 5" xfId="30479" xr:uid="{00000000-0005-0000-0000-0000D9470000}"/>
    <cellStyle name="Normal 2 5 2 5 2 3 4" xfId="2158" xr:uid="{00000000-0005-0000-0000-0000DA470000}"/>
    <cellStyle name="Normal 2 5 2 5 2 3 4 2" xfId="11523" xr:uid="{00000000-0005-0000-0000-0000DB470000}"/>
    <cellStyle name="Normal 2 5 2 5 2 3 4 2 2" xfId="37078" xr:uid="{00000000-0005-0000-0000-0000DC470000}"/>
    <cellStyle name="Normal 2 5 2 5 2 3 4 3" xfId="21527" xr:uid="{00000000-0005-0000-0000-0000DD470000}"/>
    <cellStyle name="Normal 2 5 2 5 2 3 4 3 2" xfId="47080" xr:uid="{00000000-0005-0000-0000-0000DE470000}"/>
    <cellStyle name="Normal 2 5 2 5 2 3 4 4" xfId="28010" xr:uid="{00000000-0005-0000-0000-0000DF470000}"/>
    <cellStyle name="Normal 2 5 2 5 2 3 5" xfId="6363" xr:uid="{00000000-0005-0000-0000-0000E0470000}"/>
    <cellStyle name="Normal 2 5 2 5 2 3 5 2" xfId="15190" xr:uid="{00000000-0005-0000-0000-0000E1470000}"/>
    <cellStyle name="Normal 2 5 2 5 2 3 5 2 2" xfId="40745" xr:uid="{00000000-0005-0000-0000-0000E2470000}"/>
    <cellStyle name="Normal 2 5 2 5 2 3 5 3" xfId="25441" xr:uid="{00000000-0005-0000-0000-0000E3470000}"/>
    <cellStyle name="Normal 2 5 2 5 2 3 5 3 2" xfId="50994" xr:uid="{00000000-0005-0000-0000-0000E4470000}"/>
    <cellStyle name="Normal 2 5 2 5 2 3 5 4" xfId="31924" xr:uid="{00000000-0005-0000-0000-0000E5470000}"/>
    <cellStyle name="Normal 2 5 2 5 2 3 6" xfId="7809" xr:uid="{00000000-0005-0000-0000-0000E6470000}"/>
    <cellStyle name="Normal 2 5 2 5 2 3 6 2" xfId="20718" xr:uid="{00000000-0005-0000-0000-0000E7470000}"/>
    <cellStyle name="Normal 2 5 2 5 2 3 6 2 2" xfId="46271" xr:uid="{00000000-0005-0000-0000-0000E8470000}"/>
    <cellStyle name="Normal 2 5 2 5 2 3 6 3" xfId="33366" xr:uid="{00000000-0005-0000-0000-0000E9470000}"/>
    <cellStyle name="Normal 2 5 2 5 2 3 7" xfId="16520" xr:uid="{00000000-0005-0000-0000-0000EA470000}"/>
    <cellStyle name="Normal 2 5 2 5 2 3 7 2" xfId="42073" xr:uid="{00000000-0005-0000-0000-0000EB470000}"/>
    <cellStyle name="Normal 2 5 2 5 2 3 8" xfId="27201" xr:uid="{00000000-0005-0000-0000-0000EC470000}"/>
    <cellStyle name="Normal 2 5 2 5 2 4" xfId="3049" xr:uid="{00000000-0005-0000-0000-0000ED470000}"/>
    <cellStyle name="Normal 2 5 2 5 2 4 2" xfId="5427" xr:uid="{00000000-0005-0000-0000-0000EE470000}"/>
    <cellStyle name="Normal 2 5 2 5 2 4 2 2" xfId="14264" xr:uid="{00000000-0005-0000-0000-0000EF470000}"/>
    <cellStyle name="Normal 2 5 2 5 2 4 2 2 2" xfId="24515" xr:uid="{00000000-0005-0000-0000-0000F0470000}"/>
    <cellStyle name="Normal 2 5 2 5 2 4 2 2 2 2" xfId="50068" xr:uid="{00000000-0005-0000-0000-0000F1470000}"/>
    <cellStyle name="Normal 2 5 2 5 2 4 2 2 3" xfId="39819" xr:uid="{00000000-0005-0000-0000-0000F2470000}"/>
    <cellStyle name="Normal 2 5 2 5 2 4 2 3" xfId="10685" xr:uid="{00000000-0005-0000-0000-0000F3470000}"/>
    <cellStyle name="Normal 2 5 2 5 2 4 2 3 2" xfId="36242" xr:uid="{00000000-0005-0000-0000-0000F4470000}"/>
    <cellStyle name="Normal 2 5 2 5 2 4 2 4" xfId="19508" xr:uid="{00000000-0005-0000-0000-0000F5470000}"/>
    <cellStyle name="Normal 2 5 2 5 2 4 2 4 2" xfId="45061" xr:uid="{00000000-0005-0000-0000-0000F6470000}"/>
    <cellStyle name="Normal 2 5 2 5 2 4 2 5" xfId="30998" xr:uid="{00000000-0005-0000-0000-0000F7470000}"/>
    <cellStyle name="Normal 2 5 2 5 2 4 3" xfId="6882" xr:uid="{00000000-0005-0000-0000-0000F8470000}"/>
    <cellStyle name="Normal 2 5 2 5 2 4 3 2" xfId="15709" xr:uid="{00000000-0005-0000-0000-0000F9470000}"/>
    <cellStyle name="Normal 2 5 2 5 2 4 3 2 2" xfId="41264" xr:uid="{00000000-0005-0000-0000-0000FA470000}"/>
    <cellStyle name="Normal 2 5 2 5 2 4 3 3" xfId="25960" xr:uid="{00000000-0005-0000-0000-0000FB470000}"/>
    <cellStyle name="Normal 2 5 2 5 2 4 3 3 2" xfId="51513" xr:uid="{00000000-0005-0000-0000-0000FC470000}"/>
    <cellStyle name="Normal 2 5 2 5 2 4 3 4" xfId="32443" xr:uid="{00000000-0005-0000-0000-0000FD470000}"/>
    <cellStyle name="Normal 2 5 2 5 2 4 4" xfId="8328" xr:uid="{00000000-0005-0000-0000-0000FE470000}"/>
    <cellStyle name="Normal 2 5 2 5 2 4 4 2" xfId="22410" xr:uid="{00000000-0005-0000-0000-0000FF470000}"/>
    <cellStyle name="Normal 2 5 2 5 2 4 4 2 2" xfId="47963" xr:uid="{00000000-0005-0000-0000-000000480000}"/>
    <cellStyle name="Normal 2 5 2 5 2 4 4 3" xfId="33885" xr:uid="{00000000-0005-0000-0000-000001480000}"/>
    <cellStyle name="Normal 2 5 2 5 2 4 5" xfId="17403" xr:uid="{00000000-0005-0000-0000-000002480000}"/>
    <cellStyle name="Normal 2 5 2 5 2 4 5 2" xfId="42956" xr:uid="{00000000-0005-0000-0000-000003480000}"/>
    <cellStyle name="Normal 2 5 2 5 2 4 6" xfId="28893" xr:uid="{00000000-0005-0000-0000-000004480000}"/>
    <cellStyle name="Normal 2 5 2 5 2 5" xfId="4383" xr:uid="{00000000-0005-0000-0000-000005480000}"/>
    <cellStyle name="Normal 2 5 2 5 2 5 2" xfId="13221" xr:uid="{00000000-0005-0000-0000-000006480000}"/>
    <cellStyle name="Normal 2 5 2 5 2 5 2 2" xfId="23472" xr:uid="{00000000-0005-0000-0000-000007480000}"/>
    <cellStyle name="Normal 2 5 2 5 2 5 2 2 2" xfId="49025" xr:uid="{00000000-0005-0000-0000-000008480000}"/>
    <cellStyle name="Normal 2 5 2 5 2 5 2 3" xfId="38776" xr:uid="{00000000-0005-0000-0000-000009480000}"/>
    <cellStyle name="Normal 2 5 2 5 2 5 3" xfId="9642" xr:uid="{00000000-0005-0000-0000-00000A480000}"/>
    <cellStyle name="Normal 2 5 2 5 2 5 3 2" xfId="35199" xr:uid="{00000000-0005-0000-0000-00000B480000}"/>
    <cellStyle name="Normal 2 5 2 5 2 5 4" xfId="18465" xr:uid="{00000000-0005-0000-0000-00000C480000}"/>
    <cellStyle name="Normal 2 5 2 5 2 5 4 2" xfId="44018" xr:uid="{00000000-0005-0000-0000-00000D480000}"/>
    <cellStyle name="Normal 2 5 2 5 2 5 5" xfId="29955" xr:uid="{00000000-0005-0000-0000-00000E480000}"/>
    <cellStyle name="Normal 2 5 2 5 2 6" xfId="1655" xr:uid="{00000000-0005-0000-0000-00000F480000}"/>
    <cellStyle name="Normal 2 5 2 5 2 6 2" xfId="11032" xr:uid="{00000000-0005-0000-0000-000010480000}"/>
    <cellStyle name="Normal 2 5 2 5 2 6 2 2" xfId="36587" xr:uid="{00000000-0005-0000-0000-000011480000}"/>
    <cellStyle name="Normal 2 5 2 5 2 6 3" xfId="21036" xr:uid="{00000000-0005-0000-0000-000012480000}"/>
    <cellStyle name="Normal 2 5 2 5 2 6 3 2" xfId="46589" xr:uid="{00000000-0005-0000-0000-000013480000}"/>
    <cellStyle name="Normal 2 5 2 5 2 6 4" xfId="27519" xr:uid="{00000000-0005-0000-0000-000014480000}"/>
    <cellStyle name="Normal 2 5 2 5 2 7" xfId="5839" xr:uid="{00000000-0005-0000-0000-000015480000}"/>
    <cellStyle name="Normal 2 5 2 5 2 7 2" xfId="14666" xr:uid="{00000000-0005-0000-0000-000016480000}"/>
    <cellStyle name="Normal 2 5 2 5 2 7 2 2" xfId="40221" xr:uid="{00000000-0005-0000-0000-000017480000}"/>
    <cellStyle name="Normal 2 5 2 5 2 7 3" xfId="24917" xr:uid="{00000000-0005-0000-0000-000018480000}"/>
    <cellStyle name="Normal 2 5 2 5 2 7 3 2" xfId="50470" xr:uid="{00000000-0005-0000-0000-000019480000}"/>
    <cellStyle name="Normal 2 5 2 5 2 7 4" xfId="31400" xr:uid="{00000000-0005-0000-0000-00001A480000}"/>
    <cellStyle name="Normal 2 5 2 5 2 8" xfId="7283" xr:uid="{00000000-0005-0000-0000-00001B480000}"/>
    <cellStyle name="Normal 2 5 2 5 2 8 2" xfId="20009" xr:uid="{00000000-0005-0000-0000-00001C480000}"/>
    <cellStyle name="Normal 2 5 2 5 2 8 2 2" xfId="45562" xr:uid="{00000000-0005-0000-0000-00001D480000}"/>
    <cellStyle name="Normal 2 5 2 5 2 8 3" xfId="32840" xr:uid="{00000000-0005-0000-0000-00001E480000}"/>
    <cellStyle name="Normal 2 5 2 5 2 9" xfId="16029" xr:uid="{00000000-0005-0000-0000-00001F480000}"/>
    <cellStyle name="Normal 2 5 2 5 2 9 2" xfId="41582" xr:uid="{00000000-0005-0000-0000-000020480000}"/>
    <cellStyle name="Normal 2 5 2 5 2_Degree data" xfId="3814" xr:uid="{00000000-0005-0000-0000-000021480000}"/>
    <cellStyle name="Normal 2 5 2 5 3" xfId="358" xr:uid="{00000000-0005-0000-0000-000022480000}"/>
    <cellStyle name="Normal 2 5 2 5 3 2" xfId="2844" xr:uid="{00000000-0005-0000-0000-000023480000}"/>
    <cellStyle name="Normal 2 5 2 5 3 2 2" xfId="12132" xr:uid="{00000000-0005-0000-0000-000024480000}"/>
    <cellStyle name="Normal 2 5 2 5 3 2 2 2" xfId="22205" xr:uid="{00000000-0005-0000-0000-000025480000}"/>
    <cellStyle name="Normal 2 5 2 5 3 2 2 2 2" xfId="47758" xr:uid="{00000000-0005-0000-0000-000026480000}"/>
    <cellStyle name="Normal 2 5 2 5 3 2 2 3" xfId="37687" xr:uid="{00000000-0005-0000-0000-000027480000}"/>
    <cellStyle name="Normal 2 5 2 5 3 2 3" xfId="8382" xr:uid="{00000000-0005-0000-0000-000028480000}"/>
    <cellStyle name="Normal 2 5 2 5 3 2 3 2" xfId="33939" xr:uid="{00000000-0005-0000-0000-000029480000}"/>
    <cellStyle name="Normal 2 5 2 5 3 2 4" xfId="17198" xr:uid="{00000000-0005-0000-0000-00002A480000}"/>
    <cellStyle name="Normal 2 5 2 5 3 2 4 2" xfId="42751" xr:uid="{00000000-0005-0000-0000-00002B480000}"/>
    <cellStyle name="Normal 2 5 2 5 3 2 5" xfId="28688" xr:uid="{00000000-0005-0000-0000-00002C480000}"/>
    <cellStyle name="Normal 2 5 2 5 3 3" xfId="4558" xr:uid="{00000000-0005-0000-0000-00002D480000}"/>
    <cellStyle name="Normal 2 5 2 5 3 3 2" xfId="13396" xr:uid="{00000000-0005-0000-0000-00002E480000}"/>
    <cellStyle name="Normal 2 5 2 5 3 3 2 2" xfId="23647" xr:uid="{00000000-0005-0000-0000-00002F480000}"/>
    <cellStyle name="Normal 2 5 2 5 3 3 2 2 2" xfId="49200" xr:uid="{00000000-0005-0000-0000-000030480000}"/>
    <cellStyle name="Normal 2 5 2 5 3 3 2 3" xfId="38951" xr:uid="{00000000-0005-0000-0000-000031480000}"/>
    <cellStyle name="Normal 2 5 2 5 3 3 3" xfId="9817" xr:uid="{00000000-0005-0000-0000-000032480000}"/>
    <cellStyle name="Normal 2 5 2 5 3 3 3 2" xfId="35374" xr:uid="{00000000-0005-0000-0000-000033480000}"/>
    <cellStyle name="Normal 2 5 2 5 3 3 4" xfId="18640" xr:uid="{00000000-0005-0000-0000-000034480000}"/>
    <cellStyle name="Normal 2 5 2 5 3 3 4 2" xfId="44193" xr:uid="{00000000-0005-0000-0000-000035480000}"/>
    <cellStyle name="Normal 2 5 2 5 3 3 5" xfId="30130" xr:uid="{00000000-0005-0000-0000-000036480000}"/>
    <cellStyle name="Normal 2 5 2 5 3 4" xfId="1953" xr:uid="{00000000-0005-0000-0000-000037480000}"/>
    <cellStyle name="Normal 2 5 2 5 3 4 2" xfId="11318" xr:uid="{00000000-0005-0000-0000-000038480000}"/>
    <cellStyle name="Normal 2 5 2 5 3 4 2 2" xfId="36873" xr:uid="{00000000-0005-0000-0000-000039480000}"/>
    <cellStyle name="Normal 2 5 2 5 3 4 3" xfId="21322" xr:uid="{00000000-0005-0000-0000-00003A480000}"/>
    <cellStyle name="Normal 2 5 2 5 3 4 3 2" xfId="46875" xr:uid="{00000000-0005-0000-0000-00003B480000}"/>
    <cellStyle name="Normal 2 5 2 5 3 4 4" xfId="27805" xr:uid="{00000000-0005-0000-0000-00003C480000}"/>
    <cellStyle name="Normal 2 5 2 5 3 5" xfId="6014" xr:uid="{00000000-0005-0000-0000-00003D480000}"/>
    <cellStyle name="Normal 2 5 2 5 3 5 2" xfId="14841" xr:uid="{00000000-0005-0000-0000-00003E480000}"/>
    <cellStyle name="Normal 2 5 2 5 3 5 2 2" xfId="40396" xr:uid="{00000000-0005-0000-0000-00003F480000}"/>
    <cellStyle name="Normal 2 5 2 5 3 5 3" xfId="25092" xr:uid="{00000000-0005-0000-0000-000040480000}"/>
    <cellStyle name="Normal 2 5 2 5 3 5 3 2" xfId="50645" xr:uid="{00000000-0005-0000-0000-000041480000}"/>
    <cellStyle name="Normal 2 5 2 5 3 5 4" xfId="31575" xr:uid="{00000000-0005-0000-0000-000042480000}"/>
    <cellStyle name="Normal 2 5 2 5 3 6" xfId="7458" xr:uid="{00000000-0005-0000-0000-000043480000}"/>
    <cellStyle name="Normal 2 5 2 5 3 6 2" xfId="19804" xr:uid="{00000000-0005-0000-0000-000044480000}"/>
    <cellStyle name="Normal 2 5 2 5 3 6 2 2" xfId="45357" xr:uid="{00000000-0005-0000-0000-000045480000}"/>
    <cellStyle name="Normal 2 5 2 5 3 6 3" xfId="33015" xr:uid="{00000000-0005-0000-0000-000046480000}"/>
    <cellStyle name="Normal 2 5 2 5 3 7" xfId="16315" xr:uid="{00000000-0005-0000-0000-000047480000}"/>
    <cellStyle name="Normal 2 5 2 5 3 7 2" xfId="41868" xr:uid="{00000000-0005-0000-0000-000048480000}"/>
    <cellStyle name="Normal 2 5 2 5 3 8" xfId="26287" xr:uid="{00000000-0005-0000-0000-000049480000}"/>
    <cellStyle name="Normal 2 5 2 5 4" xfId="743" xr:uid="{00000000-0005-0000-0000-00004A480000}"/>
    <cellStyle name="Normal 2 5 2 5 4 2" xfId="3229" xr:uid="{00000000-0005-0000-0000-00004B480000}"/>
    <cellStyle name="Normal 2 5 2 5 4 2 2" xfId="12371" xr:uid="{00000000-0005-0000-0000-00004C480000}"/>
    <cellStyle name="Normal 2 5 2 5 4 2 2 2" xfId="22590" xr:uid="{00000000-0005-0000-0000-00004D480000}"/>
    <cellStyle name="Normal 2 5 2 5 4 2 2 2 2" xfId="48143" xr:uid="{00000000-0005-0000-0000-00004E480000}"/>
    <cellStyle name="Normal 2 5 2 5 4 2 2 3" xfId="37926" xr:uid="{00000000-0005-0000-0000-00004F480000}"/>
    <cellStyle name="Normal 2 5 2 5 4 2 3" xfId="8793" xr:uid="{00000000-0005-0000-0000-000050480000}"/>
    <cellStyle name="Normal 2 5 2 5 4 2 3 2" xfId="34350" xr:uid="{00000000-0005-0000-0000-000051480000}"/>
    <cellStyle name="Normal 2 5 2 5 4 2 4" xfId="17583" xr:uid="{00000000-0005-0000-0000-000052480000}"/>
    <cellStyle name="Normal 2 5 2 5 4 2 4 2" xfId="43136" xr:uid="{00000000-0005-0000-0000-000053480000}"/>
    <cellStyle name="Normal 2 5 2 5 4 2 5" xfId="29073" xr:uid="{00000000-0005-0000-0000-000054480000}"/>
    <cellStyle name="Normal 2 5 2 5 4 3" xfId="4907" xr:uid="{00000000-0005-0000-0000-000055480000}"/>
    <cellStyle name="Normal 2 5 2 5 4 3 2" xfId="13744" xr:uid="{00000000-0005-0000-0000-000056480000}"/>
    <cellStyle name="Normal 2 5 2 5 4 3 2 2" xfId="23995" xr:uid="{00000000-0005-0000-0000-000057480000}"/>
    <cellStyle name="Normal 2 5 2 5 4 3 2 2 2" xfId="49548" xr:uid="{00000000-0005-0000-0000-000058480000}"/>
    <cellStyle name="Normal 2 5 2 5 4 3 2 3" xfId="39299" xr:uid="{00000000-0005-0000-0000-000059480000}"/>
    <cellStyle name="Normal 2 5 2 5 4 3 3" xfId="10165" xr:uid="{00000000-0005-0000-0000-00005A480000}"/>
    <cellStyle name="Normal 2 5 2 5 4 3 3 2" xfId="35722" xr:uid="{00000000-0005-0000-0000-00005B480000}"/>
    <cellStyle name="Normal 2 5 2 5 4 3 4" xfId="18988" xr:uid="{00000000-0005-0000-0000-00005C480000}"/>
    <cellStyle name="Normal 2 5 2 5 4 3 4 2" xfId="44541" xr:uid="{00000000-0005-0000-0000-00005D480000}"/>
    <cellStyle name="Normal 2 5 2 5 4 3 5" xfId="30478" xr:uid="{00000000-0005-0000-0000-00005E480000}"/>
    <cellStyle name="Normal 2 5 2 5 4 4" xfId="2338" xr:uid="{00000000-0005-0000-0000-00005F480000}"/>
    <cellStyle name="Normal 2 5 2 5 4 4 2" xfId="11703" xr:uid="{00000000-0005-0000-0000-000060480000}"/>
    <cellStyle name="Normal 2 5 2 5 4 4 2 2" xfId="37258" xr:uid="{00000000-0005-0000-0000-000061480000}"/>
    <cellStyle name="Normal 2 5 2 5 4 4 3" xfId="21707" xr:uid="{00000000-0005-0000-0000-000062480000}"/>
    <cellStyle name="Normal 2 5 2 5 4 4 3 2" xfId="47260" xr:uid="{00000000-0005-0000-0000-000063480000}"/>
    <cellStyle name="Normal 2 5 2 5 4 4 4" xfId="28190" xr:uid="{00000000-0005-0000-0000-000064480000}"/>
    <cellStyle name="Normal 2 5 2 5 4 5" xfId="6362" xr:uid="{00000000-0005-0000-0000-000065480000}"/>
    <cellStyle name="Normal 2 5 2 5 4 5 2" xfId="15189" xr:uid="{00000000-0005-0000-0000-000066480000}"/>
    <cellStyle name="Normal 2 5 2 5 4 5 2 2" xfId="40744" xr:uid="{00000000-0005-0000-0000-000067480000}"/>
    <cellStyle name="Normal 2 5 2 5 4 5 3" xfId="25440" xr:uid="{00000000-0005-0000-0000-000068480000}"/>
    <cellStyle name="Normal 2 5 2 5 4 5 3 2" xfId="50993" xr:uid="{00000000-0005-0000-0000-000069480000}"/>
    <cellStyle name="Normal 2 5 2 5 4 5 4" xfId="31923" xr:uid="{00000000-0005-0000-0000-00006A480000}"/>
    <cellStyle name="Normal 2 5 2 5 4 6" xfId="7808" xr:uid="{00000000-0005-0000-0000-00006B480000}"/>
    <cellStyle name="Normal 2 5 2 5 4 6 2" xfId="20189" xr:uid="{00000000-0005-0000-0000-00006C480000}"/>
    <cellStyle name="Normal 2 5 2 5 4 6 2 2" xfId="45742" xr:uid="{00000000-0005-0000-0000-00006D480000}"/>
    <cellStyle name="Normal 2 5 2 5 4 6 3" xfId="33365" xr:uid="{00000000-0005-0000-0000-00006E480000}"/>
    <cellStyle name="Normal 2 5 2 5 4 7" xfId="16700" xr:uid="{00000000-0005-0000-0000-00006F480000}"/>
    <cellStyle name="Normal 2 5 2 5 4 7 2" xfId="42253" xr:uid="{00000000-0005-0000-0000-000070480000}"/>
    <cellStyle name="Normal 2 5 2 5 4 8" xfId="26672" xr:uid="{00000000-0005-0000-0000-000071480000}"/>
    <cellStyle name="Normal 2 5 2 5 5" xfId="1130" xr:uid="{00000000-0005-0000-0000-000072480000}"/>
    <cellStyle name="Normal 2 5 2 5 5 2" xfId="3559" xr:uid="{00000000-0005-0000-0000-000073480000}"/>
    <cellStyle name="Normal 2 5 2 5 5 2 2" xfId="12695" xr:uid="{00000000-0005-0000-0000-000074480000}"/>
    <cellStyle name="Normal 2 5 2 5 5 2 2 2" xfId="22914" xr:uid="{00000000-0005-0000-0000-000075480000}"/>
    <cellStyle name="Normal 2 5 2 5 5 2 2 2 2" xfId="48467" xr:uid="{00000000-0005-0000-0000-000076480000}"/>
    <cellStyle name="Normal 2 5 2 5 5 2 2 3" xfId="38250" xr:uid="{00000000-0005-0000-0000-000077480000}"/>
    <cellStyle name="Normal 2 5 2 5 5 2 3" xfId="9116" xr:uid="{00000000-0005-0000-0000-000078480000}"/>
    <cellStyle name="Normal 2 5 2 5 5 2 3 2" xfId="34673" xr:uid="{00000000-0005-0000-0000-000079480000}"/>
    <cellStyle name="Normal 2 5 2 5 5 2 4" xfId="17907" xr:uid="{00000000-0005-0000-0000-00007A480000}"/>
    <cellStyle name="Normal 2 5 2 5 5 2 4 2" xfId="43460" xr:uid="{00000000-0005-0000-0000-00007B480000}"/>
    <cellStyle name="Normal 2 5 2 5 5 2 5" xfId="29397" xr:uid="{00000000-0005-0000-0000-00007C480000}"/>
    <cellStyle name="Normal 2 5 2 5 5 3" xfId="5222" xr:uid="{00000000-0005-0000-0000-00007D480000}"/>
    <cellStyle name="Normal 2 5 2 5 5 3 2" xfId="14059" xr:uid="{00000000-0005-0000-0000-00007E480000}"/>
    <cellStyle name="Normal 2 5 2 5 5 3 2 2" xfId="24310" xr:uid="{00000000-0005-0000-0000-00007F480000}"/>
    <cellStyle name="Normal 2 5 2 5 5 3 2 2 2" xfId="49863" xr:uid="{00000000-0005-0000-0000-000080480000}"/>
    <cellStyle name="Normal 2 5 2 5 5 3 2 3" xfId="39614" xr:uid="{00000000-0005-0000-0000-000081480000}"/>
    <cellStyle name="Normal 2 5 2 5 5 3 3" xfId="10480" xr:uid="{00000000-0005-0000-0000-000082480000}"/>
    <cellStyle name="Normal 2 5 2 5 5 3 3 2" xfId="36037" xr:uid="{00000000-0005-0000-0000-000083480000}"/>
    <cellStyle name="Normal 2 5 2 5 5 3 4" xfId="19303" xr:uid="{00000000-0005-0000-0000-000084480000}"/>
    <cellStyle name="Normal 2 5 2 5 5 3 4 2" xfId="44856" xr:uid="{00000000-0005-0000-0000-000085480000}"/>
    <cellStyle name="Normal 2 5 2 5 5 3 5" xfId="30793" xr:uid="{00000000-0005-0000-0000-000086480000}"/>
    <cellStyle name="Normal 2 5 2 5 5 4" xfId="1838" xr:uid="{00000000-0005-0000-0000-000087480000}"/>
    <cellStyle name="Normal 2 5 2 5 5 4 2" xfId="11206" xr:uid="{00000000-0005-0000-0000-000088480000}"/>
    <cellStyle name="Normal 2 5 2 5 5 4 2 2" xfId="36761" xr:uid="{00000000-0005-0000-0000-000089480000}"/>
    <cellStyle name="Normal 2 5 2 5 5 4 3" xfId="21210" xr:uid="{00000000-0005-0000-0000-00008A480000}"/>
    <cellStyle name="Normal 2 5 2 5 5 4 3 2" xfId="46763" xr:uid="{00000000-0005-0000-0000-00008B480000}"/>
    <cellStyle name="Normal 2 5 2 5 5 4 4" xfId="27693" xr:uid="{00000000-0005-0000-0000-00008C480000}"/>
    <cellStyle name="Normal 2 5 2 5 5 5" xfId="6677" xr:uid="{00000000-0005-0000-0000-00008D480000}"/>
    <cellStyle name="Normal 2 5 2 5 5 5 2" xfId="15504" xr:uid="{00000000-0005-0000-0000-00008E480000}"/>
    <cellStyle name="Normal 2 5 2 5 5 5 2 2" xfId="41059" xr:uid="{00000000-0005-0000-0000-00008F480000}"/>
    <cellStyle name="Normal 2 5 2 5 5 5 3" xfId="25755" xr:uid="{00000000-0005-0000-0000-000090480000}"/>
    <cellStyle name="Normal 2 5 2 5 5 5 3 2" xfId="51308" xr:uid="{00000000-0005-0000-0000-000091480000}"/>
    <cellStyle name="Normal 2 5 2 5 5 5 4" xfId="32238" xr:uid="{00000000-0005-0000-0000-000092480000}"/>
    <cellStyle name="Normal 2 5 2 5 5 6" xfId="8123" xr:uid="{00000000-0005-0000-0000-000093480000}"/>
    <cellStyle name="Normal 2 5 2 5 5 6 2" xfId="20513" xr:uid="{00000000-0005-0000-0000-000094480000}"/>
    <cellStyle name="Normal 2 5 2 5 5 6 2 2" xfId="46066" xr:uid="{00000000-0005-0000-0000-000095480000}"/>
    <cellStyle name="Normal 2 5 2 5 5 6 3" xfId="33680" xr:uid="{00000000-0005-0000-0000-000096480000}"/>
    <cellStyle name="Normal 2 5 2 5 5 7" xfId="16203" xr:uid="{00000000-0005-0000-0000-000097480000}"/>
    <cellStyle name="Normal 2 5 2 5 5 7 2" xfId="41756" xr:uid="{00000000-0005-0000-0000-000098480000}"/>
    <cellStyle name="Normal 2 5 2 5 5 8" xfId="26996" xr:uid="{00000000-0005-0000-0000-000099480000}"/>
    <cellStyle name="Normal 2 5 2 5 6" xfId="2732" xr:uid="{00000000-0005-0000-0000-00009A480000}"/>
    <cellStyle name="Normal 2 5 2 5 6 2" xfId="12049" xr:uid="{00000000-0005-0000-0000-00009B480000}"/>
    <cellStyle name="Normal 2 5 2 5 6 2 2" xfId="22093" xr:uid="{00000000-0005-0000-0000-00009C480000}"/>
    <cellStyle name="Normal 2 5 2 5 6 2 2 2" xfId="47646" xr:uid="{00000000-0005-0000-0000-00009D480000}"/>
    <cellStyle name="Normal 2 5 2 5 6 2 3" xfId="37604" xr:uid="{00000000-0005-0000-0000-00009E480000}"/>
    <cellStyle name="Normal 2 5 2 5 6 3" xfId="8424" xr:uid="{00000000-0005-0000-0000-00009F480000}"/>
    <cellStyle name="Normal 2 5 2 5 6 3 2" xfId="33981" xr:uid="{00000000-0005-0000-0000-0000A0480000}"/>
    <cellStyle name="Normal 2 5 2 5 6 4" xfId="17086" xr:uid="{00000000-0005-0000-0000-0000A1480000}"/>
    <cellStyle name="Normal 2 5 2 5 6 4 2" xfId="42639" xr:uid="{00000000-0005-0000-0000-0000A2480000}"/>
    <cellStyle name="Normal 2 5 2 5 6 5" xfId="28576" xr:uid="{00000000-0005-0000-0000-0000A3480000}"/>
    <cellStyle name="Normal 2 5 2 5 7" xfId="4178" xr:uid="{00000000-0005-0000-0000-0000A4480000}"/>
    <cellStyle name="Normal 2 5 2 5 7 2" xfId="13016" xr:uid="{00000000-0005-0000-0000-0000A5480000}"/>
    <cellStyle name="Normal 2 5 2 5 7 2 2" xfId="23267" xr:uid="{00000000-0005-0000-0000-0000A6480000}"/>
    <cellStyle name="Normal 2 5 2 5 7 2 2 2" xfId="48820" xr:uid="{00000000-0005-0000-0000-0000A7480000}"/>
    <cellStyle name="Normal 2 5 2 5 7 2 3" xfId="38571" xr:uid="{00000000-0005-0000-0000-0000A8480000}"/>
    <cellStyle name="Normal 2 5 2 5 7 3" xfId="9437" xr:uid="{00000000-0005-0000-0000-0000A9480000}"/>
    <cellStyle name="Normal 2 5 2 5 7 3 2" xfId="34994" xr:uid="{00000000-0005-0000-0000-0000AA480000}"/>
    <cellStyle name="Normal 2 5 2 5 7 4" xfId="18260" xr:uid="{00000000-0005-0000-0000-0000AB480000}"/>
    <cellStyle name="Normal 2 5 2 5 7 4 2" xfId="43813" xr:uid="{00000000-0005-0000-0000-0000AC480000}"/>
    <cellStyle name="Normal 2 5 2 5 7 5" xfId="29750" xr:uid="{00000000-0005-0000-0000-0000AD480000}"/>
    <cellStyle name="Normal 2 5 2 5 8" xfId="1450" xr:uid="{00000000-0005-0000-0000-0000AE480000}"/>
    <cellStyle name="Normal 2 5 2 5 8 2" xfId="10827" xr:uid="{00000000-0005-0000-0000-0000AF480000}"/>
    <cellStyle name="Normal 2 5 2 5 8 2 2" xfId="36382" xr:uid="{00000000-0005-0000-0000-0000B0480000}"/>
    <cellStyle name="Normal 2 5 2 5 8 3" xfId="20831" xr:uid="{00000000-0005-0000-0000-0000B1480000}"/>
    <cellStyle name="Normal 2 5 2 5 8 3 2" xfId="46384" xr:uid="{00000000-0005-0000-0000-0000B2480000}"/>
    <cellStyle name="Normal 2 5 2 5 8 4" xfId="27314" xr:uid="{00000000-0005-0000-0000-0000B3480000}"/>
    <cellStyle name="Normal 2 5 2 5 9" xfId="5634" xr:uid="{00000000-0005-0000-0000-0000B4480000}"/>
    <cellStyle name="Normal 2 5 2 5 9 2" xfId="14461" xr:uid="{00000000-0005-0000-0000-0000B5480000}"/>
    <cellStyle name="Normal 2 5 2 5 9 2 2" xfId="40016" xr:uid="{00000000-0005-0000-0000-0000B6480000}"/>
    <cellStyle name="Normal 2 5 2 5 9 3" xfId="24712" xr:uid="{00000000-0005-0000-0000-0000B7480000}"/>
    <cellStyle name="Normal 2 5 2 5 9 3 2" xfId="50265" xr:uid="{00000000-0005-0000-0000-0000B8480000}"/>
    <cellStyle name="Normal 2 5 2 5 9 4" xfId="31195" xr:uid="{00000000-0005-0000-0000-0000B9480000}"/>
    <cellStyle name="Normal 2 5 2 5_Degree data" xfId="3905" xr:uid="{00000000-0005-0000-0000-0000BA480000}"/>
    <cellStyle name="Normal 2 5 2 6" xfId="458" xr:uid="{00000000-0005-0000-0000-0000BB480000}"/>
    <cellStyle name="Normal 2 5 2 6 10" xfId="26387" xr:uid="{00000000-0005-0000-0000-0000BC480000}"/>
    <cellStyle name="Normal 2 5 2 6 2" xfId="745" xr:uid="{00000000-0005-0000-0000-0000BD480000}"/>
    <cellStyle name="Normal 2 5 2 6 2 2" xfId="3231" xr:uid="{00000000-0005-0000-0000-0000BE480000}"/>
    <cellStyle name="Normal 2 5 2 6 2 2 2" xfId="12373" xr:uid="{00000000-0005-0000-0000-0000BF480000}"/>
    <cellStyle name="Normal 2 5 2 6 2 2 2 2" xfId="22592" xr:uid="{00000000-0005-0000-0000-0000C0480000}"/>
    <cellStyle name="Normal 2 5 2 6 2 2 2 2 2" xfId="48145" xr:uid="{00000000-0005-0000-0000-0000C1480000}"/>
    <cellStyle name="Normal 2 5 2 6 2 2 2 3" xfId="37928" xr:uid="{00000000-0005-0000-0000-0000C2480000}"/>
    <cellStyle name="Normal 2 5 2 6 2 2 3" xfId="8795" xr:uid="{00000000-0005-0000-0000-0000C3480000}"/>
    <cellStyle name="Normal 2 5 2 6 2 2 3 2" xfId="34352" xr:uid="{00000000-0005-0000-0000-0000C4480000}"/>
    <cellStyle name="Normal 2 5 2 6 2 2 4" xfId="17585" xr:uid="{00000000-0005-0000-0000-0000C5480000}"/>
    <cellStyle name="Normal 2 5 2 6 2 2 4 2" xfId="43138" xr:uid="{00000000-0005-0000-0000-0000C6480000}"/>
    <cellStyle name="Normal 2 5 2 6 2 2 5" xfId="29075" xr:uid="{00000000-0005-0000-0000-0000C7480000}"/>
    <cellStyle name="Normal 2 5 2 6 2 3" xfId="4560" xr:uid="{00000000-0005-0000-0000-0000C8480000}"/>
    <cellStyle name="Normal 2 5 2 6 2 3 2" xfId="13398" xr:uid="{00000000-0005-0000-0000-0000C9480000}"/>
    <cellStyle name="Normal 2 5 2 6 2 3 2 2" xfId="23649" xr:uid="{00000000-0005-0000-0000-0000CA480000}"/>
    <cellStyle name="Normal 2 5 2 6 2 3 2 2 2" xfId="49202" xr:uid="{00000000-0005-0000-0000-0000CB480000}"/>
    <cellStyle name="Normal 2 5 2 6 2 3 2 3" xfId="38953" xr:uid="{00000000-0005-0000-0000-0000CC480000}"/>
    <cellStyle name="Normal 2 5 2 6 2 3 3" xfId="9819" xr:uid="{00000000-0005-0000-0000-0000CD480000}"/>
    <cellStyle name="Normal 2 5 2 6 2 3 3 2" xfId="35376" xr:uid="{00000000-0005-0000-0000-0000CE480000}"/>
    <cellStyle name="Normal 2 5 2 6 2 3 4" xfId="18642" xr:uid="{00000000-0005-0000-0000-0000CF480000}"/>
    <cellStyle name="Normal 2 5 2 6 2 3 4 2" xfId="44195" xr:uid="{00000000-0005-0000-0000-0000D0480000}"/>
    <cellStyle name="Normal 2 5 2 6 2 3 5" xfId="30132" xr:uid="{00000000-0005-0000-0000-0000D1480000}"/>
    <cellStyle name="Normal 2 5 2 6 2 4" xfId="2340" xr:uid="{00000000-0005-0000-0000-0000D2480000}"/>
    <cellStyle name="Normal 2 5 2 6 2 4 2" xfId="11705" xr:uid="{00000000-0005-0000-0000-0000D3480000}"/>
    <cellStyle name="Normal 2 5 2 6 2 4 2 2" xfId="37260" xr:uid="{00000000-0005-0000-0000-0000D4480000}"/>
    <cellStyle name="Normal 2 5 2 6 2 4 3" xfId="21709" xr:uid="{00000000-0005-0000-0000-0000D5480000}"/>
    <cellStyle name="Normal 2 5 2 6 2 4 3 2" xfId="47262" xr:uid="{00000000-0005-0000-0000-0000D6480000}"/>
    <cellStyle name="Normal 2 5 2 6 2 4 4" xfId="28192" xr:uid="{00000000-0005-0000-0000-0000D7480000}"/>
    <cellStyle name="Normal 2 5 2 6 2 5" xfId="6016" xr:uid="{00000000-0005-0000-0000-0000D8480000}"/>
    <cellStyle name="Normal 2 5 2 6 2 5 2" xfId="14843" xr:uid="{00000000-0005-0000-0000-0000D9480000}"/>
    <cellStyle name="Normal 2 5 2 6 2 5 2 2" xfId="40398" xr:uid="{00000000-0005-0000-0000-0000DA480000}"/>
    <cellStyle name="Normal 2 5 2 6 2 5 3" xfId="25094" xr:uid="{00000000-0005-0000-0000-0000DB480000}"/>
    <cellStyle name="Normal 2 5 2 6 2 5 3 2" xfId="50647" xr:uid="{00000000-0005-0000-0000-0000DC480000}"/>
    <cellStyle name="Normal 2 5 2 6 2 5 4" xfId="31577" xr:uid="{00000000-0005-0000-0000-0000DD480000}"/>
    <cellStyle name="Normal 2 5 2 6 2 6" xfId="7460" xr:uid="{00000000-0005-0000-0000-0000DE480000}"/>
    <cellStyle name="Normal 2 5 2 6 2 6 2" xfId="20191" xr:uid="{00000000-0005-0000-0000-0000DF480000}"/>
    <cellStyle name="Normal 2 5 2 6 2 6 2 2" xfId="45744" xr:uid="{00000000-0005-0000-0000-0000E0480000}"/>
    <cellStyle name="Normal 2 5 2 6 2 6 3" xfId="33017" xr:uid="{00000000-0005-0000-0000-0000E1480000}"/>
    <cellStyle name="Normal 2 5 2 6 2 7" xfId="16702" xr:uid="{00000000-0005-0000-0000-0000E2480000}"/>
    <cellStyle name="Normal 2 5 2 6 2 7 2" xfId="42255" xr:uid="{00000000-0005-0000-0000-0000E3480000}"/>
    <cellStyle name="Normal 2 5 2 6 2 8" xfId="26674" xr:uid="{00000000-0005-0000-0000-0000E4480000}"/>
    <cellStyle name="Normal 2 5 2 6 3" xfId="1230" xr:uid="{00000000-0005-0000-0000-0000E5480000}"/>
    <cellStyle name="Normal 2 5 2 6 3 2" xfId="3659" xr:uid="{00000000-0005-0000-0000-0000E6480000}"/>
    <cellStyle name="Normal 2 5 2 6 3 2 2" xfId="12795" xr:uid="{00000000-0005-0000-0000-0000E7480000}"/>
    <cellStyle name="Normal 2 5 2 6 3 2 2 2" xfId="23014" xr:uid="{00000000-0005-0000-0000-0000E8480000}"/>
    <cellStyle name="Normal 2 5 2 6 3 2 2 2 2" xfId="48567" xr:uid="{00000000-0005-0000-0000-0000E9480000}"/>
    <cellStyle name="Normal 2 5 2 6 3 2 2 3" xfId="38350" xr:uid="{00000000-0005-0000-0000-0000EA480000}"/>
    <cellStyle name="Normal 2 5 2 6 3 2 3" xfId="9216" xr:uid="{00000000-0005-0000-0000-0000EB480000}"/>
    <cellStyle name="Normal 2 5 2 6 3 2 3 2" xfId="34773" xr:uid="{00000000-0005-0000-0000-0000EC480000}"/>
    <cellStyle name="Normal 2 5 2 6 3 2 4" xfId="18007" xr:uid="{00000000-0005-0000-0000-0000ED480000}"/>
    <cellStyle name="Normal 2 5 2 6 3 2 4 2" xfId="43560" xr:uid="{00000000-0005-0000-0000-0000EE480000}"/>
    <cellStyle name="Normal 2 5 2 6 3 2 5" xfId="29497" xr:uid="{00000000-0005-0000-0000-0000EF480000}"/>
    <cellStyle name="Normal 2 5 2 6 3 3" xfId="4909" xr:uid="{00000000-0005-0000-0000-0000F0480000}"/>
    <cellStyle name="Normal 2 5 2 6 3 3 2" xfId="13746" xr:uid="{00000000-0005-0000-0000-0000F1480000}"/>
    <cellStyle name="Normal 2 5 2 6 3 3 2 2" xfId="23997" xr:uid="{00000000-0005-0000-0000-0000F2480000}"/>
    <cellStyle name="Normal 2 5 2 6 3 3 2 2 2" xfId="49550" xr:uid="{00000000-0005-0000-0000-0000F3480000}"/>
    <cellStyle name="Normal 2 5 2 6 3 3 2 3" xfId="39301" xr:uid="{00000000-0005-0000-0000-0000F4480000}"/>
    <cellStyle name="Normal 2 5 2 6 3 3 3" xfId="10167" xr:uid="{00000000-0005-0000-0000-0000F5480000}"/>
    <cellStyle name="Normal 2 5 2 6 3 3 3 2" xfId="35724" xr:uid="{00000000-0005-0000-0000-0000F6480000}"/>
    <cellStyle name="Normal 2 5 2 6 3 3 4" xfId="18990" xr:uid="{00000000-0005-0000-0000-0000F7480000}"/>
    <cellStyle name="Normal 2 5 2 6 3 3 4 2" xfId="44543" xr:uid="{00000000-0005-0000-0000-0000F8480000}"/>
    <cellStyle name="Normal 2 5 2 6 3 3 5" xfId="30480" xr:uid="{00000000-0005-0000-0000-0000F9480000}"/>
    <cellStyle name="Normal 2 5 2 6 3 4" xfId="2053" xr:uid="{00000000-0005-0000-0000-0000FA480000}"/>
    <cellStyle name="Normal 2 5 2 6 3 4 2" xfId="11418" xr:uid="{00000000-0005-0000-0000-0000FB480000}"/>
    <cellStyle name="Normal 2 5 2 6 3 4 2 2" xfId="36973" xr:uid="{00000000-0005-0000-0000-0000FC480000}"/>
    <cellStyle name="Normal 2 5 2 6 3 4 3" xfId="21422" xr:uid="{00000000-0005-0000-0000-0000FD480000}"/>
    <cellStyle name="Normal 2 5 2 6 3 4 3 2" xfId="46975" xr:uid="{00000000-0005-0000-0000-0000FE480000}"/>
    <cellStyle name="Normal 2 5 2 6 3 4 4" xfId="27905" xr:uid="{00000000-0005-0000-0000-0000FF480000}"/>
    <cellStyle name="Normal 2 5 2 6 3 5" xfId="6364" xr:uid="{00000000-0005-0000-0000-000000490000}"/>
    <cellStyle name="Normal 2 5 2 6 3 5 2" xfId="15191" xr:uid="{00000000-0005-0000-0000-000001490000}"/>
    <cellStyle name="Normal 2 5 2 6 3 5 2 2" xfId="40746" xr:uid="{00000000-0005-0000-0000-000002490000}"/>
    <cellStyle name="Normal 2 5 2 6 3 5 3" xfId="25442" xr:uid="{00000000-0005-0000-0000-000003490000}"/>
    <cellStyle name="Normal 2 5 2 6 3 5 3 2" xfId="50995" xr:uid="{00000000-0005-0000-0000-000004490000}"/>
    <cellStyle name="Normal 2 5 2 6 3 5 4" xfId="31925" xr:uid="{00000000-0005-0000-0000-000005490000}"/>
    <cellStyle name="Normal 2 5 2 6 3 6" xfId="7810" xr:uid="{00000000-0005-0000-0000-000006490000}"/>
    <cellStyle name="Normal 2 5 2 6 3 6 2" xfId="20613" xr:uid="{00000000-0005-0000-0000-000007490000}"/>
    <cellStyle name="Normal 2 5 2 6 3 6 2 2" xfId="46166" xr:uid="{00000000-0005-0000-0000-000008490000}"/>
    <cellStyle name="Normal 2 5 2 6 3 6 3" xfId="33367" xr:uid="{00000000-0005-0000-0000-000009490000}"/>
    <cellStyle name="Normal 2 5 2 6 3 7" xfId="16415" xr:uid="{00000000-0005-0000-0000-00000A490000}"/>
    <cellStyle name="Normal 2 5 2 6 3 7 2" xfId="41968" xr:uid="{00000000-0005-0000-0000-00000B490000}"/>
    <cellStyle name="Normal 2 5 2 6 3 8" xfId="27096" xr:uid="{00000000-0005-0000-0000-00000C490000}"/>
    <cellStyle name="Normal 2 5 2 6 4" xfId="2944" xr:uid="{00000000-0005-0000-0000-00000D490000}"/>
    <cellStyle name="Normal 2 5 2 6 4 2" xfId="5322" xr:uid="{00000000-0005-0000-0000-00000E490000}"/>
    <cellStyle name="Normal 2 5 2 6 4 2 2" xfId="14159" xr:uid="{00000000-0005-0000-0000-00000F490000}"/>
    <cellStyle name="Normal 2 5 2 6 4 2 2 2" xfId="24410" xr:uid="{00000000-0005-0000-0000-000010490000}"/>
    <cellStyle name="Normal 2 5 2 6 4 2 2 2 2" xfId="49963" xr:uid="{00000000-0005-0000-0000-000011490000}"/>
    <cellStyle name="Normal 2 5 2 6 4 2 2 3" xfId="39714" xr:uid="{00000000-0005-0000-0000-000012490000}"/>
    <cellStyle name="Normal 2 5 2 6 4 2 3" xfId="10580" xr:uid="{00000000-0005-0000-0000-000013490000}"/>
    <cellStyle name="Normal 2 5 2 6 4 2 3 2" xfId="36137" xr:uid="{00000000-0005-0000-0000-000014490000}"/>
    <cellStyle name="Normal 2 5 2 6 4 2 4" xfId="19403" xr:uid="{00000000-0005-0000-0000-000015490000}"/>
    <cellStyle name="Normal 2 5 2 6 4 2 4 2" xfId="44956" xr:uid="{00000000-0005-0000-0000-000016490000}"/>
    <cellStyle name="Normal 2 5 2 6 4 2 5" xfId="30893" xr:uid="{00000000-0005-0000-0000-000017490000}"/>
    <cellStyle name="Normal 2 5 2 6 4 3" xfId="6777" xr:uid="{00000000-0005-0000-0000-000018490000}"/>
    <cellStyle name="Normal 2 5 2 6 4 3 2" xfId="15604" xr:uid="{00000000-0005-0000-0000-000019490000}"/>
    <cellStyle name="Normal 2 5 2 6 4 3 2 2" xfId="41159" xr:uid="{00000000-0005-0000-0000-00001A490000}"/>
    <cellStyle name="Normal 2 5 2 6 4 3 3" xfId="25855" xr:uid="{00000000-0005-0000-0000-00001B490000}"/>
    <cellStyle name="Normal 2 5 2 6 4 3 3 2" xfId="51408" xr:uid="{00000000-0005-0000-0000-00001C490000}"/>
    <cellStyle name="Normal 2 5 2 6 4 3 4" xfId="32338" xr:uid="{00000000-0005-0000-0000-00001D490000}"/>
    <cellStyle name="Normal 2 5 2 6 4 4" xfId="8223" xr:uid="{00000000-0005-0000-0000-00001E490000}"/>
    <cellStyle name="Normal 2 5 2 6 4 4 2" xfId="22305" xr:uid="{00000000-0005-0000-0000-00001F490000}"/>
    <cellStyle name="Normal 2 5 2 6 4 4 2 2" xfId="47858" xr:uid="{00000000-0005-0000-0000-000020490000}"/>
    <cellStyle name="Normal 2 5 2 6 4 4 3" xfId="33780" xr:uid="{00000000-0005-0000-0000-000021490000}"/>
    <cellStyle name="Normal 2 5 2 6 4 5" xfId="17298" xr:uid="{00000000-0005-0000-0000-000022490000}"/>
    <cellStyle name="Normal 2 5 2 6 4 5 2" xfId="42851" xr:uid="{00000000-0005-0000-0000-000023490000}"/>
    <cellStyle name="Normal 2 5 2 6 4 6" xfId="28788" xr:uid="{00000000-0005-0000-0000-000024490000}"/>
    <cellStyle name="Normal 2 5 2 6 5" xfId="4278" xr:uid="{00000000-0005-0000-0000-000025490000}"/>
    <cellStyle name="Normal 2 5 2 6 5 2" xfId="13116" xr:uid="{00000000-0005-0000-0000-000026490000}"/>
    <cellStyle name="Normal 2 5 2 6 5 2 2" xfId="23367" xr:uid="{00000000-0005-0000-0000-000027490000}"/>
    <cellStyle name="Normal 2 5 2 6 5 2 2 2" xfId="48920" xr:uid="{00000000-0005-0000-0000-000028490000}"/>
    <cellStyle name="Normal 2 5 2 6 5 2 3" xfId="38671" xr:uid="{00000000-0005-0000-0000-000029490000}"/>
    <cellStyle name="Normal 2 5 2 6 5 3" xfId="9537" xr:uid="{00000000-0005-0000-0000-00002A490000}"/>
    <cellStyle name="Normal 2 5 2 6 5 3 2" xfId="35094" xr:uid="{00000000-0005-0000-0000-00002B490000}"/>
    <cellStyle name="Normal 2 5 2 6 5 4" xfId="18360" xr:uid="{00000000-0005-0000-0000-00002C490000}"/>
    <cellStyle name="Normal 2 5 2 6 5 4 2" xfId="43913" xr:uid="{00000000-0005-0000-0000-00002D490000}"/>
    <cellStyle name="Normal 2 5 2 6 5 5" xfId="29850" xr:uid="{00000000-0005-0000-0000-00002E490000}"/>
    <cellStyle name="Normal 2 5 2 6 6" xfId="1550" xr:uid="{00000000-0005-0000-0000-00002F490000}"/>
    <cellStyle name="Normal 2 5 2 6 6 2" xfId="10927" xr:uid="{00000000-0005-0000-0000-000030490000}"/>
    <cellStyle name="Normal 2 5 2 6 6 2 2" xfId="36482" xr:uid="{00000000-0005-0000-0000-000031490000}"/>
    <cellStyle name="Normal 2 5 2 6 6 3" xfId="20931" xr:uid="{00000000-0005-0000-0000-000032490000}"/>
    <cellStyle name="Normal 2 5 2 6 6 3 2" xfId="46484" xr:uid="{00000000-0005-0000-0000-000033490000}"/>
    <cellStyle name="Normal 2 5 2 6 6 4" xfId="27414" xr:uid="{00000000-0005-0000-0000-000034490000}"/>
    <cellStyle name="Normal 2 5 2 6 7" xfId="5734" xr:uid="{00000000-0005-0000-0000-000035490000}"/>
    <cellStyle name="Normal 2 5 2 6 7 2" xfId="14561" xr:uid="{00000000-0005-0000-0000-000036490000}"/>
    <cellStyle name="Normal 2 5 2 6 7 2 2" xfId="40116" xr:uid="{00000000-0005-0000-0000-000037490000}"/>
    <cellStyle name="Normal 2 5 2 6 7 3" xfId="24812" xr:uid="{00000000-0005-0000-0000-000038490000}"/>
    <cellStyle name="Normal 2 5 2 6 7 3 2" xfId="50365" xr:uid="{00000000-0005-0000-0000-000039490000}"/>
    <cellStyle name="Normal 2 5 2 6 7 4" xfId="31295" xr:uid="{00000000-0005-0000-0000-00003A490000}"/>
    <cellStyle name="Normal 2 5 2 6 8" xfId="7178" xr:uid="{00000000-0005-0000-0000-00003B490000}"/>
    <cellStyle name="Normal 2 5 2 6 8 2" xfId="19904" xr:uid="{00000000-0005-0000-0000-00003C490000}"/>
    <cellStyle name="Normal 2 5 2 6 8 2 2" xfId="45457" xr:uid="{00000000-0005-0000-0000-00003D490000}"/>
    <cellStyle name="Normal 2 5 2 6 8 3" xfId="32735" xr:uid="{00000000-0005-0000-0000-00003E490000}"/>
    <cellStyle name="Normal 2 5 2 6 9" xfId="15924" xr:uid="{00000000-0005-0000-0000-00003F490000}"/>
    <cellStyle name="Normal 2 5 2 6 9 2" xfId="41477" xr:uid="{00000000-0005-0000-0000-000040490000}"/>
    <cellStyle name="Normal 2 5 2 6_Degree data" xfId="3883" xr:uid="{00000000-0005-0000-0000-000041490000}"/>
    <cellStyle name="Normal 2 5 2 7" xfId="306" xr:uid="{00000000-0005-0000-0000-000042490000}"/>
    <cellStyle name="Normal 2 5 2 7 10" xfId="26235" xr:uid="{00000000-0005-0000-0000-000043490000}"/>
    <cellStyle name="Normal 2 5 2 7 2" xfId="746" xr:uid="{00000000-0005-0000-0000-000044490000}"/>
    <cellStyle name="Normal 2 5 2 7 2 2" xfId="3232" xr:uid="{00000000-0005-0000-0000-000045490000}"/>
    <cellStyle name="Normal 2 5 2 7 2 2 2" xfId="12374" xr:uid="{00000000-0005-0000-0000-000046490000}"/>
    <cellStyle name="Normal 2 5 2 7 2 2 2 2" xfId="22593" xr:uid="{00000000-0005-0000-0000-000047490000}"/>
    <cellStyle name="Normal 2 5 2 7 2 2 2 2 2" xfId="48146" xr:uid="{00000000-0005-0000-0000-000048490000}"/>
    <cellStyle name="Normal 2 5 2 7 2 2 2 3" xfId="37929" xr:uid="{00000000-0005-0000-0000-000049490000}"/>
    <cellStyle name="Normal 2 5 2 7 2 2 3" xfId="8796" xr:uid="{00000000-0005-0000-0000-00004A490000}"/>
    <cellStyle name="Normal 2 5 2 7 2 2 3 2" xfId="34353" xr:uid="{00000000-0005-0000-0000-00004B490000}"/>
    <cellStyle name="Normal 2 5 2 7 2 2 4" xfId="17586" xr:uid="{00000000-0005-0000-0000-00004C490000}"/>
    <cellStyle name="Normal 2 5 2 7 2 2 4 2" xfId="43139" xr:uid="{00000000-0005-0000-0000-00004D490000}"/>
    <cellStyle name="Normal 2 5 2 7 2 2 5" xfId="29076" xr:uid="{00000000-0005-0000-0000-00004E490000}"/>
    <cellStyle name="Normal 2 5 2 7 2 3" xfId="4561" xr:uid="{00000000-0005-0000-0000-00004F490000}"/>
    <cellStyle name="Normal 2 5 2 7 2 3 2" xfId="13399" xr:uid="{00000000-0005-0000-0000-000050490000}"/>
    <cellStyle name="Normal 2 5 2 7 2 3 2 2" xfId="23650" xr:uid="{00000000-0005-0000-0000-000051490000}"/>
    <cellStyle name="Normal 2 5 2 7 2 3 2 2 2" xfId="49203" xr:uid="{00000000-0005-0000-0000-000052490000}"/>
    <cellStyle name="Normal 2 5 2 7 2 3 2 3" xfId="38954" xr:uid="{00000000-0005-0000-0000-000053490000}"/>
    <cellStyle name="Normal 2 5 2 7 2 3 3" xfId="9820" xr:uid="{00000000-0005-0000-0000-000054490000}"/>
    <cellStyle name="Normal 2 5 2 7 2 3 3 2" xfId="35377" xr:uid="{00000000-0005-0000-0000-000055490000}"/>
    <cellStyle name="Normal 2 5 2 7 2 3 4" xfId="18643" xr:uid="{00000000-0005-0000-0000-000056490000}"/>
    <cellStyle name="Normal 2 5 2 7 2 3 4 2" xfId="44196" xr:uid="{00000000-0005-0000-0000-000057490000}"/>
    <cellStyle name="Normal 2 5 2 7 2 3 5" xfId="30133" xr:uid="{00000000-0005-0000-0000-000058490000}"/>
    <cellStyle name="Normal 2 5 2 7 2 4" xfId="2341" xr:uid="{00000000-0005-0000-0000-000059490000}"/>
    <cellStyle name="Normal 2 5 2 7 2 4 2" xfId="11706" xr:uid="{00000000-0005-0000-0000-00005A490000}"/>
    <cellStyle name="Normal 2 5 2 7 2 4 2 2" xfId="37261" xr:uid="{00000000-0005-0000-0000-00005B490000}"/>
    <cellStyle name="Normal 2 5 2 7 2 4 3" xfId="21710" xr:uid="{00000000-0005-0000-0000-00005C490000}"/>
    <cellStyle name="Normal 2 5 2 7 2 4 3 2" xfId="47263" xr:uid="{00000000-0005-0000-0000-00005D490000}"/>
    <cellStyle name="Normal 2 5 2 7 2 4 4" xfId="28193" xr:uid="{00000000-0005-0000-0000-00005E490000}"/>
    <cellStyle name="Normal 2 5 2 7 2 5" xfId="6017" xr:uid="{00000000-0005-0000-0000-00005F490000}"/>
    <cellStyle name="Normal 2 5 2 7 2 5 2" xfId="14844" xr:uid="{00000000-0005-0000-0000-000060490000}"/>
    <cellStyle name="Normal 2 5 2 7 2 5 2 2" xfId="40399" xr:uid="{00000000-0005-0000-0000-000061490000}"/>
    <cellStyle name="Normal 2 5 2 7 2 5 3" xfId="25095" xr:uid="{00000000-0005-0000-0000-000062490000}"/>
    <cellStyle name="Normal 2 5 2 7 2 5 3 2" xfId="50648" xr:uid="{00000000-0005-0000-0000-000063490000}"/>
    <cellStyle name="Normal 2 5 2 7 2 5 4" xfId="31578" xr:uid="{00000000-0005-0000-0000-000064490000}"/>
    <cellStyle name="Normal 2 5 2 7 2 6" xfId="7461" xr:uid="{00000000-0005-0000-0000-000065490000}"/>
    <cellStyle name="Normal 2 5 2 7 2 6 2" xfId="20192" xr:uid="{00000000-0005-0000-0000-000066490000}"/>
    <cellStyle name="Normal 2 5 2 7 2 6 2 2" xfId="45745" xr:uid="{00000000-0005-0000-0000-000067490000}"/>
    <cellStyle name="Normal 2 5 2 7 2 6 3" xfId="33018" xr:uid="{00000000-0005-0000-0000-000068490000}"/>
    <cellStyle name="Normal 2 5 2 7 2 7" xfId="16703" xr:uid="{00000000-0005-0000-0000-000069490000}"/>
    <cellStyle name="Normal 2 5 2 7 2 7 2" xfId="42256" xr:uid="{00000000-0005-0000-0000-00006A490000}"/>
    <cellStyle name="Normal 2 5 2 7 2 8" xfId="26675" xr:uid="{00000000-0005-0000-0000-00006B490000}"/>
    <cellStyle name="Normal 2 5 2 7 3" xfId="1078" xr:uid="{00000000-0005-0000-0000-00006C490000}"/>
    <cellStyle name="Normal 2 5 2 7 3 2" xfId="3507" xr:uid="{00000000-0005-0000-0000-00006D490000}"/>
    <cellStyle name="Normal 2 5 2 7 3 2 2" xfId="12643" xr:uid="{00000000-0005-0000-0000-00006E490000}"/>
    <cellStyle name="Normal 2 5 2 7 3 2 2 2" xfId="22862" xr:uid="{00000000-0005-0000-0000-00006F490000}"/>
    <cellStyle name="Normal 2 5 2 7 3 2 2 2 2" xfId="48415" xr:uid="{00000000-0005-0000-0000-000070490000}"/>
    <cellStyle name="Normal 2 5 2 7 3 2 2 3" xfId="38198" xr:uid="{00000000-0005-0000-0000-000071490000}"/>
    <cellStyle name="Normal 2 5 2 7 3 2 3" xfId="9065" xr:uid="{00000000-0005-0000-0000-000072490000}"/>
    <cellStyle name="Normal 2 5 2 7 3 2 3 2" xfId="34622" xr:uid="{00000000-0005-0000-0000-000073490000}"/>
    <cellStyle name="Normal 2 5 2 7 3 2 4" xfId="17855" xr:uid="{00000000-0005-0000-0000-000074490000}"/>
    <cellStyle name="Normal 2 5 2 7 3 2 4 2" xfId="43408" xr:uid="{00000000-0005-0000-0000-000075490000}"/>
    <cellStyle name="Normal 2 5 2 7 3 2 5" xfId="29345" xr:uid="{00000000-0005-0000-0000-000076490000}"/>
    <cellStyle name="Normal 2 5 2 7 3 3" xfId="4910" xr:uid="{00000000-0005-0000-0000-000077490000}"/>
    <cellStyle name="Normal 2 5 2 7 3 3 2" xfId="13747" xr:uid="{00000000-0005-0000-0000-000078490000}"/>
    <cellStyle name="Normal 2 5 2 7 3 3 2 2" xfId="23998" xr:uid="{00000000-0005-0000-0000-000079490000}"/>
    <cellStyle name="Normal 2 5 2 7 3 3 2 2 2" xfId="49551" xr:uid="{00000000-0005-0000-0000-00007A490000}"/>
    <cellStyle name="Normal 2 5 2 7 3 3 2 3" xfId="39302" xr:uid="{00000000-0005-0000-0000-00007B490000}"/>
    <cellStyle name="Normal 2 5 2 7 3 3 3" xfId="10168" xr:uid="{00000000-0005-0000-0000-00007C490000}"/>
    <cellStyle name="Normal 2 5 2 7 3 3 3 2" xfId="35725" xr:uid="{00000000-0005-0000-0000-00007D490000}"/>
    <cellStyle name="Normal 2 5 2 7 3 3 4" xfId="18991" xr:uid="{00000000-0005-0000-0000-00007E490000}"/>
    <cellStyle name="Normal 2 5 2 7 3 3 4 2" xfId="44544" xr:uid="{00000000-0005-0000-0000-00007F490000}"/>
    <cellStyle name="Normal 2 5 2 7 3 3 5" xfId="30481" xr:uid="{00000000-0005-0000-0000-000080490000}"/>
    <cellStyle name="Normal 2 5 2 7 3 4" xfId="1753" xr:uid="{00000000-0005-0000-0000-000081490000}"/>
    <cellStyle name="Normal 2 5 2 7 3 4 2" xfId="11124" xr:uid="{00000000-0005-0000-0000-000082490000}"/>
    <cellStyle name="Normal 2 5 2 7 3 4 2 2" xfId="36679" xr:uid="{00000000-0005-0000-0000-000083490000}"/>
    <cellStyle name="Normal 2 5 2 7 3 4 3" xfId="21128" xr:uid="{00000000-0005-0000-0000-000084490000}"/>
    <cellStyle name="Normal 2 5 2 7 3 4 3 2" xfId="46681" xr:uid="{00000000-0005-0000-0000-000085490000}"/>
    <cellStyle name="Normal 2 5 2 7 3 4 4" xfId="27611" xr:uid="{00000000-0005-0000-0000-000086490000}"/>
    <cellStyle name="Normal 2 5 2 7 3 5" xfId="6365" xr:uid="{00000000-0005-0000-0000-000087490000}"/>
    <cellStyle name="Normal 2 5 2 7 3 5 2" xfId="15192" xr:uid="{00000000-0005-0000-0000-000088490000}"/>
    <cellStyle name="Normal 2 5 2 7 3 5 2 2" xfId="40747" xr:uid="{00000000-0005-0000-0000-000089490000}"/>
    <cellStyle name="Normal 2 5 2 7 3 5 3" xfId="25443" xr:uid="{00000000-0005-0000-0000-00008A490000}"/>
    <cellStyle name="Normal 2 5 2 7 3 5 3 2" xfId="50996" xr:uid="{00000000-0005-0000-0000-00008B490000}"/>
    <cellStyle name="Normal 2 5 2 7 3 5 4" xfId="31926" xr:uid="{00000000-0005-0000-0000-00008C490000}"/>
    <cellStyle name="Normal 2 5 2 7 3 6" xfId="7811" xr:uid="{00000000-0005-0000-0000-00008D490000}"/>
    <cellStyle name="Normal 2 5 2 7 3 6 2" xfId="20461" xr:uid="{00000000-0005-0000-0000-00008E490000}"/>
    <cellStyle name="Normal 2 5 2 7 3 6 2 2" xfId="46014" xr:uid="{00000000-0005-0000-0000-00008F490000}"/>
    <cellStyle name="Normal 2 5 2 7 3 6 3" xfId="33368" xr:uid="{00000000-0005-0000-0000-000090490000}"/>
    <cellStyle name="Normal 2 5 2 7 3 7" xfId="16121" xr:uid="{00000000-0005-0000-0000-000091490000}"/>
    <cellStyle name="Normal 2 5 2 7 3 7 2" xfId="41674" xr:uid="{00000000-0005-0000-0000-000092490000}"/>
    <cellStyle name="Normal 2 5 2 7 3 8" xfId="26944" xr:uid="{00000000-0005-0000-0000-000093490000}"/>
    <cellStyle name="Normal 2 5 2 7 4" xfId="2792" xr:uid="{00000000-0005-0000-0000-000094490000}"/>
    <cellStyle name="Normal 2 5 2 7 4 2" xfId="5170" xr:uid="{00000000-0005-0000-0000-000095490000}"/>
    <cellStyle name="Normal 2 5 2 7 4 2 2" xfId="14007" xr:uid="{00000000-0005-0000-0000-000096490000}"/>
    <cellStyle name="Normal 2 5 2 7 4 2 2 2" xfId="24258" xr:uid="{00000000-0005-0000-0000-000097490000}"/>
    <cellStyle name="Normal 2 5 2 7 4 2 2 2 2" xfId="49811" xr:uid="{00000000-0005-0000-0000-000098490000}"/>
    <cellStyle name="Normal 2 5 2 7 4 2 2 3" xfId="39562" xr:uid="{00000000-0005-0000-0000-000099490000}"/>
    <cellStyle name="Normal 2 5 2 7 4 2 3" xfId="10428" xr:uid="{00000000-0005-0000-0000-00009A490000}"/>
    <cellStyle name="Normal 2 5 2 7 4 2 3 2" xfId="35985" xr:uid="{00000000-0005-0000-0000-00009B490000}"/>
    <cellStyle name="Normal 2 5 2 7 4 2 4" xfId="19251" xr:uid="{00000000-0005-0000-0000-00009C490000}"/>
    <cellStyle name="Normal 2 5 2 7 4 2 4 2" xfId="44804" xr:uid="{00000000-0005-0000-0000-00009D490000}"/>
    <cellStyle name="Normal 2 5 2 7 4 2 5" xfId="30741" xr:uid="{00000000-0005-0000-0000-00009E490000}"/>
    <cellStyle name="Normal 2 5 2 7 4 3" xfId="6625" xr:uid="{00000000-0005-0000-0000-00009F490000}"/>
    <cellStyle name="Normal 2 5 2 7 4 3 2" xfId="15452" xr:uid="{00000000-0005-0000-0000-0000A0490000}"/>
    <cellStyle name="Normal 2 5 2 7 4 3 2 2" xfId="41007" xr:uid="{00000000-0005-0000-0000-0000A1490000}"/>
    <cellStyle name="Normal 2 5 2 7 4 3 3" xfId="25703" xr:uid="{00000000-0005-0000-0000-0000A2490000}"/>
    <cellStyle name="Normal 2 5 2 7 4 3 3 2" xfId="51256" xr:uid="{00000000-0005-0000-0000-0000A3490000}"/>
    <cellStyle name="Normal 2 5 2 7 4 3 4" xfId="32186" xr:uid="{00000000-0005-0000-0000-0000A4490000}"/>
    <cellStyle name="Normal 2 5 2 7 4 4" xfId="8071" xr:uid="{00000000-0005-0000-0000-0000A5490000}"/>
    <cellStyle name="Normal 2 5 2 7 4 4 2" xfId="22153" xr:uid="{00000000-0005-0000-0000-0000A6490000}"/>
    <cellStyle name="Normal 2 5 2 7 4 4 2 2" xfId="47706" xr:uid="{00000000-0005-0000-0000-0000A7490000}"/>
    <cellStyle name="Normal 2 5 2 7 4 4 3" xfId="33628" xr:uid="{00000000-0005-0000-0000-0000A8490000}"/>
    <cellStyle name="Normal 2 5 2 7 4 5" xfId="17146" xr:uid="{00000000-0005-0000-0000-0000A9490000}"/>
    <cellStyle name="Normal 2 5 2 7 4 5 2" xfId="42699" xr:uid="{00000000-0005-0000-0000-0000AA490000}"/>
    <cellStyle name="Normal 2 5 2 7 4 6" xfId="28636" xr:uid="{00000000-0005-0000-0000-0000AB490000}"/>
    <cellStyle name="Normal 2 5 2 7 5" xfId="4124" xr:uid="{00000000-0005-0000-0000-0000AC490000}"/>
    <cellStyle name="Normal 2 5 2 7 5 2" xfId="12962" xr:uid="{00000000-0005-0000-0000-0000AD490000}"/>
    <cellStyle name="Normal 2 5 2 7 5 2 2" xfId="23213" xr:uid="{00000000-0005-0000-0000-0000AE490000}"/>
    <cellStyle name="Normal 2 5 2 7 5 2 2 2" xfId="48766" xr:uid="{00000000-0005-0000-0000-0000AF490000}"/>
    <cellStyle name="Normal 2 5 2 7 5 2 3" xfId="38517" xr:uid="{00000000-0005-0000-0000-0000B0490000}"/>
    <cellStyle name="Normal 2 5 2 7 5 3" xfId="9383" xr:uid="{00000000-0005-0000-0000-0000B1490000}"/>
    <cellStyle name="Normal 2 5 2 7 5 3 2" xfId="34940" xr:uid="{00000000-0005-0000-0000-0000B2490000}"/>
    <cellStyle name="Normal 2 5 2 7 5 4" xfId="18206" xr:uid="{00000000-0005-0000-0000-0000B3490000}"/>
    <cellStyle name="Normal 2 5 2 7 5 4 2" xfId="43759" xr:uid="{00000000-0005-0000-0000-0000B4490000}"/>
    <cellStyle name="Normal 2 5 2 7 5 5" xfId="29696" xr:uid="{00000000-0005-0000-0000-0000B5490000}"/>
    <cellStyle name="Normal 2 5 2 7 6" xfId="1901" xr:uid="{00000000-0005-0000-0000-0000B6490000}"/>
    <cellStyle name="Normal 2 5 2 7 6 2" xfId="11266" xr:uid="{00000000-0005-0000-0000-0000B7490000}"/>
    <cellStyle name="Normal 2 5 2 7 6 2 2" xfId="36821" xr:uid="{00000000-0005-0000-0000-0000B8490000}"/>
    <cellStyle name="Normal 2 5 2 7 6 3" xfId="21270" xr:uid="{00000000-0005-0000-0000-0000B9490000}"/>
    <cellStyle name="Normal 2 5 2 7 6 3 2" xfId="46823" xr:uid="{00000000-0005-0000-0000-0000BA490000}"/>
    <cellStyle name="Normal 2 5 2 7 6 4" xfId="27753" xr:uid="{00000000-0005-0000-0000-0000BB490000}"/>
    <cellStyle name="Normal 2 5 2 7 7" xfId="5582" xr:uid="{00000000-0005-0000-0000-0000BC490000}"/>
    <cellStyle name="Normal 2 5 2 7 7 2" xfId="14409" xr:uid="{00000000-0005-0000-0000-0000BD490000}"/>
    <cellStyle name="Normal 2 5 2 7 7 2 2" xfId="39964" xr:uid="{00000000-0005-0000-0000-0000BE490000}"/>
    <cellStyle name="Normal 2 5 2 7 7 3" xfId="24660" xr:uid="{00000000-0005-0000-0000-0000BF490000}"/>
    <cellStyle name="Normal 2 5 2 7 7 3 2" xfId="50213" xr:uid="{00000000-0005-0000-0000-0000C0490000}"/>
    <cellStyle name="Normal 2 5 2 7 7 4" xfId="31143" xr:uid="{00000000-0005-0000-0000-0000C1490000}"/>
    <cellStyle name="Normal 2 5 2 7 8" xfId="7026" xr:uid="{00000000-0005-0000-0000-0000C2490000}"/>
    <cellStyle name="Normal 2 5 2 7 8 2" xfId="19752" xr:uid="{00000000-0005-0000-0000-0000C3490000}"/>
    <cellStyle name="Normal 2 5 2 7 8 2 2" xfId="45305" xr:uid="{00000000-0005-0000-0000-0000C4490000}"/>
    <cellStyle name="Normal 2 5 2 7 8 3" xfId="32583" xr:uid="{00000000-0005-0000-0000-0000C5490000}"/>
    <cellStyle name="Normal 2 5 2 7 9" xfId="16263" xr:uid="{00000000-0005-0000-0000-0000C6490000}"/>
    <cellStyle name="Normal 2 5 2 7 9 2" xfId="41816" xr:uid="{00000000-0005-0000-0000-0000C7490000}"/>
    <cellStyle name="Normal 2 5 2 7_Degree data" xfId="3923" xr:uid="{00000000-0005-0000-0000-0000C8490000}"/>
    <cellStyle name="Normal 2 5 2 8" xfId="727" xr:uid="{00000000-0005-0000-0000-0000C9490000}"/>
    <cellStyle name="Normal 2 5 2 8 2" xfId="3213" xr:uid="{00000000-0005-0000-0000-0000CA490000}"/>
    <cellStyle name="Normal 2 5 2 8 2 2" xfId="12355" xr:uid="{00000000-0005-0000-0000-0000CB490000}"/>
    <cellStyle name="Normal 2 5 2 8 2 2 2" xfId="22574" xr:uid="{00000000-0005-0000-0000-0000CC490000}"/>
    <cellStyle name="Normal 2 5 2 8 2 2 2 2" xfId="48127" xr:uid="{00000000-0005-0000-0000-0000CD490000}"/>
    <cellStyle name="Normal 2 5 2 8 2 2 3" xfId="37910" xr:uid="{00000000-0005-0000-0000-0000CE490000}"/>
    <cellStyle name="Normal 2 5 2 8 2 3" xfId="8777" xr:uid="{00000000-0005-0000-0000-0000CF490000}"/>
    <cellStyle name="Normal 2 5 2 8 2 3 2" xfId="34334" xr:uid="{00000000-0005-0000-0000-0000D0490000}"/>
    <cellStyle name="Normal 2 5 2 8 2 4" xfId="17567" xr:uid="{00000000-0005-0000-0000-0000D1490000}"/>
    <cellStyle name="Normal 2 5 2 8 2 4 2" xfId="43120" xr:uid="{00000000-0005-0000-0000-0000D2490000}"/>
    <cellStyle name="Normal 2 5 2 8 2 5" xfId="29057" xr:uid="{00000000-0005-0000-0000-0000D3490000}"/>
    <cellStyle name="Normal 2 5 2 8 3" xfId="4542" xr:uid="{00000000-0005-0000-0000-0000D4490000}"/>
    <cellStyle name="Normal 2 5 2 8 3 2" xfId="13380" xr:uid="{00000000-0005-0000-0000-0000D5490000}"/>
    <cellStyle name="Normal 2 5 2 8 3 2 2" xfId="23631" xr:uid="{00000000-0005-0000-0000-0000D6490000}"/>
    <cellStyle name="Normal 2 5 2 8 3 2 2 2" xfId="49184" xr:uid="{00000000-0005-0000-0000-0000D7490000}"/>
    <cellStyle name="Normal 2 5 2 8 3 2 3" xfId="38935" xr:uid="{00000000-0005-0000-0000-0000D8490000}"/>
    <cellStyle name="Normal 2 5 2 8 3 3" xfId="9801" xr:uid="{00000000-0005-0000-0000-0000D9490000}"/>
    <cellStyle name="Normal 2 5 2 8 3 3 2" xfId="35358" xr:uid="{00000000-0005-0000-0000-0000DA490000}"/>
    <cellStyle name="Normal 2 5 2 8 3 4" xfId="18624" xr:uid="{00000000-0005-0000-0000-0000DB490000}"/>
    <cellStyle name="Normal 2 5 2 8 3 4 2" xfId="44177" xr:uid="{00000000-0005-0000-0000-0000DC490000}"/>
    <cellStyle name="Normal 2 5 2 8 3 5" xfId="30114" xr:uid="{00000000-0005-0000-0000-0000DD490000}"/>
    <cellStyle name="Normal 2 5 2 8 4" xfId="2322" xr:uid="{00000000-0005-0000-0000-0000DE490000}"/>
    <cellStyle name="Normal 2 5 2 8 4 2" xfId="11687" xr:uid="{00000000-0005-0000-0000-0000DF490000}"/>
    <cellStyle name="Normal 2 5 2 8 4 2 2" xfId="37242" xr:uid="{00000000-0005-0000-0000-0000E0490000}"/>
    <cellStyle name="Normal 2 5 2 8 4 3" xfId="21691" xr:uid="{00000000-0005-0000-0000-0000E1490000}"/>
    <cellStyle name="Normal 2 5 2 8 4 3 2" xfId="47244" xr:uid="{00000000-0005-0000-0000-0000E2490000}"/>
    <cellStyle name="Normal 2 5 2 8 4 4" xfId="28174" xr:uid="{00000000-0005-0000-0000-0000E3490000}"/>
    <cellStyle name="Normal 2 5 2 8 5" xfId="5998" xr:uid="{00000000-0005-0000-0000-0000E4490000}"/>
    <cellStyle name="Normal 2 5 2 8 5 2" xfId="14825" xr:uid="{00000000-0005-0000-0000-0000E5490000}"/>
    <cellStyle name="Normal 2 5 2 8 5 2 2" xfId="40380" xr:uid="{00000000-0005-0000-0000-0000E6490000}"/>
    <cellStyle name="Normal 2 5 2 8 5 3" xfId="25076" xr:uid="{00000000-0005-0000-0000-0000E7490000}"/>
    <cellStyle name="Normal 2 5 2 8 5 3 2" xfId="50629" xr:uid="{00000000-0005-0000-0000-0000E8490000}"/>
    <cellStyle name="Normal 2 5 2 8 5 4" xfId="31559" xr:uid="{00000000-0005-0000-0000-0000E9490000}"/>
    <cellStyle name="Normal 2 5 2 8 6" xfId="7442" xr:uid="{00000000-0005-0000-0000-0000EA490000}"/>
    <cellStyle name="Normal 2 5 2 8 6 2" xfId="20173" xr:uid="{00000000-0005-0000-0000-0000EB490000}"/>
    <cellStyle name="Normal 2 5 2 8 6 2 2" xfId="45726" xr:uid="{00000000-0005-0000-0000-0000EC490000}"/>
    <cellStyle name="Normal 2 5 2 8 6 3" xfId="32999" xr:uid="{00000000-0005-0000-0000-0000ED490000}"/>
    <cellStyle name="Normal 2 5 2 8 7" xfId="16684" xr:uid="{00000000-0005-0000-0000-0000EE490000}"/>
    <cellStyle name="Normal 2 5 2 8 7 2" xfId="42237" xr:uid="{00000000-0005-0000-0000-0000EF490000}"/>
    <cellStyle name="Normal 2 5 2 8 8" xfId="26656" xr:uid="{00000000-0005-0000-0000-0000F0490000}"/>
    <cellStyle name="Normal 2 5 2 9" xfId="1046" xr:uid="{00000000-0005-0000-0000-0000F1490000}"/>
    <cellStyle name="Normal 2 5 2 9 2" xfId="3475" xr:uid="{00000000-0005-0000-0000-0000F2490000}"/>
    <cellStyle name="Normal 2 5 2 9 2 2" xfId="12611" xr:uid="{00000000-0005-0000-0000-0000F3490000}"/>
    <cellStyle name="Normal 2 5 2 9 2 2 2" xfId="22830" xr:uid="{00000000-0005-0000-0000-0000F4490000}"/>
    <cellStyle name="Normal 2 5 2 9 2 2 2 2" xfId="48383" xr:uid="{00000000-0005-0000-0000-0000F5490000}"/>
    <cellStyle name="Normal 2 5 2 9 2 2 3" xfId="38166" xr:uid="{00000000-0005-0000-0000-0000F6490000}"/>
    <cellStyle name="Normal 2 5 2 9 2 3" xfId="9033" xr:uid="{00000000-0005-0000-0000-0000F7490000}"/>
    <cellStyle name="Normal 2 5 2 9 2 3 2" xfId="34590" xr:uid="{00000000-0005-0000-0000-0000F8490000}"/>
    <cellStyle name="Normal 2 5 2 9 2 4" xfId="17823" xr:uid="{00000000-0005-0000-0000-0000F9490000}"/>
    <cellStyle name="Normal 2 5 2 9 2 4 2" xfId="43376" xr:uid="{00000000-0005-0000-0000-0000FA490000}"/>
    <cellStyle name="Normal 2 5 2 9 2 5" xfId="29313" xr:uid="{00000000-0005-0000-0000-0000FB490000}"/>
    <cellStyle name="Normal 2 5 2 9 3" xfId="4891" xr:uid="{00000000-0005-0000-0000-0000FC490000}"/>
    <cellStyle name="Normal 2 5 2 9 3 2" xfId="13728" xr:uid="{00000000-0005-0000-0000-0000FD490000}"/>
    <cellStyle name="Normal 2 5 2 9 3 2 2" xfId="23979" xr:uid="{00000000-0005-0000-0000-0000FE490000}"/>
    <cellStyle name="Normal 2 5 2 9 3 2 2 2" xfId="49532" xr:uid="{00000000-0005-0000-0000-0000FF490000}"/>
    <cellStyle name="Normal 2 5 2 9 3 2 3" xfId="39283" xr:uid="{00000000-0005-0000-0000-0000004A0000}"/>
    <cellStyle name="Normal 2 5 2 9 3 3" xfId="10149" xr:uid="{00000000-0005-0000-0000-0000014A0000}"/>
    <cellStyle name="Normal 2 5 2 9 3 3 2" xfId="35706" xr:uid="{00000000-0005-0000-0000-0000024A0000}"/>
    <cellStyle name="Normal 2 5 2 9 3 4" xfId="18972" xr:uid="{00000000-0005-0000-0000-0000034A0000}"/>
    <cellStyle name="Normal 2 5 2 9 3 4 2" xfId="44525" xr:uid="{00000000-0005-0000-0000-0000044A0000}"/>
    <cellStyle name="Normal 2 5 2 9 3 5" xfId="30462" xr:uid="{00000000-0005-0000-0000-0000054A0000}"/>
    <cellStyle name="Normal 2 5 2 9 4" xfId="1726" xr:uid="{00000000-0005-0000-0000-0000064A0000}"/>
    <cellStyle name="Normal 2 5 2 9 4 2" xfId="11100" xr:uid="{00000000-0005-0000-0000-0000074A0000}"/>
    <cellStyle name="Normal 2 5 2 9 4 2 2" xfId="36655" xr:uid="{00000000-0005-0000-0000-0000084A0000}"/>
    <cellStyle name="Normal 2 5 2 9 4 3" xfId="21104" xr:uid="{00000000-0005-0000-0000-0000094A0000}"/>
    <cellStyle name="Normal 2 5 2 9 4 3 2" xfId="46657" xr:uid="{00000000-0005-0000-0000-00000A4A0000}"/>
    <cellStyle name="Normal 2 5 2 9 4 4" xfId="27587" xr:uid="{00000000-0005-0000-0000-00000B4A0000}"/>
    <cellStyle name="Normal 2 5 2 9 5" xfId="6346" xr:uid="{00000000-0005-0000-0000-00000C4A0000}"/>
    <cellStyle name="Normal 2 5 2 9 5 2" xfId="15173" xr:uid="{00000000-0005-0000-0000-00000D4A0000}"/>
    <cellStyle name="Normal 2 5 2 9 5 2 2" xfId="40728" xr:uid="{00000000-0005-0000-0000-00000E4A0000}"/>
    <cellStyle name="Normal 2 5 2 9 5 3" xfId="25424" xr:uid="{00000000-0005-0000-0000-00000F4A0000}"/>
    <cellStyle name="Normal 2 5 2 9 5 3 2" xfId="50977" xr:uid="{00000000-0005-0000-0000-0000104A0000}"/>
    <cellStyle name="Normal 2 5 2 9 5 4" xfId="31907" xr:uid="{00000000-0005-0000-0000-0000114A0000}"/>
    <cellStyle name="Normal 2 5 2 9 6" xfId="7792" xr:uid="{00000000-0005-0000-0000-0000124A0000}"/>
    <cellStyle name="Normal 2 5 2 9 6 2" xfId="20429" xr:uid="{00000000-0005-0000-0000-0000134A0000}"/>
    <cellStyle name="Normal 2 5 2 9 6 2 2" xfId="45982" xr:uid="{00000000-0005-0000-0000-0000144A0000}"/>
    <cellStyle name="Normal 2 5 2 9 6 3" xfId="33349" xr:uid="{00000000-0005-0000-0000-0000154A0000}"/>
    <cellStyle name="Normal 2 5 2 9 7" xfId="16097" xr:uid="{00000000-0005-0000-0000-0000164A0000}"/>
    <cellStyle name="Normal 2 5 2 9 7 2" xfId="41650" xr:uid="{00000000-0005-0000-0000-0000174A0000}"/>
    <cellStyle name="Normal 2 5 2 9 8" xfId="26912" xr:uid="{00000000-0005-0000-0000-0000184A0000}"/>
    <cellStyle name="Normal 2 5 2_Degree data" xfId="3919" xr:uid="{00000000-0005-0000-0000-0000194A0000}"/>
    <cellStyle name="Normal 2 5 3" xfId="104" xr:uid="{00000000-0005-0000-0000-00001A4A0000}"/>
    <cellStyle name="Normal 2 5 3 10" xfId="4096" xr:uid="{00000000-0005-0000-0000-00001B4A0000}"/>
    <cellStyle name="Normal 2 5 3 10 2" xfId="5554" xr:uid="{00000000-0005-0000-0000-00001C4A0000}"/>
    <cellStyle name="Normal 2 5 3 10 2 2" xfId="14381" xr:uid="{00000000-0005-0000-0000-00001D4A0000}"/>
    <cellStyle name="Normal 2 5 3 10 2 2 2" xfId="39936" xr:uid="{00000000-0005-0000-0000-00001E4A0000}"/>
    <cellStyle name="Normal 2 5 3 10 2 3" xfId="24632" xr:uid="{00000000-0005-0000-0000-00001F4A0000}"/>
    <cellStyle name="Normal 2 5 3 10 2 3 2" xfId="50185" xr:uid="{00000000-0005-0000-0000-0000204A0000}"/>
    <cellStyle name="Normal 2 5 3 10 2 4" xfId="31115" xr:uid="{00000000-0005-0000-0000-0000214A0000}"/>
    <cellStyle name="Normal 2 5 3 10 3" xfId="6998" xr:uid="{00000000-0005-0000-0000-0000224A0000}"/>
    <cellStyle name="Normal 2 5 3 10 3 2" xfId="23185" xr:uid="{00000000-0005-0000-0000-0000234A0000}"/>
    <cellStyle name="Normal 2 5 3 10 3 2 2" xfId="48738" xr:uid="{00000000-0005-0000-0000-0000244A0000}"/>
    <cellStyle name="Normal 2 5 3 10 3 3" xfId="32555" xr:uid="{00000000-0005-0000-0000-0000254A0000}"/>
    <cellStyle name="Normal 2 5 3 10 4" xfId="18178" xr:uid="{00000000-0005-0000-0000-0000264A0000}"/>
    <cellStyle name="Normal 2 5 3 10 4 2" xfId="43731" xr:uid="{00000000-0005-0000-0000-0000274A0000}"/>
    <cellStyle name="Normal 2 5 3 10 5" xfId="29668" xr:uid="{00000000-0005-0000-0000-0000284A0000}"/>
    <cellStyle name="Normal 2 5 3 11" xfId="1413" xr:uid="{00000000-0005-0000-0000-0000294A0000}"/>
    <cellStyle name="Normal 2 5 3 11 2" xfId="10790" xr:uid="{00000000-0005-0000-0000-00002A4A0000}"/>
    <cellStyle name="Normal 2 5 3 11 2 2" xfId="36345" xr:uid="{00000000-0005-0000-0000-00002B4A0000}"/>
    <cellStyle name="Normal 2 5 3 11 3" xfId="20794" xr:uid="{00000000-0005-0000-0000-00002C4A0000}"/>
    <cellStyle name="Normal 2 5 3 11 3 2" xfId="46347" xr:uid="{00000000-0005-0000-0000-00002D4A0000}"/>
    <cellStyle name="Normal 2 5 3 11 4" xfId="27277" xr:uid="{00000000-0005-0000-0000-00002E4A0000}"/>
    <cellStyle name="Normal 2 5 3 12" xfId="5524" xr:uid="{00000000-0005-0000-0000-00002F4A0000}"/>
    <cellStyle name="Normal 2 5 3 12 2" xfId="14351" xr:uid="{00000000-0005-0000-0000-0000304A0000}"/>
    <cellStyle name="Normal 2 5 3 12 2 2" xfId="39906" xr:uid="{00000000-0005-0000-0000-0000314A0000}"/>
    <cellStyle name="Normal 2 5 3 12 3" xfId="24602" xr:uid="{00000000-0005-0000-0000-0000324A0000}"/>
    <cellStyle name="Normal 2 5 3 12 3 2" xfId="50155" xr:uid="{00000000-0005-0000-0000-0000334A0000}"/>
    <cellStyle name="Normal 2 5 3 12 4" xfId="31085" xr:uid="{00000000-0005-0000-0000-0000344A0000}"/>
    <cellStyle name="Normal 2 5 3 13" xfId="6965" xr:uid="{00000000-0005-0000-0000-0000354A0000}"/>
    <cellStyle name="Normal 2 5 3 13 2" xfId="19579" xr:uid="{00000000-0005-0000-0000-0000364A0000}"/>
    <cellStyle name="Normal 2 5 3 13 2 2" xfId="45132" xr:uid="{00000000-0005-0000-0000-0000374A0000}"/>
    <cellStyle name="Normal 2 5 3 13 3" xfId="32523" xr:uid="{00000000-0005-0000-0000-0000384A0000}"/>
    <cellStyle name="Normal 2 5 3 14" xfId="15787" xr:uid="{00000000-0005-0000-0000-0000394A0000}"/>
    <cellStyle name="Normal 2 5 3 14 2" xfId="41340" xr:uid="{00000000-0005-0000-0000-00003A4A0000}"/>
    <cellStyle name="Normal 2 5 3 15" xfId="26062" xr:uid="{00000000-0005-0000-0000-00003B4A0000}"/>
    <cellStyle name="Normal 2 5 3 2" xfId="145" xr:uid="{00000000-0005-0000-0000-00003C4A0000}"/>
    <cellStyle name="Normal 2 5 3 2 10" xfId="5656" xr:uid="{00000000-0005-0000-0000-00003D4A0000}"/>
    <cellStyle name="Normal 2 5 3 2 10 2" xfId="14483" xr:uid="{00000000-0005-0000-0000-00003E4A0000}"/>
    <cellStyle name="Normal 2 5 3 2 10 2 2" xfId="40038" xr:uid="{00000000-0005-0000-0000-00003F4A0000}"/>
    <cellStyle name="Normal 2 5 3 2 10 3" xfId="24734" xr:uid="{00000000-0005-0000-0000-0000404A0000}"/>
    <cellStyle name="Normal 2 5 3 2 10 3 2" xfId="50287" xr:uid="{00000000-0005-0000-0000-0000414A0000}"/>
    <cellStyle name="Normal 2 5 3 2 10 4" xfId="31217" xr:uid="{00000000-0005-0000-0000-0000424A0000}"/>
    <cellStyle name="Normal 2 5 3 2 11" xfId="7100" xr:uid="{00000000-0005-0000-0000-0000434A0000}"/>
    <cellStyle name="Normal 2 5 3 2 11 2" xfId="19609" xr:uid="{00000000-0005-0000-0000-0000444A0000}"/>
    <cellStyle name="Normal 2 5 3 2 11 2 2" xfId="45162" xr:uid="{00000000-0005-0000-0000-0000454A0000}"/>
    <cellStyle name="Normal 2 5 3 2 11 3" xfId="32657" xr:uid="{00000000-0005-0000-0000-0000464A0000}"/>
    <cellStyle name="Normal 2 5 3 2 12" xfId="15846" xr:uid="{00000000-0005-0000-0000-0000474A0000}"/>
    <cellStyle name="Normal 2 5 3 2 12 2" xfId="41399" xr:uid="{00000000-0005-0000-0000-0000484A0000}"/>
    <cellStyle name="Normal 2 5 3 2 13" xfId="26092" xr:uid="{00000000-0005-0000-0000-0000494A0000}"/>
    <cellStyle name="Normal 2 5 3 2 2" xfId="261" xr:uid="{00000000-0005-0000-0000-00004A4A0000}"/>
    <cellStyle name="Normal 2 5 3 2 2 10" xfId="16050" xr:uid="{00000000-0005-0000-0000-00004B4A0000}"/>
    <cellStyle name="Normal 2 5 3 2 2 10 2" xfId="41603" xr:uid="{00000000-0005-0000-0000-00004C4A0000}"/>
    <cellStyle name="Normal 2 5 3 2 2 11" xfId="26196" xr:uid="{00000000-0005-0000-0000-00004D4A0000}"/>
    <cellStyle name="Normal 2 5 3 2 2 2" xfId="584" xr:uid="{00000000-0005-0000-0000-00004E4A0000}"/>
    <cellStyle name="Normal 2 5 3 2 2 2 2" xfId="3070" xr:uid="{00000000-0005-0000-0000-00004F4A0000}"/>
    <cellStyle name="Normal 2 5 3 2 2 2 2 2" xfId="12221" xr:uid="{00000000-0005-0000-0000-0000504A0000}"/>
    <cellStyle name="Normal 2 5 3 2 2 2 2 2 2" xfId="22431" xr:uid="{00000000-0005-0000-0000-0000514A0000}"/>
    <cellStyle name="Normal 2 5 3 2 2 2 2 2 2 2" xfId="47984" xr:uid="{00000000-0005-0000-0000-0000524A0000}"/>
    <cellStyle name="Normal 2 5 3 2 2 2 2 2 3" xfId="37776" xr:uid="{00000000-0005-0000-0000-0000534A0000}"/>
    <cellStyle name="Normal 2 5 3 2 2 2 2 3" xfId="8643" xr:uid="{00000000-0005-0000-0000-0000544A0000}"/>
    <cellStyle name="Normal 2 5 3 2 2 2 2 3 2" xfId="34200" xr:uid="{00000000-0005-0000-0000-0000554A0000}"/>
    <cellStyle name="Normal 2 5 3 2 2 2 2 4" xfId="17424" xr:uid="{00000000-0005-0000-0000-0000564A0000}"/>
    <cellStyle name="Normal 2 5 3 2 2 2 2 4 2" xfId="42977" xr:uid="{00000000-0005-0000-0000-0000574A0000}"/>
    <cellStyle name="Normal 2 5 3 2 2 2 2 5" xfId="28914" xr:uid="{00000000-0005-0000-0000-0000584A0000}"/>
    <cellStyle name="Normal 2 5 3 2 2 2 3" xfId="4564" xr:uid="{00000000-0005-0000-0000-0000594A0000}"/>
    <cellStyle name="Normal 2 5 3 2 2 2 3 2" xfId="13402" xr:uid="{00000000-0005-0000-0000-00005A4A0000}"/>
    <cellStyle name="Normal 2 5 3 2 2 2 3 2 2" xfId="23653" xr:uid="{00000000-0005-0000-0000-00005B4A0000}"/>
    <cellStyle name="Normal 2 5 3 2 2 2 3 2 2 2" xfId="49206" xr:uid="{00000000-0005-0000-0000-00005C4A0000}"/>
    <cellStyle name="Normal 2 5 3 2 2 2 3 2 3" xfId="38957" xr:uid="{00000000-0005-0000-0000-00005D4A0000}"/>
    <cellStyle name="Normal 2 5 3 2 2 2 3 3" xfId="9823" xr:uid="{00000000-0005-0000-0000-00005E4A0000}"/>
    <cellStyle name="Normal 2 5 3 2 2 2 3 3 2" xfId="35380" xr:uid="{00000000-0005-0000-0000-00005F4A0000}"/>
    <cellStyle name="Normal 2 5 3 2 2 2 3 4" xfId="18646" xr:uid="{00000000-0005-0000-0000-0000604A0000}"/>
    <cellStyle name="Normal 2 5 3 2 2 2 3 4 2" xfId="44199" xr:uid="{00000000-0005-0000-0000-0000614A0000}"/>
    <cellStyle name="Normal 2 5 3 2 2 2 3 5" xfId="30136" xr:uid="{00000000-0005-0000-0000-0000624A0000}"/>
    <cellStyle name="Normal 2 5 3 2 2 2 4" xfId="2179" xr:uid="{00000000-0005-0000-0000-0000634A0000}"/>
    <cellStyle name="Normal 2 5 3 2 2 2 4 2" xfId="11544" xr:uid="{00000000-0005-0000-0000-0000644A0000}"/>
    <cellStyle name="Normal 2 5 3 2 2 2 4 2 2" xfId="37099" xr:uid="{00000000-0005-0000-0000-0000654A0000}"/>
    <cellStyle name="Normal 2 5 3 2 2 2 4 3" xfId="21548" xr:uid="{00000000-0005-0000-0000-0000664A0000}"/>
    <cellStyle name="Normal 2 5 3 2 2 2 4 3 2" xfId="47101" xr:uid="{00000000-0005-0000-0000-0000674A0000}"/>
    <cellStyle name="Normal 2 5 3 2 2 2 4 4" xfId="28031" xr:uid="{00000000-0005-0000-0000-0000684A0000}"/>
    <cellStyle name="Normal 2 5 3 2 2 2 5" xfId="6020" xr:uid="{00000000-0005-0000-0000-0000694A0000}"/>
    <cellStyle name="Normal 2 5 3 2 2 2 5 2" xfId="14847" xr:uid="{00000000-0005-0000-0000-00006A4A0000}"/>
    <cellStyle name="Normal 2 5 3 2 2 2 5 2 2" xfId="40402" xr:uid="{00000000-0005-0000-0000-00006B4A0000}"/>
    <cellStyle name="Normal 2 5 3 2 2 2 5 3" xfId="25098" xr:uid="{00000000-0005-0000-0000-00006C4A0000}"/>
    <cellStyle name="Normal 2 5 3 2 2 2 5 3 2" xfId="50651" xr:uid="{00000000-0005-0000-0000-00006D4A0000}"/>
    <cellStyle name="Normal 2 5 3 2 2 2 5 4" xfId="31581" xr:uid="{00000000-0005-0000-0000-00006E4A0000}"/>
    <cellStyle name="Normal 2 5 3 2 2 2 6" xfId="7464" xr:uid="{00000000-0005-0000-0000-00006F4A0000}"/>
    <cellStyle name="Normal 2 5 3 2 2 2 6 2" xfId="20030" xr:uid="{00000000-0005-0000-0000-0000704A0000}"/>
    <cellStyle name="Normal 2 5 3 2 2 2 6 2 2" xfId="45583" xr:uid="{00000000-0005-0000-0000-0000714A0000}"/>
    <cellStyle name="Normal 2 5 3 2 2 2 6 3" xfId="33021" xr:uid="{00000000-0005-0000-0000-0000724A0000}"/>
    <cellStyle name="Normal 2 5 3 2 2 2 7" xfId="16541" xr:uid="{00000000-0005-0000-0000-0000734A0000}"/>
    <cellStyle name="Normal 2 5 3 2 2 2 7 2" xfId="42094" xr:uid="{00000000-0005-0000-0000-0000744A0000}"/>
    <cellStyle name="Normal 2 5 3 2 2 2 8" xfId="26513" xr:uid="{00000000-0005-0000-0000-0000754A0000}"/>
    <cellStyle name="Normal 2 5 3 2 2 3" xfId="749" xr:uid="{00000000-0005-0000-0000-0000764A0000}"/>
    <cellStyle name="Normal 2 5 3 2 2 3 2" xfId="3235" xr:uid="{00000000-0005-0000-0000-0000774A0000}"/>
    <cellStyle name="Normal 2 5 3 2 2 3 2 2" xfId="12377" xr:uid="{00000000-0005-0000-0000-0000784A0000}"/>
    <cellStyle name="Normal 2 5 3 2 2 3 2 2 2" xfId="22596" xr:uid="{00000000-0005-0000-0000-0000794A0000}"/>
    <cellStyle name="Normal 2 5 3 2 2 3 2 2 2 2" xfId="48149" xr:uid="{00000000-0005-0000-0000-00007A4A0000}"/>
    <cellStyle name="Normal 2 5 3 2 2 3 2 2 3" xfId="37932" xr:uid="{00000000-0005-0000-0000-00007B4A0000}"/>
    <cellStyle name="Normal 2 5 3 2 2 3 2 3" xfId="8799" xr:uid="{00000000-0005-0000-0000-00007C4A0000}"/>
    <cellStyle name="Normal 2 5 3 2 2 3 2 3 2" xfId="34356" xr:uid="{00000000-0005-0000-0000-00007D4A0000}"/>
    <cellStyle name="Normal 2 5 3 2 2 3 2 4" xfId="17589" xr:uid="{00000000-0005-0000-0000-00007E4A0000}"/>
    <cellStyle name="Normal 2 5 3 2 2 3 2 4 2" xfId="43142" xr:uid="{00000000-0005-0000-0000-00007F4A0000}"/>
    <cellStyle name="Normal 2 5 3 2 2 3 2 5" xfId="29079" xr:uid="{00000000-0005-0000-0000-0000804A0000}"/>
    <cellStyle name="Normal 2 5 3 2 2 3 3" xfId="4913" xr:uid="{00000000-0005-0000-0000-0000814A0000}"/>
    <cellStyle name="Normal 2 5 3 2 2 3 3 2" xfId="13750" xr:uid="{00000000-0005-0000-0000-0000824A0000}"/>
    <cellStyle name="Normal 2 5 3 2 2 3 3 2 2" xfId="24001" xr:uid="{00000000-0005-0000-0000-0000834A0000}"/>
    <cellStyle name="Normal 2 5 3 2 2 3 3 2 2 2" xfId="49554" xr:uid="{00000000-0005-0000-0000-0000844A0000}"/>
    <cellStyle name="Normal 2 5 3 2 2 3 3 2 3" xfId="39305" xr:uid="{00000000-0005-0000-0000-0000854A0000}"/>
    <cellStyle name="Normal 2 5 3 2 2 3 3 3" xfId="10171" xr:uid="{00000000-0005-0000-0000-0000864A0000}"/>
    <cellStyle name="Normal 2 5 3 2 2 3 3 3 2" xfId="35728" xr:uid="{00000000-0005-0000-0000-0000874A0000}"/>
    <cellStyle name="Normal 2 5 3 2 2 3 3 4" xfId="18994" xr:uid="{00000000-0005-0000-0000-0000884A0000}"/>
    <cellStyle name="Normal 2 5 3 2 2 3 3 4 2" xfId="44547" xr:uid="{00000000-0005-0000-0000-0000894A0000}"/>
    <cellStyle name="Normal 2 5 3 2 2 3 3 5" xfId="30484" xr:uid="{00000000-0005-0000-0000-00008A4A0000}"/>
    <cellStyle name="Normal 2 5 3 2 2 3 4" xfId="2344" xr:uid="{00000000-0005-0000-0000-00008B4A0000}"/>
    <cellStyle name="Normal 2 5 3 2 2 3 4 2" xfId="11709" xr:uid="{00000000-0005-0000-0000-00008C4A0000}"/>
    <cellStyle name="Normal 2 5 3 2 2 3 4 2 2" xfId="37264" xr:uid="{00000000-0005-0000-0000-00008D4A0000}"/>
    <cellStyle name="Normal 2 5 3 2 2 3 4 3" xfId="21713" xr:uid="{00000000-0005-0000-0000-00008E4A0000}"/>
    <cellStyle name="Normal 2 5 3 2 2 3 4 3 2" xfId="47266" xr:uid="{00000000-0005-0000-0000-00008F4A0000}"/>
    <cellStyle name="Normal 2 5 3 2 2 3 4 4" xfId="28196" xr:uid="{00000000-0005-0000-0000-0000904A0000}"/>
    <cellStyle name="Normal 2 5 3 2 2 3 5" xfId="6368" xr:uid="{00000000-0005-0000-0000-0000914A0000}"/>
    <cellStyle name="Normal 2 5 3 2 2 3 5 2" xfId="15195" xr:uid="{00000000-0005-0000-0000-0000924A0000}"/>
    <cellStyle name="Normal 2 5 3 2 2 3 5 2 2" xfId="40750" xr:uid="{00000000-0005-0000-0000-0000934A0000}"/>
    <cellStyle name="Normal 2 5 3 2 2 3 5 3" xfId="25446" xr:uid="{00000000-0005-0000-0000-0000944A0000}"/>
    <cellStyle name="Normal 2 5 3 2 2 3 5 3 2" xfId="50999" xr:uid="{00000000-0005-0000-0000-0000954A0000}"/>
    <cellStyle name="Normal 2 5 3 2 2 3 5 4" xfId="31929" xr:uid="{00000000-0005-0000-0000-0000964A0000}"/>
    <cellStyle name="Normal 2 5 3 2 2 3 6" xfId="7814" xr:uid="{00000000-0005-0000-0000-0000974A0000}"/>
    <cellStyle name="Normal 2 5 3 2 2 3 6 2" xfId="20195" xr:uid="{00000000-0005-0000-0000-0000984A0000}"/>
    <cellStyle name="Normal 2 5 3 2 2 3 6 2 2" xfId="45748" xr:uid="{00000000-0005-0000-0000-0000994A0000}"/>
    <cellStyle name="Normal 2 5 3 2 2 3 6 3" xfId="33371" xr:uid="{00000000-0005-0000-0000-00009A4A0000}"/>
    <cellStyle name="Normal 2 5 3 2 2 3 7" xfId="16706" xr:uid="{00000000-0005-0000-0000-00009B4A0000}"/>
    <cellStyle name="Normal 2 5 3 2 2 3 7 2" xfId="42259" xr:uid="{00000000-0005-0000-0000-00009C4A0000}"/>
    <cellStyle name="Normal 2 5 3 2 2 3 8" xfId="26678" xr:uid="{00000000-0005-0000-0000-00009D4A0000}"/>
    <cellStyle name="Normal 2 5 3 2 2 4" xfId="1356" xr:uid="{00000000-0005-0000-0000-00009E4A0000}"/>
    <cellStyle name="Normal 2 5 3 2 2 4 2" xfId="3785" xr:uid="{00000000-0005-0000-0000-00009F4A0000}"/>
    <cellStyle name="Normal 2 5 3 2 2 4 2 2" xfId="12921" xr:uid="{00000000-0005-0000-0000-0000A04A0000}"/>
    <cellStyle name="Normal 2 5 3 2 2 4 2 2 2" xfId="23140" xr:uid="{00000000-0005-0000-0000-0000A14A0000}"/>
    <cellStyle name="Normal 2 5 3 2 2 4 2 2 2 2" xfId="48693" xr:uid="{00000000-0005-0000-0000-0000A24A0000}"/>
    <cellStyle name="Normal 2 5 3 2 2 4 2 2 3" xfId="38476" xr:uid="{00000000-0005-0000-0000-0000A34A0000}"/>
    <cellStyle name="Normal 2 5 3 2 2 4 2 3" xfId="9342" xr:uid="{00000000-0005-0000-0000-0000A44A0000}"/>
    <cellStyle name="Normal 2 5 3 2 2 4 2 3 2" xfId="34899" xr:uid="{00000000-0005-0000-0000-0000A54A0000}"/>
    <cellStyle name="Normal 2 5 3 2 2 4 2 4" xfId="18133" xr:uid="{00000000-0005-0000-0000-0000A64A0000}"/>
    <cellStyle name="Normal 2 5 3 2 2 4 2 4 2" xfId="43686" xr:uid="{00000000-0005-0000-0000-0000A74A0000}"/>
    <cellStyle name="Normal 2 5 3 2 2 4 2 5" xfId="29623" xr:uid="{00000000-0005-0000-0000-0000A84A0000}"/>
    <cellStyle name="Normal 2 5 3 2 2 4 3" xfId="5448" xr:uid="{00000000-0005-0000-0000-0000A94A0000}"/>
    <cellStyle name="Normal 2 5 3 2 2 4 3 2" xfId="14285" xr:uid="{00000000-0005-0000-0000-0000AA4A0000}"/>
    <cellStyle name="Normal 2 5 3 2 2 4 3 2 2" xfId="24536" xr:uid="{00000000-0005-0000-0000-0000AB4A0000}"/>
    <cellStyle name="Normal 2 5 3 2 2 4 3 2 2 2" xfId="50089" xr:uid="{00000000-0005-0000-0000-0000AC4A0000}"/>
    <cellStyle name="Normal 2 5 3 2 2 4 3 2 3" xfId="39840" xr:uid="{00000000-0005-0000-0000-0000AD4A0000}"/>
    <cellStyle name="Normal 2 5 3 2 2 4 3 3" xfId="10706" xr:uid="{00000000-0005-0000-0000-0000AE4A0000}"/>
    <cellStyle name="Normal 2 5 3 2 2 4 3 3 2" xfId="36263" xr:uid="{00000000-0005-0000-0000-0000AF4A0000}"/>
    <cellStyle name="Normal 2 5 3 2 2 4 3 4" xfId="19529" xr:uid="{00000000-0005-0000-0000-0000B04A0000}"/>
    <cellStyle name="Normal 2 5 3 2 2 4 3 4 2" xfId="45082" xr:uid="{00000000-0005-0000-0000-0000B14A0000}"/>
    <cellStyle name="Normal 2 5 3 2 2 4 3 5" xfId="31019" xr:uid="{00000000-0005-0000-0000-0000B24A0000}"/>
    <cellStyle name="Normal 2 5 3 2 2 4 4" xfId="1859" xr:uid="{00000000-0005-0000-0000-0000B34A0000}"/>
    <cellStyle name="Normal 2 5 3 2 2 4 4 2" xfId="11227" xr:uid="{00000000-0005-0000-0000-0000B44A0000}"/>
    <cellStyle name="Normal 2 5 3 2 2 4 4 2 2" xfId="36782" xr:uid="{00000000-0005-0000-0000-0000B54A0000}"/>
    <cellStyle name="Normal 2 5 3 2 2 4 4 3" xfId="21231" xr:uid="{00000000-0005-0000-0000-0000B64A0000}"/>
    <cellStyle name="Normal 2 5 3 2 2 4 4 3 2" xfId="46784" xr:uid="{00000000-0005-0000-0000-0000B74A0000}"/>
    <cellStyle name="Normal 2 5 3 2 2 4 4 4" xfId="27714" xr:uid="{00000000-0005-0000-0000-0000B84A0000}"/>
    <cellStyle name="Normal 2 5 3 2 2 4 5" xfId="6903" xr:uid="{00000000-0005-0000-0000-0000B94A0000}"/>
    <cellStyle name="Normal 2 5 3 2 2 4 5 2" xfId="15730" xr:uid="{00000000-0005-0000-0000-0000BA4A0000}"/>
    <cellStyle name="Normal 2 5 3 2 2 4 5 2 2" xfId="41285" xr:uid="{00000000-0005-0000-0000-0000BB4A0000}"/>
    <cellStyle name="Normal 2 5 3 2 2 4 5 3" xfId="25981" xr:uid="{00000000-0005-0000-0000-0000BC4A0000}"/>
    <cellStyle name="Normal 2 5 3 2 2 4 5 3 2" xfId="51534" xr:uid="{00000000-0005-0000-0000-0000BD4A0000}"/>
    <cellStyle name="Normal 2 5 3 2 2 4 5 4" xfId="32464" xr:uid="{00000000-0005-0000-0000-0000BE4A0000}"/>
    <cellStyle name="Normal 2 5 3 2 2 4 6" xfId="8349" xr:uid="{00000000-0005-0000-0000-0000BF4A0000}"/>
    <cellStyle name="Normal 2 5 3 2 2 4 6 2" xfId="20739" xr:uid="{00000000-0005-0000-0000-0000C04A0000}"/>
    <cellStyle name="Normal 2 5 3 2 2 4 6 2 2" xfId="46292" xr:uid="{00000000-0005-0000-0000-0000C14A0000}"/>
    <cellStyle name="Normal 2 5 3 2 2 4 6 3" xfId="33906" xr:uid="{00000000-0005-0000-0000-0000C24A0000}"/>
    <cellStyle name="Normal 2 5 3 2 2 4 7" xfId="16224" xr:uid="{00000000-0005-0000-0000-0000C34A0000}"/>
    <cellStyle name="Normal 2 5 3 2 2 4 7 2" xfId="41777" xr:uid="{00000000-0005-0000-0000-0000C44A0000}"/>
    <cellStyle name="Normal 2 5 3 2 2 4 8" xfId="27222" xr:uid="{00000000-0005-0000-0000-0000C54A0000}"/>
    <cellStyle name="Normal 2 5 3 2 2 5" xfId="2753" xr:uid="{00000000-0005-0000-0000-0000C64A0000}"/>
    <cellStyle name="Normal 2 5 3 2 2 5 2" xfId="12070" xr:uid="{00000000-0005-0000-0000-0000C74A0000}"/>
    <cellStyle name="Normal 2 5 3 2 2 5 2 2" xfId="22114" xr:uid="{00000000-0005-0000-0000-0000C84A0000}"/>
    <cellStyle name="Normal 2 5 3 2 2 5 2 2 2" xfId="47667" xr:uid="{00000000-0005-0000-0000-0000C94A0000}"/>
    <cellStyle name="Normal 2 5 3 2 2 5 2 3" xfId="37625" xr:uid="{00000000-0005-0000-0000-0000CA4A0000}"/>
    <cellStyle name="Normal 2 5 3 2 2 5 3" xfId="8387" xr:uid="{00000000-0005-0000-0000-0000CB4A0000}"/>
    <cellStyle name="Normal 2 5 3 2 2 5 3 2" xfId="33944" xr:uid="{00000000-0005-0000-0000-0000CC4A0000}"/>
    <cellStyle name="Normal 2 5 3 2 2 5 4" xfId="17107" xr:uid="{00000000-0005-0000-0000-0000CD4A0000}"/>
    <cellStyle name="Normal 2 5 3 2 2 5 4 2" xfId="42660" xr:uid="{00000000-0005-0000-0000-0000CE4A0000}"/>
    <cellStyle name="Normal 2 5 3 2 2 5 5" xfId="28597" xr:uid="{00000000-0005-0000-0000-0000CF4A0000}"/>
    <cellStyle name="Normal 2 5 3 2 2 6" xfId="4404" xr:uid="{00000000-0005-0000-0000-0000D04A0000}"/>
    <cellStyle name="Normal 2 5 3 2 2 6 2" xfId="13242" xr:uid="{00000000-0005-0000-0000-0000D14A0000}"/>
    <cellStyle name="Normal 2 5 3 2 2 6 2 2" xfId="23493" xr:uid="{00000000-0005-0000-0000-0000D24A0000}"/>
    <cellStyle name="Normal 2 5 3 2 2 6 2 2 2" xfId="49046" xr:uid="{00000000-0005-0000-0000-0000D34A0000}"/>
    <cellStyle name="Normal 2 5 3 2 2 6 2 3" xfId="38797" xr:uid="{00000000-0005-0000-0000-0000D44A0000}"/>
    <cellStyle name="Normal 2 5 3 2 2 6 3" xfId="9663" xr:uid="{00000000-0005-0000-0000-0000D54A0000}"/>
    <cellStyle name="Normal 2 5 3 2 2 6 3 2" xfId="35220" xr:uid="{00000000-0005-0000-0000-0000D64A0000}"/>
    <cellStyle name="Normal 2 5 3 2 2 6 4" xfId="18486" xr:uid="{00000000-0005-0000-0000-0000D74A0000}"/>
    <cellStyle name="Normal 2 5 3 2 2 6 4 2" xfId="44039" xr:uid="{00000000-0005-0000-0000-0000D84A0000}"/>
    <cellStyle name="Normal 2 5 3 2 2 6 5" xfId="29976" xr:uid="{00000000-0005-0000-0000-0000D94A0000}"/>
    <cellStyle name="Normal 2 5 3 2 2 7" xfId="1676" xr:uid="{00000000-0005-0000-0000-0000DA4A0000}"/>
    <cellStyle name="Normal 2 5 3 2 2 7 2" xfId="11053" xr:uid="{00000000-0005-0000-0000-0000DB4A0000}"/>
    <cellStyle name="Normal 2 5 3 2 2 7 2 2" xfId="36608" xr:uid="{00000000-0005-0000-0000-0000DC4A0000}"/>
    <cellStyle name="Normal 2 5 3 2 2 7 3" xfId="21057" xr:uid="{00000000-0005-0000-0000-0000DD4A0000}"/>
    <cellStyle name="Normal 2 5 3 2 2 7 3 2" xfId="46610" xr:uid="{00000000-0005-0000-0000-0000DE4A0000}"/>
    <cellStyle name="Normal 2 5 3 2 2 7 4" xfId="27540" xr:uid="{00000000-0005-0000-0000-0000DF4A0000}"/>
    <cellStyle name="Normal 2 5 3 2 2 8" xfId="5860" xr:uid="{00000000-0005-0000-0000-0000E04A0000}"/>
    <cellStyle name="Normal 2 5 3 2 2 8 2" xfId="14687" xr:uid="{00000000-0005-0000-0000-0000E14A0000}"/>
    <cellStyle name="Normal 2 5 3 2 2 8 2 2" xfId="40242" xr:uid="{00000000-0005-0000-0000-0000E24A0000}"/>
    <cellStyle name="Normal 2 5 3 2 2 8 3" xfId="24938" xr:uid="{00000000-0005-0000-0000-0000E34A0000}"/>
    <cellStyle name="Normal 2 5 3 2 2 8 3 2" xfId="50491" xr:uid="{00000000-0005-0000-0000-0000E44A0000}"/>
    <cellStyle name="Normal 2 5 3 2 2 8 4" xfId="31421" xr:uid="{00000000-0005-0000-0000-0000E54A0000}"/>
    <cellStyle name="Normal 2 5 3 2 2 9" xfId="7304" xr:uid="{00000000-0005-0000-0000-0000E64A0000}"/>
    <cellStyle name="Normal 2 5 3 2 2 9 2" xfId="19713" xr:uid="{00000000-0005-0000-0000-0000E74A0000}"/>
    <cellStyle name="Normal 2 5 3 2 2 9 2 2" xfId="45266" xr:uid="{00000000-0005-0000-0000-0000E84A0000}"/>
    <cellStyle name="Normal 2 5 3 2 2 9 3" xfId="32861" xr:uid="{00000000-0005-0000-0000-0000E94A0000}"/>
    <cellStyle name="Normal 2 5 3 2 2_Degree data" xfId="3911" xr:uid="{00000000-0005-0000-0000-0000EA4A0000}"/>
    <cellStyle name="Normal 2 5 3 2 3" xfId="480" xr:uid="{00000000-0005-0000-0000-0000EB4A0000}"/>
    <cellStyle name="Normal 2 5 3 2 3 10" xfId="26409" xr:uid="{00000000-0005-0000-0000-0000EC4A0000}"/>
    <cellStyle name="Normal 2 5 3 2 3 2" xfId="750" xr:uid="{00000000-0005-0000-0000-0000ED4A0000}"/>
    <cellStyle name="Normal 2 5 3 2 3 2 2" xfId="3236" xr:uid="{00000000-0005-0000-0000-0000EE4A0000}"/>
    <cellStyle name="Normal 2 5 3 2 3 2 2 2" xfId="12378" xr:uid="{00000000-0005-0000-0000-0000EF4A0000}"/>
    <cellStyle name="Normal 2 5 3 2 3 2 2 2 2" xfId="22597" xr:uid="{00000000-0005-0000-0000-0000F04A0000}"/>
    <cellStyle name="Normal 2 5 3 2 3 2 2 2 2 2" xfId="48150" xr:uid="{00000000-0005-0000-0000-0000F14A0000}"/>
    <cellStyle name="Normal 2 5 3 2 3 2 2 2 3" xfId="37933" xr:uid="{00000000-0005-0000-0000-0000F24A0000}"/>
    <cellStyle name="Normal 2 5 3 2 3 2 2 3" xfId="8800" xr:uid="{00000000-0005-0000-0000-0000F34A0000}"/>
    <cellStyle name="Normal 2 5 3 2 3 2 2 3 2" xfId="34357" xr:uid="{00000000-0005-0000-0000-0000F44A0000}"/>
    <cellStyle name="Normal 2 5 3 2 3 2 2 4" xfId="17590" xr:uid="{00000000-0005-0000-0000-0000F54A0000}"/>
    <cellStyle name="Normal 2 5 3 2 3 2 2 4 2" xfId="43143" xr:uid="{00000000-0005-0000-0000-0000F64A0000}"/>
    <cellStyle name="Normal 2 5 3 2 3 2 2 5" xfId="29080" xr:uid="{00000000-0005-0000-0000-0000F74A0000}"/>
    <cellStyle name="Normal 2 5 3 2 3 2 3" xfId="4565" xr:uid="{00000000-0005-0000-0000-0000F84A0000}"/>
    <cellStyle name="Normal 2 5 3 2 3 2 3 2" xfId="13403" xr:uid="{00000000-0005-0000-0000-0000F94A0000}"/>
    <cellStyle name="Normal 2 5 3 2 3 2 3 2 2" xfId="23654" xr:uid="{00000000-0005-0000-0000-0000FA4A0000}"/>
    <cellStyle name="Normal 2 5 3 2 3 2 3 2 2 2" xfId="49207" xr:uid="{00000000-0005-0000-0000-0000FB4A0000}"/>
    <cellStyle name="Normal 2 5 3 2 3 2 3 2 3" xfId="38958" xr:uid="{00000000-0005-0000-0000-0000FC4A0000}"/>
    <cellStyle name="Normal 2 5 3 2 3 2 3 3" xfId="9824" xr:uid="{00000000-0005-0000-0000-0000FD4A0000}"/>
    <cellStyle name="Normal 2 5 3 2 3 2 3 3 2" xfId="35381" xr:uid="{00000000-0005-0000-0000-0000FE4A0000}"/>
    <cellStyle name="Normal 2 5 3 2 3 2 3 4" xfId="18647" xr:uid="{00000000-0005-0000-0000-0000FF4A0000}"/>
    <cellStyle name="Normal 2 5 3 2 3 2 3 4 2" xfId="44200" xr:uid="{00000000-0005-0000-0000-0000004B0000}"/>
    <cellStyle name="Normal 2 5 3 2 3 2 3 5" xfId="30137" xr:uid="{00000000-0005-0000-0000-0000014B0000}"/>
    <cellStyle name="Normal 2 5 3 2 3 2 4" xfId="2345" xr:uid="{00000000-0005-0000-0000-0000024B0000}"/>
    <cellStyle name="Normal 2 5 3 2 3 2 4 2" xfId="11710" xr:uid="{00000000-0005-0000-0000-0000034B0000}"/>
    <cellStyle name="Normal 2 5 3 2 3 2 4 2 2" xfId="37265" xr:uid="{00000000-0005-0000-0000-0000044B0000}"/>
    <cellStyle name="Normal 2 5 3 2 3 2 4 3" xfId="21714" xr:uid="{00000000-0005-0000-0000-0000054B0000}"/>
    <cellStyle name="Normal 2 5 3 2 3 2 4 3 2" xfId="47267" xr:uid="{00000000-0005-0000-0000-0000064B0000}"/>
    <cellStyle name="Normal 2 5 3 2 3 2 4 4" xfId="28197" xr:uid="{00000000-0005-0000-0000-0000074B0000}"/>
    <cellStyle name="Normal 2 5 3 2 3 2 5" xfId="6021" xr:uid="{00000000-0005-0000-0000-0000084B0000}"/>
    <cellStyle name="Normal 2 5 3 2 3 2 5 2" xfId="14848" xr:uid="{00000000-0005-0000-0000-0000094B0000}"/>
    <cellStyle name="Normal 2 5 3 2 3 2 5 2 2" xfId="40403" xr:uid="{00000000-0005-0000-0000-00000A4B0000}"/>
    <cellStyle name="Normal 2 5 3 2 3 2 5 3" xfId="25099" xr:uid="{00000000-0005-0000-0000-00000B4B0000}"/>
    <cellStyle name="Normal 2 5 3 2 3 2 5 3 2" xfId="50652" xr:uid="{00000000-0005-0000-0000-00000C4B0000}"/>
    <cellStyle name="Normal 2 5 3 2 3 2 5 4" xfId="31582" xr:uid="{00000000-0005-0000-0000-00000D4B0000}"/>
    <cellStyle name="Normal 2 5 3 2 3 2 6" xfId="7465" xr:uid="{00000000-0005-0000-0000-00000E4B0000}"/>
    <cellStyle name="Normal 2 5 3 2 3 2 6 2" xfId="20196" xr:uid="{00000000-0005-0000-0000-00000F4B0000}"/>
    <cellStyle name="Normal 2 5 3 2 3 2 6 2 2" xfId="45749" xr:uid="{00000000-0005-0000-0000-0000104B0000}"/>
    <cellStyle name="Normal 2 5 3 2 3 2 6 3" xfId="33022" xr:uid="{00000000-0005-0000-0000-0000114B0000}"/>
    <cellStyle name="Normal 2 5 3 2 3 2 7" xfId="16707" xr:uid="{00000000-0005-0000-0000-0000124B0000}"/>
    <cellStyle name="Normal 2 5 3 2 3 2 7 2" xfId="42260" xr:uid="{00000000-0005-0000-0000-0000134B0000}"/>
    <cellStyle name="Normal 2 5 3 2 3 2 8" xfId="26679" xr:uid="{00000000-0005-0000-0000-0000144B0000}"/>
    <cellStyle name="Normal 2 5 3 2 3 3" xfId="1252" xr:uid="{00000000-0005-0000-0000-0000154B0000}"/>
    <cellStyle name="Normal 2 5 3 2 3 3 2" xfId="3681" xr:uid="{00000000-0005-0000-0000-0000164B0000}"/>
    <cellStyle name="Normal 2 5 3 2 3 3 2 2" xfId="12817" xr:uid="{00000000-0005-0000-0000-0000174B0000}"/>
    <cellStyle name="Normal 2 5 3 2 3 3 2 2 2" xfId="23036" xr:uid="{00000000-0005-0000-0000-0000184B0000}"/>
    <cellStyle name="Normal 2 5 3 2 3 3 2 2 2 2" xfId="48589" xr:uid="{00000000-0005-0000-0000-0000194B0000}"/>
    <cellStyle name="Normal 2 5 3 2 3 3 2 2 3" xfId="38372" xr:uid="{00000000-0005-0000-0000-00001A4B0000}"/>
    <cellStyle name="Normal 2 5 3 2 3 3 2 3" xfId="9238" xr:uid="{00000000-0005-0000-0000-00001B4B0000}"/>
    <cellStyle name="Normal 2 5 3 2 3 3 2 3 2" xfId="34795" xr:uid="{00000000-0005-0000-0000-00001C4B0000}"/>
    <cellStyle name="Normal 2 5 3 2 3 3 2 4" xfId="18029" xr:uid="{00000000-0005-0000-0000-00001D4B0000}"/>
    <cellStyle name="Normal 2 5 3 2 3 3 2 4 2" xfId="43582" xr:uid="{00000000-0005-0000-0000-00001E4B0000}"/>
    <cellStyle name="Normal 2 5 3 2 3 3 2 5" xfId="29519" xr:uid="{00000000-0005-0000-0000-00001F4B0000}"/>
    <cellStyle name="Normal 2 5 3 2 3 3 3" xfId="4914" xr:uid="{00000000-0005-0000-0000-0000204B0000}"/>
    <cellStyle name="Normal 2 5 3 2 3 3 3 2" xfId="13751" xr:uid="{00000000-0005-0000-0000-0000214B0000}"/>
    <cellStyle name="Normal 2 5 3 2 3 3 3 2 2" xfId="24002" xr:uid="{00000000-0005-0000-0000-0000224B0000}"/>
    <cellStyle name="Normal 2 5 3 2 3 3 3 2 2 2" xfId="49555" xr:uid="{00000000-0005-0000-0000-0000234B0000}"/>
    <cellStyle name="Normal 2 5 3 2 3 3 3 2 3" xfId="39306" xr:uid="{00000000-0005-0000-0000-0000244B0000}"/>
    <cellStyle name="Normal 2 5 3 2 3 3 3 3" xfId="10172" xr:uid="{00000000-0005-0000-0000-0000254B0000}"/>
    <cellStyle name="Normal 2 5 3 2 3 3 3 3 2" xfId="35729" xr:uid="{00000000-0005-0000-0000-0000264B0000}"/>
    <cellStyle name="Normal 2 5 3 2 3 3 3 4" xfId="18995" xr:uid="{00000000-0005-0000-0000-0000274B0000}"/>
    <cellStyle name="Normal 2 5 3 2 3 3 3 4 2" xfId="44548" xr:uid="{00000000-0005-0000-0000-0000284B0000}"/>
    <cellStyle name="Normal 2 5 3 2 3 3 3 5" xfId="30485" xr:uid="{00000000-0005-0000-0000-0000294B0000}"/>
    <cellStyle name="Normal 2 5 3 2 3 3 4" xfId="2075" xr:uid="{00000000-0005-0000-0000-00002A4B0000}"/>
    <cellStyle name="Normal 2 5 3 2 3 3 4 2" xfId="11440" xr:uid="{00000000-0005-0000-0000-00002B4B0000}"/>
    <cellStyle name="Normal 2 5 3 2 3 3 4 2 2" xfId="36995" xr:uid="{00000000-0005-0000-0000-00002C4B0000}"/>
    <cellStyle name="Normal 2 5 3 2 3 3 4 3" xfId="21444" xr:uid="{00000000-0005-0000-0000-00002D4B0000}"/>
    <cellStyle name="Normal 2 5 3 2 3 3 4 3 2" xfId="46997" xr:uid="{00000000-0005-0000-0000-00002E4B0000}"/>
    <cellStyle name="Normal 2 5 3 2 3 3 4 4" xfId="27927" xr:uid="{00000000-0005-0000-0000-00002F4B0000}"/>
    <cellStyle name="Normal 2 5 3 2 3 3 5" xfId="6369" xr:uid="{00000000-0005-0000-0000-0000304B0000}"/>
    <cellStyle name="Normal 2 5 3 2 3 3 5 2" xfId="15196" xr:uid="{00000000-0005-0000-0000-0000314B0000}"/>
    <cellStyle name="Normal 2 5 3 2 3 3 5 2 2" xfId="40751" xr:uid="{00000000-0005-0000-0000-0000324B0000}"/>
    <cellStyle name="Normal 2 5 3 2 3 3 5 3" xfId="25447" xr:uid="{00000000-0005-0000-0000-0000334B0000}"/>
    <cellStyle name="Normal 2 5 3 2 3 3 5 3 2" xfId="51000" xr:uid="{00000000-0005-0000-0000-0000344B0000}"/>
    <cellStyle name="Normal 2 5 3 2 3 3 5 4" xfId="31930" xr:uid="{00000000-0005-0000-0000-0000354B0000}"/>
    <cellStyle name="Normal 2 5 3 2 3 3 6" xfId="7815" xr:uid="{00000000-0005-0000-0000-0000364B0000}"/>
    <cellStyle name="Normal 2 5 3 2 3 3 6 2" xfId="20635" xr:uid="{00000000-0005-0000-0000-0000374B0000}"/>
    <cellStyle name="Normal 2 5 3 2 3 3 6 2 2" xfId="46188" xr:uid="{00000000-0005-0000-0000-0000384B0000}"/>
    <cellStyle name="Normal 2 5 3 2 3 3 6 3" xfId="33372" xr:uid="{00000000-0005-0000-0000-0000394B0000}"/>
    <cellStyle name="Normal 2 5 3 2 3 3 7" xfId="16437" xr:uid="{00000000-0005-0000-0000-00003A4B0000}"/>
    <cellStyle name="Normal 2 5 3 2 3 3 7 2" xfId="41990" xr:uid="{00000000-0005-0000-0000-00003B4B0000}"/>
    <cellStyle name="Normal 2 5 3 2 3 3 8" xfId="27118" xr:uid="{00000000-0005-0000-0000-00003C4B0000}"/>
    <cellStyle name="Normal 2 5 3 2 3 4" xfId="2966" xr:uid="{00000000-0005-0000-0000-00003D4B0000}"/>
    <cellStyle name="Normal 2 5 3 2 3 4 2" xfId="5344" xr:uid="{00000000-0005-0000-0000-00003E4B0000}"/>
    <cellStyle name="Normal 2 5 3 2 3 4 2 2" xfId="14181" xr:uid="{00000000-0005-0000-0000-00003F4B0000}"/>
    <cellStyle name="Normal 2 5 3 2 3 4 2 2 2" xfId="24432" xr:uid="{00000000-0005-0000-0000-0000404B0000}"/>
    <cellStyle name="Normal 2 5 3 2 3 4 2 2 2 2" xfId="49985" xr:uid="{00000000-0005-0000-0000-0000414B0000}"/>
    <cellStyle name="Normal 2 5 3 2 3 4 2 2 3" xfId="39736" xr:uid="{00000000-0005-0000-0000-0000424B0000}"/>
    <cellStyle name="Normal 2 5 3 2 3 4 2 3" xfId="10602" xr:uid="{00000000-0005-0000-0000-0000434B0000}"/>
    <cellStyle name="Normal 2 5 3 2 3 4 2 3 2" xfId="36159" xr:uid="{00000000-0005-0000-0000-0000444B0000}"/>
    <cellStyle name="Normal 2 5 3 2 3 4 2 4" xfId="19425" xr:uid="{00000000-0005-0000-0000-0000454B0000}"/>
    <cellStyle name="Normal 2 5 3 2 3 4 2 4 2" xfId="44978" xr:uid="{00000000-0005-0000-0000-0000464B0000}"/>
    <cellStyle name="Normal 2 5 3 2 3 4 2 5" xfId="30915" xr:uid="{00000000-0005-0000-0000-0000474B0000}"/>
    <cellStyle name="Normal 2 5 3 2 3 4 3" xfId="6799" xr:uid="{00000000-0005-0000-0000-0000484B0000}"/>
    <cellStyle name="Normal 2 5 3 2 3 4 3 2" xfId="15626" xr:uid="{00000000-0005-0000-0000-0000494B0000}"/>
    <cellStyle name="Normal 2 5 3 2 3 4 3 2 2" xfId="41181" xr:uid="{00000000-0005-0000-0000-00004A4B0000}"/>
    <cellStyle name="Normal 2 5 3 2 3 4 3 3" xfId="25877" xr:uid="{00000000-0005-0000-0000-00004B4B0000}"/>
    <cellStyle name="Normal 2 5 3 2 3 4 3 3 2" xfId="51430" xr:uid="{00000000-0005-0000-0000-00004C4B0000}"/>
    <cellStyle name="Normal 2 5 3 2 3 4 3 4" xfId="32360" xr:uid="{00000000-0005-0000-0000-00004D4B0000}"/>
    <cellStyle name="Normal 2 5 3 2 3 4 4" xfId="8245" xr:uid="{00000000-0005-0000-0000-00004E4B0000}"/>
    <cellStyle name="Normal 2 5 3 2 3 4 4 2" xfId="22327" xr:uid="{00000000-0005-0000-0000-00004F4B0000}"/>
    <cellStyle name="Normal 2 5 3 2 3 4 4 2 2" xfId="47880" xr:uid="{00000000-0005-0000-0000-0000504B0000}"/>
    <cellStyle name="Normal 2 5 3 2 3 4 4 3" xfId="33802" xr:uid="{00000000-0005-0000-0000-0000514B0000}"/>
    <cellStyle name="Normal 2 5 3 2 3 4 5" xfId="17320" xr:uid="{00000000-0005-0000-0000-0000524B0000}"/>
    <cellStyle name="Normal 2 5 3 2 3 4 5 2" xfId="42873" xr:uid="{00000000-0005-0000-0000-0000534B0000}"/>
    <cellStyle name="Normal 2 5 3 2 3 4 6" xfId="28810" xr:uid="{00000000-0005-0000-0000-0000544B0000}"/>
    <cellStyle name="Normal 2 5 3 2 3 5" xfId="4300" xr:uid="{00000000-0005-0000-0000-0000554B0000}"/>
    <cellStyle name="Normal 2 5 3 2 3 5 2" xfId="13138" xr:uid="{00000000-0005-0000-0000-0000564B0000}"/>
    <cellStyle name="Normal 2 5 3 2 3 5 2 2" xfId="23389" xr:uid="{00000000-0005-0000-0000-0000574B0000}"/>
    <cellStyle name="Normal 2 5 3 2 3 5 2 2 2" xfId="48942" xr:uid="{00000000-0005-0000-0000-0000584B0000}"/>
    <cellStyle name="Normal 2 5 3 2 3 5 2 3" xfId="38693" xr:uid="{00000000-0005-0000-0000-0000594B0000}"/>
    <cellStyle name="Normal 2 5 3 2 3 5 3" xfId="9559" xr:uid="{00000000-0005-0000-0000-00005A4B0000}"/>
    <cellStyle name="Normal 2 5 3 2 3 5 3 2" xfId="35116" xr:uid="{00000000-0005-0000-0000-00005B4B0000}"/>
    <cellStyle name="Normal 2 5 3 2 3 5 4" xfId="18382" xr:uid="{00000000-0005-0000-0000-00005C4B0000}"/>
    <cellStyle name="Normal 2 5 3 2 3 5 4 2" xfId="43935" xr:uid="{00000000-0005-0000-0000-00005D4B0000}"/>
    <cellStyle name="Normal 2 5 3 2 3 5 5" xfId="29872" xr:uid="{00000000-0005-0000-0000-00005E4B0000}"/>
    <cellStyle name="Normal 2 5 3 2 3 6" xfId="1572" xr:uid="{00000000-0005-0000-0000-00005F4B0000}"/>
    <cellStyle name="Normal 2 5 3 2 3 6 2" xfId="10949" xr:uid="{00000000-0005-0000-0000-0000604B0000}"/>
    <cellStyle name="Normal 2 5 3 2 3 6 2 2" xfId="36504" xr:uid="{00000000-0005-0000-0000-0000614B0000}"/>
    <cellStyle name="Normal 2 5 3 2 3 6 3" xfId="20953" xr:uid="{00000000-0005-0000-0000-0000624B0000}"/>
    <cellStyle name="Normal 2 5 3 2 3 6 3 2" xfId="46506" xr:uid="{00000000-0005-0000-0000-0000634B0000}"/>
    <cellStyle name="Normal 2 5 3 2 3 6 4" xfId="27436" xr:uid="{00000000-0005-0000-0000-0000644B0000}"/>
    <cellStyle name="Normal 2 5 3 2 3 7" xfId="5756" xr:uid="{00000000-0005-0000-0000-0000654B0000}"/>
    <cellStyle name="Normal 2 5 3 2 3 7 2" xfId="14583" xr:uid="{00000000-0005-0000-0000-0000664B0000}"/>
    <cellStyle name="Normal 2 5 3 2 3 7 2 2" xfId="40138" xr:uid="{00000000-0005-0000-0000-0000674B0000}"/>
    <cellStyle name="Normal 2 5 3 2 3 7 3" xfId="24834" xr:uid="{00000000-0005-0000-0000-0000684B0000}"/>
    <cellStyle name="Normal 2 5 3 2 3 7 3 2" xfId="50387" xr:uid="{00000000-0005-0000-0000-0000694B0000}"/>
    <cellStyle name="Normal 2 5 3 2 3 7 4" xfId="31317" xr:uid="{00000000-0005-0000-0000-00006A4B0000}"/>
    <cellStyle name="Normal 2 5 3 2 3 8" xfId="7200" xr:uid="{00000000-0005-0000-0000-00006B4B0000}"/>
    <cellStyle name="Normal 2 5 3 2 3 8 2" xfId="19926" xr:uid="{00000000-0005-0000-0000-00006C4B0000}"/>
    <cellStyle name="Normal 2 5 3 2 3 8 2 2" xfId="45479" xr:uid="{00000000-0005-0000-0000-00006D4B0000}"/>
    <cellStyle name="Normal 2 5 3 2 3 8 3" xfId="32757" xr:uid="{00000000-0005-0000-0000-00006E4B0000}"/>
    <cellStyle name="Normal 2 5 3 2 3 9" xfId="15946" xr:uid="{00000000-0005-0000-0000-00006F4B0000}"/>
    <cellStyle name="Normal 2 5 3 2 3 9 2" xfId="41499" xr:uid="{00000000-0005-0000-0000-0000704B0000}"/>
    <cellStyle name="Normal 2 5 3 2 3_Degree data" xfId="3852" xr:uid="{00000000-0005-0000-0000-0000714B0000}"/>
    <cellStyle name="Normal 2 5 3 2 4" xfId="380" xr:uid="{00000000-0005-0000-0000-0000724B0000}"/>
    <cellStyle name="Normal 2 5 3 2 4 2" xfId="2866" xr:uid="{00000000-0005-0000-0000-0000734B0000}"/>
    <cellStyle name="Normal 2 5 3 2 4 2 2" xfId="12154" xr:uid="{00000000-0005-0000-0000-0000744B0000}"/>
    <cellStyle name="Normal 2 5 3 2 4 2 2 2" xfId="22227" xr:uid="{00000000-0005-0000-0000-0000754B0000}"/>
    <cellStyle name="Normal 2 5 3 2 4 2 2 2 2" xfId="47780" xr:uid="{00000000-0005-0000-0000-0000764B0000}"/>
    <cellStyle name="Normal 2 5 3 2 4 2 2 3" xfId="37709" xr:uid="{00000000-0005-0000-0000-0000774B0000}"/>
    <cellStyle name="Normal 2 5 3 2 4 2 3" xfId="8520" xr:uid="{00000000-0005-0000-0000-0000784B0000}"/>
    <cellStyle name="Normal 2 5 3 2 4 2 3 2" xfId="34077" xr:uid="{00000000-0005-0000-0000-0000794B0000}"/>
    <cellStyle name="Normal 2 5 3 2 4 2 4" xfId="17220" xr:uid="{00000000-0005-0000-0000-00007A4B0000}"/>
    <cellStyle name="Normal 2 5 3 2 4 2 4 2" xfId="42773" xr:uid="{00000000-0005-0000-0000-00007B4B0000}"/>
    <cellStyle name="Normal 2 5 3 2 4 2 5" xfId="28710" xr:uid="{00000000-0005-0000-0000-00007C4B0000}"/>
    <cellStyle name="Normal 2 5 3 2 4 3" xfId="4563" xr:uid="{00000000-0005-0000-0000-00007D4B0000}"/>
    <cellStyle name="Normal 2 5 3 2 4 3 2" xfId="13401" xr:uid="{00000000-0005-0000-0000-00007E4B0000}"/>
    <cellStyle name="Normal 2 5 3 2 4 3 2 2" xfId="23652" xr:uid="{00000000-0005-0000-0000-00007F4B0000}"/>
    <cellStyle name="Normal 2 5 3 2 4 3 2 2 2" xfId="49205" xr:uid="{00000000-0005-0000-0000-0000804B0000}"/>
    <cellStyle name="Normal 2 5 3 2 4 3 2 3" xfId="38956" xr:uid="{00000000-0005-0000-0000-0000814B0000}"/>
    <cellStyle name="Normal 2 5 3 2 4 3 3" xfId="9822" xr:uid="{00000000-0005-0000-0000-0000824B0000}"/>
    <cellStyle name="Normal 2 5 3 2 4 3 3 2" xfId="35379" xr:uid="{00000000-0005-0000-0000-0000834B0000}"/>
    <cellStyle name="Normal 2 5 3 2 4 3 4" xfId="18645" xr:uid="{00000000-0005-0000-0000-0000844B0000}"/>
    <cellStyle name="Normal 2 5 3 2 4 3 4 2" xfId="44198" xr:uid="{00000000-0005-0000-0000-0000854B0000}"/>
    <cellStyle name="Normal 2 5 3 2 4 3 5" xfId="30135" xr:uid="{00000000-0005-0000-0000-0000864B0000}"/>
    <cellStyle name="Normal 2 5 3 2 4 4" xfId="1975" xr:uid="{00000000-0005-0000-0000-0000874B0000}"/>
    <cellStyle name="Normal 2 5 3 2 4 4 2" xfId="11340" xr:uid="{00000000-0005-0000-0000-0000884B0000}"/>
    <cellStyle name="Normal 2 5 3 2 4 4 2 2" xfId="36895" xr:uid="{00000000-0005-0000-0000-0000894B0000}"/>
    <cellStyle name="Normal 2 5 3 2 4 4 3" xfId="21344" xr:uid="{00000000-0005-0000-0000-00008A4B0000}"/>
    <cellStyle name="Normal 2 5 3 2 4 4 3 2" xfId="46897" xr:uid="{00000000-0005-0000-0000-00008B4B0000}"/>
    <cellStyle name="Normal 2 5 3 2 4 4 4" xfId="27827" xr:uid="{00000000-0005-0000-0000-00008C4B0000}"/>
    <cellStyle name="Normal 2 5 3 2 4 5" xfId="6019" xr:uid="{00000000-0005-0000-0000-00008D4B0000}"/>
    <cellStyle name="Normal 2 5 3 2 4 5 2" xfId="14846" xr:uid="{00000000-0005-0000-0000-00008E4B0000}"/>
    <cellStyle name="Normal 2 5 3 2 4 5 2 2" xfId="40401" xr:uid="{00000000-0005-0000-0000-00008F4B0000}"/>
    <cellStyle name="Normal 2 5 3 2 4 5 3" xfId="25097" xr:uid="{00000000-0005-0000-0000-0000904B0000}"/>
    <cellStyle name="Normal 2 5 3 2 4 5 3 2" xfId="50650" xr:uid="{00000000-0005-0000-0000-0000914B0000}"/>
    <cellStyle name="Normal 2 5 3 2 4 5 4" xfId="31580" xr:uid="{00000000-0005-0000-0000-0000924B0000}"/>
    <cellStyle name="Normal 2 5 3 2 4 6" xfId="7463" xr:uid="{00000000-0005-0000-0000-0000934B0000}"/>
    <cellStyle name="Normal 2 5 3 2 4 6 2" xfId="19826" xr:uid="{00000000-0005-0000-0000-0000944B0000}"/>
    <cellStyle name="Normal 2 5 3 2 4 6 2 2" xfId="45379" xr:uid="{00000000-0005-0000-0000-0000954B0000}"/>
    <cellStyle name="Normal 2 5 3 2 4 6 3" xfId="33020" xr:uid="{00000000-0005-0000-0000-0000964B0000}"/>
    <cellStyle name="Normal 2 5 3 2 4 7" xfId="16337" xr:uid="{00000000-0005-0000-0000-0000974B0000}"/>
    <cellStyle name="Normal 2 5 3 2 4 7 2" xfId="41890" xr:uid="{00000000-0005-0000-0000-0000984B0000}"/>
    <cellStyle name="Normal 2 5 3 2 4 8" xfId="26309" xr:uid="{00000000-0005-0000-0000-0000994B0000}"/>
    <cellStyle name="Normal 2 5 3 2 5" xfId="748" xr:uid="{00000000-0005-0000-0000-00009A4B0000}"/>
    <cellStyle name="Normal 2 5 3 2 5 2" xfId="3234" xr:uid="{00000000-0005-0000-0000-00009B4B0000}"/>
    <cellStyle name="Normal 2 5 3 2 5 2 2" xfId="12376" xr:uid="{00000000-0005-0000-0000-00009C4B0000}"/>
    <cellStyle name="Normal 2 5 3 2 5 2 2 2" xfId="22595" xr:uid="{00000000-0005-0000-0000-00009D4B0000}"/>
    <cellStyle name="Normal 2 5 3 2 5 2 2 2 2" xfId="48148" xr:uid="{00000000-0005-0000-0000-00009E4B0000}"/>
    <cellStyle name="Normal 2 5 3 2 5 2 2 3" xfId="37931" xr:uid="{00000000-0005-0000-0000-00009F4B0000}"/>
    <cellStyle name="Normal 2 5 3 2 5 2 3" xfId="8798" xr:uid="{00000000-0005-0000-0000-0000A04B0000}"/>
    <cellStyle name="Normal 2 5 3 2 5 2 3 2" xfId="34355" xr:uid="{00000000-0005-0000-0000-0000A14B0000}"/>
    <cellStyle name="Normal 2 5 3 2 5 2 4" xfId="17588" xr:uid="{00000000-0005-0000-0000-0000A24B0000}"/>
    <cellStyle name="Normal 2 5 3 2 5 2 4 2" xfId="43141" xr:uid="{00000000-0005-0000-0000-0000A34B0000}"/>
    <cellStyle name="Normal 2 5 3 2 5 2 5" xfId="29078" xr:uid="{00000000-0005-0000-0000-0000A44B0000}"/>
    <cellStyle name="Normal 2 5 3 2 5 3" xfId="4912" xr:uid="{00000000-0005-0000-0000-0000A54B0000}"/>
    <cellStyle name="Normal 2 5 3 2 5 3 2" xfId="13749" xr:uid="{00000000-0005-0000-0000-0000A64B0000}"/>
    <cellStyle name="Normal 2 5 3 2 5 3 2 2" xfId="24000" xr:uid="{00000000-0005-0000-0000-0000A74B0000}"/>
    <cellStyle name="Normal 2 5 3 2 5 3 2 2 2" xfId="49553" xr:uid="{00000000-0005-0000-0000-0000A84B0000}"/>
    <cellStyle name="Normal 2 5 3 2 5 3 2 3" xfId="39304" xr:uid="{00000000-0005-0000-0000-0000A94B0000}"/>
    <cellStyle name="Normal 2 5 3 2 5 3 3" xfId="10170" xr:uid="{00000000-0005-0000-0000-0000AA4B0000}"/>
    <cellStyle name="Normal 2 5 3 2 5 3 3 2" xfId="35727" xr:uid="{00000000-0005-0000-0000-0000AB4B0000}"/>
    <cellStyle name="Normal 2 5 3 2 5 3 4" xfId="18993" xr:uid="{00000000-0005-0000-0000-0000AC4B0000}"/>
    <cellStyle name="Normal 2 5 3 2 5 3 4 2" xfId="44546" xr:uid="{00000000-0005-0000-0000-0000AD4B0000}"/>
    <cellStyle name="Normal 2 5 3 2 5 3 5" xfId="30483" xr:uid="{00000000-0005-0000-0000-0000AE4B0000}"/>
    <cellStyle name="Normal 2 5 3 2 5 4" xfId="2343" xr:uid="{00000000-0005-0000-0000-0000AF4B0000}"/>
    <cellStyle name="Normal 2 5 3 2 5 4 2" xfId="11708" xr:uid="{00000000-0005-0000-0000-0000B04B0000}"/>
    <cellStyle name="Normal 2 5 3 2 5 4 2 2" xfId="37263" xr:uid="{00000000-0005-0000-0000-0000B14B0000}"/>
    <cellStyle name="Normal 2 5 3 2 5 4 3" xfId="21712" xr:uid="{00000000-0005-0000-0000-0000B24B0000}"/>
    <cellStyle name="Normal 2 5 3 2 5 4 3 2" xfId="47265" xr:uid="{00000000-0005-0000-0000-0000B34B0000}"/>
    <cellStyle name="Normal 2 5 3 2 5 4 4" xfId="28195" xr:uid="{00000000-0005-0000-0000-0000B44B0000}"/>
    <cellStyle name="Normal 2 5 3 2 5 5" xfId="6367" xr:uid="{00000000-0005-0000-0000-0000B54B0000}"/>
    <cellStyle name="Normal 2 5 3 2 5 5 2" xfId="15194" xr:uid="{00000000-0005-0000-0000-0000B64B0000}"/>
    <cellStyle name="Normal 2 5 3 2 5 5 2 2" xfId="40749" xr:uid="{00000000-0005-0000-0000-0000B74B0000}"/>
    <cellStyle name="Normal 2 5 3 2 5 5 3" xfId="25445" xr:uid="{00000000-0005-0000-0000-0000B84B0000}"/>
    <cellStyle name="Normal 2 5 3 2 5 5 3 2" xfId="50998" xr:uid="{00000000-0005-0000-0000-0000B94B0000}"/>
    <cellStyle name="Normal 2 5 3 2 5 5 4" xfId="31928" xr:uid="{00000000-0005-0000-0000-0000BA4B0000}"/>
    <cellStyle name="Normal 2 5 3 2 5 6" xfId="7813" xr:uid="{00000000-0005-0000-0000-0000BB4B0000}"/>
    <cellStyle name="Normal 2 5 3 2 5 6 2" xfId="20194" xr:uid="{00000000-0005-0000-0000-0000BC4B0000}"/>
    <cellStyle name="Normal 2 5 3 2 5 6 2 2" xfId="45747" xr:uid="{00000000-0005-0000-0000-0000BD4B0000}"/>
    <cellStyle name="Normal 2 5 3 2 5 6 3" xfId="33370" xr:uid="{00000000-0005-0000-0000-0000BE4B0000}"/>
    <cellStyle name="Normal 2 5 3 2 5 7" xfId="16705" xr:uid="{00000000-0005-0000-0000-0000BF4B0000}"/>
    <cellStyle name="Normal 2 5 3 2 5 7 2" xfId="42258" xr:uid="{00000000-0005-0000-0000-0000C04B0000}"/>
    <cellStyle name="Normal 2 5 3 2 5 8" xfId="26677" xr:uid="{00000000-0005-0000-0000-0000C14B0000}"/>
    <cellStyle name="Normal 2 5 3 2 6" xfId="1152" xr:uid="{00000000-0005-0000-0000-0000C24B0000}"/>
    <cellStyle name="Normal 2 5 3 2 6 2" xfId="3581" xr:uid="{00000000-0005-0000-0000-0000C34B0000}"/>
    <cellStyle name="Normal 2 5 3 2 6 2 2" xfId="12717" xr:uid="{00000000-0005-0000-0000-0000C44B0000}"/>
    <cellStyle name="Normal 2 5 3 2 6 2 2 2" xfId="22936" xr:uid="{00000000-0005-0000-0000-0000C54B0000}"/>
    <cellStyle name="Normal 2 5 3 2 6 2 2 2 2" xfId="48489" xr:uid="{00000000-0005-0000-0000-0000C64B0000}"/>
    <cellStyle name="Normal 2 5 3 2 6 2 2 3" xfId="38272" xr:uid="{00000000-0005-0000-0000-0000C74B0000}"/>
    <cellStyle name="Normal 2 5 3 2 6 2 3" xfId="9138" xr:uid="{00000000-0005-0000-0000-0000C84B0000}"/>
    <cellStyle name="Normal 2 5 3 2 6 2 3 2" xfId="34695" xr:uid="{00000000-0005-0000-0000-0000C94B0000}"/>
    <cellStyle name="Normal 2 5 3 2 6 2 4" xfId="17929" xr:uid="{00000000-0005-0000-0000-0000CA4B0000}"/>
    <cellStyle name="Normal 2 5 3 2 6 2 4 2" xfId="43482" xr:uid="{00000000-0005-0000-0000-0000CB4B0000}"/>
    <cellStyle name="Normal 2 5 3 2 6 2 5" xfId="29419" xr:uid="{00000000-0005-0000-0000-0000CC4B0000}"/>
    <cellStyle name="Normal 2 5 3 2 6 3" xfId="5244" xr:uid="{00000000-0005-0000-0000-0000CD4B0000}"/>
    <cellStyle name="Normal 2 5 3 2 6 3 2" xfId="14081" xr:uid="{00000000-0005-0000-0000-0000CE4B0000}"/>
    <cellStyle name="Normal 2 5 3 2 6 3 2 2" xfId="24332" xr:uid="{00000000-0005-0000-0000-0000CF4B0000}"/>
    <cellStyle name="Normal 2 5 3 2 6 3 2 2 2" xfId="49885" xr:uid="{00000000-0005-0000-0000-0000D04B0000}"/>
    <cellStyle name="Normal 2 5 3 2 6 3 2 3" xfId="39636" xr:uid="{00000000-0005-0000-0000-0000D14B0000}"/>
    <cellStyle name="Normal 2 5 3 2 6 3 3" xfId="10502" xr:uid="{00000000-0005-0000-0000-0000D24B0000}"/>
    <cellStyle name="Normal 2 5 3 2 6 3 3 2" xfId="36059" xr:uid="{00000000-0005-0000-0000-0000D34B0000}"/>
    <cellStyle name="Normal 2 5 3 2 6 3 4" xfId="19325" xr:uid="{00000000-0005-0000-0000-0000D44B0000}"/>
    <cellStyle name="Normal 2 5 3 2 6 3 4 2" xfId="44878" xr:uid="{00000000-0005-0000-0000-0000D54B0000}"/>
    <cellStyle name="Normal 2 5 3 2 6 3 5" xfId="30815" xr:uid="{00000000-0005-0000-0000-0000D64B0000}"/>
    <cellStyle name="Normal 2 5 3 2 6 4" xfId="1751" xr:uid="{00000000-0005-0000-0000-0000D74B0000}"/>
    <cellStyle name="Normal 2 5 3 2 6 4 2" xfId="11122" xr:uid="{00000000-0005-0000-0000-0000D84B0000}"/>
    <cellStyle name="Normal 2 5 3 2 6 4 2 2" xfId="36677" xr:uid="{00000000-0005-0000-0000-0000D94B0000}"/>
    <cellStyle name="Normal 2 5 3 2 6 4 3" xfId="21126" xr:uid="{00000000-0005-0000-0000-0000DA4B0000}"/>
    <cellStyle name="Normal 2 5 3 2 6 4 3 2" xfId="46679" xr:uid="{00000000-0005-0000-0000-0000DB4B0000}"/>
    <cellStyle name="Normal 2 5 3 2 6 4 4" xfId="27609" xr:uid="{00000000-0005-0000-0000-0000DC4B0000}"/>
    <cellStyle name="Normal 2 5 3 2 6 5" xfId="6699" xr:uid="{00000000-0005-0000-0000-0000DD4B0000}"/>
    <cellStyle name="Normal 2 5 3 2 6 5 2" xfId="15526" xr:uid="{00000000-0005-0000-0000-0000DE4B0000}"/>
    <cellStyle name="Normal 2 5 3 2 6 5 2 2" xfId="41081" xr:uid="{00000000-0005-0000-0000-0000DF4B0000}"/>
    <cellStyle name="Normal 2 5 3 2 6 5 3" xfId="25777" xr:uid="{00000000-0005-0000-0000-0000E04B0000}"/>
    <cellStyle name="Normal 2 5 3 2 6 5 3 2" xfId="51330" xr:uid="{00000000-0005-0000-0000-0000E14B0000}"/>
    <cellStyle name="Normal 2 5 3 2 6 5 4" xfId="32260" xr:uid="{00000000-0005-0000-0000-0000E24B0000}"/>
    <cellStyle name="Normal 2 5 3 2 6 6" xfId="8145" xr:uid="{00000000-0005-0000-0000-0000E34B0000}"/>
    <cellStyle name="Normal 2 5 3 2 6 6 2" xfId="20535" xr:uid="{00000000-0005-0000-0000-0000E44B0000}"/>
    <cellStyle name="Normal 2 5 3 2 6 6 2 2" xfId="46088" xr:uid="{00000000-0005-0000-0000-0000E54B0000}"/>
    <cellStyle name="Normal 2 5 3 2 6 6 3" xfId="33702" xr:uid="{00000000-0005-0000-0000-0000E64B0000}"/>
    <cellStyle name="Normal 2 5 3 2 6 7" xfId="16119" xr:uid="{00000000-0005-0000-0000-0000E74B0000}"/>
    <cellStyle name="Normal 2 5 3 2 6 7 2" xfId="41672" xr:uid="{00000000-0005-0000-0000-0000E84B0000}"/>
    <cellStyle name="Normal 2 5 3 2 6 8" xfId="27018" xr:uid="{00000000-0005-0000-0000-0000E94B0000}"/>
    <cellStyle name="Normal 2 5 3 2 7" xfId="2649" xr:uid="{00000000-0005-0000-0000-0000EA4B0000}"/>
    <cellStyle name="Normal 2 5 3 2 7 2" xfId="11971" xr:uid="{00000000-0005-0000-0000-0000EB4B0000}"/>
    <cellStyle name="Normal 2 5 3 2 7 2 2" xfId="22010" xr:uid="{00000000-0005-0000-0000-0000EC4B0000}"/>
    <cellStyle name="Normal 2 5 3 2 7 2 2 2" xfId="47563" xr:uid="{00000000-0005-0000-0000-0000ED4B0000}"/>
    <cellStyle name="Normal 2 5 3 2 7 2 3" xfId="37526" xr:uid="{00000000-0005-0000-0000-0000EE4B0000}"/>
    <cellStyle name="Normal 2 5 3 2 7 3" xfId="8561" xr:uid="{00000000-0005-0000-0000-0000EF4B0000}"/>
    <cellStyle name="Normal 2 5 3 2 7 3 2" xfId="34118" xr:uid="{00000000-0005-0000-0000-0000F04B0000}"/>
    <cellStyle name="Normal 2 5 3 2 7 4" xfId="17003" xr:uid="{00000000-0005-0000-0000-0000F14B0000}"/>
    <cellStyle name="Normal 2 5 3 2 7 4 2" xfId="42556" xr:uid="{00000000-0005-0000-0000-0000F24B0000}"/>
    <cellStyle name="Normal 2 5 3 2 7 5" xfId="28493" xr:uid="{00000000-0005-0000-0000-0000F34B0000}"/>
    <cellStyle name="Normal 2 5 3 2 8" xfId="4200" xr:uid="{00000000-0005-0000-0000-0000F44B0000}"/>
    <cellStyle name="Normal 2 5 3 2 8 2" xfId="13038" xr:uid="{00000000-0005-0000-0000-0000F54B0000}"/>
    <cellStyle name="Normal 2 5 3 2 8 2 2" xfId="23289" xr:uid="{00000000-0005-0000-0000-0000F64B0000}"/>
    <cellStyle name="Normal 2 5 3 2 8 2 2 2" xfId="48842" xr:uid="{00000000-0005-0000-0000-0000F74B0000}"/>
    <cellStyle name="Normal 2 5 3 2 8 2 3" xfId="38593" xr:uid="{00000000-0005-0000-0000-0000F84B0000}"/>
    <cellStyle name="Normal 2 5 3 2 8 3" xfId="9459" xr:uid="{00000000-0005-0000-0000-0000F94B0000}"/>
    <cellStyle name="Normal 2 5 3 2 8 3 2" xfId="35016" xr:uid="{00000000-0005-0000-0000-0000FA4B0000}"/>
    <cellStyle name="Normal 2 5 3 2 8 4" xfId="18282" xr:uid="{00000000-0005-0000-0000-0000FB4B0000}"/>
    <cellStyle name="Normal 2 5 3 2 8 4 2" xfId="43835" xr:uid="{00000000-0005-0000-0000-0000FC4B0000}"/>
    <cellStyle name="Normal 2 5 3 2 8 5" xfId="29772" xr:uid="{00000000-0005-0000-0000-0000FD4B0000}"/>
    <cellStyle name="Normal 2 5 3 2 9" xfId="1472" xr:uid="{00000000-0005-0000-0000-0000FE4B0000}"/>
    <cellStyle name="Normal 2 5 3 2 9 2" xfId="10849" xr:uid="{00000000-0005-0000-0000-0000FF4B0000}"/>
    <cellStyle name="Normal 2 5 3 2 9 2 2" xfId="36404" xr:uid="{00000000-0005-0000-0000-0000004C0000}"/>
    <cellStyle name="Normal 2 5 3 2 9 3" xfId="20853" xr:uid="{00000000-0005-0000-0000-0000014C0000}"/>
    <cellStyle name="Normal 2 5 3 2 9 3 2" xfId="46406" xr:uid="{00000000-0005-0000-0000-0000024C0000}"/>
    <cellStyle name="Normal 2 5 3 2 9 4" xfId="27336" xr:uid="{00000000-0005-0000-0000-0000034C0000}"/>
    <cellStyle name="Normal 2 5 3 2_Degree data" xfId="3887" xr:uid="{00000000-0005-0000-0000-0000044C0000}"/>
    <cellStyle name="Normal 2 5 3 3" xfId="195" xr:uid="{00000000-0005-0000-0000-0000054C0000}"/>
    <cellStyle name="Normal 2 5 3 3 10" xfId="7143" xr:uid="{00000000-0005-0000-0000-0000064C0000}"/>
    <cellStyle name="Normal 2 5 3 3 10 2" xfId="19652" xr:uid="{00000000-0005-0000-0000-0000074C0000}"/>
    <cellStyle name="Normal 2 5 3 3 10 2 2" xfId="45205" xr:uid="{00000000-0005-0000-0000-0000084C0000}"/>
    <cellStyle name="Normal 2 5 3 3 10 3" xfId="32700" xr:uid="{00000000-0005-0000-0000-0000094C0000}"/>
    <cellStyle name="Normal 2 5 3 3 11" xfId="15889" xr:uid="{00000000-0005-0000-0000-00000A4C0000}"/>
    <cellStyle name="Normal 2 5 3 3 11 2" xfId="41442" xr:uid="{00000000-0005-0000-0000-00000B4C0000}"/>
    <cellStyle name="Normal 2 5 3 3 12" xfId="26135" xr:uid="{00000000-0005-0000-0000-00000C4C0000}"/>
    <cellStyle name="Normal 2 5 3 3 2" xfId="523" xr:uid="{00000000-0005-0000-0000-00000D4C0000}"/>
    <cellStyle name="Normal 2 5 3 3 2 10" xfId="26452" xr:uid="{00000000-0005-0000-0000-00000E4C0000}"/>
    <cellStyle name="Normal 2 5 3 3 2 2" xfId="752" xr:uid="{00000000-0005-0000-0000-00000F4C0000}"/>
    <cellStyle name="Normal 2 5 3 3 2 2 2" xfId="3238" xr:uid="{00000000-0005-0000-0000-0000104C0000}"/>
    <cellStyle name="Normal 2 5 3 3 2 2 2 2" xfId="12380" xr:uid="{00000000-0005-0000-0000-0000114C0000}"/>
    <cellStyle name="Normal 2 5 3 3 2 2 2 2 2" xfId="22599" xr:uid="{00000000-0005-0000-0000-0000124C0000}"/>
    <cellStyle name="Normal 2 5 3 3 2 2 2 2 2 2" xfId="48152" xr:uid="{00000000-0005-0000-0000-0000134C0000}"/>
    <cellStyle name="Normal 2 5 3 3 2 2 2 2 3" xfId="37935" xr:uid="{00000000-0005-0000-0000-0000144C0000}"/>
    <cellStyle name="Normal 2 5 3 3 2 2 2 3" xfId="8802" xr:uid="{00000000-0005-0000-0000-0000154C0000}"/>
    <cellStyle name="Normal 2 5 3 3 2 2 2 3 2" xfId="34359" xr:uid="{00000000-0005-0000-0000-0000164C0000}"/>
    <cellStyle name="Normal 2 5 3 3 2 2 2 4" xfId="17592" xr:uid="{00000000-0005-0000-0000-0000174C0000}"/>
    <cellStyle name="Normal 2 5 3 3 2 2 2 4 2" xfId="43145" xr:uid="{00000000-0005-0000-0000-0000184C0000}"/>
    <cellStyle name="Normal 2 5 3 3 2 2 2 5" xfId="29082" xr:uid="{00000000-0005-0000-0000-0000194C0000}"/>
    <cellStyle name="Normal 2 5 3 3 2 2 3" xfId="4567" xr:uid="{00000000-0005-0000-0000-00001A4C0000}"/>
    <cellStyle name="Normal 2 5 3 3 2 2 3 2" xfId="13405" xr:uid="{00000000-0005-0000-0000-00001B4C0000}"/>
    <cellStyle name="Normal 2 5 3 3 2 2 3 2 2" xfId="23656" xr:uid="{00000000-0005-0000-0000-00001C4C0000}"/>
    <cellStyle name="Normal 2 5 3 3 2 2 3 2 2 2" xfId="49209" xr:uid="{00000000-0005-0000-0000-00001D4C0000}"/>
    <cellStyle name="Normal 2 5 3 3 2 2 3 2 3" xfId="38960" xr:uid="{00000000-0005-0000-0000-00001E4C0000}"/>
    <cellStyle name="Normal 2 5 3 3 2 2 3 3" xfId="9826" xr:uid="{00000000-0005-0000-0000-00001F4C0000}"/>
    <cellStyle name="Normal 2 5 3 3 2 2 3 3 2" xfId="35383" xr:uid="{00000000-0005-0000-0000-0000204C0000}"/>
    <cellStyle name="Normal 2 5 3 3 2 2 3 4" xfId="18649" xr:uid="{00000000-0005-0000-0000-0000214C0000}"/>
    <cellStyle name="Normal 2 5 3 3 2 2 3 4 2" xfId="44202" xr:uid="{00000000-0005-0000-0000-0000224C0000}"/>
    <cellStyle name="Normal 2 5 3 3 2 2 3 5" xfId="30139" xr:uid="{00000000-0005-0000-0000-0000234C0000}"/>
    <cellStyle name="Normal 2 5 3 3 2 2 4" xfId="2347" xr:uid="{00000000-0005-0000-0000-0000244C0000}"/>
    <cellStyle name="Normal 2 5 3 3 2 2 4 2" xfId="11712" xr:uid="{00000000-0005-0000-0000-0000254C0000}"/>
    <cellStyle name="Normal 2 5 3 3 2 2 4 2 2" xfId="37267" xr:uid="{00000000-0005-0000-0000-0000264C0000}"/>
    <cellStyle name="Normal 2 5 3 3 2 2 4 3" xfId="21716" xr:uid="{00000000-0005-0000-0000-0000274C0000}"/>
    <cellStyle name="Normal 2 5 3 3 2 2 4 3 2" xfId="47269" xr:uid="{00000000-0005-0000-0000-0000284C0000}"/>
    <cellStyle name="Normal 2 5 3 3 2 2 4 4" xfId="28199" xr:uid="{00000000-0005-0000-0000-0000294C0000}"/>
    <cellStyle name="Normal 2 5 3 3 2 2 5" xfId="6023" xr:uid="{00000000-0005-0000-0000-00002A4C0000}"/>
    <cellStyle name="Normal 2 5 3 3 2 2 5 2" xfId="14850" xr:uid="{00000000-0005-0000-0000-00002B4C0000}"/>
    <cellStyle name="Normal 2 5 3 3 2 2 5 2 2" xfId="40405" xr:uid="{00000000-0005-0000-0000-00002C4C0000}"/>
    <cellStyle name="Normal 2 5 3 3 2 2 5 3" xfId="25101" xr:uid="{00000000-0005-0000-0000-00002D4C0000}"/>
    <cellStyle name="Normal 2 5 3 3 2 2 5 3 2" xfId="50654" xr:uid="{00000000-0005-0000-0000-00002E4C0000}"/>
    <cellStyle name="Normal 2 5 3 3 2 2 5 4" xfId="31584" xr:uid="{00000000-0005-0000-0000-00002F4C0000}"/>
    <cellStyle name="Normal 2 5 3 3 2 2 6" xfId="7467" xr:uid="{00000000-0005-0000-0000-0000304C0000}"/>
    <cellStyle name="Normal 2 5 3 3 2 2 6 2" xfId="20198" xr:uid="{00000000-0005-0000-0000-0000314C0000}"/>
    <cellStyle name="Normal 2 5 3 3 2 2 6 2 2" xfId="45751" xr:uid="{00000000-0005-0000-0000-0000324C0000}"/>
    <cellStyle name="Normal 2 5 3 3 2 2 6 3" xfId="33024" xr:uid="{00000000-0005-0000-0000-0000334C0000}"/>
    <cellStyle name="Normal 2 5 3 3 2 2 7" xfId="16709" xr:uid="{00000000-0005-0000-0000-0000344C0000}"/>
    <cellStyle name="Normal 2 5 3 3 2 2 7 2" xfId="42262" xr:uid="{00000000-0005-0000-0000-0000354C0000}"/>
    <cellStyle name="Normal 2 5 3 3 2 2 8" xfId="26681" xr:uid="{00000000-0005-0000-0000-0000364C0000}"/>
    <cellStyle name="Normal 2 5 3 3 2 3" xfId="1295" xr:uid="{00000000-0005-0000-0000-0000374C0000}"/>
    <cellStyle name="Normal 2 5 3 3 2 3 2" xfId="3724" xr:uid="{00000000-0005-0000-0000-0000384C0000}"/>
    <cellStyle name="Normal 2 5 3 3 2 3 2 2" xfId="12860" xr:uid="{00000000-0005-0000-0000-0000394C0000}"/>
    <cellStyle name="Normal 2 5 3 3 2 3 2 2 2" xfId="23079" xr:uid="{00000000-0005-0000-0000-00003A4C0000}"/>
    <cellStyle name="Normal 2 5 3 3 2 3 2 2 2 2" xfId="48632" xr:uid="{00000000-0005-0000-0000-00003B4C0000}"/>
    <cellStyle name="Normal 2 5 3 3 2 3 2 2 3" xfId="38415" xr:uid="{00000000-0005-0000-0000-00003C4C0000}"/>
    <cellStyle name="Normal 2 5 3 3 2 3 2 3" xfId="9281" xr:uid="{00000000-0005-0000-0000-00003D4C0000}"/>
    <cellStyle name="Normal 2 5 3 3 2 3 2 3 2" xfId="34838" xr:uid="{00000000-0005-0000-0000-00003E4C0000}"/>
    <cellStyle name="Normal 2 5 3 3 2 3 2 4" xfId="18072" xr:uid="{00000000-0005-0000-0000-00003F4C0000}"/>
    <cellStyle name="Normal 2 5 3 3 2 3 2 4 2" xfId="43625" xr:uid="{00000000-0005-0000-0000-0000404C0000}"/>
    <cellStyle name="Normal 2 5 3 3 2 3 2 5" xfId="29562" xr:uid="{00000000-0005-0000-0000-0000414C0000}"/>
    <cellStyle name="Normal 2 5 3 3 2 3 3" xfId="4916" xr:uid="{00000000-0005-0000-0000-0000424C0000}"/>
    <cellStyle name="Normal 2 5 3 3 2 3 3 2" xfId="13753" xr:uid="{00000000-0005-0000-0000-0000434C0000}"/>
    <cellStyle name="Normal 2 5 3 3 2 3 3 2 2" xfId="24004" xr:uid="{00000000-0005-0000-0000-0000444C0000}"/>
    <cellStyle name="Normal 2 5 3 3 2 3 3 2 2 2" xfId="49557" xr:uid="{00000000-0005-0000-0000-0000454C0000}"/>
    <cellStyle name="Normal 2 5 3 3 2 3 3 2 3" xfId="39308" xr:uid="{00000000-0005-0000-0000-0000464C0000}"/>
    <cellStyle name="Normal 2 5 3 3 2 3 3 3" xfId="10174" xr:uid="{00000000-0005-0000-0000-0000474C0000}"/>
    <cellStyle name="Normal 2 5 3 3 2 3 3 3 2" xfId="35731" xr:uid="{00000000-0005-0000-0000-0000484C0000}"/>
    <cellStyle name="Normal 2 5 3 3 2 3 3 4" xfId="18997" xr:uid="{00000000-0005-0000-0000-0000494C0000}"/>
    <cellStyle name="Normal 2 5 3 3 2 3 3 4 2" xfId="44550" xr:uid="{00000000-0005-0000-0000-00004A4C0000}"/>
    <cellStyle name="Normal 2 5 3 3 2 3 3 5" xfId="30487" xr:uid="{00000000-0005-0000-0000-00004B4C0000}"/>
    <cellStyle name="Normal 2 5 3 3 2 3 4" xfId="2118" xr:uid="{00000000-0005-0000-0000-00004C4C0000}"/>
    <cellStyle name="Normal 2 5 3 3 2 3 4 2" xfId="11483" xr:uid="{00000000-0005-0000-0000-00004D4C0000}"/>
    <cellStyle name="Normal 2 5 3 3 2 3 4 2 2" xfId="37038" xr:uid="{00000000-0005-0000-0000-00004E4C0000}"/>
    <cellStyle name="Normal 2 5 3 3 2 3 4 3" xfId="21487" xr:uid="{00000000-0005-0000-0000-00004F4C0000}"/>
    <cellStyle name="Normal 2 5 3 3 2 3 4 3 2" xfId="47040" xr:uid="{00000000-0005-0000-0000-0000504C0000}"/>
    <cellStyle name="Normal 2 5 3 3 2 3 4 4" xfId="27970" xr:uid="{00000000-0005-0000-0000-0000514C0000}"/>
    <cellStyle name="Normal 2 5 3 3 2 3 5" xfId="6371" xr:uid="{00000000-0005-0000-0000-0000524C0000}"/>
    <cellStyle name="Normal 2 5 3 3 2 3 5 2" xfId="15198" xr:uid="{00000000-0005-0000-0000-0000534C0000}"/>
    <cellStyle name="Normal 2 5 3 3 2 3 5 2 2" xfId="40753" xr:uid="{00000000-0005-0000-0000-0000544C0000}"/>
    <cellStyle name="Normal 2 5 3 3 2 3 5 3" xfId="25449" xr:uid="{00000000-0005-0000-0000-0000554C0000}"/>
    <cellStyle name="Normal 2 5 3 3 2 3 5 3 2" xfId="51002" xr:uid="{00000000-0005-0000-0000-0000564C0000}"/>
    <cellStyle name="Normal 2 5 3 3 2 3 5 4" xfId="31932" xr:uid="{00000000-0005-0000-0000-0000574C0000}"/>
    <cellStyle name="Normal 2 5 3 3 2 3 6" xfId="7817" xr:uid="{00000000-0005-0000-0000-0000584C0000}"/>
    <cellStyle name="Normal 2 5 3 3 2 3 6 2" xfId="20678" xr:uid="{00000000-0005-0000-0000-0000594C0000}"/>
    <cellStyle name="Normal 2 5 3 3 2 3 6 2 2" xfId="46231" xr:uid="{00000000-0005-0000-0000-00005A4C0000}"/>
    <cellStyle name="Normal 2 5 3 3 2 3 6 3" xfId="33374" xr:uid="{00000000-0005-0000-0000-00005B4C0000}"/>
    <cellStyle name="Normal 2 5 3 3 2 3 7" xfId="16480" xr:uid="{00000000-0005-0000-0000-00005C4C0000}"/>
    <cellStyle name="Normal 2 5 3 3 2 3 7 2" xfId="42033" xr:uid="{00000000-0005-0000-0000-00005D4C0000}"/>
    <cellStyle name="Normal 2 5 3 3 2 3 8" xfId="27161" xr:uid="{00000000-0005-0000-0000-00005E4C0000}"/>
    <cellStyle name="Normal 2 5 3 3 2 4" xfId="3009" xr:uid="{00000000-0005-0000-0000-00005F4C0000}"/>
    <cellStyle name="Normal 2 5 3 3 2 4 2" xfId="5387" xr:uid="{00000000-0005-0000-0000-0000604C0000}"/>
    <cellStyle name="Normal 2 5 3 3 2 4 2 2" xfId="14224" xr:uid="{00000000-0005-0000-0000-0000614C0000}"/>
    <cellStyle name="Normal 2 5 3 3 2 4 2 2 2" xfId="24475" xr:uid="{00000000-0005-0000-0000-0000624C0000}"/>
    <cellStyle name="Normal 2 5 3 3 2 4 2 2 2 2" xfId="50028" xr:uid="{00000000-0005-0000-0000-0000634C0000}"/>
    <cellStyle name="Normal 2 5 3 3 2 4 2 2 3" xfId="39779" xr:uid="{00000000-0005-0000-0000-0000644C0000}"/>
    <cellStyle name="Normal 2 5 3 3 2 4 2 3" xfId="10645" xr:uid="{00000000-0005-0000-0000-0000654C0000}"/>
    <cellStyle name="Normal 2 5 3 3 2 4 2 3 2" xfId="36202" xr:uid="{00000000-0005-0000-0000-0000664C0000}"/>
    <cellStyle name="Normal 2 5 3 3 2 4 2 4" xfId="19468" xr:uid="{00000000-0005-0000-0000-0000674C0000}"/>
    <cellStyle name="Normal 2 5 3 3 2 4 2 4 2" xfId="45021" xr:uid="{00000000-0005-0000-0000-0000684C0000}"/>
    <cellStyle name="Normal 2 5 3 3 2 4 2 5" xfId="30958" xr:uid="{00000000-0005-0000-0000-0000694C0000}"/>
    <cellStyle name="Normal 2 5 3 3 2 4 3" xfId="6842" xr:uid="{00000000-0005-0000-0000-00006A4C0000}"/>
    <cellStyle name="Normal 2 5 3 3 2 4 3 2" xfId="15669" xr:uid="{00000000-0005-0000-0000-00006B4C0000}"/>
    <cellStyle name="Normal 2 5 3 3 2 4 3 2 2" xfId="41224" xr:uid="{00000000-0005-0000-0000-00006C4C0000}"/>
    <cellStyle name="Normal 2 5 3 3 2 4 3 3" xfId="25920" xr:uid="{00000000-0005-0000-0000-00006D4C0000}"/>
    <cellStyle name="Normal 2 5 3 3 2 4 3 3 2" xfId="51473" xr:uid="{00000000-0005-0000-0000-00006E4C0000}"/>
    <cellStyle name="Normal 2 5 3 3 2 4 3 4" xfId="32403" xr:uid="{00000000-0005-0000-0000-00006F4C0000}"/>
    <cellStyle name="Normal 2 5 3 3 2 4 4" xfId="8288" xr:uid="{00000000-0005-0000-0000-0000704C0000}"/>
    <cellStyle name="Normal 2 5 3 3 2 4 4 2" xfId="22370" xr:uid="{00000000-0005-0000-0000-0000714C0000}"/>
    <cellStyle name="Normal 2 5 3 3 2 4 4 2 2" xfId="47923" xr:uid="{00000000-0005-0000-0000-0000724C0000}"/>
    <cellStyle name="Normal 2 5 3 3 2 4 4 3" xfId="33845" xr:uid="{00000000-0005-0000-0000-0000734C0000}"/>
    <cellStyle name="Normal 2 5 3 3 2 4 5" xfId="17363" xr:uid="{00000000-0005-0000-0000-0000744C0000}"/>
    <cellStyle name="Normal 2 5 3 3 2 4 5 2" xfId="42916" xr:uid="{00000000-0005-0000-0000-0000754C0000}"/>
    <cellStyle name="Normal 2 5 3 3 2 4 6" xfId="28853" xr:uid="{00000000-0005-0000-0000-0000764C0000}"/>
    <cellStyle name="Normal 2 5 3 3 2 5" xfId="4343" xr:uid="{00000000-0005-0000-0000-0000774C0000}"/>
    <cellStyle name="Normal 2 5 3 3 2 5 2" xfId="13181" xr:uid="{00000000-0005-0000-0000-0000784C0000}"/>
    <cellStyle name="Normal 2 5 3 3 2 5 2 2" xfId="23432" xr:uid="{00000000-0005-0000-0000-0000794C0000}"/>
    <cellStyle name="Normal 2 5 3 3 2 5 2 2 2" xfId="48985" xr:uid="{00000000-0005-0000-0000-00007A4C0000}"/>
    <cellStyle name="Normal 2 5 3 3 2 5 2 3" xfId="38736" xr:uid="{00000000-0005-0000-0000-00007B4C0000}"/>
    <cellStyle name="Normal 2 5 3 3 2 5 3" xfId="9602" xr:uid="{00000000-0005-0000-0000-00007C4C0000}"/>
    <cellStyle name="Normal 2 5 3 3 2 5 3 2" xfId="35159" xr:uid="{00000000-0005-0000-0000-00007D4C0000}"/>
    <cellStyle name="Normal 2 5 3 3 2 5 4" xfId="18425" xr:uid="{00000000-0005-0000-0000-00007E4C0000}"/>
    <cellStyle name="Normal 2 5 3 3 2 5 4 2" xfId="43978" xr:uid="{00000000-0005-0000-0000-00007F4C0000}"/>
    <cellStyle name="Normal 2 5 3 3 2 5 5" xfId="29915" xr:uid="{00000000-0005-0000-0000-0000804C0000}"/>
    <cellStyle name="Normal 2 5 3 3 2 6" xfId="1615" xr:uid="{00000000-0005-0000-0000-0000814C0000}"/>
    <cellStyle name="Normal 2 5 3 3 2 6 2" xfId="10992" xr:uid="{00000000-0005-0000-0000-0000824C0000}"/>
    <cellStyle name="Normal 2 5 3 3 2 6 2 2" xfId="36547" xr:uid="{00000000-0005-0000-0000-0000834C0000}"/>
    <cellStyle name="Normal 2 5 3 3 2 6 3" xfId="20996" xr:uid="{00000000-0005-0000-0000-0000844C0000}"/>
    <cellStyle name="Normal 2 5 3 3 2 6 3 2" xfId="46549" xr:uid="{00000000-0005-0000-0000-0000854C0000}"/>
    <cellStyle name="Normal 2 5 3 3 2 6 4" xfId="27479" xr:uid="{00000000-0005-0000-0000-0000864C0000}"/>
    <cellStyle name="Normal 2 5 3 3 2 7" xfId="5799" xr:uid="{00000000-0005-0000-0000-0000874C0000}"/>
    <cellStyle name="Normal 2 5 3 3 2 7 2" xfId="14626" xr:uid="{00000000-0005-0000-0000-0000884C0000}"/>
    <cellStyle name="Normal 2 5 3 3 2 7 2 2" xfId="40181" xr:uid="{00000000-0005-0000-0000-0000894C0000}"/>
    <cellStyle name="Normal 2 5 3 3 2 7 3" xfId="24877" xr:uid="{00000000-0005-0000-0000-00008A4C0000}"/>
    <cellStyle name="Normal 2 5 3 3 2 7 3 2" xfId="50430" xr:uid="{00000000-0005-0000-0000-00008B4C0000}"/>
    <cellStyle name="Normal 2 5 3 3 2 7 4" xfId="31360" xr:uid="{00000000-0005-0000-0000-00008C4C0000}"/>
    <cellStyle name="Normal 2 5 3 3 2 8" xfId="7243" xr:uid="{00000000-0005-0000-0000-00008D4C0000}"/>
    <cellStyle name="Normal 2 5 3 3 2 8 2" xfId="19969" xr:uid="{00000000-0005-0000-0000-00008E4C0000}"/>
    <cellStyle name="Normal 2 5 3 3 2 8 2 2" xfId="45522" xr:uid="{00000000-0005-0000-0000-00008F4C0000}"/>
    <cellStyle name="Normal 2 5 3 3 2 8 3" xfId="32800" xr:uid="{00000000-0005-0000-0000-0000904C0000}"/>
    <cellStyle name="Normal 2 5 3 3 2 9" xfId="15989" xr:uid="{00000000-0005-0000-0000-0000914C0000}"/>
    <cellStyle name="Normal 2 5 3 3 2 9 2" xfId="41542" xr:uid="{00000000-0005-0000-0000-0000924C0000}"/>
    <cellStyle name="Normal 2 5 3 3 2_Degree data" xfId="3893" xr:uid="{00000000-0005-0000-0000-0000934C0000}"/>
    <cellStyle name="Normal 2 5 3 3 3" xfId="423" xr:uid="{00000000-0005-0000-0000-0000944C0000}"/>
    <cellStyle name="Normal 2 5 3 3 3 2" xfId="2909" xr:uid="{00000000-0005-0000-0000-0000954C0000}"/>
    <cellStyle name="Normal 2 5 3 3 3 2 2" xfId="12197" xr:uid="{00000000-0005-0000-0000-0000964C0000}"/>
    <cellStyle name="Normal 2 5 3 3 3 2 2 2" xfId="22270" xr:uid="{00000000-0005-0000-0000-0000974C0000}"/>
    <cellStyle name="Normal 2 5 3 3 3 2 2 2 2" xfId="47823" xr:uid="{00000000-0005-0000-0000-0000984C0000}"/>
    <cellStyle name="Normal 2 5 3 3 3 2 2 3" xfId="37752" xr:uid="{00000000-0005-0000-0000-0000994C0000}"/>
    <cellStyle name="Normal 2 5 3 3 3 2 3" xfId="8447" xr:uid="{00000000-0005-0000-0000-00009A4C0000}"/>
    <cellStyle name="Normal 2 5 3 3 3 2 3 2" xfId="34004" xr:uid="{00000000-0005-0000-0000-00009B4C0000}"/>
    <cellStyle name="Normal 2 5 3 3 3 2 4" xfId="17263" xr:uid="{00000000-0005-0000-0000-00009C4C0000}"/>
    <cellStyle name="Normal 2 5 3 3 3 2 4 2" xfId="42816" xr:uid="{00000000-0005-0000-0000-00009D4C0000}"/>
    <cellStyle name="Normal 2 5 3 3 3 2 5" xfId="28753" xr:uid="{00000000-0005-0000-0000-00009E4C0000}"/>
    <cellStyle name="Normal 2 5 3 3 3 3" xfId="4566" xr:uid="{00000000-0005-0000-0000-00009F4C0000}"/>
    <cellStyle name="Normal 2 5 3 3 3 3 2" xfId="13404" xr:uid="{00000000-0005-0000-0000-0000A04C0000}"/>
    <cellStyle name="Normal 2 5 3 3 3 3 2 2" xfId="23655" xr:uid="{00000000-0005-0000-0000-0000A14C0000}"/>
    <cellStyle name="Normal 2 5 3 3 3 3 2 2 2" xfId="49208" xr:uid="{00000000-0005-0000-0000-0000A24C0000}"/>
    <cellStyle name="Normal 2 5 3 3 3 3 2 3" xfId="38959" xr:uid="{00000000-0005-0000-0000-0000A34C0000}"/>
    <cellStyle name="Normal 2 5 3 3 3 3 3" xfId="9825" xr:uid="{00000000-0005-0000-0000-0000A44C0000}"/>
    <cellStyle name="Normal 2 5 3 3 3 3 3 2" xfId="35382" xr:uid="{00000000-0005-0000-0000-0000A54C0000}"/>
    <cellStyle name="Normal 2 5 3 3 3 3 4" xfId="18648" xr:uid="{00000000-0005-0000-0000-0000A64C0000}"/>
    <cellStyle name="Normal 2 5 3 3 3 3 4 2" xfId="44201" xr:uid="{00000000-0005-0000-0000-0000A74C0000}"/>
    <cellStyle name="Normal 2 5 3 3 3 3 5" xfId="30138" xr:uid="{00000000-0005-0000-0000-0000A84C0000}"/>
    <cellStyle name="Normal 2 5 3 3 3 4" xfId="2018" xr:uid="{00000000-0005-0000-0000-0000A94C0000}"/>
    <cellStyle name="Normal 2 5 3 3 3 4 2" xfId="11383" xr:uid="{00000000-0005-0000-0000-0000AA4C0000}"/>
    <cellStyle name="Normal 2 5 3 3 3 4 2 2" xfId="36938" xr:uid="{00000000-0005-0000-0000-0000AB4C0000}"/>
    <cellStyle name="Normal 2 5 3 3 3 4 3" xfId="21387" xr:uid="{00000000-0005-0000-0000-0000AC4C0000}"/>
    <cellStyle name="Normal 2 5 3 3 3 4 3 2" xfId="46940" xr:uid="{00000000-0005-0000-0000-0000AD4C0000}"/>
    <cellStyle name="Normal 2 5 3 3 3 4 4" xfId="27870" xr:uid="{00000000-0005-0000-0000-0000AE4C0000}"/>
    <cellStyle name="Normal 2 5 3 3 3 5" xfId="6022" xr:uid="{00000000-0005-0000-0000-0000AF4C0000}"/>
    <cellStyle name="Normal 2 5 3 3 3 5 2" xfId="14849" xr:uid="{00000000-0005-0000-0000-0000B04C0000}"/>
    <cellStyle name="Normal 2 5 3 3 3 5 2 2" xfId="40404" xr:uid="{00000000-0005-0000-0000-0000B14C0000}"/>
    <cellStyle name="Normal 2 5 3 3 3 5 3" xfId="25100" xr:uid="{00000000-0005-0000-0000-0000B24C0000}"/>
    <cellStyle name="Normal 2 5 3 3 3 5 3 2" xfId="50653" xr:uid="{00000000-0005-0000-0000-0000B34C0000}"/>
    <cellStyle name="Normal 2 5 3 3 3 5 4" xfId="31583" xr:uid="{00000000-0005-0000-0000-0000B44C0000}"/>
    <cellStyle name="Normal 2 5 3 3 3 6" xfId="7466" xr:uid="{00000000-0005-0000-0000-0000B54C0000}"/>
    <cellStyle name="Normal 2 5 3 3 3 6 2" xfId="19869" xr:uid="{00000000-0005-0000-0000-0000B64C0000}"/>
    <cellStyle name="Normal 2 5 3 3 3 6 2 2" xfId="45422" xr:uid="{00000000-0005-0000-0000-0000B74C0000}"/>
    <cellStyle name="Normal 2 5 3 3 3 6 3" xfId="33023" xr:uid="{00000000-0005-0000-0000-0000B84C0000}"/>
    <cellStyle name="Normal 2 5 3 3 3 7" xfId="16380" xr:uid="{00000000-0005-0000-0000-0000B94C0000}"/>
    <cellStyle name="Normal 2 5 3 3 3 7 2" xfId="41933" xr:uid="{00000000-0005-0000-0000-0000BA4C0000}"/>
    <cellStyle name="Normal 2 5 3 3 3 8" xfId="26352" xr:uid="{00000000-0005-0000-0000-0000BB4C0000}"/>
    <cellStyle name="Normal 2 5 3 3 4" xfId="751" xr:uid="{00000000-0005-0000-0000-0000BC4C0000}"/>
    <cellStyle name="Normal 2 5 3 3 4 2" xfId="3237" xr:uid="{00000000-0005-0000-0000-0000BD4C0000}"/>
    <cellStyle name="Normal 2 5 3 3 4 2 2" xfId="12379" xr:uid="{00000000-0005-0000-0000-0000BE4C0000}"/>
    <cellStyle name="Normal 2 5 3 3 4 2 2 2" xfId="22598" xr:uid="{00000000-0005-0000-0000-0000BF4C0000}"/>
    <cellStyle name="Normal 2 5 3 3 4 2 2 2 2" xfId="48151" xr:uid="{00000000-0005-0000-0000-0000C04C0000}"/>
    <cellStyle name="Normal 2 5 3 3 4 2 2 3" xfId="37934" xr:uid="{00000000-0005-0000-0000-0000C14C0000}"/>
    <cellStyle name="Normal 2 5 3 3 4 2 3" xfId="8801" xr:uid="{00000000-0005-0000-0000-0000C24C0000}"/>
    <cellStyle name="Normal 2 5 3 3 4 2 3 2" xfId="34358" xr:uid="{00000000-0005-0000-0000-0000C34C0000}"/>
    <cellStyle name="Normal 2 5 3 3 4 2 4" xfId="17591" xr:uid="{00000000-0005-0000-0000-0000C44C0000}"/>
    <cellStyle name="Normal 2 5 3 3 4 2 4 2" xfId="43144" xr:uid="{00000000-0005-0000-0000-0000C54C0000}"/>
    <cellStyle name="Normal 2 5 3 3 4 2 5" xfId="29081" xr:uid="{00000000-0005-0000-0000-0000C64C0000}"/>
    <cellStyle name="Normal 2 5 3 3 4 3" xfId="4915" xr:uid="{00000000-0005-0000-0000-0000C74C0000}"/>
    <cellStyle name="Normal 2 5 3 3 4 3 2" xfId="13752" xr:uid="{00000000-0005-0000-0000-0000C84C0000}"/>
    <cellStyle name="Normal 2 5 3 3 4 3 2 2" xfId="24003" xr:uid="{00000000-0005-0000-0000-0000C94C0000}"/>
    <cellStyle name="Normal 2 5 3 3 4 3 2 2 2" xfId="49556" xr:uid="{00000000-0005-0000-0000-0000CA4C0000}"/>
    <cellStyle name="Normal 2 5 3 3 4 3 2 3" xfId="39307" xr:uid="{00000000-0005-0000-0000-0000CB4C0000}"/>
    <cellStyle name="Normal 2 5 3 3 4 3 3" xfId="10173" xr:uid="{00000000-0005-0000-0000-0000CC4C0000}"/>
    <cellStyle name="Normal 2 5 3 3 4 3 3 2" xfId="35730" xr:uid="{00000000-0005-0000-0000-0000CD4C0000}"/>
    <cellStyle name="Normal 2 5 3 3 4 3 4" xfId="18996" xr:uid="{00000000-0005-0000-0000-0000CE4C0000}"/>
    <cellStyle name="Normal 2 5 3 3 4 3 4 2" xfId="44549" xr:uid="{00000000-0005-0000-0000-0000CF4C0000}"/>
    <cellStyle name="Normal 2 5 3 3 4 3 5" xfId="30486" xr:uid="{00000000-0005-0000-0000-0000D04C0000}"/>
    <cellStyle name="Normal 2 5 3 3 4 4" xfId="2346" xr:uid="{00000000-0005-0000-0000-0000D14C0000}"/>
    <cellStyle name="Normal 2 5 3 3 4 4 2" xfId="11711" xr:uid="{00000000-0005-0000-0000-0000D24C0000}"/>
    <cellStyle name="Normal 2 5 3 3 4 4 2 2" xfId="37266" xr:uid="{00000000-0005-0000-0000-0000D34C0000}"/>
    <cellStyle name="Normal 2 5 3 3 4 4 3" xfId="21715" xr:uid="{00000000-0005-0000-0000-0000D44C0000}"/>
    <cellStyle name="Normal 2 5 3 3 4 4 3 2" xfId="47268" xr:uid="{00000000-0005-0000-0000-0000D54C0000}"/>
    <cellStyle name="Normal 2 5 3 3 4 4 4" xfId="28198" xr:uid="{00000000-0005-0000-0000-0000D64C0000}"/>
    <cellStyle name="Normal 2 5 3 3 4 5" xfId="6370" xr:uid="{00000000-0005-0000-0000-0000D74C0000}"/>
    <cellStyle name="Normal 2 5 3 3 4 5 2" xfId="15197" xr:uid="{00000000-0005-0000-0000-0000D84C0000}"/>
    <cellStyle name="Normal 2 5 3 3 4 5 2 2" xfId="40752" xr:uid="{00000000-0005-0000-0000-0000D94C0000}"/>
    <cellStyle name="Normal 2 5 3 3 4 5 3" xfId="25448" xr:uid="{00000000-0005-0000-0000-0000DA4C0000}"/>
    <cellStyle name="Normal 2 5 3 3 4 5 3 2" xfId="51001" xr:uid="{00000000-0005-0000-0000-0000DB4C0000}"/>
    <cellStyle name="Normal 2 5 3 3 4 5 4" xfId="31931" xr:uid="{00000000-0005-0000-0000-0000DC4C0000}"/>
    <cellStyle name="Normal 2 5 3 3 4 6" xfId="7816" xr:uid="{00000000-0005-0000-0000-0000DD4C0000}"/>
    <cellStyle name="Normal 2 5 3 3 4 6 2" xfId="20197" xr:uid="{00000000-0005-0000-0000-0000DE4C0000}"/>
    <cellStyle name="Normal 2 5 3 3 4 6 2 2" xfId="45750" xr:uid="{00000000-0005-0000-0000-0000DF4C0000}"/>
    <cellStyle name="Normal 2 5 3 3 4 6 3" xfId="33373" xr:uid="{00000000-0005-0000-0000-0000E04C0000}"/>
    <cellStyle name="Normal 2 5 3 3 4 7" xfId="16708" xr:uid="{00000000-0005-0000-0000-0000E14C0000}"/>
    <cellStyle name="Normal 2 5 3 3 4 7 2" xfId="42261" xr:uid="{00000000-0005-0000-0000-0000E24C0000}"/>
    <cellStyle name="Normal 2 5 3 3 4 8" xfId="26680" xr:uid="{00000000-0005-0000-0000-0000E34C0000}"/>
    <cellStyle name="Normal 2 5 3 3 5" xfId="1195" xr:uid="{00000000-0005-0000-0000-0000E44C0000}"/>
    <cellStyle name="Normal 2 5 3 3 5 2" xfId="3624" xr:uid="{00000000-0005-0000-0000-0000E54C0000}"/>
    <cellStyle name="Normal 2 5 3 3 5 2 2" xfId="12760" xr:uid="{00000000-0005-0000-0000-0000E64C0000}"/>
    <cellStyle name="Normal 2 5 3 3 5 2 2 2" xfId="22979" xr:uid="{00000000-0005-0000-0000-0000E74C0000}"/>
    <cellStyle name="Normal 2 5 3 3 5 2 2 2 2" xfId="48532" xr:uid="{00000000-0005-0000-0000-0000E84C0000}"/>
    <cellStyle name="Normal 2 5 3 3 5 2 2 3" xfId="38315" xr:uid="{00000000-0005-0000-0000-0000E94C0000}"/>
    <cellStyle name="Normal 2 5 3 3 5 2 3" xfId="9181" xr:uid="{00000000-0005-0000-0000-0000EA4C0000}"/>
    <cellStyle name="Normal 2 5 3 3 5 2 3 2" xfId="34738" xr:uid="{00000000-0005-0000-0000-0000EB4C0000}"/>
    <cellStyle name="Normal 2 5 3 3 5 2 4" xfId="17972" xr:uid="{00000000-0005-0000-0000-0000EC4C0000}"/>
    <cellStyle name="Normal 2 5 3 3 5 2 4 2" xfId="43525" xr:uid="{00000000-0005-0000-0000-0000ED4C0000}"/>
    <cellStyle name="Normal 2 5 3 3 5 2 5" xfId="29462" xr:uid="{00000000-0005-0000-0000-0000EE4C0000}"/>
    <cellStyle name="Normal 2 5 3 3 5 3" xfId="5287" xr:uid="{00000000-0005-0000-0000-0000EF4C0000}"/>
    <cellStyle name="Normal 2 5 3 3 5 3 2" xfId="14124" xr:uid="{00000000-0005-0000-0000-0000F04C0000}"/>
    <cellStyle name="Normal 2 5 3 3 5 3 2 2" xfId="24375" xr:uid="{00000000-0005-0000-0000-0000F14C0000}"/>
    <cellStyle name="Normal 2 5 3 3 5 3 2 2 2" xfId="49928" xr:uid="{00000000-0005-0000-0000-0000F24C0000}"/>
    <cellStyle name="Normal 2 5 3 3 5 3 2 3" xfId="39679" xr:uid="{00000000-0005-0000-0000-0000F34C0000}"/>
    <cellStyle name="Normal 2 5 3 3 5 3 3" xfId="10545" xr:uid="{00000000-0005-0000-0000-0000F44C0000}"/>
    <cellStyle name="Normal 2 5 3 3 5 3 3 2" xfId="36102" xr:uid="{00000000-0005-0000-0000-0000F54C0000}"/>
    <cellStyle name="Normal 2 5 3 3 5 3 4" xfId="19368" xr:uid="{00000000-0005-0000-0000-0000F64C0000}"/>
    <cellStyle name="Normal 2 5 3 3 5 3 4 2" xfId="44921" xr:uid="{00000000-0005-0000-0000-0000F74C0000}"/>
    <cellStyle name="Normal 2 5 3 3 5 3 5" xfId="30858" xr:uid="{00000000-0005-0000-0000-0000F84C0000}"/>
    <cellStyle name="Normal 2 5 3 3 5 4" xfId="1797" xr:uid="{00000000-0005-0000-0000-0000F94C0000}"/>
    <cellStyle name="Normal 2 5 3 3 5 4 2" xfId="11166" xr:uid="{00000000-0005-0000-0000-0000FA4C0000}"/>
    <cellStyle name="Normal 2 5 3 3 5 4 2 2" xfId="36721" xr:uid="{00000000-0005-0000-0000-0000FB4C0000}"/>
    <cellStyle name="Normal 2 5 3 3 5 4 3" xfId="21170" xr:uid="{00000000-0005-0000-0000-0000FC4C0000}"/>
    <cellStyle name="Normal 2 5 3 3 5 4 3 2" xfId="46723" xr:uid="{00000000-0005-0000-0000-0000FD4C0000}"/>
    <cellStyle name="Normal 2 5 3 3 5 4 4" xfId="27653" xr:uid="{00000000-0005-0000-0000-0000FE4C0000}"/>
    <cellStyle name="Normal 2 5 3 3 5 5" xfId="6742" xr:uid="{00000000-0005-0000-0000-0000FF4C0000}"/>
    <cellStyle name="Normal 2 5 3 3 5 5 2" xfId="15569" xr:uid="{00000000-0005-0000-0000-0000004D0000}"/>
    <cellStyle name="Normal 2 5 3 3 5 5 2 2" xfId="41124" xr:uid="{00000000-0005-0000-0000-0000014D0000}"/>
    <cellStyle name="Normal 2 5 3 3 5 5 3" xfId="25820" xr:uid="{00000000-0005-0000-0000-0000024D0000}"/>
    <cellStyle name="Normal 2 5 3 3 5 5 3 2" xfId="51373" xr:uid="{00000000-0005-0000-0000-0000034D0000}"/>
    <cellStyle name="Normal 2 5 3 3 5 5 4" xfId="32303" xr:uid="{00000000-0005-0000-0000-0000044D0000}"/>
    <cellStyle name="Normal 2 5 3 3 5 6" xfId="8188" xr:uid="{00000000-0005-0000-0000-0000054D0000}"/>
    <cellStyle name="Normal 2 5 3 3 5 6 2" xfId="20578" xr:uid="{00000000-0005-0000-0000-0000064D0000}"/>
    <cellStyle name="Normal 2 5 3 3 5 6 2 2" xfId="46131" xr:uid="{00000000-0005-0000-0000-0000074D0000}"/>
    <cellStyle name="Normal 2 5 3 3 5 6 3" xfId="33745" xr:uid="{00000000-0005-0000-0000-0000084D0000}"/>
    <cellStyle name="Normal 2 5 3 3 5 7" xfId="16163" xr:uid="{00000000-0005-0000-0000-0000094D0000}"/>
    <cellStyle name="Normal 2 5 3 3 5 7 2" xfId="41716" xr:uid="{00000000-0005-0000-0000-00000A4D0000}"/>
    <cellStyle name="Normal 2 5 3 3 5 8" xfId="27061" xr:uid="{00000000-0005-0000-0000-00000B4D0000}"/>
    <cellStyle name="Normal 2 5 3 3 6" xfId="2692" xr:uid="{00000000-0005-0000-0000-00000C4D0000}"/>
    <cellStyle name="Normal 2 5 3 3 6 2" xfId="12009" xr:uid="{00000000-0005-0000-0000-00000D4D0000}"/>
    <cellStyle name="Normal 2 5 3 3 6 2 2" xfId="22053" xr:uid="{00000000-0005-0000-0000-00000E4D0000}"/>
    <cellStyle name="Normal 2 5 3 3 6 2 2 2" xfId="47606" xr:uid="{00000000-0005-0000-0000-00000F4D0000}"/>
    <cellStyle name="Normal 2 5 3 3 6 2 3" xfId="37564" xr:uid="{00000000-0005-0000-0000-0000104D0000}"/>
    <cellStyle name="Normal 2 5 3 3 6 3" xfId="8572" xr:uid="{00000000-0005-0000-0000-0000114D0000}"/>
    <cellStyle name="Normal 2 5 3 3 6 3 2" xfId="34129" xr:uid="{00000000-0005-0000-0000-0000124D0000}"/>
    <cellStyle name="Normal 2 5 3 3 6 4" xfId="17046" xr:uid="{00000000-0005-0000-0000-0000134D0000}"/>
    <cellStyle name="Normal 2 5 3 3 6 4 2" xfId="42599" xr:uid="{00000000-0005-0000-0000-0000144D0000}"/>
    <cellStyle name="Normal 2 5 3 3 6 5" xfId="28536" xr:uid="{00000000-0005-0000-0000-0000154D0000}"/>
    <cellStyle name="Normal 2 5 3 3 7" xfId="4243" xr:uid="{00000000-0005-0000-0000-0000164D0000}"/>
    <cellStyle name="Normal 2 5 3 3 7 2" xfId="13081" xr:uid="{00000000-0005-0000-0000-0000174D0000}"/>
    <cellStyle name="Normal 2 5 3 3 7 2 2" xfId="23332" xr:uid="{00000000-0005-0000-0000-0000184D0000}"/>
    <cellStyle name="Normal 2 5 3 3 7 2 2 2" xfId="48885" xr:uid="{00000000-0005-0000-0000-0000194D0000}"/>
    <cellStyle name="Normal 2 5 3 3 7 2 3" xfId="38636" xr:uid="{00000000-0005-0000-0000-00001A4D0000}"/>
    <cellStyle name="Normal 2 5 3 3 7 3" xfId="9502" xr:uid="{00000000-0005-0000-0000-00001B4D0000}"/>
    <cellStyle name="Normal 2 5 3 3 7 3 2" xfId="35059" xr:uid="{00000000-0005-0000-0000-00001C4D0000}"/>
    <cellStyle name="Normal 2 5 3 3 7 4" xfId="18325" xr:uid="{00000000-0005-0000-0000-00001D4D0000}"/>
    <cellStyle name="Normal 2 5 3 3 7 4 2" xfId="43878" xr:uid="{00000000-0005-0000-0000-00001E4D0000}"/>
    <cellStyle name="Normal 2 5 3 3 7 5" xfId="29815" xr:uid="{00000000-0005-0000-0000-00001F4D0000}"/>
    <cellStyle name="Normal 2 5 3 3 8" xfId="1515" xr:uid="{00000000-0005-0000-0000-0000204D0000}"/>
    <cellStyle name="Normal 2 5 3 3 8 2" xfId="10892" xr:uid="{00000000-0005-0000-0000-0000214D0000}"/>
    <cellStyle name="Normal 2 5 3 3 8 2 2" xfId="36447" xr:uid="{00000000-0005-0000-0000-0000224D0000}"/>
    <cellStyle name="Normal 2 5 3 3 8 3" xfId="20896" xr:uid="{00000000-0005-0000-0000-0000234D0000}"/>
    <cellStyle name="Normal 2 5 3 3 8 3 2" xfId="46449" xr:uid="{00000000-0005-0000-0000-0000244D0000}"/>
    <cellStyle name="Normal 2 5 3 3 8 4" xfId="27379" xr:uid="{00000000-0005-0000-0000-0000254D0000}"/>
    <cellStyle name="Normal 2 5 3 3 9" xfId="5699" xr:uid="{00000000-0005-0000-0000-0000264D0000}"/>
    <cellStyle name="Normal 2 5 3 3 9 2" xfId="14526" xr:uid="{00000000-0005-0000-0000-0000274D0000}"/>
    <cellStyle name="Normal 2 5 3 3 9 2 2" xfId="40081" xr:uid="{00000000-0005-0000-0000-0000284D0000}"/>
    <cellStyle name="Normal 2 5 3 3 9 3" xfId="24777" xr:uid="{00000000-0005-0000-0000-0000294D0000}"/>
    <cellStyle name="Normal 2 5 3 3 9 3 2" xfId="50330" xr:uid="{00000000-0005-0000-0000-00002A4D0000}"/>
    <cellStyle name="Normal 2 5 3 3 9 4" xfId="31260" xr:uid="{00000000-0005-0000-0000-00002B4D0000}"/>
    <cellStyle name="Normal 2 5 3 3_Degree data" xfId="3856" xr:uid="{00000000-0005-0000-0000-00002C4D0000}"/>
    <cellStyle name="Normal 2 5 3 4" xfId="232" xr:uid="{00000000-0005-0000-0000-00002D4D0000}"/>
    <cellStyle name="Normal 2 5 3 4 10" xfId="7070" xr:uid="{00000000-0005-0000-0000-00002E4D0000}"/>
    <cellStyle name="Normal 2 5 3 4 10 2" xfId="19684" xr:uid="{00000000-0005-0000-0000-00002F4D0000}"/>
    <cellStyle name="Normal 2 5 3 4 10 2 2" xfId="45237" xr:uid="{00000000-0005-0000-0000-0000304D0000}"/>
    <cellStyle name="Normal 2 5 3 4 10 3" xfId="32627" xr:uid="{00000000-0005-0000-0000-0000314D0000}"/>
    <cellStyle name="Normal 2 5 3 4 11" xfId="15816" xr:uid="{00000000-0005-0000-0000-0000324D0000}"/>
    <cellStyle name="Normal 2 5 3 4 11 2" xfId="41369" xr:uid="{00000000-0005-0000-0000-0000334D0000}"/>
    <cellStyle name="Normal 2 5 3 4 12" xfId="26167" xr:uid="{00000000-0005-0000-0000-0000344D0000}"/>
    <cellStyle name="Normal 2 5 3 4 2" xfId="555" xr:uid="{00000000-0005-0000-0000-0000354D0000}"/>
    <cellStyle name="Normal 2 5 3 4 2 10" xfId="26484" xr:uid="{00000000-0005-0000-0000-0000364D0000}"/>
    <cellStyle name="Normal 2 5 3 4 2 2" xfId="754" xr:uid="{00000000-0005-0000-0000-0000374D0000}"/>
    <cellStyle name="Normal 2 5 3 4 2 2 2" xfId="3240" xr:uid="{00000000-0005-0000-0000-0000384D0000}"/>
    <cellStyle name="Normal 2 5 3 4 2 2 2 2" xfId="12382" xr:uid="{00000000-0005-0000-0000-0000394D0000}"/>
    <cellStyle name="Normal 2 5 3 4 2 2 2 2 2" xfId="22601" xr:uid="{00000000-0005-0000-0000-00003A4D0000}"/>
    <cellStyle name="Normal 2 5 3 4 2 2 2 2 2 2" xfId="48154" xr:uid="{00000000-0005-0000-0000-00003B4D0000}"/>
    <cellStyle name="Normal 2 5 3 4 2 2 2 2 3" xfId="37937" xr:uid="{00000000-0005-0000-0000-00003C4D0000}"/>
    <cellStyle name="Normal 2 5 3 4 2 2 2 3" xfId="8804" xr:uid="{00000000-0005-0000-0000-00003D4D0000}"/>
    <cellStyle name="Normal 2 5 3 4 2 2 2 3 2" xfId="34361" xr:uid="{00000000-0005-0000-0000-00003E4D0000}"/>
    <cellStyle name="Normal 2 5 3 4 2 2 2 4" xfId="17594" xr:uid="{00000000-0005-0000-0000-00003F4D0000}"/>
    <cellStyle name="Normal 2 5 3 4 2 2 2 4 2" xfId="43147" xr:uid="{00000000-0005-0000-0000-0000404D0000}"/>
    <cellStyle name="Normal 2 5 3 4 2 2 2 5" xfId="29084" xr:uid="{00000000-0005-0000-0000-0000414D0000}"/>
    <cellStyle name="Normal 2 5 3 4 2 2 3" xfId="4569" xr:uid="{00000000-0005-0000-0000-0000424D0000}"/>
    <cellStyle name="Normal 2 5 3 4 2 2 3 2" xfId="13407" xr:uid="{00000000-0005-0000-0000-0000434D0000}"/>
    <cellStyle name="Normal 2 5 3 4 2 2 3 2 2" xfId="23658" xr:uid="{00000000-0005-0000-0000-0000444D0000}"/>
    <cellStyle name="Normal 2 5 3 4 2 2 3 2 2 2" xfId="49211" xr:uid="{00000000-0005-0000-0000-0000454D0000}"/>
    <cellStyle name="Normal 2 5 3 4 2 2 3 2 3" xfId="38962" xr:uid="{00000000-0005-0000-0000-0000464D0000}"/>
    <cellStyle name="Normal 2 5 3 4 2 2 3 3" xfId="9828" xr:uid="{00000000-0005-0000-0000-0000474D0000}"/>
    <cellStyle name="Normal 2 5 3 4 2 2 3 3 2" xfId="35385" xr:uid="{00000000-0005-0000-0000-0000484D0000}"/>
    <cellStyle name="Normal 2 5 3 4 2 2 3 4" xfId="18651" xr:uid="{00000000-0005-0000-0000-0000494D0000}"/>
    <cellStyle name="Normal 2 5 3 4 2 2 3 4 2" xfId="44204" xr:uid="{00000000-0005-0000-0000-00004A4D0000}"/>
    <cellStyle name="Normal 2 5 3 4 2 2 3 5" xfId="30141" xr:uid="{00000000-0005-0000-0000-00004B4D0000}"/>
    <cellStyle name="Normal 2 5 3 4 2 2 4" xfId="2349" xr:uid="{00000000-0005-0000-0000-00004C4D0000}"/>
    <cellStyle name="Normal 2 5 3 4 2 2 4 2" xfId="11714" xr:uid="{00000000-0005-0000-0000-00004D4D0000}"/>
    <cellStyle name="Normal 2 5 3 4 2 2 4 2 2" xfId="37269" xr:uid="{00000000-0005-0000-0000-00004E4D0000}"/>
    <cellStyle name="Normal 2 5 3 4 2 2 4 3" xfId="21718" xr:uid="{00000000-0005-0000-0000-00004F4D0000}"/>
    <cellStyle name="Normal 2 5 3 4 2 2 4 3 2" xfId="47271" xr:uid="{00000000-0005-0000-0000-0000504D0000}"/>
    <cellStyle name="Normal 2 5 3 4 2 2 4 4" xfId="28201" xr:uid="{00000000-0005-0000-0000-0000514D0000}"/>
    <cellStyle name="Normal 2 5 3 4 2 2 5" xfId="6025" xr:uid="{00000000-0005-0000-0000-0000524D0000}"/>
    <cellStyle name="Normal 2 5 3 4 2 2 5 2" xfId="14852" xr:uid="{00000000-0005-0000-0000-0000534D0000}"/>
    <cellStyle name="Normal 2 5 3 4 2 2 5 2 2" xfId="40407" xr:uid="{00000000-0005-0000-0000-0000544D0000}"/>
    <cellStyle name="Normal 2 5 3 4 2 2 5 3" xfId="25103" xr:uid="{00000000-0005-0000-0000-0000554D0000}"/>
    <cellStyle name="Normal 2 5 3 4 2 2 5 3 2" xfId="50656" xr:uid="{00000000-0005-0000-0000-0000564D0000}"/>
    <cellStyle name="Normal 2 5 3 4 2 2 5 4" xfId="31586" xr:uid="{00000000-0005-0000-0000-0000574D0000}"/>
    <cellStyle name="Normal 2 5 3 4 2 2 6" xfId="7469" xr:uid="{00000000-0005-0000-0000-0000584D0000}"/>
    <cellStyle name="Normal 2 5 3 4 2 2 6 2" xfId="20200" xr:uid="{00000000-0005-0000-0000-0000594D0000}"/>
    <cellStyle name="Normal 2 5 3 4 2 2 6 2 2" xfId="45753" xr:uid="{00000000-0005-0000-0000-00005A4D0000}"/>
    <cellStyle name="Normal 2 5 3 4 2 2 6 3" xfId="33026" xr:uid="{00000000-0005-0000-0000-00005B4D0000}"/>
    <cellStyle name="Normal 2 5 3 4 2 2 7" xfId="16711" xr:uid="{00000000-0005-0000-0000-00005C4D0000}"/>
    <cellStyle name="Normal 2 5 3 4 2 2 7 2" xfId="42264" xr:uid="{00000000-0005-0000-0000-00005D4D0000}"/>
    <cellStyle name="Normal 2 5 3 4 2 2 8" xfId="26683" xr:uid="{00000000-0005-0000-0000-00005E4D0000}"/>
    <cellStyle name="Normal 2 5 3 4 2 3" xfId="1327" xr:uid="{00000000-0005-0000-0000-00005F4D0000}"/>
    <cellStyle name="Normal 2 5 3 4 2 3 2" xfId="3756" xr:uid="{00000000-0005-0000-0000-0000604D0000}"/>
    <cellStyle name="Normal 2 5 3 4 2 3 2 2" xfId="12892" xr:uid="{00000000-0005-0000-0000-0000614D0000}"/>
    <cellStyle name="Normal 2 5 3 4 2 3 2 2 2" xfId="23111" xr:uid="{00000000-0005-0000-0000-0000624D0000}"/>
    <cellStyle name="Normal 2 5 3 4 2 3 2 2 2 2" xfId="48664" xr:uid="{00000000-0005-0000-0000-0000634D0000}"/>
    <cellStyle name="Normal 2 5 3 4 2 3 2 2 3" xfId="38447" xr:uid="{00000000-0005-0000-0000-0000644D0000}"/>
    <cellStyle name="Normal 2 5 3 4 2 3 2 3" xfId="9313" xr:uid="{00000000-0005-0000-0000-0000654D0000}"/>
    <cellStyle name="Normal 2 5 3 4 2 3 2 3 2" xfId="34870" xr:uid="{00000000-0005-0000-0000-0000664D0000}"/>
    <cellStyle name="Normal 2 5 3 4 2 3 2 4" xfId="18104" xr:uid="{00000000-0005-0000-0000-0000674D0000}"/>
    <cellStyle name="Normal 2 5 3 4 2 3 2 4 2" xfId="43657" xr:uid="{00000000-0005-0000-0000-0000684D0000}"/>
    <cellStyle name="Normal 2 5 3 4 2 3 2 5" xfId="29594" xr:uid="{00000000-0005-0000-0000-0000694D0000}"/>
    <cellStyle name="Normal 2 5 3 4 2 3 3" xfId="4918" xr:uid="{00000000-0005-0000-0000-00006A4D0000}"/>
    <cellStyle name="Normal 2 5 3 4 2 3 3 2" xfId="13755" xr:uid="{00000000-0005-0000-0000-00006B4D0000}"/>
    <cellStyle name="Normal 2 5 3 4 2 3 3 2 2" xfId="24006" xr:uid="{00000000-0005-0000-0000-00006C4D0000}"/>
    <cellStyle name="Normal 2 5 3 4 2 3 3 2 2 2" xfId="49559" xr:uid="{00000000-0005-0000-0000-00006D4D0000}"/>
    <cellStyle name="Normal 2 5 3 4 2 3 3 2 3" xfId="39310" xr:uid="{00000000-0005-0000-0000-00006E4D0000}"/>
    <cellStyle name="Normal 2 5 3 4 2 3 3 3" xfId="10176" xr:uid="{00000000-0005-0000-0000-00006F4D0000}"/>
    <cellStyle name="Normal 2 5 3 4 2 3 3 3 2" xfId="35733" xr:uid="{00000000-0005-0000-0000-0000704D0000}"/>
    <cellStyle name="Normal 2 5 3 4 2 3 3 4" xfId="18999" xr:uid="{00000000-0005-0000-0000-0000714D0000}"/>
    <cellStyle name="Normal 2 5 3 4 2 3 3 4 2" xfId="44552" xr:uid="{00000000-0005-0000-0000-0000724D0000}"/>
    <cellStyle name="Normal 2 5 3 4 2 3 3 5" xfId="30489" xr:uid="{00000000-0005-0000-0000-0000734D0000}"/>
    <cellStyle name="Normal 2 5 3 4 2 3 4" xfId="2150" xr:uid="{00000000-0005-0000-0000-0000744D0000}"/>
    <cellStyle name="Normal 2 5 3 4 2 3 4 2" xfId="11515" xr:uid="{00000000-0005-0000-0000-0000754D0000}"/>
    <cellStyle name="Normal 2 5 3 4 2 3 4 2 2" xfId="37070" xr:uid="{00000000-0005-0000-0000-0000764D0000}"/>
    <cellStyle name="Normal 2 5 3 4 2 3 4 3" xfId="21519" xr:uid="{00000000-0005-0000-0000-0000774D0000}"/>
    <cellStyle name="Normal 2 5 3 4 2 3 4 3 2" xfId="47072" xr:uid="{00000000-0005-0000-0000-0000784D0000}"/>
    <cellStyle name="Normal 2 5 3 4 2 3 4 4" xfId="28002" xr:uid="{00000000-0005-0000-0000-0000794D0000}"/>
    <cellStyle name="Normal 2 5 3 4 2 3 5" xfId="6373" xr:uid="{00000000-0005-0000-0000-00007A4D0000}"/>
    <cellStyle name="Normal 2 5 3 4 2 3 5 2" xfId="15200" xr:uid="{00000000-0005-0000-0000-00007B4D0000}"/>
    <cellStyle name="Normal 2 5 3 4 2 3 5 2 2" xfId="40755" xr:uid="{00000000-0005-0000-0000-00007C4D0000}"/>
    <cellStyle name="Normal 2 5 3 4 2 3 5 3" xfId="25451" xr:uid="{00000000-0005-0000-0000-00007D4D0000}"/>
    <cellStyle name="Normal 2 5 3 4 2 3 5 3 2" xfId="51004" xr:uid="{00000000-0005-0000-0000-00007E4D0000}"/>
    <cellStyle name="Normal 2 5 3 4 2 3 5 4" xfId="31934" xr:uid="{00000000-0005-0000-0000-00007F4D0000}"/>
    <cellStyle name="Normal 2 5 3 4 2 3 6" xfId="7819" xr:uid="{00000000-0005-0000-0000-0000804D0000}"/>
    <cellStyle name="Normal 2 5 3 4 2 3 6 2" xfId="20710" xr:uid="{00000000-0005-0000-0000-0000814D0000}"/>
    <cellStyle name="Normal 2 5 3 4 2 3 6 2 2" xfId="46263" xr:uid="{00000000-0005-0000-0000-0000824D0000}"/>
    <cellStyle name="Normal 2 5 3 4 2 3 6 3" xfId="33376" xr:uid="{00000000-0005-0000-0000-0000834D0000}"/>
    <cellStyle name="Normal 2 5 3 4 2 3 7" xfId="16512" xr:uid="{00000000-0005-0000-0000-0000844D0000}"/>
    <cellStyle name="Normal 2 5 3 4 2 3 7 2" xfId="42065" xr:uid="{00000000-0005-0000-0000-0000854D0000}"/>
    <cellStyle name="Normal 2 5 3 4 2 3 8" xfId="27193" xr:uid="{00000000-0005-0000-0000-0000864D0000}"/>
    <cellStyle name="Normal 2 5 3 4 2 4" xfId="3041" xr:uid="{00000000-0005-0000-0000-0000874D0000}"/>
    <cellStyle name="Normal 2 5 3 4 2 4 2" xfId="5419" xr:uid="{00000000-0005-0000-0000-0000884D0000}"/>
    <cellStyle name="Normal 2 5 3 4 2 4 2 2" xfId="14256" xr:uid="{00000000-0005-0000-0000-0000894D0000}"/>
    <cellStyle name="Normal 2 5 3 4 2 4 2 2 2" xfId="24507" xr:uid="{00000000-0005-0000-0000-00008A4D0000}"/>
    <cellStyle name="Normal 2 5 3 4 2 4 2 2 2 2" xfId="50060" xr:uid="{00000000-0005-0000-0000-00008B4D0000}"/>
    <cellStyle name="Normal 2 5 3 4 2 4 2 2 3" xfId="39811" xr:uid="{00000000-0005-0000-0000-00008C4D0000}"/>
    <cellStyle name="Normal 2 5 3 4 2 4 2 3" xfId="10677" xr:uid="{00000000-0005-0000-0000-00008D4D0000}"/>
    <cellStyle name="Normal 2 5 3 4 2 4 2 3 2" xfId="36234" xr:uid="{00000000-0005-0000-0000-00008E4D0000}"/>
    <cellStyle name="Normal 2 5 3 4 2 4 2 4" xfId="19500" xr:uid="{00000000-0005-0000-0000-00008F4D0000}"/>
    <cellStyle name="Normal 2 5 3 4 2 4 2 4 2" xfId="45053" xr:uid="{00000000-0005-0000-0000-0000904D0000}"/>
    <cellStyle name="Normal 2 5 3 4 2 4 2 5" xfId="30990" xr:uid="{00000000-0005-0000-0000-0000914D0000}"/>
    <cellStyle name="Normal 2 5 3 4 2 4 3" xfId="6874" xr:uid="{00000000-0005-0000-0000-0000924D0000}"/>
    <cellStyle name="Normal 2 5 3 4 2 4 3 2" xfId="15701" xr:uid="{00000000-0005-0000-0000-0000934D0000}"/>
    <cellStyle name="Normal 2 5 3 4 2 4 3 2 2" xfId="41256" xr:uid="{00000000-0005-0000-0000-0000944D0000}"/>
    <cellStyle name="Normal 2 5 3 4 2 4 3 3" xfId="25952" xr:uid="{00000000-0005-0000-0000-0000954D0000}"/>
    <cellStyle name="Normal 2 5 3 4 2 4 3 3 2" xfId="51505" xr:uid="{00000000-0005-0000-0000-0000964D0000}"/>
    <cellStyle name="Normal 2 5 3 4 2 4 3 4" xfId="32435" xr:uid="{00000000-0005-0000-0000-0000974D0000}"/>
    <cellStyle name="Normal 2 5 3 4 2 4 4" xfId="8320" xr:uid="{00000000-0005-0000-0000-0000984D0000}"/>
    <cellStyle name="Normal 2 5 3 4 2 4 4 2" xfId="22402" xr:uid="{00000000-0005-0000-0000-0000994D0000}"/>
    <cellStyle name="Normal 2 5 3 4 2 4 4 2 2" xfId="47955" xr:uid="{00000000-0005-0000-0000-00009A4D0000}"/>
    <cellStyle name="Normal 2 5 3 4 2 4 4 3" xfId="33877" xr:uid="{00000000-0005-0000-0000-00009B4D0000}"/>
    <cellStyle name="Normal 2 5 3 4 2 4 5" xfId="17395" xr:uid="{00000000-0005-0000-0000-00009C4D0000}"/>
    <cellStyle name="Normal 2 5 3 4 2 4 5 2" xfId="42948" xr:uid="{00000000-0005-0000-0000-00009D4D0000}"/>
    <cellStyle name="Normal 2 5 3 4 2 4 6" xfId="28885" xr:uid="{00000000-0005-0000-0000-00009E4D0000}"/>
    <cellStyle name="Normal 2 5 3 4 2 5" xfId="4375" xr:uid="{00000000-0005-0000-0000-00009F4D0000}"/>
    <cellStyle name="Normal 2 5 3 4 2 5 2" xfId="13213" xr:uid="{00000000-0005-0000-0000-0000A04D0000}"/>
    <cellStyle name="Normal 2 5 3 4 2 5 2 2" xfId="23464" xr:uid="{00000000-0005-0000-0000-0000A14D0000}"/>
    <cellStyle name="Normal 2 5 3 4 2 5 2 2 2" xfId="49017" xr:uid="{00000000-0005-0000-0000-0000A24D0000}"/>
    <cellStyle name="Normal 2 5 3 4 2 5 2 3" xfId="38768" xr:uid="{00000000-0005-0000-0000-0000A34D0000}"/>
    <cellStyle name="Normal 2 5 3 4 2 5 3" xfId="9634" xr:uid="{00000000-0005-0000-0000-0000A44D0000}"/>
    <cellStyle name="Normal 2 5 3 4 2 5 3 2" xfId="35191" xr:uid="{00000000-0005-0000-0000-0000A54D0000}"/>
    <cellStyle name="Normal 2 5 3 4 2 5 4" xfId="18457" xr:uid="{00000000-0005-0000-0000-0000A64D0000}"/>
    <cellStyle name="Normal 2 5 3 4 2 5 4 2" xfId="44010" xr:uid="{00000000-0005-0000-0000-0000A74D0000}"/>
    <cellStyle name="Normal 2 5 3 4 2 5 5" xfId="29947" xr:uid="{00000000-0005-0000-0000-0000A84D0000}"/>
    <cellStyle name="Normal 2 5 3 4 2 6" xfId="1647" xr:uid="{00000000-0005-0000-0000-0000A94D0000}"/>
    <cellStyle name="Normal 2 5 3 4 2 6 2" xfId="11024" xr:uid="{00000000-0005-0000-0000-0000AA4D0000}"/>
    <cellStyle name="Normal 2 5 3 4 2 6 2 2" xfId="36579" xr:uid="{00000000-0005-0000-0000-0000AB4D0000}"/>
    <cellStyle name="Normal 2 5 3 4 2 6 3" xfId="21028" xr:uid="{00000000-0005-0000-0000-0000AC4D0000}"/>
    <cellStyle name="Normal 2 5 3 4 2 6 3 2" xfId="46581" xr:uid="{00000000-0005-0000-0000-0000AD4D0000}"/>
    <cellStyle name="Normal 2 5 3 4 2 6 4" xfId="27511" xr:uid="{00000000-0005-0000-0000-0000AE4D0000}"/>
    <cellStyle name="Normal 2 5 3 4 2 7" xfId="5831" xr:uid="{00000000-0005-0000-0000-0000AF4D0000}"/>
    <cellStyle name="Normal 2 5 3 4 2 7 2" xfId="14658" xr:uid="{00000000-0005-0000-0000-0000B04D0000}"/>
    <cellStyle name="Normal 2 5 3 4 2 7 2 2" xfId="40213" xr:uid="{00000000-0005-0000-0000-0000B14D0000}"/>
    <cellStyle name="Normal 2 5 3 4 2 7 3" xfId="24909" xr:uid="{00000000-0005-0000-0000-0000B24D0000}"/>
    <cellStyle name="Normal 2 5 3 4 2 7 3 2" xfId="50462" xr:uid="{00000000-0005-0000-0000-0000B34D0000}"/>
    <cellStyle name="Normal 2 5 3 4 2 7 4" xfId="31392" xr:uid="{00000000-0005-0000-0000-0000B44D0000}"/>
    <cellStyle name="Normal 2 5 3 4 2 8" xfId="7275" xr:uid="{00000000-0005-0000-0000-0000B54D0000}"/>
    <cellStyle name="Normal 2 5 3 4 2 8 2" xfId="20001" xr:uid="{00000000-0005-0000-0000-0000B64D0000}"/>
    <cellStyle name="Normal 2 5 3 4 2 8 2 2" xfId="45554" xr:uid="{00000000-0005-0000-0000-0000B74D0000}"/>
    <cellStyle name="Normal 2 5 3 4 2 8 3" xfId="32832" xr:uid="{00000000-0005-0000-0000-0000B84D0000}"/>
    <cellStyle name="Normal 2 5 3 4 2 9" xfId="16021" xr:uid="{00000000-0005-0000-0000-0000B94D0000}"/>
    <cellStyle name="Normal 2 5 3 4 2 9 2" xfId="41574" xr:uid="{00000000-0005-0000-0000-0000BA4D0000}"/>
    <cellStyle name="Normal 2 5 3 4 2_Degree data" xfId="3910" xr:uid="{00000000-0005-0000-0000-0000BB4D0000}"/>
    <cellStyle name="Normal 2 5 3 4 3" xfId="350" xr:uid="{00000000-0005-0000-0000-0000BC4D0000}"/>
    <cellStyle name="Normal 2 5 3 4 3 2" xfId="2836" xr:uid="{00000000-0005-0000-0000-0000BD4D0000}"/>
    <cellStyle name="Normal 2 5 3 4 3 2 2" xfId="12124" xr:uid="{00000000-0005-0000-0000-0000BE4D0000}"/>
    <cellStyle name="Normal 2 5 3 4 3 2 2 2" xfId="22197" xr:uid="{00000000-0005-0000-0000-0000BF4D0000}"/>
    <cellStyle name="Normal 2 5 3 4 3 2 2 2 2" xfId="47750" xr:uid="{00000000-0005-0000-0000-0000C04D0000}"/>
    <cellStyle name="Normal 2 5 3 4 3 2 2 3" xfId="37679" xr:uid="{00000000-0005-0000-0000-0000C14D0000}"/>
    <cellStyle name="Normal 2 5 3 4 3 2 3" xfId="8528" xr:uid="{00000000-0005-0000-0000-0000C24D0000}"/>
    <cellStyle name="Normal 2 5 3 4 3 2 3 2" xfId="34085" xr:uid="{00000000-0005-0000-0000-0000C34D0000}"/>
    <cellStyle name="Normal 2 5 3 4 3 2 4" xfId="17190" xr:uid="{00000000-0005-0000-0000-0000C44D0000}"/>
    <cellStyle name="Normal 2 5 3 4 3 2 4 2" xfId="42743" xr:uid="{00000000-0005-0000-0000-0000C54D0000}"/>
    <cellStyle name="Normal 2 5 3 4 3 2 5" xfId="28680" xr:uid="{00000000-0005-0000-0000-0000C64D0000}"/>
    <cellStyle name="Normal 2 5 3 4 3 3" xfId="4568" xr:uid="{00000000-0005-0000-0000-0000C74D0000}"/>
    <cellStyle name="Normal 2 5 3 4 3 3 2" xfId="13406" xr:uid="{00000000-0005-0000-0000-0000C84D0000}"/>
    <cellStyle name="Normal 2 5 3 4 3 3 2 2" xfId="23657" xr:uid="{00000000-0005-0000-0000-0000C94D0000}"/>
    <cellStyle name="Normal 2 5 3 4 3 3 2 2 2" xfId="49210" xr:uid="{00000000-0005-0000-0000-0000CA4D0000}"/>
    <cellStyle name="Normal 2 5 3 4 3 3 2 3" xfId="38961" xr:uid="{00000000-0005-0000-0000-0000CB4D0000}"/>
    <cellStyle name="Normal 2 5 3 4 3 3 3" xfId="9827" xr:uid="{00000000-0005-0000-0000-0000CC4D0000}"/>
    <cellStyle name="Normal 2 5 3 4 3 3 3 2" xfId="35384" xr:uid="{00000000-0005-0000-0000-0000CD4D0000}"/>
    <cellStyle name="Normal 2 5 3 4 3 3 4" xfId="18650" xr:uid="{00000000-0005-0000-0000-0000CE4D0000}"/>
    <cellStyle name="Normal 2 5 3 4 3 3 4 2" xfId="44203" xr:uid="{00000000-0005-0000-0000-0000CF4D0000}"/>
    <cellStyle name="Normal 2 5 3 4 3 3 5" xfId="30140" xr:uid="{00000000-0005-0000-0000-0000D04D0000}"/>
    <cellStyle name="Normal 2 5 3 4 3 4" xfId="1945" xr:uid="{00000000-0005-0000-0000-0000D14D0000}"/>
    <cellStyle name="Normal 2 5 3 4 3 4 2" xfId="11310" xr:uid="{00000000-0005-0000-0000-0000D24D0000}"/>
    <cellStyle name="Normal 2 5 3 4 3 4 2 2" xfId="36865" xr:uid="{00000000-0005-0000-0000-0000D34D0000}"/>
    <cellStyle name="Normal 2 5 3 4 3 4 3" xfId="21314" xr:uid="{00000000-0005-0000-0000-0000D44D0000}"/>
    <cellStyle name="Normal 2 5 3 4 3 4 3 2" xfId="46867" xr:uid="{00000000-0005-0000-0000-0000D54D0000}"/>
    <cellStyle name="Normal 2 5 3 4 3 4 4" xfId="27797" xr:uid="{00000000-0005-0000-0000-0000D64D0000}"/>
    <cellStyle name="Normal 2 5 3 4 3 5" xfId="6024" xr:uid="{00000000-0005-0000-0000-0000D74D0000}"/>
    <cellStyle name="Normal 2 5 3 4 3 5 2" xfId="14851" xr:uid="{00000000-0005-0000-0000-0000D84D0000}"/>
    <cellStyle name="Normal 2 5 3 4 3 5 2 2" xfId="40406" xr:uid="{00000000-0005-0000-0000-0000D94D0000}"/>
    <cellStyle name="Normal 2 5 3 4 3 5 3" xfId="25102" xr:uid="{00000000-0005-0000-0000-0000DA4D0000}"/>
    <cellStyle name="Normal 2 5 3 4 3 5 3 2" xfId="50655" xr:uid="{00000000-0005-0000-0000-0000DB4D0000}"/>
    <cellStyle name="Normal 2 5 3 4 3 5 4" xfId="31585" xr:uid="{00000000-0005-0000-0000-0000DC4D0000}"/>
    <cellStyle name="Normal 2 5 3 4 3 6" xfId="7468" xr:uid="{00000000-0005-0000-0000-0000DD4D0000}"/>
    <cellStyle name="Normal 2 5 3 4 3 6 2" xfId="19796" xr:uid="{00000000-0005-0000-0000-0000DE4D0000}"/>
    <cellStyle name="Normal 2 5 3 4 3 6 2 2" xfId="45349" xr:uid="{00000000-0005-0000-0000-0000DF4D0000}"/>
    <cellStyle name="Normal 2 5 3 4 3 6 3" xfId="33025" xr:uid="{00000000-0005-0000-0000-0000E04D0000}"/>
    <cellStyle name="Normal 2 5 3 4 3 7" xfId="16307" xr:uid="{00000000-0005-0000-0000-0000E14D0000}"/>
    <cellStyle name="Normal 2 5 3 4 3 7 2" xfId="41860" xr:uid="{00000000-0005-0000-0000-0000E24D0000}"/>
    <cellStyle name="Normal 2 5 3 4 3 8" xfId="26279" xr:uid="{00000000-0005-0000-0000-0000E34D0000}"/>
    <cellStyle name="Normal 2 5 3 4 4" xfId="753" xr:uid="{00000000-0005-0000-0000-0000E44D0000}"/>
    <cellStyle name="Normal 2 5 3 4 4 2" xfId="3239" xr:uid="{00000000-0005-0000-0000-0000E54D0000}"/>
    <cellStyle name="Normal 2 5 3 4 4 2 2" xfId="12381" xr:uid="{00000000-0005-0000-0000-0000E64D0000}"/>
    <cellStyle name="Normal 2 5 3 4 4 2 2 2" xfId="22600" xr:uid="{00000000-0005-0000-0000-0000E74D0000}"/>
    <cellStyle name="Normal 2 5 3 4 4 2 2 2 2" xfId="48153" xr:uid="{00000000-0005-0000-0000-0000E84D0000}"/>
    <cellStyle name="Normal 2 5 3 4 4 2 2 3" xfId="37936" xr:uid="{00000000-0005-0000-0000-0000E94D0000}"/>
    <cellStyle name="Normal 2 5 3 4 4 2 3" xfId="8803" xr:uid="{00000000-0005-0000-0000-0000EA4D0000}"/>
    <cellStyle name="Normal 2 5 3 4 4 2 3 2" xfId="34360" xr:uid="{00000000-0005-0000-0000-0000EB4D0000}"/>
    <cellStyle name="Normal 2 5 3 4 4 2 4" xfId="17593" xr:uid="{00000000-0005-0000-0000-0000EC4D0000}"/>
    <cellStyle name="Normal 2 5 3 4 4 2 4 2" xfId="43146" xr:uid="{00000000-0005-0000-0000-0000ED4D0000}"/>
    <cellStyle name="Normal 2 5 3 4 4 2 5" xfId="29083" xr:uid="{00000000-0005-0000-0000-0000EE4D0000}"/>
    <cellStyle name="Normal 2 5 3 4 4 3" xfId="4917" xr:uid="{00000000-0005-0000-0000-0000EF4D0000}"/>
    <cellStyle name="Normal 2 5 3 4 4 3 2" xfId="13754" xr:uid="{00000000-0005-0000-0000-0000F04D0000}"/>
    <cellStyle name="Normal 2 5 3 4 4 3 2 2" xfId="24005" xr:uid="{00000000-0005-0000-0000-0000F14D0000}"/>
    <cellStyle name="Normal 2 5 3 4 4 3 2 2 2" xfId="49558" xr:uid="{00000000-0005-0000-0000-0000F24D0000}"/>
    <cellStyle name="Normal 2 5 3 4 4 3 2 3" xfId="39309" xr:uid="{00000000-0005-0000-0000-0000F34D0000}"/>
    <cellStyle name="Normal 2 5 3 4 4 3 3" xfId="10175" xr:uid="{00000000-0005-0000-0000-0000F44D0000}"/>
    <cellStyle name="Normal 2 5 3 4 4 3 3 2" xfId="35732" xr:uid="{00000000-0005-0000-0000-0000F54D0000}"/>
    <cellStyle name="Normal 2 5 3 4 4 3 4" xfId="18998" xr:uid="{00000000-0005-0000-0000-0000F64D0000}"/>
    <cellStyle name="Normal 2 5 3 4 4 3 4 2" xfId="44551" xr:uid="{00000000-0005-0000-0000-0000F74D0000}"/>
    <cellStyle name="Normal 2 5 3 4 4 3 5" xfId="30488" xr:uid="{00000000-0005-0000-0000-0000F84D0000}"/>
    <cellStyle name="Normal 2 5 3 4 4 4" xfId="2348" xr:uid="{00000000-0005-0000-0000-0000F94D0000}"/>
    <cellStyle name="Normal 2 5 3 4 4 4 2" xfId="11713" xr:uid="{00000000-0005-0000-0000-0000FA4D0000}"/>
    <cellStyle name="Normal 2 5 3 4 4 4 2 2" xfId="37268" xr:uid="{00000000-0005-0000-0000-0000FB4D0000}"/>
    <cellStyle name="Normal 2 5 3 4 4 4 3" xfId="21717" xr:uid="{00000000-0005-0000-0000-0000FC4D0000}"/>
    <cellStyle name="Normal 2 5 3 4 4 4 3 2" xfId="47270" xr:uid="{00000000-0005-0000-0000-0000FD4D0000}"/>
    <cellStyle name="Normal 2 5 3 4 4 4 4" xfId="28200" xr:uid="{00000000-0005-0000-0000-0000FE4D0000}"/>
    <cellStyle name="Normal 2 5 3 4 4 5" xfId="6372" xr:uid="{00000000-0005-0000-0000-0000FF4D0000}"/>
    <cellStyle name="Normal 2 5 3 4 4 5 2" xfId="15199" xr:uid="{00000000-0005-0000-0000-0000004E0000}"/>
    <cellStyle name="Normal 2 5 3 4 4 5 2 2" xfId="40754" xr:uid="{00000000-0005-0000-0000-0000014E0000}"/>
    <cellStyle name="Normal 2 5 3 4 4 5 3" xfId="25450" xr:uid="{00000000-0005-0000-0000-0000024E0000}"/>
    <cellStyle name="Normal 2 5 3 4 4 5 3 2" xfId="51003" xr:uid="{00000000-0005-0000-0000-0000034E0000}"/>
    <cellStyle name="Normal 2 5 3 4 4 5 4" xfId="31933" xr:uid="{00000000-0005-0000-0000-0000044E0000}"/>
    <cellStyle name="Normal 2 5 3 4 4 6" xfId="7818" xr:uid="{00000000-0005-0000-0000-0000054E0000}"/>
    <cellStyle name="Normal 2 5 3 4 4 6 2" xfId="20199" xr:uid="{00000000-0005-0000-0000-0000064E0000}"/>
    <cellStyle name="Normal 2 5 3 4 4 6 2 2" xfId="45752" xr:uid="{00000000-0005-0000-0000-0000074E0000}"/>
    <cellStyle name="Normal 2 5 3 4 4 6 3" xfId="33375" xr:uid="{00000000-0005-0000-0000-0000084E0000}"/>
    <cellStyle name="Normal 2 5 3 4 4 7" xfId="16710" xr:uid="{00000000-0005-0000-0000-0000094E0000}"/>
    <cellStyle name="Normal 2 5 3 4 4 7 2" xfId="42263" xr:uid="{00000000-0005-0000-0000-00000A4E0000}"/>
    <cellStyle name="Normal 2 5 3 4 4 8" xfId="26682" xr:uid="{00000000-0005-0000-0000-00000B4E0000}"/>
    <cellStyle name="Normal 2 5 3 4 5" xfId="1122" xr:uid="{00000000-0005-0000-0000-00000C4E0000}"/>
    <cellStyle name="Normal 2 5 3 4 5 2" xfId="3551" xr:uid="{00000000-0005-0000-0000-00000D4E0000}"/>
    <cellStyle name="Normal 2 5 3 4 5 2 2" xfId="12687" xr:uid="{00000000-0005-0000-0000-00000E4E0000}"/>
    <cellStyle name="Normal 2 5 3 4 5 2 2 2" xfId="22906" xr:uid="{00000000-0005-0000-0000-00000F4E0000}"/>
    <cellStyle name="Normal 2 5 3 4 5 2 2 2 2" xfId="48459" xr:uid="{00000000-0005-0000-0000-0000104E0000}"/>
    <cellStyle name="Normal 2 5 3 4 5 2 2 3" xfId="38242" xr:uid="{00000000-0005-0000-0000-0000114E0000}"/>
    <cellStyle name="Normal 2 5 3 4 5 2 3" xfId="9108" xr:uid="{00000000-0005-0000-0000-0000124E0000}"/>
    <cellStyle name="Normal 2 5 3 4 5 2 3 2" xfId="34665" xr:uid="{00000000-0005-0000-0000-0000134E0000}"/>
    <cellStyle name="Normal 2 5 3 4 5 2 4" xfId="17899" xr:uid="{00000000-0005-0000-0000-0000144E0000}"/>
    <cellStyle name="Normal 2 5 3 4 5 2 4 2" xfId="43452" xr:uid="{00000000-0005-0000-0000-0000154E0000}"/>
    <cellStyle name="Normal 2 5 3 4 5 2 5" xfId="29389" xr:uid="{00000000-0005-0000-0000-0000164E0000}"/>
    <cellStyle name="Normal 2 5 3 4 5 3" xfId="5214" xr:uid="{00000000-0005-0000-0000-0000174E0000}"/>
    <cellStyle name="Normal 2 5 3 4 5 3 2" xfId="14051" xr:uid="{00000000-0005-0000-0000-0000184E0000}"/>
    <cellStyle name="Normal 2 5 3 4 5 3 2 2" xfId="24302" xr:uid="{00000000-0005-0000-0000-0000194E0000}"/>
    <cellStyle name="Normal 2 5 3 4 5 3 2 2 2" xfId="49855" xr:uid="{00000000-0005-0000-0000-00001A4E0000}"/>
    <cellStyle name="Normal 2 5 3 4 5 3 2 3" xfId="39606" xr:uid="{00000000-0005-0000-0000-00001B4E0000}"/>
    <cellStyle name="Normal 2 5 3 4 5 3 3" xfId="10472" xr:uid="{00000000-0005-0000-0000-00001C4E0000}"/>
    <cellStyle name="Normal 2 5 3 4 5 3 3 2" xfId="36029" xr:uid="{00000000-0005-0000-0000-00001D4E0000}"/>
    <cellStyle name="Normal 2 5 3 4 5 3 4" xfId="19295" xr:uid="{00000000-0005-0000-0000-00001E4E0000}"/>
    <cellStyle name="Normal 2 5 3 4 5 3 4 2" xfId="44848" xr:uid="{00000000-0005-0000-0000-00001F4E0000}"/>
    <cellStyle name="Normal 2 5 3 4 5 3 5" xfId="30785" xr:uid="{00000000-0005-0000-0000-0000204E0000}"/>
    <cellStyle name="Normal 2 5 3 4 5 4" xfId="1830" xr:uid="{00000000-0005-0000-0000-0000214E0000}"/>
    <cellStyle name="Normal 2 5 3 4 5 4 2" xfId="11198" xr:uid="{00000000-0005-0000-0000-0000224E0000}"/>
    <cellStyle name="Normal 2 5 3 4 5 4 2 2" xfId="36753" xr:uid="{00000000-0005-0000-0000-0000234E0000}"/>
    <cellStyle name="Normal 2 5 3 4 5 4 3" xfId="21202" xr:uid="{00000000-0005-0000-0000-0000244E0000}"/>
    <cellStyle name="Normal 2 5 3 4 5 4 3 2" xfId="46755" xr:uid="{00000000-0005-0000-0000-0000254E0000}"/>
    <cellStyle name="Normal 2 5 3 4 5 4 4" xfId="27685" xr:uid="{00000000-0005-0000-0000-0000264E0000}"/>
    <cellStyle name="Normal 2 5 3 4 5 5" xfId="6669" xr:uid="{00000000-0005-0000-0000-0000274E0000}"/>
    <cellStyle name="Normal 2 5 3 4 5 5 2" xfId="15496" xr:uid="{00000000-0005-0000-0000-0000284E0000}"/>
    <cellStyle name="Normal 2 5 3 4 5 5 2 2" xfId="41051" xr:uid="{00000000-0005-0000-0000-0000294E0000}"/>
    <cellStyle name="Normal 2 5 3 4 5 5 3" xfId="25747" xr:uid="{00000000-0005-0000-0000-00002A4E0000}"/>
    <cellStyle name="Normal 2 5 3 4 5 5 3 2" xfId="51300" xr:uid="{00000000-0005-0000-0000-00002B4E0000}"/>
    <cellStyle name="Normal 2 5 3 4 5 5 4" xfId="32230" xr:uid="{00000000-0005-0000-0000-00002C4E0000}"/>
    <cellStyle name="Normal 2 5 3 4 5 6" xfId="8115" xr:uid="{00000000-0005-0000-0000-00002D4E0000}"/>
    <cellStyle name="Normal 2 5 3 4 5 6 2" xfId="20505" xr:uid="{00000000-0005-0000-0000-00002E4E0000}"/>
    <cellStyle name="Normal 2 5 3 4 5 6 2 2" xfId="46058" xr:uid="{00000000-0005-0000-0000-00002F4E0000}"/>
    <cellStyle name="Normal 2 5 3 4 5 6 3" xfId="33672" xr:uid="{00000000-0005-0000-0000-0000304E0000}"/>
    <cellStyle name="Normal 2 5 3 4 5 7" xfId="16195" xr:uid="{00000000-0005-0000-0000-0000314E0000}"/>
    <cellStyle name="Normal 2 5 3 4 5 7 2" xfId="41748" xr:uid="{00000000-0005-0000-0000-0000324E0000}"/>
    <cellStyle name="Normal 2 5 3 4 5 8" xfId="26988" xr:uid="{00000000-0005-0000-0000-0000334E0000}"/>
    <cellStyle name="Normal 2 5 3 4 6" xfId="2724" xr:uid="{00000000-0005-0000-0000-0000344E0000}"/>
    <cellStyle name="Normal 2 5 3 4 6 2" xfId="12041" xr:uid="{00000000-0005-0000-0000-0000354E0000}"/>
    <cellStyle name="Normal 2 5 3 4 6 2 2" xfId="22085" xr:uid="{00000000-0005-0000-0000-0000364E0000}"/>
    <cellStyle name="Normal 2 5 3 4 6 2 2 2" xfId="47638" xr:uid="{00000000-0005-0000-0000-0000374E0000}"/>
    <cellStyle name="Normal 2 5 3 4 6 2 3" xfId="37596" xr:uid="{00000000-0005-0000-0000-0000384E0000}"/>
    <cellStyle name="Normal 2 5 3 4 6 3" xfId="8433" xr:uid="{00000000-0005-0000-0000-0000394E0000}"/>
    <cellStyle name="Normal 2 5 3 4 6 3 2" xfId="33990" xr:uid="{00000000-0005-0000-0000-00003A4E0000}"/>
    <cellStyle name="Normal 2 5 3 4 6 4" xfId="17078" xr:uid="{00000000-0005-0000-0000-00003B4E0000}"/>
    <cellStyle name="Normal 2 5 3 4 6 4 2" xfId="42631" xr:uid="{00000000-0005-0000-0000-00003C4E0000}"/>
    <cellStyle name="Normal 2 5 3 4 6 5" xfId="28568" xr:uid="{00000000-0005-0000-0000-00003D4E0000}"/>
    <cellStyle name="Normal 2 5 3 4 7" xfId="4170" xr:uid="{00000000-0005-0000-0000-00003E4E0000}"/>
    <cellStyle name="Normal 2 5 3 4 7 2" xfId="13008" xr:uid="{00000000-0005-0000-0000-00003F4E0000}"/>
    <cellStyle name="Normal 2 5 3 4 7 2 2" xfId="23259" xr:uid="{00000000-0005-0000-0000-0000404E0000}"/>
    <cellStyle name="Normal 2 5 3 4 7 2 2 2" xfId="48812" xr:uid="{00000000-0005-0000-0000-0000414E0000}"/>
    <cellStyle name="Normal 2 5 3 4 7 2 3" xfId="38563" xr:uid="{00000000-0005-0000-0000-0000424E0000}"/>
    <cellStyle name="Normal 2 5 3 4 7 3" xfId="9429" xr:uid="{00000000-0005-0000-0000-0000434E0000}"/>
    <cellStyle name="Normal 2 5 3 4 7 3 2" xfId="34986" xr:uid="{00000000-0005-0000-0000-0000444E0000}"/>
    <cellStyle name="Normal 2 5 3 4 7 4" xfId="18252" xr:uid="{00000000-0005-0000-0000-0000454E0000}"/>
    <cellStyle name="Normal 2 5 3 4 7 4 2" xfId="43805" xr:uid="{00000000-0005-0000-0000-0000464E0000}"/>
    <cellStyle name="Normal 2 5 3 4 7 5" xfId="29742" xr:uid="{00000000-0005-0000-0000-0000474E0000}"/>
    <cellStyle name="Normal 2 5 3 4 8" xfId="1442" xr:uid="{00000000-0005-0000-0000-0000484E0000}"/>
    <cellStyle name="Normal 2 5 3 4 8 2" xfId="10819" xr:uid="{00000000-0005-0000-0000-0000494E0000}"/>
    <cellStyle name="Normal 2 5 3 4 8 2 2" xfId="36374" xr:uid="{00000000-0005-0000-0000-00004A4E0000}"/>
    <cellStyle name="Normal 2 5 3 4 8 3" xfId="20823" xr:uid="{00000000-0005-0000-0000-00004B4E0000}"/>
    <cellStyle name="Normal 2 5 3 4 8 3 2" xfId="46376" xr:uid="{00000000-0005-0000-0000-00004C4E0000}"/>
    <cellStyle name="Normal 2 5 3 4 8 4" xfId="27306" xr:uid="{00000000-0005-0000-0000-00004D4E0000}"/>
    <cellStyle name="Normal 2 5 3 4 9" xfId="5626" xr:uid="{00000000-0005-0000-0000-00004E4E0000}"/>
    <cellStyle name="Normal 2 5 3 4 9 2" xfId="14453" xr:uid="{00000000-0005-0000-0000-00004F4E0000}"/>
    <cellStyle name="Normal 2 5 3 4 9 2 2" xfId="40008" xr:uid="{00000000-0005-0000-0000-0000504E0000}"/>
    <cellStyle name="Normal 2 5 3 4 9 3" xfId="24704" xr:uid="{00000000-0005-0000-0000-0000514E0000}"/>
    <cellStyle name="Normal 2 5 3 4 9 3 2" xfId="50257" xr:uid="{00000000-0005-0000-0000-0000524E0000}"/>
    <cellStyle name="Normal 2 5 3 4 9 4" xfId="31187" xr:uid="{00000000-0005-0000-0000-0000534E0000}"/>
    <cellStyle name="Normal 2 5 3 4_Degree data" xfId="2611" xr:uid="{00000000-0005-0000-0000-0000544E0000}"/>
    <cellStyle name="Normal 2 5 3 5" xfId="450" xr:uid="{00000000-0005-0000-0000-0000554E0000}"/>
    <cellStyle name="Normal 2 5 3 5 10" xfId="26379" xr:uid="{00000000-0005-0000-0000-0000564E0000}"/>
    <cellStyle name="Normal 2 5 3 5 2" xfId="755" xr:uid="{00000000-0005-0000-0000-0000574E0000}"/>
    <cellStyle name="Normal 2 5 3 5 2 2" xfId="3241" xr:uid="{00000000-0005-0000-0000-0000584E0000}"/>
    <cellStyle name="Normal 2 5 3 5 2 2 2" xfId="12383" xr:uid="{00000000-0005-0000-0000-0000594E0000}"/>
    <cellStyle name="Normal 2 5 3 5 2 2 2 2" xfId="22602" xr:uid="{00000000-0005-0000-0000-00005A4E0000}"/>
    <cellStyle name="Normal 2 5 3 5 2 2 2 2 2" xfId="48155" xr:uid="{00000000-0005-0000-0000-00005B4E0000}"/>
    <cellStyle name="Normal 2 5 3 5 2 2 2 3" xfId="37938" xr:uid="{00000000-0005-0000-0000-00005C4E0000}"/>
    <cellStyle name="Normal 2 5 3 5 2 2 3" xfId="8805" xr:uid="{00000000-0005-0000-0000-00005D4E0000}"/>
    <cellStyle name="Normal 2 5 3 5 2 2 3 2" xfId="34362" xr:uid="{00000000-0005-0000-0000-00005E4E0000}"/>
    <cellStyle name="Normal 2 5 3 5 2 2 4" xfId="17595" xr:uid="{00000000-0005-0000-0000-00005F4E0000}"/>
    <cellStyle name="Normal 2 5 3 5 2 2 4 2" xfId="43148" xr:uid="{00000000-0005-0000-0000-0000604E0000}"/>
    <cellStyle name="Normal 2 5 3 5 2 2 5" xfId="29085" xr:uid="{00000000-0005-0000-0000-0000614E0000}"/>
    <cellStyle name="Normal 2 5 3 5 2 3" xfId="4570" xr:uid="{00000000-0005-0000-0000-0000624E0000}"/>
    <cellStyle name="Normal 2 5 3 5 2 3 2" xfId="13408" xr:uid="{00000000-0005-0000-0000-0000634E0000}"/>
    <cellStyle name="Normal 2 5 3 5 2 3 2 2" xfId="23659" xr:uid="{00000000-0005-0000-0000-0000644E0000}"/>
    <cellStyle name="Normal 2 5 3 5 2 3 2 2 2" xfId="49212" xr:uid="{00000000-0005-0000-0000-0000654E0000}"/>
    <cellStyle name="Normal 2 5 3 5 2 3 2 3" xfId="38963" xr:uid="{00000000-0005-0000-0000-0000664E0000}"/>
    <cellStyle name="Normal 2 5 3 5 2 3 3" xfId="9829" xr:uid="{00000000-0005-0000-0000-0000674E0000}"/>
    <cellStyle name="Normal 2 5 3 5 2 3 3 2" xfId="35386" xr:uid="{00000000-0005-0000-0000-0000684E0000}"/>
    <cellStyle name="Normal 2 5 3 5 2 3 4" xfId="18652" xr:uid="{00000000-0005-0000-0000-0000694E0000}"/>
    <cellStyle name="Normal 2 5 3 5 2 3 4 2" xfId="44205" xr:uid="{00000000-0005-0000-0000-00006A4E0000}"/>
    <cellStyle name="Normal 2 5 3 5 2 3 5" xfId="30142" xr:uid="{00000000-0005-0000-0000-00006B4E0000}"/>
    <cellStyle name="Normal 2 5 3 5 2 4" xfId="2350" xr:uid="{00000000-0005-0000-0000-00006C4E0000}"/>
    <cellStyle name="Normal 2 5 3 5 2 4 2" xfId="11715" xr:uid="{00000000-0005-0000-0000-00006D4E0000}"/>
    <cellStyle name="Normal 2 5 3 5 2 4 2 2" xfId="37270" xr:uid="{00000000-0005-0000-0000-00006E4E0000}"/>
    <cellStyle name="Normal 2 5 3 5 2 4 3" xfId="21719" xr:uid="{00000000-0005-0000-0000-00006F4E0000}"/>
    <cellStyle name="Normal 2 5 3 5 2 4 3 2" xfId="47272" xr:uid="{00000000-0005-0000-0000-0000704E0000}"/>
    <cellStyle name="Normal 2 5 3 5 2 4 4" xfId="28202" xr:uid="{00000000-0005-0000-0000-0000714E0000}"/>
    <cellStyle name="Normal 2 5 3 5 2 5" xfId="6026" xr:uid="{00000000-0005-0000-0000-0000724E0000}"/>
    <cellStyle name="Normal 2 5 3 5 2 5 2" xfId="14853" xr:uid="{00000000-0005-0000-0000-0000734E0000}"/>
    <cellStyle name="Normal 2 5 3 5 2 5 2 2" xfId="40408" xr:uid="{00000000-0005-0000-0000-0000744E0000}"/>
    <cellStyle name="Normal 2 5 3 5 2 5 3" xfId="25104" xr:uid="{00000000-0005-0000-0000-0000754E0000}"/>
    <cellStyle name="Normal 2 5 3 5 2 5 3 2" xfId="50657" xr:uid="{00000000-0005-0000-0000-0000764E0000}"/>
    <cellStyle name="Normal 2 5 3 5 2 5 4" xfId="31587" xr:uid="{00000000-0005-0000-0000-0000774E0000}"/>
    <cellStyle name="Normal 2 5 3 5 2 6" xfId="7470" xr:uid="{00000000-0005-0000-0000-0000784E0000}"/>
    <cellStyle name="Normal 2 5 3 5 2 6 2" xfId="20201" xr:uid="{00000000-0005-0000-0000-0000794E0000}"/>
    <cellStyle name="Normal 2 5 3 5 2 6 2 2" xfId="45754" xr:uid="{00000000-0005-0000-0000-00007A4E0000}"/>
    <cellStyle name="Normal 2 5 3 5 2 6 3" xfId="33027" xr:uid="{00000000-0005-0000-0000-00007B4E0000}"/>
    <cellStyle name="Normal 2 5 3 5 2 7" xfId="16712" xr:uid="{00000000-0005-0000-0000-00007C4E0000}"/>
    <cellStyle name="Normal 2 5 3 5 2 7 2" xfId="42265" xr:uid="{00000000-0005-0000-0000-00007D4E0000}"/>
    <cellStyle name="Normal 2 5 3 5 2 8" xfId="26684" xr:uid="{00000000-0005-0000-0000-00007E4E0000}"/>
    <cellStyle name="Normal 2 5 3 5 3" xfId="1222" xr:uid="{00000000-0005-0000-0000-00007F4E0000}"/>
    <cellStyle name="Normal 2 5 3 5 3 2" xfId="3651" xr:uid="{00000000-0005-0000-0000-0000804E0000}"/>
    <cellStyle name="Normal 2 5 3 5 3 2 2" xfId="12787" xr:uid="{00000000-0005-0000-0000-0000814E0000}"/>
    <cellStyle name="Normal 2 5 3 5 3 2 2 2" xfId="23006" xr:uid="{00000000-0005-0000-0000-0000824E0000}"/>
    <cellStyle name="Normal 2 5 3 5 3 2 2 2 2" xfId="48559" xr:uid="{00000000-0005-0000-0000-0000834E0000}"/>
    <cellStyle name="Normal 2 5 3 5 3 2 2 3" xfId="38342" xr:uid="{00000000-0005-0000-0000-0000844E0000}"/>
    <cellStyle name="Normal 2 5 3 5 3 2 3" xfId="9208" xr:uid="{00000000-0005-0000-0000-0000854E0000}"/>
    <cellStyle name="Normal 2 5 3 5 3 2 3 2" xfId="34765" xr:uid="{00000000-0005-0000-0000-0000864E0000}"/>
    <cellStyle name="Normal 2 5 3 5 3 2 4" xfId="17999" xr:uid="{00000000-0005-0000-0000-0000874E0000}"/>
    <cellStyle name="Normal 2 5 3 5 3 2 4 2" xfId="43552" xr:uid="{00000000-0005-0000-0000-0000884E0000}"/>
    <cellStyle name="Normal 2 5 3 5 3 2 5" xfId="29489" xr:uid="{00000000-0005-0000-0000-0000894E0000}"/>
    <cellStyle name="Normal 2 5 3 5 3 3" xfId="4919" xr:uid="{00000000-0005-0000-0000-00008A4E0000}"/>
    <cellStyle name="Normal 2 5 3 5 3 3 2" xfId="13756" xr:uid="{00000000-0005-0000-0000-00008B4E0000}"/>
    <cellStyle name="Normal 2 5 3 5 3 3 2 2" xfId="24007" xr:uid="{00000000-0005-0000-0000-00008C4E0000}"/>
    <cellStyle name="Normal 2 5 3 5 3 3 2 2 2" xfId="49560" xr:uid="{00000000-0005-0000-0000-00008D4E0000}"/>
    <cellStyle name="Normal 2 5 3 5 3 3 2 3" xfId="39311" xr:uid="{00000000-0005-0000-0000-00008E4E0000}"/>
    <cellStyle name="Normal 2 5 3 5 3 3 3" xfId="10177" xr:uid="{00000000-0005-0000-0000-00008F4E0000}"/>
    <cellStyle name="Normal 2 5 3 5 3 3 3 2" xfId="35734" xr:uid="{00000000-0005-0000-0000-0000904E0000}"/>
    <cellStyle name="Normal 2 5 3 5 3 3 4" xfId="19000" xr:uid="{00000000-0005-0000-0000-0000914E0000}"/>
    <cellStyle name="Normal 2 5 3 5 3 3 4 2" xfId="44553" xr:uid="{00000000-0005-0000-0000-0000924E0000}"/>
    <cellStyle name="Normal 2 5 3 5 3 3 5" xfId="30490" xr:uid="{00000000-0005-0000-0000-0000934E0000}"/>
    <cellStyle name="Normal 2 5 3 5 3 4" xfId="2045" xr:uid="{00000000-0005-0000-0000-0000944E0000}"/>
    <cellStyle name="Normal 2 5 3 5 3 4 2" xfId="11410" xr:uid="{00000000-0005-0000-0000-0000954E0000}"/>
    <cellStyle name="Normal 2 5 3 5 3 4 2 2" xfId="36965" xr:uid="{00000000-0005-0000-0000-0000964E0000}"/>
    <cellStyle name="Normal 2 5 3 5 3 4 3" xfId="21414" xr:uid="{00000000-0005-0000-0000-0000974E0000}"/>
    <cellStyle name="Normal 2 5 3 5 3 4 3 2" xfId="46967" xr:uid="{00000000-0005-0000-0000-0000984E0000}"/>
    <cellStyle name="Normal 2 5 3 5 3 4 4" xfId="27897" xr:uid="{00000000-0005-0000-0000-0000994E0000}"/>
    <cellStyle name="Normal 2 5 3 5 3 5" xfId="6374" xr:uid="{00000000-0005-0000-0000-00009A4E0000}"/>
    <cellStyle name="Normal 2 5 3 5 3 5 2" xfId="15201" xr:uid="{00000000-0005-0000-0000-00009B4E0000}"/>
    <cellStyle name="Normal 2 5 3 5 3 5 2 2" xfId="40756" xr:uid="{00000000-0005-0000-0000-00009C4E0000}"/>
    <cellStyle name="Normal 2 5 3 5 3 5 3" xfId="25452" xr:uid="{00000000-0005-0000-0000-00009D4E0000}"/>
    <cellStyle name="Normal 2 5 3 5 3 5 3 2" xfId="51005" xr:uid="{00000000-0005-0000-0000-00009E4E0000}"/>
    <cellStyle name="Normal 2 5 3 5 3 5 4" xfId="31935" xr:uid="{00000000-0005-0000-0000-00009F4E0000}"/>
    <cellStyle name="Normal 2 5 3 5 3 6" xfId="7820" xr:uid="{00000000-0005-0000-0000-0000A04E0000}"/>
    <cellStyle name="Normal 2 5 3 5 3 6 2" xfId="20605" xr:uid="{00000000-0005-0000-0000-0000A14E0000}"/>
    <cellStyle name="Normal 2 5 3 5 3 6 2 2" xfId="46158" xr:uid="{00000000-0005-0000-0000-0000A24E0000}"/>
    <cellStyle name="Normal 2 5 3 5 3 6 3" xfId="33377" xr:uid="{00000000-0005-0000-0000-0000A34E0000}"/>
    <cellStyle name="Normal 2 5 3 5 3 7" xfId="16407" xr:uid="{00000000-0005-0000-0000-0000A44E0000}"/>
    <cellStyle name="Normal 2 5 3 5 3 7 2" xfId="41960" xr:uid="{00000000-0005-0000-0000-0000A54E0000}"/>
    <cellStyle name="Normal 2 5 3 5 3 8" xfId="27088" xr:uid="{00000000-0005-0000-0000-0000A64E0000}"/>
    <cellStyle name="Normal 2 5 3 5 4" xfId="2936" xr:uid="{00000000-0005-0000-0000-0000A74E0000}"/>
    <cellStyle name="Normal 2 5 3 5 4 2" xfId="5314" xr:uid="{00000000-0005-0000-0000-0000A84E0000}"/>
    <cellStyle name="Normal 2 5 3 5 4 2 2" xfId="14151" xr:uid="{00000000-0005-0000-0000-0000A94E0000}"/>
    <cellStyle name="Normal 2 5 3 5 4 2 2 2" xfId="24402" xr:uid="{00000000-0005-0000-0000-0000AA4E0000}"/>
    <cellStyle name="Normal 2 5 3 5 4 2 2 2 2" xfId="49955" xr:uid="{00000000-0005-0000-0000-0000AB4E0000}"/>
    <cellStyle name="Normal 2 5 3 5 4 2 2 3" xfId="39706" xr:uid="{00000000-0005-0000-0000-0000AC4E0000}"/>
    <cellStyle name="Normal 2 5 3 5 4 2 3" xfId="10572" xr:uid="{00000000-0005-0000-0000-0000AD4E0000}"/>
    <cellStyle name="Normal 2 5 3 5 4 2 3 2" xfId="36129" xr:uid="{00000000-0005-0000-0000-0000AE4E0000}"/>
    <cellStyle name="Normal 2 5 3 5 4 2 4" xfId="19395" xr:uid="{00000000-0005-0000-0000-0000AF4E0000}"/>
    <cellStyle name="Normal 2 5 3 5 4 2 4 2" xfId="44948" xr:uid="{00000000-0005-0000-0000-0000B04E0000}"/>
    <cellStyle name="Normal 2 5 3 5 4 2 5" xfId="30885" xr:uid="{00000000-0005-0000-0000-0000B14E0000}"/>
    <cellStyle name="Normal 2 5 3 5 4 3" xfId="6769" xr:uid="{00000000-0005-0000-0000-0000B24E0000}"/>
    <cellStyle name="Normal 2 5 3 5 4 3 2" xfId="15596" xr:uid="{00000000-0005-0000-0000-0000B34E0000}"/>
    <cellStyle name="Normal 2 5 3 5 4 3 2 2" xfId="41151" xr:uid="{00000000-0005-0000-0000-0000B44E0000}"/>
    <cellStyle name="Normal 2 5 3 5 4 3 3" xfId="25847" xr:uid="{00000000-0005-0000-0000-0000B54E0000}"/>
    <cellStyle name="Normal 2 5 3 5 4 3 3 2" xfId="51400" xr:uid="{00000000-0005-0000-0000-0000B64E0000}"/>
    <cellStyle name="Normal 2 5 3 5 4 3 4" xfId="32330" xr:uid="{00000000-0005-0000-0000-0000B74E0000}"/>
    <cellStyle name="Normal 2 5 3 5 4 4" xfId="8215" xr:uid="{00000000-0005-0000-0000-0000B84E0000}"/>
    <cellStyle name="Normal 2 5 3 5 4 4 2" xfId="22297" xr:uid="{00000000-0005-0000-0000-0000B94E0000}"/>
    <cellStyle name="Normal 2 5 3 5 4 4 2 2" xfId="47850" xr:uid="{00000000-0005-0000-0000-0000BA4E0000}"/>
    <cellStyle name="Normal 2 5 3 5 4 4 3" xfId="33772" xr:uid="{00000000-0005-0000-0000-0000BB4E0000}"/>
    <cellStyle name="Normal 2 5 3 5 4 5" xfId="17290" xr:uid="{00000000-0005-0000-0000-0000BC4E0000}"/>
    <cellStyle name="Normal 2 5 3 5 4 5 2" xfId="42843" xr:uid="{00000000-0005-0000-0000-0000BD4E0000}"/>
    <cellStyle name="Normal 2 5 3 5 4 6" xfId="28780" xr:uid="{00000000-0005-0000-0000-0000BE4E0000}"/>
    <cellStyle name="Normal 2 5 3 5 5" xfId="4270" xr:uid="{00000000-0005-0000-0000-0000BF4E0000}"/>
    <cellStyle name="Normal 2 5 3 5 5 2" xfId="13108" xr:uid="{00000000-0005-0000-0000-0000C04E0000}"/>
    <cellStyle name="Normal 2 5 3 5 5 2 2" xfId="23359" xr:uid="{00000000-0005-0000-0000-0000C14E0000}"/>
    <cellStyle name="Normal 2 5 3 5 5 2 2 2" xfId="48912" xr:uid="{00000000-0005-0000-0000-0000C24E0000}"/>
    <cellStyle name="Normal 2 5 3 5 5 2 3" xfId="38663" xr:uid="{00000000-0005-0000-0000-0000C34E0000}"/>
    <cellStyle name="Normal 2 5 3 5 5 3" xfId="9529" xr:uid="{00000000-0005-0000-0000-0000C44E0000}"/>
    <cellStyle name="Normal 2 5 3 5 5 3 2" xfId="35086" xr:uid="{00000000-0005-0000-0000-0000C54E0000}"/>
    <cellStyle name="Normal 2 5 3 5 5 4" xfId="18352" xr:uid="{00000000-0005-0000-0000-0000C64E0000}"/>
    <cellStyle name="Normal 2 5 3 5 5 4 2" xfId="43905" xr:uid="{00000000-0005-0000-0000-0000C74E0000}"/>
    <cellStyle name="Normal 2 5 3 5 5 5" xfId="29842" xr:uid="{00000000-0005-0000-0000-0000C84E0000}"/>
    <cellStyle name="Normal 2 5 3 5 6" xfId="1542" xr:uid="{00000000-0005-0000-0000-0000C94E0000}"/>
    <cellStyle name="Normal 2 5 3 5 6 2" xfId="10919" xr:uid="{00000000-0005-0000-0000-0000CA4E0000}"/>
    <cellStyle name="Normal 2 5 3 5 6 2 2" xfId="36474" xr:uid="{00000000-0005-0000-0000-0000CB4E0000}"/>
    <cellStyle name="Normal 2 5 3 5 6 3" xfId="20923" xr:uid="{00000000-0005-0000-0000-0000CC4E0000}"/>
    <cellStyle name="Normal 2 5 3 5 6 3 2" xfId="46476" xr:uid="{00000000-0005-0000-0000-0000CD4E0000}"/>
    <cellStyle name="Normal 2 5 3 5 6 4" xfId="27406" xr:uid="{00000000-0005-0000-0000-0000CE4E0000}"/>
    <cellStyle name="Normal 2 5 3 5 7" xfId="5726" xr:uid="{00000000-0005-0000-0000-0000CF4E0000}"/>
    <cellStyle name="Normal 2 5 3 5 7 2" xfId="14553" xr:uid="{00000000-0005-0000-0000-0000D04E0000}"/>
    <cellStyle name="Normal 2 5 3 5 7 2 2" xfId="40108" xr:uid="{00000000-0005-0000-0000-0000D14E0000}"/>
    <cellStyle name="Normal 2 5 3 5 7 3" xfId="24804" xr:uid="{00000000-0005-0000-0000-0000D24E0000}"/>
    <cellStyle name="Normal 2 5 3 5 7 3 2" xfId="50357" xr:uid="{00000000-0005-0000-0000-0000D34E0000}"/>
    <cellStyle name="Normal 2 5 3 5 7 4" xfId="31287" xr:uid="{00000000-0005-0000-0000-0000D44E0000}"/>
    <cellStyle name="Normal 2 5 3 5 8" xfId="7170" xr:uid="{00000000-0005-0000-0000-0000D54E0000}"/>
    <cellStyle name="Normal 2 5 3 5 8 2" xfId="19896" xr:uid="{00000000-0005-0000-0000-0000D64E0000}"/>
    <cellStyle name="Normal 2 5 3 5 8 2 2" xfId="45449" xr:uid="{00000000-0005-0000-0000-0000D74E0000}"/>
    <cellStyle name="Normal 2 5 3 5 8 3" xfId="32727" xr:uid="{00000000-0005-0000-0000-0000D84E0000}"/>
    <cellStyle name="Normal 2 5 3 5 9" xfId="15916" xr:uid="{00000000-0005-0000-0000-0000D94E0000}"/>
    <cellStyle name="Normal 2 5 3 5 9 2" xfId="41469" xr:uid="{00000000-0005-0000-0000-0000DA4E0000}"/>
    <cellStyle name="Normal 2 5 3 5_Degree data" xfId="3841" xr:uid="{00000000-0005-0000-0000-0000DB4E0000}"/>
    <cellStyle name="Normal 2 5 3 6" xfId="321" xr:uid="{00000000-0005-0000-0000-0000DC4E0000}"/>
    <cellStyle name="Normal 2 5 3 6 10" xfId="26250" xr:uid="{00000000-0005-0000-0000-0000DD4E0000}"/>
    <cellStyle name="Normal 2 5 3 6 2" xfId="756" xr:uid="{00000000-0005-0000-0000-0000DE4E0000}"/>
    <cellStyle name="Normal 2 5 3 6 2 2" xfId="3242" xr:uid="{00000000-0005-0000-0000-0000DF4E0000}"/>
    <cellStyle name="Normal 2 5 3 6 2 2 2" xfId="12384" xr:uid="{00000000-0005-0000-0000-0000E04E0000}"/>
    <cellStyle name="Normal 2 5 3 6 2 2 2 2" xfId="22603" xr:uid="{00000000-0005-0000-0000-0000E14E0000}"/>
    <cellStyle name="Normal 2 5 3 6 2 2 2 2 2" xfId="48156" xr:uid="{00000000-0005-0000-0000-0000E24E0000}"/>
    <cellStyle name="Normal 2 5 3 6 2 2 2 3" xfId="37939" xr:uid="{00000000-0005-0000-0000-0000E34E0000}"/>
    <cellStyle name="Normal 2 5 3 6 2 2 3" xfId="8806" xr:uid="{00000000-0005-0000-0000-0000E44E0000}"/>
    <cellStyle name="Normal 2 5 3 6 2 2 3 2" xfId="34363" xr:uid="{00000000-0005-0000-0000-0000E54E0000}"/>
    <cellStyle name="Normal 2 5 3 6 2 2 4" xfId="17596" xr:uid="{00000000-0005-0000-0000-0000E64E0000}"/>
    <cellStyle name="Normal 2 5 3 6 2 2 4 2" xfId="43149" xr:uid="{00000000-0005-0000-0000-0000E74E0000}"/>
    <cellStyle name="Normal 2 5 3 6 2 2 5" xfId="29086" xr:uid="{00000000-0005-0000-0000-0000E84E0000}"/>
    <cellStyle name="Normal 2 5 3 6 2 3" xfId="4571" xr:uid="{00000000-0005-0000-0000-0000E94E0000}"/>
    <cellStyle name="Normal 2 5 3 6 2 3 2" xfId="13409" xr:uid="{00000000-0005-0000-0000-0000EA4E0000}"/>
    <cellStyle name="Normal 2 5 3 6 2 3 2 2" xfId="23660" xr:uid="{00000000-0005-0000-0000-0000EB4E0000}"/>
    <cellStyle name="Normal 2 5 3 6 2 3 2 2 2" xfId="49213" xr:uid="{00000000-0005-0000-0000-0000EC4E0000}"/>
    <cellStyle name="Normal 2 5 3 6 2 3 2 3" xfId="38964" xr:uid="{00000000-0005-0000-0000-0000ED4E0000}"/>
    <cellStyle name="Normal 2 5 3 6 2 3 3" xfId="9830" xr:uid="{00000000-0005-0000-0000-0000EE4E0000}"/>
    <cellStyle name="Normal 2 5 3 6 2 3 3 2" xfId="35387" xr:uid="{00000000-0005-0000-0000-0000EF4E0000}"/>
    <cellStyle name="Normal 2 5 3 6 2 3 4" xfId="18653" xr:uid="{00000000-0005-0000-0000-0000F04E0000}"/>
    <cellStyle name="Normal 2 5 3 6 2 3 4 2" xfId="44206" xr:uid="{00000000-0005-0000-0000-0000F14E0000}"/>
    <cellStyle name="Normal 2 5 3 6 2 3 5" xfId="30143" xr:uid="{00000000-0005-0000-0000-0000F24E0000}"/>
    <cellStyle name="Normal 2 5 3 6 2 4" xfId="2351" xr:uid="{00000000-0005-0000-0000-0000F34E0000}"/>
    <cellStyle name="Normal 2 5 3 6 2 4 2" xfId="11716" xr:uid="{00000000-0005-0000-0000-0000F44E0000}"/>
    <cellStyle name="Normal 2 5 3 6 2 4 2 2" xfId="37271" xr:uid="{00000000-0005-0000-0000-0000F54E0000}"/>
    <cellStyle name="Normal 2 5 3 6 2 4 3" xfId="21720" xr:uid="{00000000-0005-0000-0000-0000F64E0000}"/>
    <cellStyle name="Normal 2 5 3 6 2 4 3 2" xfId="47273" xr:uid="{00000000-0005-0000-0000-0000F74E0000}"/>
    <cellStyle name="Normal 2 5 3 6 2 4 4" xfId="28203" xr:uid="{00000000-0005-0000-0000-0000F84E0000}"/>
    <cellStyle name="Normal 2 5 3 6 2 5" xfId="6027" xr:uid="{00000000-0005-0000-0000-0000F94E0000}"/>
    <cellStyle name="Normal 2 5 3 6 2 5 2" xfId="14854" xr:uid="{00000000-0005-0000-0000-0000FA4E0000}"/>
    <cellStyle name="Normal 2 5 3 6 2 5 2 2" xfId="40409" xr:uid="{00000000-0005-0000-0000-0000FB4E0000}"/>
    <cellStyle name="Normal 2 5 3 6 2 5 3" xfId="25105" xr:uid="{00000000-0005-0000-0000-0000FC4E0000}"/>
    <cellStyle name="Normal 2 5 3 6 2 5 3 2" xfId="50658" xr:uid="{00000000-0005-0000-0000-0000FD4E0000}"/>
    <cellStyle name="Normal 2 5 3 6 2 5 4" xfId="31588" xr:uid="{00000000-0005-0000-0000-0000FE4E0000}"/>
    <cellStyle name="Normal 2 5 3 6 2 6" xfId="7471" xr:uid="{00000000-0005-0000-0000-0000FF4E0000}"/>
    <cellStyle name="Normal 2 5 3 6 2 6 2" xfId="20202" xr:uid="{00000000-0005-0000-0000-0000004F0000}"/>
    <cellStyle name="Normal 2 5 3 6 2 6 2 2" xfId="45755" xr:uid="{00000000-0005-0000-0000-0000014F0000}"/>
    <cellStyle name="Normal 2 5 3 6 2 6 3" xfId="33028" xr:uid="{00000000-0005-0000-0000-0000024F0000}"/>
    <cellStyle name="Normal 2 5 3 6 2 7" xfId="16713" xr:uid="{00000000-0005-0000-0000-0000034F0000}"/>
    <cellStyle name="Normal 2 5 3 6 2 7 2" xfId="42266" xr:uid="{00000000-0005-0000-0000-0000044F0000}"/>
    <cellStyle name="Normal 2 5 3 6 2 8" xfId="26685" xr:uid="{00000000-0005-0000-0000-0000054F0000}"/>
    <cellStyle name="Normal 2 5 3 6 3" xfId="1093" xr:uid="{00000000-0005-0000-0000-0000064F0000}"/>
    <cellStyle name="Normal 2 5 3 6 3 2" xfId="3522" xr:uid="{00000000-0005-0000-0000-0000074F0000}"/>
    <cellStyle name="Normal 2 5 3 6 3 2 2" xfId="12658" xr:uid="{00000000-0005-0000-0000-0000084F0000}"/>
    <cellStyle name="Normal 2 5 3 6 3 2 2 2" xfId="22877" xr:uid="{00000000-0005-0000-0000-0000094F0000}"/>
    <cellStyle name="Normal 2 5 3 6 3 2 2 2 2" xfId="48430" xr:uid="{00000000-0005-0000-0000-00000A4F0000}"/>
    <cellStyle name="Normal 2 5 3 6 3 2 2 3" xfId="38213" xr:uid="{00000000-0005-0000-0000-00000B4F0000}"/>
    <cellStyle name="Normal 2 5 3 6 3 2 3" xfId="9080" xr:uid="{00000000-0005-0000-0000-00000C4F0000}"/>
    <cellStyle name="Normal 2 5 3 6 3 2 3 2" xfId="34637" xr:uid="{00000000-0005-0000-0000-00000D4F0000}"/>
    <cellStyle name="Normal 2 5 3 6 3 2 4" xfId="17870" xr:uid="{00000000-0005-0000-0000-00000E4F0000}"/>
    <cellStyle name="Normal 2 5 3 6 3 2 4 2" xfId="43423" xr:uid="{00000000-0005-0000-0000-00000F4F0000}"/>
    <cellStyle name="Normal 2 5 3 6 3 2 5" xfId="29360" xr:uid="{00000000-0005-0000-0000-0000104F0000}"/>
    <cellStyle name="Normal 2 5 3 6 3 3" xfId="4920" xr:uid="{00000000-0005-0000-0000-0000114F0000}"/>
    <cellStyle name="Normal 2 5 3 6 3 3 2" xfId="13757" xr:uid="{00000000-0005-0000-0000-0000124F0000}"/>
    <cellStyle name="Normal 2 5 3 6 3 3 2 2" xfId="24008" xr:uid="{00000000-0005-0000-0000-0000134F0000}"/>
    <cellStyle name="Normal 2 5 3 6 3 3 2 2 2" xfId="49561" xr:uid="{00000000-0005-0000-0000-0000144F0000}"/>
    <cellStyle name="Normal 2 5 3 6 3 3 2 3" xfId="39312" xr:uid="{00000000-0005-0000-0000-0000154F0000}"/>
    <cellStyle name="Normal 2 5 3 6 3 3 3" xfId="10178" xr:uid="{00000000-0005-0000-0000-0000164F0000}"/>
    <cellStyle name="Normal 2 5 3 6 3 3 3 2" xfId="35735" xr:uid="{00000000-0005-0000-0000-0000174F0000}"/>
    <cellStyle name="Normal 2 5 3 6 3 3 4" xfId="19001" xr:uid="{00000000-0005-0000-0000-0000184F0000}"/>
    <cellStyle name="Normal 2 5 3 6 3 3 4 2" xfId="44554" xr:uid="{00000000-0005-0000-0000-0000194F0000}"/>
    <cellStyle name="Normal 2 5 3 6 3 3 5" xfId="30491" xr:uid="{00000000-0005-0000-0000-00001A4F0000}"/>
    <cellStyle name="Normal 2 5 3 6 3 4" xfId="2586" xr:uid="{00000000-0005-0000-0000-00001B4F0000}"/>
    <cellStyle name="Normal 2 5 3 6 3 4 2" xfId="11950" xr:uid="{00000000-0005-0000-0000-00001C4F0000}"/>
    <cellStyle name="Normal 2 5 3 6 3 4 2 2" xfId="37505" xr:uid="{00000000-0005-0000-0000-00001D4F0000}"/>
    <cellStyle name="Normal 2 5 3 6 3 4 3" xfId="21954" xr:uid="{00000000-0005-0000-0000-00001E4F0000}"/>
    <cellStyle name="Normal 2 5 3 6 3 4 3 2" xfId="47507" xr:uid="{00000000-0005-0000-0000-00001F4F0000}"/>
    <cellStyle name="Normal 2 5 3 6 3 4 4" xfId="28437" xr:uid="{00000000-0005-0000-0000-0000204F0000}"/>
    <cellStyle name="Normal 2 5 3 6 3 5" xfId="6375" xr:uid="{00000000-0005-0000-0000-0000214F0000}"/>
    <cellStyle name="Normal 2 5 3 6 3 5 2" xfId="15202" xr:uid="{00000000-0005-0000-0000-0000224F0000}"/>
    <cellStyle name="Normal 2 5 3 6 3 5 2 2" xfId="40757" xr:uid="{00000000-0005-0000-0000-0000234F0000}"/>
    <cellStyle name="Normal 2 5 3 6 3 5 3" xfId="25453" xr:uid="{00000000-0005-0000-0000-0000244F0000}"/>
    <cellStyle name="Normal 2 5 3 6 3 5 3 2" xfId="51006" xr:uid="{00000000-0005-0000-0000-0000254F0000}"/>
    <cellStyle name="Normal 2 5 3 6 3 5 4" xfId="31936" xr:uid="{00000000-0005-0000-0000-0000264F0000}"/>
    <cellStyle name="Normal 2 5 3 6 3 6" xfId="7821" xr:uid="{00000000-0005-0000-0000-0000274F0000}"/>
    <cellStyle name="Normal 2 5 3 6 3 6 2" xfId="20476" xr:uid="{00000000-0005-0000-0000-0000284F0000}"/>
    <cellStyle name="Normal 2 5 3 6 3 6 2 2" xfId="46029" xr:uid="{00000000-0005-0000-0000-0000294F0000}"/>
    <cellStyle name="Normal 2 5 3 6 3 6 3" xfId="33378" xr:uid="{00000000-0005-0000-0000-00002A4F0000}"/>
    <cellStyle name="Normal 2 5 3 6 3 7" xfId="16947" xr:uid="{00000000-0005-0000-0000-00002B4F0000}"/>
    <cellStyle name="Normal 2 5 3 6 3 7 2" xfId="42500" xr:uid="{00000000-0005-0000-0000-00002C4F0000}"/>
    <cellStyle name="Normal 2 5 3 6 3 8" xfId="26959" xr:uid="{00000000-0005-0000-0000-00002D4F0000}"/>
    <cellStyle name="Normal 2 5 3 6 4" xfId="2807" xr:uid="{00000000-0005-0000-0000-00002E4F0000}"/>
    <cellStyle name="Normal 2 5 3 6 4 2" xfId="5185" xr:uid="{00000000-0005-0000-0000-00002F4F0000}"/>
    <cellStyle name="Normal 2 5 3 6 4 2 2" xfId="14022" xr:uid="{00000000-0005-0000-0000-0000304F0000}"/>
    <cellStyle name="Normal 2 5 3 6 4 2 2 2" xfId="24273" xr:uid="{00000000-0005-0000-0000-0000314F0000}"/>
    <cellStyle name="Normal 2 5 3 6 4 2 2 2 2" xfId="49826" xr:uid="{00000000-0005-0000-0000-0000324F0000}"/>
    <cellStyle name="Normal 2 5 3 6 4 2 2 3" xfId="39577" xr:uid="{00000000-0005-0000-0000-0000334F0000}"/>
    <cellStyle name="Normal 2 5 3 6 4 2 3" xfId="10443" xr:uid="{00000000-0005-0000-0000-0000344F0000}"/>
    <cellStyle name="Normal 2 5 3 6 4 2 3 2" xfId="36000" xr:uid="{00000000-0005-0000-0000-0000354F0000}"/>
    <cellStyle name="Normal 2 5 3 6 4 2 4" xfId="19266" xr:uid="{00000000-0005-0000-0000-0000364F0000}"/>
    <cellStyle name="Normal 2 5 3 6 4 2 4 2" xfId="44819" xr:uid="{00000000-0005-0000-0000-0000374F0000}"/>
    <cellStyle name="Normal 2 5 3 6 4 2 5" xfId="30756" xr:uid="{00000000-0005-0000-0000-0000384F0000}"/>
    <cellStyle name="Normal 2 5 3 6 4 3" xfId="6640" xr:uid="{00000000-0005-0000-0000-0000394F0000}"/>
    <cellStyle name="Normal 2 5 3 6 4 3 2" xfId="15467" xr:uid="{00000000-0005-0000-0000-00003A4F0000}"/>
    <cellStyle name="Normal 2 5 3 6 4 3 2 2" xfId="41022" xr:uid="{00000000-0005-0000-0000-00003B4F0000}"/>
    <cellStyle name="Normal 2 5 3 6 4 3 3" xfId="25718" xr:uid="{00000000-0005-0000-0000-00003C4F0000}"/>
    <cellStyle name="Normal 2 5 3 6 4 3 3 2" xfId="51271" xr:uid="{00000000-0005-0000-0000-00003D4F0000}"/>
    <cellStyle name="Normal 2 5 3 6 4 3 4" xfId="32201" xr:uid="{00000000-0005-0000-0000-00003E4F0000}"/>
    <cellStyle name="Normal 2 5 3 6 4 4" xfId="8086" xr:uid="{00000000-0005-0000-0000-00003F4F0000}"/>
    <cellStyle name="Normal 2 5 3 6 4 4 2" xfId="22168" xr:uid="{00000000-0005-0000-0000-0000404F0000}"/>
    <cellStyle name="Normal 2 5 3 6 4 4 2 2" xfId="47721" xr:uid="{00000000-0005-0000-0000-0000414F0000}"/>
    <cellStyle name="Normal 2 5 3 6 4 4 3" xfId="33643" xr:uid="{00000000-0005-0000-0000-0000424F0000}"/>
    <cellStyle name="Normal 2 5 3 6 4 5" xfId="17161" xr:uid="{00000000-0005-0000-0000-0000434F0000}"/>
    <cellStyle name="Normal 2 5 3 6 4 5 2" xfId="42714" xr:uid="{00000000-0005-0000-0000-0000444F0000}"/>
    <cellStyle name="Normal 2 5 3 6 4 6" xfId="28651" xr:uid="{00000000-0005-0000-0000-0000454F0000}"/>
    <cellStyle name="Normal 2 5 3 6 5" xfId="4139" xr:uid="{00000000-0005-0000-0000-0000464F0000}"/>
    <cellStyle name="Normal 2 5 3 6 5 2" xfId="12977" xr:uid="{00000000-0005-0000-0000-0000474F0000}"/>
    <cellStyle name="Normal 2 5 3 6 5 2 2" xfId="23228" xr:uid="{00000000-0005-0000-0000-0000484F0000}"/>
    <cellStyle name="Normal 2 5 3 6 5 2 2 2" xfId="48781" xr:uid="{00000000-0005-0000-0000-0000494F0000}"/>
    <cellStyle name="Normal 2 5 3 6 5 2 3" xfId="38532" xr:uid="{00000000-0005-0000-0000-00004A4F0000}"/>
    <cellStyle name="Normal 2 5 3 6 5 3" xfId="9398" xr:uid="{00000000-0005-0000-0000-00004B4F0000}"/>
    <cellStyle name="Normal 2 5 3 6 5 3 2" xfId="34955" xr:uid="{00000000-0005-0000-0000-00004C4F0000}"/>
    <cellStyle name="Normal 2 5 3 6 5 4" xfId="18221" xr:uid="{00000000-0005-0000-0000-00004D4F0000}"/>
    <cellStyle name="Normal 2 5 3 6 5 4 2" xfId="43774" xr:uid="{00000000-0005-0000-0000-00004E4F0000}"/>
    <cellStyle name="Normal 2 5 3 6 5 5" xfId="29711" xr:uid="{00000000-0005-0000-0000-00004F4F0000}"/>
    <cellStyle name="Normal 2 5 3 6 6" xfId="1916" xr:uid="{00000000-0005-0000-0000-0000504F0000}"/>
    <cellStyle name="Normal 2 5 3 6 6 2" xfId="11281" xr:uid="{00000000-0005-0000-0000-0000514F0000}"/>
    <cellStyle name="Normal 2 5 3 6 6 2 2" xfId="36836" xr:uid="{00000000-0005-0000-0000-0000524F0000}"/>
    <cellStyle name="Normal 2 5 3 6 6 3" xfId="21285" xr:uid="{00000000-0005-0000-0000-0000534F0000}"/>
    <cellStyle name="Normal 2 5 3 6 6 3 2" xfId="46838" xr:uid="{00000000-0005-0000-0000-0000544F0000}"/>
    <cellStyle name="Normal 2 5 3 6 6 4" xfId="27768" xr:uid="{00000000-0005-0000-0000-0000554F0000}"/>
    <cellStyle name="Normal 2 5 3 6 7" xfId="5597" xr:uid="{00000000-0005-0000-0000-0000564F0000}"/>
    <cellStyle name="Normal 2 5 3 6 7 2" xfId="14424" xr:uid="{00000000-0005-0000-0000-0000574F0000}"/>
    <cellStyle name="Normal 2 5 3 6 7 2 2" xfId="39979" xr:uid="{00000000-0005-0000-0000-0000584F0000}"/>
    <cellStyle name="Normal 2 5 3 6 7 3" xfId="24675" xr:uid="{00000000-0005-0000-0000-0000594F0000}"/>
    <cellStyle name="Normal 2 5 3 6 7 3 2" xfId="50228" xr:uid="{00000000-0005-0000-0000-00005A4F0000}"/>
    <cellStyle name="Normal 2 5 3 6 7 4" xfId="31158" xr:uid="{00000000-0005-0000-0000-00005B4F0000}"/>
    <cellStyle name="Normal 2 5 3 6 8" xfId="7041" xr:uid="{00000000-0005-0000-0000-00005C4F0000}"/>
    <cellStyle name="Normal 2 5 3 6 8 2" xfId="19767" xr:uid="{00000000-0005-0000-0000-00005D4F0000}"/>
    <cellStyle name="Normal 2 5 3 6 8 2 2" xfId="45320" xr:uid="{00000000-0005-0000-0000-00005E4F0000}"/>
    <cellStyle name="Normal 2 5 3 6 8 3" xfId="32598" xr:uid="{00000000-0005-0000-0000-00005F4F0000}"/>
    <cellStyle name="Normal 2 5 3 6 9" xfId="16278" xr:uid="{00000000-0005-0000-0000-0000604F0000}"/>
    <cellStyle name="Normal 2 5 3 6 9 2" xfId="41831" xr:uid="{00000000-0005-0000-0000-0000614F0000}"/>
    <cellStyle name="Normal 2 5 3 6_Degree data" xfId="3868" xr:uid="{00000000-0005-0000-0000-0000624F0000}"/>
    <cellStyle name="Normal 2 5 3 7" xfId="747" xr:uid="{00000000-0005-0000-0000-0000634F0000}"/>
    <cellStyle name="Normal 2 5 3 7 2" xfId="3233" xr:uid="{00000000-0005-0000-0000-0000644F0000}"/>
    <cellStyle name="Normal 2 5 3 7 2 2" xfId="12375" xr:uid="{00000000-0005-0000-0000-0000654F0000}"/>
    <cellStyle name="Normal 2 5 3 7 2 2 2" xfId="22594" xr:uid="{00000000-0005-0000-0000-0000664F0000}"/>
    <cellStyle name="Normal 2 5 3 7 2 2 2 2" xfId="48147" xr:uid="{00000000-0005-0000-0000-0000674F0000}"/>
    <cellStyle name="Normal 2 5 3 7 2 2 3" xfId="37930" xr:uid="{00000000-0005-0000-0000-0000684F0000}"/>
    <cellStyle name="Normal 2 5 3 7 2 3" xfId="8797" xr:uid="{00000000-0005-0000-0000-0000694F0000}"/>
    <cellStyle name="Normal 2 5 3 7 2 3 2" xfId="34354" xr:uid="{00000000-0005-0000-0000-00006A4F0000}"/>
    <cellStyle name="Normal 2 5 3 7 2 4" xfId="17587" xr:uid="{00000000-0005-0000-0000-00006B4F0000}"/>
    <cellStyle name="Normal 2 5 3 7 2 4 2" xfId="43140" xr:uid="{00000000-0005-0000-0000-00006C4F0000}"/>
    <cellStyle name="Normal 2 5 3 7 2 5" xfId="29077" xr:uid="{00000000-0005-0000-0000-00006D4F0000}"/>
    <cellStyle name="Normal 2 5 3 7 3" xfId="4562" xr:uid="{00000000-0005-0000-0000-00006E4F0000}"/>
    <cellStyle name="Normal 2 5 3 7 3 2" xfId="13400" xr:uid="{00000000-0005-0000-0000-00006F4F0000}"/>
    <cellStyle name="Normal 2 5 3 7 3 2 2" xfId="23651" xr:uid="{00000000-0005-0000-0000-0000704F0000}"/>
    <cellStyle name="Normal 2 5 3 7 3 2 2 2" xfId="49204" xr:uid="{00000000-0005-0000-0000-0000714F0000}"/>
    <cellStyle name="Normal 2 5 3 7 3 2 3" xfId="38955" xr:uid="{00000000-0005-0000-0000-0000724F0000}"/>
    <cellStyle name="Normal 2 5 3 7 3 3" xfId="9821" xr:uid="{00000000-0005-0000-0000-0000734F0000}"/>
    <cellStyle name="Normal 2 5 3 7 3 3 2" xfId="35378" xr:uid="{00000000-0005-0000-0000-0000744F0000}"/>
    <cellStyle name="Normal 2 5 3 7 3 4" xfId="18644" xr:uid="{00000000-0005-0000-0000-0000754F0000}"/>
    <cellStyle name="Normal 2 5 3 7 3 4 2" xfId="44197" xr:uid="{00000000-0005-0000-0000-0000764F0000}"/>
    <cellStyle name="Normal 2 5 3 7 3 5" xfId="30134" xr:uid="{00000000-0005-0000-0000-0000774F0000}"/>
    <cellStyle name="Normal 2 5 3 7 4" xfId="2342" xr:uid="{00000000-0005-0000-0000-0000784F0000}"/>
    <cellStyle name="Normal 2 5 3 7 4 2" xfId="11707" xr:uid="{00000000-0005-0000-0000-0000794F0000}"/>
    <cellStyle name="Normal 2 5 3 7 4 2 2" xfId="37262" xr:uid="{00000000-0005-0000-0000-00007A4F0000}"/>
    <cellStyle name="Normal 2 5 3 7 4 3" xfId="21711" xr:uid="{00000000-0005-0000-0000-00007B4F0000}"/>
    <cellStyle name="Normal 2 5 3 7 4 3 2" xfId="47264" xr:uid="{00000000-0005-0000-0000-00007C4F0000}"/>
    <cellStyle name="Normal 2 5 3 7 4 4" xfId="28194" xr:uid="{00000000-0005-0000-0000-00007D4F0000}"/>
    <cellStyle name="Normal 2 5 3 7 5" xfId="6018" xr:uid="{00000000-0005-0000-0000-00007E4F0000}"/>
    <cellStyle name="Normal 2 5 3 7 5 2" xfId="14845" xr:uid="{00000000-0005-0000-0000-00007F4F0000}"/>
    <cellStyle name="Normal 2 5 3 7 5 2 2" xfId="40400" xr:uid="{00000000-0005-0000-0000-0000804F0000}"/>
    <cellStyle name="Normal 2 5 3 7 5 3" xfId="25096" xr:uid="{00000000-0005-0000-0000-0000814F0000}"/>
    <cellStyle name="Normal 2 5 3 7 5 3 2" xfId="50649" xr:uid="{00000000-0005-0000-0000-0000824F0000}"/>
    <cellStyle name="Normal 2 5 3 7 5 4" xfId="31579" xr:uid="{00000000-0005-0000-0000-0000834F0000}"/>
    <cellStyle name="Normal 2 5 3 7 6" xfId="7462" xr:uid="{00000000-0005-0000-0000-0000844F0000}"/>
    <cellStyle name="Normal 2 5 3 7 6 2" xfId="20193" xr:uid="{00000000-0005-0000-0000-0000854F0000}"/>
    <cellStyle name="Normal 2 5 3 7 6 2 2" xfId="45746" xr:uid="{00000000-0005-0000-0000-0000864F0000}"/>
    <cellStyle name="Normal 2 5 3 7 6 3" xfId="33019" xr:uid="{00000000-0005-0000-0000-0000874F0000}"/>
    <cellStyle name="Normal 2 5 3 7 7" xfId="16704" xr:uid="{00000000-0005-0000-0000-0000884F0000}"/>
    <cellStyle name="Normal 2 5 3 7 7 2" xfId="42257" xr:uid="{00000000-0005-0000-0000-0000894F0000}"/>
    <cellStyle name="Normal 2 5 3 7 8" xfId="26676" xr:uid="{00000000-0005-0000-0000-00008A4F0000}"/>
    <cellStyle name="Normal 2 5 3 8" xfId="1050" xr:uid="{00000000-0005-0000-0000-00008B4F0000}"/>
    <cellStyle name="Normal 2 5 3 8 2" xfId="3479" xr:uid="{00000000-0005-0000-0000-00008C4F0000}"/>
    <cellStyle name="Normal 2 5 3 8 2 2" xfId="12615" xr:uid="{00000000-0005-0000-0000-00008D4F0000}"/>
    <cellStyle name="Normal 2 5 3 8 2 2 2" xfId="22834" xr:uid="{00000000-0005-0000-0000-00008E4F0000}"/>
    <cellStyle name="Normal 2 5 3 8 2 2 2 2" xfId="48387" xr:uid="{00000000-0005-0000-0000-00008F4F0000}"/>
    <cellStyle name="Normal 2 5 3 8 2 2 3" xfId="38170" xr:uid="{00000000-0005-0000-0000-0000904F0000}"/>
    <cellStyle name="Normal 2 5 3 8 2 3" xfId="9037" xr:uid="{00000000-0005-0000-0000-0000914F0000}"/>
    <cellStyle name="Normal 2 5 3 8 2 3 2" xfId="34594" xr:uid="{00000000-0005-0000-0000-0000924F0000}"/>
    <cellStyle name="Normal 2 5 3 8 2 4" xfId="17827" xr:uid="{00000000-0005-0000-0000-0000934F0000}"/>
    <cellStyle name="Normal 2 5 3 8 2 4 2" xfId="43380" xr:uid="{00000000-0005-0000-0000-0000944F0000}"/>
    <cellStyle name="Normal 2 5 3 8 2 5" xfId="29317" xr:uid="{00000000-0005-0000-0000-0000954F0000}"/>
    <cellStyle name="Normal 2 5 3 8 3" xfId="4911" xr:uid="{00000000-0005-0000-0000-0000964F0000}"/>
    <cellStyle name="Normal 2 5 3 8 3 2" xfId="13748" xr:uid="{00000000-0005-0000-0000-0000974F0000}"/>
    <cellStyle name="Normal 2 5 3 8 3 2 2" xfId="23999" xr:uid="{00000000-0005-0000-0000-0000984F0000}"/>
    <cellStyle name="Normal 2 5 3 8 3 2 2 2" xfId="49552" xr:uid="{00000000-0005-0000-0000-0000994F0000}"/>
    <cellStyle name="Normal 2 5 3 8 3 2 3" xfId="39303" xr:uid="{00000000-0005-0000-0000-00009A4F0000}"/>
    <cellStyle name="Normal 2 5 3 8 3 3" xfId="10169" xr:uid="{00000000-0005-0000-0000-00009B4F0000}"/>
    <cellStyle name="Normal 2 5 3 8 3 3 2" xfId="35726" xr:uid="{00000000-0005-0000-0000-00009C4F0000}"/>
    <cellStyle name="Normal 2 5 3 8 3 4" xfId="18992" xr:uid="{00000000-0005-0000-0000-00009D4F0000}"/>
    <cellStyle name="Normal 2 5 3 8 3 4 2" xfId="44545" xr:uid="{00000000-0005-0000-0000-00009E4F0000}"/>
    <cellStyle name="Normal 2 5 3 8 3 5" xfId="30482" xr:uid="{00000000-0005-0000-0000-00009F4F0000}"/>
    <cellStyle name="Normal 2 5 3 8 4" xfId="1718" xr:uid="{00000000-0005-0000-0000-0000A04F0000}"/>
    <cellStyle name="Normal 2 5 3 8 4 2" xfId="11092" xr:uid="{00000000-0005-0000-0000-0000A14F0000}"/>
    <cellStyle name="Normal 2 5 3 8 4 2 2" xfId="36647" xr:uid="{00000000-0005-0000-0000-0000A24F0000}"/>
    <cellStyle name="Normal 2 5 3 8 4 3" xfId="21096" xr:uid="{00000000-0005-0000-0000-0000A34F0000}"/>
    <cellStyle name="Normal 2 5 3 8 4 3 2" xfId="46649" xr:uid="{00000000-0005-0000-0000-0000A44F0000}"/>
    <cellStyle name="Normal 2 5 3 8 4 4" xfId="27579" xr:uid="{00000000-0005-0000-0000-0000A54F0000}"/>
    <cellStyle name="Normal 2 5 3 8 5" xfId="6366" xr:uid="{00000000-0005-0000-0000-0000A64F0000}"/>
    <cellStyle name="Normal 2 5 3 8 5 2" xfId="15193" xr:uid="{00000000-0005-0000-0000-0000A74F0000}"/>
    <cellStyle name="Normal 2 5 3 8 5 2 2" xfId="40748" xr:uid="{00000000-0005-0000-0000-0000A84F0000}"/>
    <cellStyle name="Normal 2 5 3 8 5 3" xfId="25444" xr:uid="{00000000-0005-0000-0000-0000A94F0000}"/>
    <cellStyle name="Normal 2 5 3 8 5 3 2" xfId="50997" xr:uid="{00000000-0005-0000-0000-0000AA4F0000}"/>
    <cellStyle name="Normal 2 5 3 8 5 4" xfId="31927" xr:uid="{00000000-0005-0000-0000-0000AB4F0000}"/>
    <cellStyle name="Normal 2 5 3 8 6" xfId="7812" xr:uid="{00000000-0005-0000-0000-0000AC4F0000}"/>
    <cellStyle name="Normal 2 5 3 8 6 2" xfId="20433" xr:uid="{00000000-0005-0000-0000-0000AD4F0000}"/>
    <cellStyle name="Normal 2 5 3 8 6 2 2" xfId="45986" xr:uid="{00000000-0005-0000-0000-0000AE4F0000}"/>
    <cellStyle name="Normal 2 5 3 8 6 3" xfId="33369" xr:uid="{00000000-0005-0000-0000-0000AF4F0000}"/>
    <cellStyle name="Normal 2 5 3 8 7" xfId="16089" xr:uid="{00000000-0005-0000-0000-0000B04F0000}"/>
    <cellStyle name="Normal 2 5 3 8 7 2" xfId="41642" xr:uid="{00000000-0005-0000-0000-0000B14F0000}"/>
    <cellStyle name="Normal 2 5 3 8 8" xfId="26916" xr:uid="{00000000-0005-0000-0000-0000B24F0000}"/>
    <cellStyle name="Normal 2 5 3 9" xfId="2616" xr:uid="{00000000-0005-0000-0000-0000B34F0000}"/>
    <cellStyle name="Normal 2 5 3 9 2" xfId="5142" xr:uid="{00000000-0005-0000-0000-0000B44F0000}"/>
    <cellStyle name="Normal 2 5 3 9 2 2" xfId="13979" xr:uid="{00000000-0005-0000-0000-0000B54F0000}"/>
    <cellStyle name="Normal 2 5 3 9 2 2 2" xfId="24230" xr:uid="{00000000-0005-0000-0000-0000B64F0000}"/>
    <cellStyle name="Normal 2 5 3 9 2 2 2 2" xfId="49783" xr:uid="{00000000-0005-0000-0000-0000B74F0000}"/>
    <cellStyle name="Normal 2 5 3 9 2 2 3" xfId="39534" xr:uid="{00000000-0005-0000-0000-0000B84F0000}"/>
    <cellStyle name="Normal 2 5 3 9 2 3" xfId="10400" xr:uid="{00000000-0005-0000-0000-0000B94F0000}"/>
    <cellStyle name="Normal 2 5 3 9 2 3 2" xfId="35957" xr:uid="{00000000-0005-0000-0000-0000BA4F0000}"/>
    <cellStyle name="Normal 2 5 3 9 2 4" xfId="19223" xr:uid="{00000000-0005-0000-0000-0000BB4F0000}"/>
    <cellStyle name="Normal 2 5 3 9 2 4 2" xfId="44776" xr:uid="{00000000-0005-0000-0000-0000BC4F0000}"/>
    <cellStyle name="Normal 2 5 3 9 2 5" xfId="30713" xr:uid="{00000000-0005-0000-0000-0000BD4F0000}"/>
    <cellStyle name="Normal 2 5 3 9 3" xfId="6597" xr:uid="{00000000-0005-0000-0000-0000BE4F0000}"/>
    <cellStyle name="Normal 2 5 3 9 3 2" xfId="15424" xr:uid="{00000000-0005-0000-0000-0000BF4F0000}"/>
    <cellStyle name="Normal 2 5 3 9 3 2 2" xfId="40979" xr:uid="{00000000-0005-0000-0000-0000C04F0000}"/>
    <cellStyle name="Normal 2 5 3 9 3 3" xfId="25675" xr:uid="{00000000-0005-0000-0000-0000C14F0000}"/>
    <cellStyle name="Normal 2 5 3 9 3 3 2" xfId="51228" xr:uid="{00000000-0005-0000-0000-0000C24F0000}"/>
    <cellStyle name="Normal 2 5 3 9 3 4" xfId="32158" xr:uid="{00000000-0005-0000-0000-0000C34F0000}"/>
    <cellStyle name="Normal 2 5 3 9 4" xfId="8043" xr:uid="{00000000-0005-0000-0000-0000C44F0000}"/>
    <cellStyle name="Normal 2 5 3 9 4 2" xfId="21979" xr:uid="{00000000-0005-0000-0000-0000C54F0000}"/>
    <cellStyle name="Normal 2 5 3 9 4 2 2" xfId="47532" xr:uid="{00000000-0005-0000-0000-0000C64F0000}"/>
    <cellStyle name="Normal 2 5 3 9 4 3" xfId="33600" xr:uid="{00000000-0005-0000-0000-0000C74F0000}"/>
    <cellStyle name="Normal 2 5 3 9 5" xfId="16972" xr:uid="{00000000-0005-0000-0000-0000C84F0000}"/>
    <cellStyle name="Normal 2 5 3 9 5 2" xfId="42525" xr:uid="{00000000-0005-0000-0000-0000C94F0000}"/>
    <cellStyle name="Normal 2 5 3 9 6" xfId="28462" xr:uid="{00000000-0005-0000-0000-0000CA4F0000}"/>
    <cellStyle name="Normal 2 5 3_Degree data" xfId="3926" xr:uid="{00000000-0005-0000-0000-0000CB4F0000}"/>
    <cellStyle name="Normal 2 5 4" xfId="125" xr:uid="{00000000-0005-0000-0000-0000CC4F0000}"/>
    <cellStyle name="Normal 2 5 4 10" xfId="4112" xr:uid="{00000000-0005-0000-0000-0000CD4F0000}"/>
    <cellStyle name="Normal 2 5 4 10 2" xfId="5570" xr:uid="{00000000-0005-0000-0000-0000CE4F0000}"/>
    <cellStyle name="Normal 2 5 4 10 2 2" xfId="14397" xr:uid="{00000000-0005-0000-0000-0000CF4F0000}"/>
    <cellStyle name="Normal 2 5 4 10 2 2 2" xfId="39952" xr:uid="{00000000-0005-0000-0000-0000D04F0000}"/>
    <cellStyle name="Normal 2 5 4 10 2 3" xfId="24648" xr:uid="{00000000-0005-0000-0000-0000D14F0000}"/>
    <cellStyle name="Normal 2 5 4 10 2 3 2" xfId="50201" xr:uid="{00000000-0005-0000-0000-0000D24F0000}"/>
    <cellStyle name="Normal 2 5 4 10 2 4" xfId="31131" xr:uid="{00000000-0005-0000-0000-0000D34F0000}"/>
    <cellStyle name="Normal 2 5 4 10 3" xfId="7014" xr:uid="{00000000-0005-0000-0000-0000D44F0000}"/>
    <cellStyle name="Normal 2 5 4 10 3 2" xfId="23201" xr:uid="{00000000-0005-0000-0000-0000D54F0000}"/>
    <cellStyle name="Normal 2 5 4 10 3 2 2" xfId="48754" xr:uid="{00000000-0005-0000-0000-0000D64F0000}"/>
    <cellStyle name="Normal 2 5 4 10 3 3" xfId="32571" xr:uid="{00000000-0005-0000-0000-0000D74F0000}"/>
    <cellStyle name="Normal 2 5 4 10 4" xfId="18194" xr:uid="{00000000-0005-0000-0000-0000D84F0000}"/>
    <cellStyle name="Normal 2 5 4 10 4 2" xfId="43747" xr:uid="{00000000-0005-0000-0000-0000D94F0000}"/>
    <cellStyle name="Normal 2 5 4 10 5" xfId="29684" xr:uid="{00000000-0005-0000-0000-0000DA4F0000}"/>
    <cellStyle name="Normal 2 5 4 11" xfId="1431" xr:uid="{00000000-0005-0000-0000-0000DB4F0000}"/>
    <cellStyle name="Normal 2 5 4 11 2" xfId="10808" xr:uid="{00000000-0005-0000-0000-0000DC4F0000}"/>
    <cellStyle name="Normal 2 5 4 11 2 2" xfId="36363" xr:uid="{00000000-0005-0000-0000-0000DD4F0000}"/>
    <cellStyle name="Normal 2 5 4 11 3" xfId="20812" xr:uid="{00000000-0005-0000-0000-0000DE4F0000}"/>
    <cellStyle name="Normal 2 5 4 11 3 2" xfId="46365" xr:uid="{00000000-0005-0000-0000-0000DF4F0000}"/>
    <cellStyle name="Normal 2 5 4 11 4" xfId="27295" xr:uid="{00000000-0005-0000-0000-0000E04F0000}"/>
    <cellStyle name="Normal 2 5 4 12" xfId="5540" xr:uid="{00000000-0005-0000-0000-0000E14F0000}"/>
    <cellStyle name="Normal 2 5 4 12 2" xfId="14367" xr:uid="{00000000-0005-0000-0000-0000E24F0000}"/>
    <cellStyle name="Normal 2 5 4 12 2 2" xfId="39922" xr:uid="{00000000-0005-0000-0000-0000E34F0000}"/>
    <cellStyle name="Normal 2 5 4 12 3" xfId="24618" xr:uid="{00000000-0005-0000-0000-0000E44F0000}"/>
    <cellStyle name="Normal 2 5 4 12 3 2" xfId="50171" xr:uid="{00000000-0005-0000-0000-0000E54F0000}"/>
    <cellStyle name="Normal 2 5 4 12 4" xfId="31101" xr:uid="{00000000-0005-0000-0000-0000E64F0000}"/>
    <cellStyle name="Normal 2 5 4 13" xfId="6984" xr:uid="{00000000-0005-0000-0000-0000E74F0000}"/>
    <cellStyle name="Normal 2 5 4 13 2" xfId="19592" xr:uid="{00000000-0005-0000-0000-0000E84F0000}"/>
    <cellStyle name="Normal 2 5 4 13 2 2" xfId="45145" xr:uid="{00000000-0005-0000-0000-0000E94F0000}"/>
    <cellStyle name="Normal 2 5 4 13 3" xfId="32541" xr:uid="{00000000-0005-0000-0000-0000EA4F0000}"/>
    <cellStyle name="Normal 2 5 4 14" xfId="15805" xr:uid="{00000000-0005-0000-0000-0000EB4F0000}"/>
    <cellStyle name="Normal 2 5 4 14 2" xfId="41358" xr:uid="{00000000-0005-0000-0000-0000EC4F0000}"/>
    <cellStyle name="Normal 2 5 4 15" xfId="26075" xr:uid="{00000000-0005-0000-0000-0000ED4F0000}"/>
    <cellStyle name="Normal 2 5 4 2" xfId="166" xr:uid="{00000000-0005-0000-0000-0000EE4F0000}"/>
    <cellStyle name="Normal 2 5 4 2 10" xfId="5672" xr:uid="{00000000-0005-0000-0000-0000EF4F0000}"/>
    <cellStyle name="Normal 2 5 4 2 10 2" xfId="14499" xr:uid="{00000000-0005-0000-0000-0000F04F0000}"/>
    <cellStyle name="Normal 2 5 4 2 10 2 2" xfId="40054" xr:uid="{00000000-0005-0000-0000-0000F14F0000}"/>
    <cellStyle name="Normal 2 5 4 2 10 3" xfId="24750" xr:uid="{00000000-0005-0000-0000-0000F24F0000}"/>
    <cellStyle name="Normal 2 5 4 2 10 3 2" xfId="50303" xr:uid="{00000000-0005-0000-0000-0000F34F0000}"/>
    <cellStyle name="Normal 2 5 4 2 10 4" xfId="31233" xr:uid="{00000000-0005-0000-0000-0000F44F0000}"/>
    <cellStyle name="Normal 2 5 4 2 11" xfId="7116" xr:uid="{00000000-0005-0000-0000-0000F54F0000}"/>
    <cellStyle name="Normal 2 5 4 2 11 2" xfId="19625" xr:uid="{00000000-0005-0000-0000-0000F64F0000}"/>
    <cellStyle name="Normal 2 5 4 2 11 2 2" xfId="45178" xr:uid="{00000000-0005-0000-0000-0000F74F0000}"/>
    <cellStyle name="Normal 2 5 4 2 11 3" xfId="32673" xr:uid="{00000000-0005-0000-0000-0000F84F0000}"/>
    <cellStyle name="Normal 2 5 4 2 12" xfId="15862" xr:uid="{00000000-0005-0000-0000-0000F94F0000}"/>
    <cellStyle name="Normal 2 5 4 2 12 2" xfId="41415" xr:uid="{00000000-0005-0000-0000-0000FA4F0000}"/>
    <cellStyle name="Normal 2 5 4 2 13" xfId="26108" xr:uid="{00000000-0005-0000-0000-0000FB4F0000}"/>
    <cellStyle name="Normal 2 5 4 2 2" xfId="278" xr:uid="{00000000-0005-0000-0000-0000FC4F0000}"/>
    <cellStyle name="Normal 2 5 4 2 2 10" xfId="16066" xr:uid="{00000000-0005-0000-0000-0000FD4F0000}"/>
    <cellStyle name="Normal 2 5 4 2 2 10 2" xfId="41619" xr:uid="{00000000-0005-0000-0000-0000FE4F0000}"/>
    <cellStyle name="Normal 2 5 4 2 2 11" xfId="26212" xr:uid="{00000000-0005-0000-0000-0000FF4F0000}"/>
    <cellStyle name="Normal 2 5 4 2 2 2" xfId="600" xr:uid="{00000000-0005-0000-0000-000000500000}"/>
    <cellStyle name="Normal 2 5 4 2 2 2 2" xfId="3086" xr:uid="{00000000-0005-0000-0000-000001500000}"/>
    <cellStyle name="Normal 2 5 4 2 2 2 2 2" xfId="12229" xr:uid="{00000000-0005-0000-0000-000002500000}"/>
    <cellStyle name="Normal 2 5 4 2 2 2 2 2 2" xfId="22447" xr:uid="{00000000-0005-0000-0000-000003500000}"/>
    <cellStyle name="Normal 2 5 4 2 2 2 2 2 2 2" xfId="48000" xr:uid="{00000000-0005-0000-0000-000004500000}"/>
    <cellStyle name="Normal 2 5 4 2 2 2 2 2 3" xfId="37784" xr:uid="{00000000-0005-0000-0000-000005500000}"/>
    <cellStyle name="Normal 2 5 4 2 2 2 2 3" xfId="8651" xr:uid="{00000000-0005-0000-0000-000006500000}"/>
    <cellStyle name="Normal 2 5 4 2 2 2 2 3 2" xfId="34208" xr:uid="{00000000-0005-0000-0000-000007500000}"/>
    <cellStyle name="Normal 2 5 4 2 2 2 2 4" xfId="17440" xr:uid="{00000000-0005-0000-0000-000008500000}"/>
    <cellStyle name="Normal 2 5 4 2 2 2 2 4 2" xfId="42993" xr:uid="{00000000-0005-0000-0000-000009500000}"/>
    <cellStyle name="Normal 2 5 4 2 2 2 2 5" xfId="28930" xr:uid="{00000000-0005-0000-0000-00000A500000}"/>
    <cellStyle name="Normal 2 5 4 2 2 2 3" xfId="4574" xr:uid="{00000000-0005-0000-0000-00000B500000}"/>
    <cellStyle name="Normal 2 5 4 2 2 2 3 2" xfId="13412" xr:uid="{00000000-0005-0000-0000-00000C500000}"/>
    <cellStyle name="Normal 2 5 4 2 2 2 3 2 2" xfId="23663" xr:uid="{00000000-0005-0000-0000-00000D500000}"/>
    <cellStyle name="Normal 2 5 4 2 2 2 3 2 2 2" xfId="49216" xr:uid="{00000000-0005-0000-0000-00000E500000}"/>
    <cellStyle name="Normal 2 5 4 2 2 2 3 2 3" xfId="38967" xr:uid="{00000000-0005-0000-0000-00000F500000}"/>
    <cellStyle name="Normal 2 5 4 2 2 2 3 3" xfId="9833" xr:uid="{00000000-0005-0000-0000-000010500000}"/>
    <cellStyle name="Normal 2 5 4 2 2 2 3 3 2" xfId="35390" xr:uid="{00000000-0005-0000-0000-000011500000}"/>
    <cellStyle name="Normal 2 5 4 2 2 2 3 4" xfId="18656" xr:uid="{00000000-0005-0000-0000-000012500000}"/>
    <cellStyle name="Normal 2 5 4 2 2 2 3 4 2" xfId="44209" xr:uid="{00000000-0005-0000-0000-000013500000}"/>
    <cellStyle name="Normal 2 5 4 2 2 2 3 5" xfId="30146" xr:uid="{00000000-0005-0000-0000-000014500000}"/>
    <cellStyle name="Normal 2 5 4 2 2 2 4" xfId="2195" xr:uid="{00000000-0005-0000-0000-000015500000}"/>
    <cellStyle name="Normal 2 5 4 2 2 2 4 2" xfId="11560" xr:uid="{00000000-0005-0000-0000-000016500000}"/>
    <cellStyle name="Normal 2 5 4 2 2 2 4 2 2" xfId="37115" xr:uid="{00000000-0005-0000-0000-000017500000}"/>
    <cellStyle name="Normal 2 5 4 2 2 2 4 3" xfId="21564" xr:uid="{00000000-0005-0000-0000-000018500000}"/>
    <cellStyle name="Normal 2 5 4 2 2 2 4 3 2" xfId="47117" xr:uid="{00000000-0005-0000-0000-000019500000}"/>
    <cellStyle name="Normal 2 5 4 2 2 2 4 4" xfId="28047" xr:uid="{00000000-0005-0000-0000-00001A500000}"/>
    <cellStyle name="Normal 2 5 4 2 2 2 5" xfId="6030" xr:uid="{00000000-0005-0000-0000-00001B500000}"/>
    <cellStyle name="Normal 2 5 4 2 2 2 5 2" xfId="14857" xr:uid="{00000000-0005-0000-0000-00001C500000}"/>
    <cellStyle name="Normal 2 5 4 2 2 2 5 2 2" xfId="40412" xr:uid="{00000000-0005-0000-0000-00001D500000}"/>
    <cellStyle name="Normal 2 5 4 2 2 2 5 3" xfId="25108" xr:uid="{00000000-0005-0000-0000-00001E500000}"/>
    <cellStyle name="Normal 2 5 4 2 2 2 5 3 2" xfId="50661" xr:uid="{00000000-0005-0000-0000-00001F500000}"/>
    <cellStyle name="Normal 2 5 4 2 2 2 5 4" xfId="31591" xr:uid="{00000000-0005-0000-0000-000020500000}"/>
    <cellStyle name="Normal 2 5 4 2 2 2 6" xfId="7474" xr:uid="{00000000-0005-0000-0000-000021500000}"/>
    <cellStyle name="Normal 2 5 4 2 2 2 6 2" xfId="20046" xr:uid="{00000000-0005-0000-0000-000022500000}"/>
    <cellStyle name="Normal 2 5 4 2 2 2 6 2 2" xfId="45599" xr:uid="{00000000-0005-0000-0000-000023500000}"/>
    <cellStyle name="Normal 2 5 4 2 2 2 6 3" xfId="33031" xr:uid="{00000000-0005-0000-0000-000024500000}"/>
    <cellStyle name="Normal 2 5 4 2 2 2 7" xfId="16557" xr:uid="{00000000-0005-0000-0000-000025500000}"/>
    <cellStyle name="Normal 2 5 4 2 2 2 7 2" xfId="42110" xr:uid="{00000000-0005-0000-0000-000026500000}"/>
    <cellStyle name="Normal 2 5 4 2 2 2 8" xfId="26529" xr:uid="{00000000-0005-0000-0000-000027500000}"/>
    <cellStyle name="Normal 2 5 4 2 2 3" xfId="759" xr:uid="{00000000-0005-0000-0000-000028500000}"/>
    <cellStyle name="Normal 2 5 4 2 2 3 2" xfId="3245" xr:uid="{00000000-0005-0000-0000-000029500000}"/>
    <cellStyle name="Normal 2 5 4 2 2 3 2 2" xfId="12387" xr:uid="{00000000-0005-0000-0000-00002A500000}"/>
    <cellStyle name="Normal 2 5 4 2 2 3 2 2 2" xfId="22606" xr:uid="{00000000-0005-0000-0000-00002B500000}"/>
    <cellStyle name="Normal 2 5 4 2 2 3 2 2 2 2" xfId="48159" xr:uid="{00000000-0005-0000-0000-00002C500000}"/>
    <cellStyle name="Normal 2 5 4 2 2 3 2 2 3" xfId="37942" xr:uid="{00000000-0005-0000-0000-00002D500000}"/>
    <cellStyle name="Normal 2 5 4 2 2 3 2 3" xfId="8809" xr:uid="{00000000-0005-0000-0000-00002E500000}"/>
    <cellStyle name="Normal 2 5 4 2 2 3 2 3 2" xfId="34366" xr:uid="{00000000-0005-0000-0000-00002F500000}"/>
    <cellStyle name="Normal 2 5 4 2 2 3 2 4" xfId="17599" xr:uid="{00000000-0005-0000-0000-000030500000}"/>
    <cellStyle name="Normal 2 5 4 2 2 3 2 4 2" xfId="43152" xr:uid="{00000000-0005-0000-0000-000031500000}"/>
    <cellStyle name="Normal 2 5 4 2 2 3 2 5" xfId="29089" xr:uid="{00000000-0005-0000-0000-000032500000}"/>
    <cellStyle name="Normal 2 5 4 2 2 3 3" xfId="4923" xr:uid="{00000000-0005-0000-0000-000033500000}"/>
    <cellStyle name="Normal 2 5 4 2 2 3 3 2" xfId="13760" xr:uid="{00000000-0005-0000-0000-000034500000}"/>
    <cellStyle name="Normal 2 5 4 2 2 3 3 2 2" xfId="24011" xr:uid="{00000000-0005-0000-0000-000035500000}"/>
    <cellStyle name="Normal 2 5 4 2 2 3 3 2 2 2" xfId="49564" xr:uid="{00000000-0005-0000-0000-000036500000}"/>
    <cellStyle name="Normal 2 5 4 2 2 3 3 2 3" xfId="39315" xr:uid="{00000000-0005-0000-0000-000037500000}"/>
    <cellStyle name="Normal 2 5 4 2 2 3 3 3" xfId="10181" xr:uid="{00000000-0005-0000-0000-000038500000}"/>
    <cellStyle name="Normal 2 5 4 2 2 3 3 3 2" xfId="35738" xr:uid="{00000000-0005-0000-0000-000039500000}"/>
    <cellStyle name="Normal 2 5 4 2 2 3 3 4" xfId="19004" xr:uid="{00000000-0005-0000-0000-00003A500000}"/>
    <cellStyle name="Normal 2 5 4 2 2 3 3 4 2" xfId="44557" xr:uid="{00000000-0005-0000-0000-00003B500000}"/>
    <cellStyle name="Normal 2 5 4 2 2 3 3 5" xfId="30494" xr:uid="{00000000-0005-0000-0000-00003C500000}"/>
    <cellStyle name="Normal 2 5 4 2 2 3 4" xfId="2354" xr:uid="{00000000-0005-0000-0000-00003D500000}"/>
    <cellStyle name="Normal 2 5 4 2 2 3 4 2" xfId="11719" xr:uid="{00000000-0005-0000-0000-00003E500000}"/>
    <cellStyle name="Normal 2 5 4 2 2 3 4 2 2" xfId="37274" xr:uid="{00000000-0005-0000-0000-00003F500000}"/>
    <cellStyle name="Normal 2 5 4 2 2 3 4 3" xfId="21723" xr:uid="{00000000-0005-0000-0000-000040500000}"/>
    <cellStyle name="Normal 2 5 4 2 2 3 4 3 2" xfId="47276" xr:uid="{00000000-0005-0000-0000-000041500000}"/>
    <cellStyle name="Normal 2 5 4 2 2 3 4 4" xfId="28206" xr:uid="{00000000-0005-0000-0000-000042500000}"/>
    <cellStyle name="Normal 2 5 4 2 2 3 5" xfId="6378" xr:uid="{00000000-0005-0000-0000-000043500000}"/>
    <cellStyle name="Normal 2 5 4 2 2 3 5 2" xfId="15205" xr:uid="{00000000-0005-0000-0000-000044500000}"/>
    <cellStyle name="Normal 2 5 4 2 2 3 5 2 2" xfId="40760" xr:uid="{00000000-0005-0000-0000-000045500000}"/>
    <cellStyle name="Normal 2 5 4 2 2 3 5 3" xfId="25456" xr:uid="{00000000-0005-0000-0000-000046500000}"/>
    <cellStyle name="Normal 2 5 4 2 2 3 5 3 2" xfId="51009" xr:uid="{00000000-0005-0000-0000-000047500000}"/>
    <cellStyle name="Normal 2 5 4 2 2 3 5 4" xfId="31939" xr:uid="{00000000-0005-0000-0000-000048500000}"/>
    <cellStyle name="Normal 2 5 4 2 2 3 6" xfId="7824" xr:uid="{00000000-0005-0000-0000-000049500000}"/>
    <cellStyle name="Normal 2 5 4 2 2 3 6 2" xfId="20205" xr:uid="{00000000-0005-0000-0000-00004A500000}"/>
    <cellStyle name="Normal 2 5 4 2 2 3 6 2 2" xfId="45758" xr:uid="{00000000-0005-0000-0000-00004B500000}"/>
    <cellStyle name="Normal 2 5 4 2 2 3 6 3" xfId="33381" xr:uid="{00000000-0005-0000-0000-00004C500000}"/>
    <cellStyle name="Normal 2 5 4 2 2 3 7" xfId="16716" xr:uid="{00000000-0005-0000-0000-00004D500000}"/>
    <cellStyle name="Normal 2 5 4 2 2 3 7 2" xfId="42269" xr:uid="{00000000-0005-0000-0000-00004E500000}"/>
    <cellStyle name="Normal 2 5 4 2 2 3 8" xfId="26688" xr:uid="{00000000-0005-0000-0000-00004F500000}"/>
    <cellStyle name="Normal 2 5 4 2 2 4" xfId="1372" xr:uid="{00000000-0005-0000-0000-000050500000}"/>
    <cellStyle name="Normal 2 5 4 2 2 4 2" xfId="3801" xr:uid="{00000000-0005-0000-0000-000051500000}"/>
    <cellStyle name="Normal 2 5 4 2 2 4 2 2" xfId="12937" xr:uid="{00000000-0005-0000-0000-000052500000}"/>
    <cellStyle name="Normal 2 5 4 2 2 4 2 2 2" xfId="23156" xr:uid="{00000000-0005-0000-0000-000053500000}"/>
    <cellStyle name="Normal 2 5 4 2 2 4 2 2 2 2" xfId="48709" xr:uid="{00000000-0005-0000-0000-000054500000}"/>
    <cellStyle name="Normal 2 5 4 2 2 4 2 2 3" xfId="38492" xr:uid="{00000000-0005-0000-0000-000055500000}"/>
    <cellStyle name="Normal 2 5 4 2 2 4 2 3" xfId="9358" xr:uid="{00000000-0005-0000-0000-000056500000}"/>
    <cellStyle name="Normal 2 5 4 2 2 4 2 3 2" xfId="34915" xr:uid="{00000000-0005-0000-0000-000057500000}"/>
    <cellStyle name="Normal 2 5 4 2 2 4 2 4" xfId="18149" xr:uid="{00000000-0005-0000-0000-000058500000}"/>
    <cellStyle name="Normal 2 5 4 2 2 4 2 4 2" xfId="43702" xr:uid="{00000000-0005-0000-0000-000059500000}"/>
    <cellStyle name="Normal 2 5 4 2 2 4 2 5" xfId="29639" xr:uid="{00000000-0005-0000-0000-00005A500000}"/>
    <cellStyle name="Normal 2 5 4 2 2 4 3" xfId="5464" xr:uid="{00000000-0005-0000-0000-00005B500000}"/>
    <cellStyle name="Normal 2 5 4 2 2 4 3 2" xfId="14301" xr:uid="{00000000-0005-0000-0000-00005C500000}"/>
    <cellStyle name="Normal 2 5 4 2 2 4 3 2 2" xfId="24552" xr:uid="{00000000-0005-0000-0000-00005D500000}"/>
    <cellStyle name="Normal 2 5 4 2 2 4 3 2 2 2" xfId="50105" xr:uid="{00000000-0005-0000-0000-00005E500000}"/>
    <cellStyle name="Normal 2 5 4 2 2 4 3 2 3" xfId="39856" xr:uid="{00000000-0005-0000-0000-00005F500000}"/>
    <cellStyle name="Normal 2 5 4 2 2 4 3 3" xfId="10722" xr:uid="{00000000-0005-0000-0000-000060500000}"/>
    <cellStyle name="Normal 2 5 4 2 2 4 3 3 2" xfId="36279" xr:uid="{00000000-0005-0000-0000-000061500000}"/>
    <cellStyle name="Normal 2 5 4 2 2 4 3 4" xfId="19545" xr:uid="{00000000-0005-0000-0000-000062500000}"/>
    <cellStyle name="Normal 2 5 4 2 2 4 3 4 2" xfId="45098" xr:uid="{00000000-0005-0000-0000-000063500000}"/>
    <cellStyle name="Normal 2 5 4 2 2 4 3 5" xfId="31035" xr:uid="{00000000-0005-0000-0000-000064500000}"/>
    <cellStyle name="Normal 2 5 4 2 2 4 4" xfId="1875" xr:uid="{00000000-0005-0000-0000-000065500000}"/>
    <cellStyle name="Normal 2 5 4 2 2 4 4 2" xfId="11243" xr:uid="{00000000-0005-0000-0000-000066500000}"/>
    <cellStyle name="Normal 2 5 4 2 2 4 4 2 2" xfId="36798" xr:uid="{00000000-0005-0000-0000-000067500000}"/>
    <cellStyle name="Normal 2 5 4 2 2 4 4 3" xfId="21247" xr:uid="{00000000-0005-0000-0000-000068500000}"/>
    <cellStyle name="Normal 2 5 4 2 2 4 4 3 2" xfId="46800" xr:uid="{00000000-0005-0000-0000-000069500000}"/>
    <cellStyle name="Normal 2 5 4 2 2 4 4 4" xfId="27730" xr:uid="{00000000-0005-0000-0000-00006A500000}"/>
    <cellStyle name="Normal 2 5 4 2 2 4 5" xfId="6919" xr:uid="{00000000-0005-0000-0000-00006B500000}"/>
    <cellStyle name="Normal 2 5 4 2 2 4 5 2" xfId="15746" xr:uid="{00000000-0005-0000-0000-00006C500000}"/>
    <cellStyle name="Normal 2 5 4 2 2 4 5 2 2" xfId="41301" xr:uid="{00000000-0005-0000-0000-00006D500000}"/>
    <cellStyle name="Normal 2 5 4 2 2 4 5 3" xfId="25997" xr:uid="{00000000-0005-0000-0000-00006E500000}"/>
    <cellStyle name="Normal 2 5 4 2 2 4 5 3 2" xfId="51550" xr:uid="{00000000-0005-0000-0000-00006F500000}"/>
    <cellStyle name="Normal 2 5 4 2 2 4 5 4" xfId="32480" xr:uid="{00000000-0005-0000-0000-000070500000}"/>
    <cellStyle name="Normal 2 5 4 2 2 4 6" xfId="8365" xr:uid="{00000000-0005-0000-0000-000071500000}"/>
    <cellStyle name="Normal 2 5 4 2 2 4 6 2" xfId="20755" xr:uid="{00000000-0005-0000-0000-000072500000}"/>
    <cellStyle name="Normal 2 5 4 2 2 4 6 2 2" xfId="46308" xr:uid="{00000000-0005-0000-0000-000073500000}"/>
    <cellStyle name="Normal 2 5 4 2 2 4 6 3" xfId="33922" xr:uid="{00000000-0005-0000-0000-000074500000}"/>
    <cellStyle name="Normal 2 5 4 2 2 4 7" xfId="16240" xr:uid="{00000000-0005-0000-0000-000075500000}"/>
    <cellStyle name="Normal 2 5 4 2 2 4 7 2" xfId="41793" xr:uid="{00000000-0005-0000-0000-000076500000}"/>
    <cellStyle name="Normal 2 5 4 2 2 4 8" xfId="27238" xr:uid="{00000000-0005-0000-0000-000077500000}"/>
    <cellStyle name="Normal 2 5 4 2 2 5" xfId="2769" xr:uid="{00000000-0005-0000-0000-000078500000}"/>
    <cellStyle name="Normal 2 5 4 2 2 5 2" xfId="12086" xr:uid="{00000000-0005-0000-0000-000079500000}"/>
    <cellStyle name="Normal 2 5 4 2 2 5 2 2" xfId="22130" xr:uid="{00000000-0005-0000-0000-00007A500000}"/>
    <cellStyle name="Normal 2 5 4 2 2 5 2 2 2" xfId="47683" xr:uid="{00000000-0005-0000-0000-00007B500000}"/>
    <cellStyle name="Normal 2 5 4 2 2 5 2 3" xfId="37641" xr:uid="{00000000-0005-0000-0000-00007C500000}"/>
    <cellStyle name="Normal 2 5 4 2 2 5 3" xfId="8476" xr:uid="{00000000-0005-0000-0000-00007D500000}"/>
    <cellStyle name="Normal 2 5 4 2 2 5 3 2" xfId="34033" xr:uid="{00000000-0005-0000-0000-00007E500000}"/>
    <cellStyle name="Normal 2 5 4 2 2 5 4" xfId="17123" xr:uid="{00000000-0005-0000-0000-00007F500000}"/>
    <cellStyle name="Normal 2 5 4 2 2 5 4 2" xfId="42676" xr:uid="{00000000-0005-0000-0000-000080500000}"/>
    <cellStyle name="Normal 2 5 4 2 2 5 5" xfId="28613" xr:uid="{00000000-0005-0000-0000-000081500000}"/>
    <cellStyle name="Normal 2 5 4 2 2 6" xfId="4420" xr:uid="{00000000-0005-0000-0000-000082500000}"/>
    <cellStyle name="Normal 2 5 4 2 2 6 2" xfId="13258" xr:uid="{00000000-0005-0000-0000-000083500000}"/>
    <cellStyle name="Normal 2 5 4 2 2 6 2 2" xfId="23509" xr:uid="{00000000-0005-0000-0000-000084500000}"/>
    <cellStyle name="Normal 2 5 4 2 2 6 2 2 2" xfId="49062" xr:uid="{00000000-0005-0000-0000-000085500000}"/>
    <cellStyle name="Normal 2 5 4 2 2 6 2 3" xfId="38813" xr:uid="{00000000-0005-0000-0000-000086500000}"/>
    <cellStyle name="Normal 2 5 4 2 2 6 3" xfId="9679" xr:uid="{00000000-0005-0000-0000-000087500000}"/>
    <cellStyle name="Normal 2 5 4 2 2 6 3 2" xfId="35236" xr:uid="{00000000-0005-0000-0000-000088500000}"/>
    <cellStyle name="Normal 2 5 4 2 2 6 4" xfId="18502" xr:uid="{00000000-0005-0000-0000-000089500000}"/>
    <cellStyle name="Normal 2 5 4 2 2 6 4 2" xfId="44055" xr:uid="{00000000-0005-0000-0000-00008A500000}"/>
    <cellStyle name="Normal 2 5 4 2 2 6 5" xfId="29992" xr:uid="{00000000-0005-0000-0000-00008B500000}"/>
    <cellStyle name="Normal 2 5 4 2 2 7" xfId="1692" xr:uid="{00000000-0005-0000-0000-00008C500000}"/>
    <cellStyle name="Normal 2 5 4 2 2 7 2" xfId="11069" xr:uid="{00000000-0005-0000-0000-00008D500000}"/>
    <cellStyle name="Normal 2 5 4 2 2 7 2 2" xfId="36624" xr:uid="{00000000-0005-0000-0000-00008E500000}"/>
    <cellStyle name="Normal 2 5 4 2 2 7 3" xfId="21073" xr:uid="{00000000-0005-0000-0000-00008F500000}"/>
    <cellStyle name="Normal 2 5 4 2 2 7 3 2" xfId="46626" xr:uid="{00000000-0005-0000-0000-000090500000}"/>
    <cellStyle name="Normal 2 5 4 2 2 7 4" xfId="27556" xr:uid="{00000000-0005-0000-0000-000091500000}"/>
    <cellStyle name="Normal 2 5 4 2 2 8" xfId="5876" xr:uid="{00000000-0005-0000-0000-000092500000}"/>
    <cellStyle name="Normal 2 5 4 2 2 8 2" xfId="14703" xr:uid="{00000000-0005-0000-0000-000093500000}"/>
    <cellStyle name="Normal 2 5 4 2 2 8 2 2" xfId="40258" xr:uid="{00000000-0005-0000-0000-000094500000}"/>
    <cellStyle name="Normal 2 5 4 2 2 8 3" xfId="24954" xr:uid="{00000000-0005-0000-0000-000095500000}"/>
    <cellStyle name="Normal 2 5 4 2 2 8 3 2" xfId="50507" xr:uid="{00000000-0005-0000-0000-000096500000}"/>
    <cellStyle name="Normal 2 5 4 2 2 8 4" xfId="31437" xr:uid="{00000000-0005-0000-0000-000097500000}"/>
    <cellStyle name="Normal 2 5 4 2 2 9" xfId="7320" xr:uid="{00000000-0005-0000-0000-000098500000}"/>
    <cellStyle name="Normal 2 5 4 2 2 9 2" xfId="19729" xr:uid="{00000000-0005-0000-0000-000099500000}"/>
    <cellStyle name="Normal 2 5 4 2 2 9 2 2" xfId="45282" xr:uid="{00000000-0005-0000-0000-00009A500000}"/>
    <cellStyle name="Normal 2 5 4 2 2 9 3" xfId="32877" xr:uid="{00000000-0005-0000-0000-00009B500000}"/>
    <cellStyle name="Normal 2 5 4 2 2_Degree data" xfId="3834" xr:uid="{00000000-0005-0000-0000-00009C500000}"/>
    <cellStyle name="Normal 2 5 4 2 3" xfId="496" xr:uid="{00000000-0005-0000-0000-00009D500000}"/>
    <cellStyle name="Normal 2 5 4 2 3 10" xfId="26425" xr:uid="{00000000-0005-0000-0000-00009E500000}"/>
    <cellStyle name="Normal 2 5 4 2 3 2" xfId="760" xr:uid="{00000000-0005-0000-0000-00009F500000}"/>
    <cellStyle name="Normal 2 5 4 2 3 2 2" xfId="3246" xr:uid="{00000000-0005-0000-0000-0000A0500000}"/>
    <cellStyle name="Normal 2 5 4 2 3 2 2 2" xfId="12388" xr:uid="{00000000-0005-0000-0000-0000A1500000}"/>
    <cellStyle name="Normal 2 5 4 2 3 2 2 2 2" xfId="22607" xr:uid="{00000000-0005-0000-0000-0000A2500000}"/>
    <cellStyle name="Normal 2 5 4 2 3 2 2 2 2 2" xfId="48160" xr:uid="{00000000-0005-0000-0000-0000A3500000}"/>
    <cellStyle name="Normal 2 5 4 2 3 2 2 2 3" xfId="37943" xr:uid="{00000000-0005-0000-0000-0000A4500000}"/>
    <cellStyle name="Normal 2 5 4 2 3 2 2 3" xfId="8810" xr:uid="{00000000-0005-0000-0000-0000A5500000}"/>
    <cellStyle name="Normal 2 5 4 2 3 2 2 3 2" xfId="34367" xr:uid="{00000000-0005-0000-0000-0000A6500000}"/>
    <cellStyle name="Normal 2 5 4 2 3 2 2 4" xfId="17600" xr:uid="{00000000-0005-0000-0000-0000A7500000}"/>
    <cellStyle name="Normal 2 5 4 2 3 2 2 4 2" xfId="43153" xr:uid="{00000000-0005-0000-0000-0000A8500000}"/>
    <cellStyle name="Normal 2 5 4 2 3 2 2 5" xfId="29090" xr:uid="{00000000-0005-0000-0000-0000A9500000}"/>
    <cellStyle name="Normal 2 5 4 2 3 2 3" xfId="4575" xr:uid="{00000000-0005-0000-0000-0000AA500000}"/>
    <cellStyle name="Normal 2 5 4 2 3 2 3 2" xfId="13413" xr:uid="{00000000-0005-0000-0000-0000AB500000}"/>
    <cellStyle name="Normal 2 5 4 2 3 2 3 2 2" xfId="23664" xr:uid="{00000000-0005-0000-0000-0000AC500000}"/>
    <cellStyle name="Normal 2 5 4 2 3 2 3 2 2 2" xfId="49217" xr:uid="{00000000-0005-0000-0000-0000AD500000}"/>
    <cellStyle name="Normal 2 5 4 2 3 2 3 2 3" xfId="38968" xr:uid="{00000000-0005-0000-0000-0000AE500000}"/>
    <cellStyle name="Normal 2 5 4 2 3 2 3 3" xfId="9834" xr:uid="{00000000-0005-0000-0000-0000AF500000}"/>
    <cellStyle name="Normal 2 5 4 2 3 2 3 3 2" xfId="35391" xr:uid="{00000000-0005-0000-0000-0000B0500000}"/>
    <cellStyle name="Normal 2 5 4 2 3 2 3 4" xfId="18657" xr:uid="{00000000-0005-0000-0000-0000B1500000}"/>
    <cellStyle name="Normal 2 5 4 2 3 2 3 4 2" xfId="44210" xr:uid="{00000000-0005-0000-0000-0000B2500000}"/>
    <cellStyle name="Normal 2 5 4 2 3 2 3 5" xfId="30147" xr:uid="{00000000-0005-0000-0000-0000B3500000}"/>
    <cellStyle name="Normal 2 5 4 2 3 2 4" xfId="2355" xr:uid="{00000000-0005-0000-0000-0000B4500000}"/>
    <cellStyle name="Normal 2 5 4 2 3 2 4 2" xfId="11720" xr:uid="{00000000-0005-0000-0000-0000B5500000}"/>
    <cellStyle name="Normal 2 5 4 2 3 2 4 2 2" xfId="37275" xr:uid="{00000000-0005-0000-0000-0000B6500000}"/>
    <cellStyle name="Normal 2 5 4 2 3 2 4 3" xfId="21724" xr:uid="{00000000-0005-0000-0000-0000B7500000}"/>
    <cellStyle name="Normal 2 5 4 2 3 2 4 3 2" xfId="47277" xr:uid="{00000000-0005-0000-0000-0000B8500000}"/>
    <cellStyle name="Normal 2 5 4 2 3 2 4 4" xfId="28207" xr:uid="{00000000-0005-0000-0000-0000B9500000}"/>
    <cellStyle name="Normal 2 5 4 2 3 2 5" xfId="6031" xr:uid="{00000000-0005-0000-0000-0000BA500000}"/>
    <cellStyle name="Normal 2 5 4 2 3 2 5 2" xfId="14858" xr:uid="{00000000-0005-0000-0000-0000BB500000}"/>
    <cellStyle name="Normal 2 5 4 2 3 2 5 2 2" xfId="40413" xr:uid="{00000000-0005-0000-0000-0000BC500000}"/>
    <cellStyle name="Normal 2 5 4 2 3 2 5 3" xfId="25109" xr:uid="{00000000-0005-0000-0000-0000BD500000}"/>
    <cellStyle name="Normal 2 5 4 2 3 2 5 3 2" xfId="50662" xr:uid="{00000000-0005-0000-0000-0000BE500000}"/>
    <cellStyle name="Normal 2 5 4 2 3 2 5 4" xfId="31592" xr:uid="{00000000-0005-0000-0000-0000BF500000}"/>
    <cellStyle name="Normal 2 5 4 2 3 2 6" xfId="7475" xr:uid="{00000000-0005-0000-0000-0000C0500000}"/>
    <cellStyle name="Normal 2 5 4 2 3 2 6 2" xfId="20206" xr:uid="{00000000-0005-0000-0000-0000C1500000}"/>
    <cellStyle name="Normal 2 5 4 2 3 2 6 2 2" xfId="45759" xr:uid="{00000000-0005-0000-0000-0000C2500000}"/>
    <cellStyle name="Normal 2 5 4 2 3 2 6 3" xfId="33032" xr:uid="{00000000-0005-0000-0000-0000C3500000}"/>
    <cellStyle name="Normal 2 5 4 2 3 2 7" xfId="16717" xr:uid="{00000000-0005-0000-0000-0000C4500000}"/>
    <cellStyle name="Normal 2 5 4 2 3 2 7 2" xfId="42270" xr:uid="{00000000-0005-0000-0000-0000C5500000}"/>
    <cellStyle name="Normal 2 5 4 2 3 2 8" xfId="26689" xr:uid="{00000000-0005-0000-0000-0000C6500000}"/>
    <cellStyle name="Normal 2 5 4 2 3 3" xfId="1268" xr:uid="{00000000-0005-0000-0000-0000C7500000}"/>
    <cellStyle name="Normal 2 5 4 2 3 3 2" xfId="3697" xr:uid="{00000000-0005-0000-0000-0000C8500000}"/>
    <cellStyle name="Normal 2 5 4 2 3 3 2 2" xfId="12833" xr:uid="{00000000-0005-0000-0000-0000C9500000}"/>
    <cellStyle name="Normal 2 5 4 2 3 3 2 2 2" xfId="23052" xr:uid="{00000000-0005-0000-0000-0000CA500000}"/>
    <cellStyle name="Normal 2 5 4 2 3 3 2 2 2 2" xfId="48605" xr:uid="{00000000-0005-0000-0000-0000CB500000}"/>
    <cellStyle name="Normal 2 5 4 2 3 3 2 2 3" xfId="38388" xr:uid="{00000000-0005-0000-0000-0000CC500000}"/>
    <cellStyle name="Normal 2 5 4 2 3 3 2 3" xfId="9254" xr:uid="{00000000-0005-0000-0000-0000CD500000}"/>
    <cellStyle name="Normal 2 5 4 2 3 3 2 3 2" xfId="34811" xr:uid="{00000000-0005-0000-0000-0000CE500000}"/>
    <cellStyle name="Normal 2 5 4 2 3 3 2 4" xfId="18045" xr:uid="{00000000-0005-0000-0000-0000CF500000}"/>
    <cellStyle name="Normal 2 5 4 2 3 3 2 4 2" xfId="43598" xr:uid="{00000000-0005-0000-0000-0000D0500000}"/>
    <cellStyle name="Normal 2 5 4 2 3 3 2 5" xfId="29535" xr:uid="{00000000-0005-0000-0000-0000D1500000}"/>
    <cellStyle name="Normal 2 5 4 2 3 3 3" xfId="4924" xr:uid="{00000000-0005-0000-0000-0000D2500000}"/>
    <cellStyle name="Normal 2 5 4 2 3 3 3 2" xfId="13761" xr:uid="{00000000-0005-0000-0000-0000D3500000}"/>
    <cellStyle name="Normal 2 5 4 2 3 3 3 2 2" xfId="24012" xr:uid="{00000000-0005-0000-0000-0000D4500000}"/>
    <cellStyle name="Normal 2 5 4 2 3 3 3 2 2 2" xfId="49565" xr:uid="{00000000-0005-0000-0000-0000D5500000}"/>
    <cellStyle name="Normal 2 5 4 2 3 3 3 2 3" xfId="39316" xr:uid="{00000000-0005-0000-0000-0000D6500000}"/>
    <cellStyle name="Normal 2 5 4 2 3 3 3 3" xfId="10182" xr:uid="{00000000-0005-0000-0000-0000D7500000}"/>
    <cellStyle name="Normal 2 5 4 2 3 3 3 3 2" xfId="35739" xr:uid="{00000000-0005-0000-0000-0000D8500000}"/>
    <cellStyle name="Normal 2 5 4 2 3 3 3 4" xfId="19005" xr:uid="{00000000-0005-0000-0000-0000D9500000}"/>
    <cellStyle name="Normal 2 5 4 2 3 3 3 4 2" xfId="44558" xr:uid="{00000000-0005-0000-0000-0000DA500000}"/>
    <cellStyle name="Normal 2 5 4 2 3 3 3 5" xfId="30495" xr:uid="{00000000-0005-0000-0000-0000DB500000}"/>
    <cellStyle name="Normal 2 5 4 2 3 3 4" xfId="2091" xr:uid="{00000000-0005-0000-0000-0000DC500000}"/>
    <cellStyle name="Normal 2 5 4 2 3 3 4 2" xfId="11456" xr:uid="{00000000-0005-0000-0000-0000DD500000}"/>
    <cellStyle name="Normal 2 5 4 2 3 3 4 2 2" xfId="37011" xr:uid="{00000000-0005-0000-0000-0000DE500000}"/>
    <cellStyle name="Normal 2 5 4 2 3 3 4 3" xfId="21460" xr:uid="{00000000-0005-0000-0000-0000DF500000}"/>
    <cellStyle name="Normal 2 5 4 2 3 3 4 3 2" xfId="47013" xr:uid="{00000000-0005-0000-0000-0000E0500000}"/>
    <cellStyle name="Normal 2 5 4 2 3 3 4 4" xfId="27943" xr:uid="{00000000-0005-0000-0000-0000E1500000}"/>
    <cellStyle name="Normal 2 5 4 2 3 3 5" xfId="6379" xr:uid="{00000000-0005-0000-0000-0000E2500000}"/>
    <cellStyle name="Normal 2 5 4 2 3 3 5 2" xfId="15206" xr:uid="{00000000-0005-0000-0000-0000E3500000}"/>
    <cellStyle name="Normal 2 5 4 2 3 3 5 2 2" xfId="40761" xr:uid="{00000000-0005-0000-0000-0000E4500000}"/>
    <cellStyle name="Normal 2 5 4 2 3 3 5 3" xfId="25457" xr:uid="{00000000-0005-0000-0000-0000E5500000}"/>
    <cellStyle name="Normal 2 5 4 2 3 3 5 3 2" xfId="51010" xr:uid="{00000000-0005-0000-0000-0000E6500000}"/>
    <cellStyle name="Normal 2 5 4 2 3 3 5 4" xfId="31940" xr:uid="{00000000-0005-0000-0000-0000E7500000}"/>
    <cellStyle name="Normal 2 5 4 2 3 3 6" xfId="7825" xr:uid="{00000000-0005-0000-0000-0000E8500000}"/>
    <cellStyle name="Normal 2 5 4 2 3 3 6 2" xfId="20651" xr:uid="{00000000-0005-0000-0000-0000E9500000}"/>
    <cellStyle name="Normal 2 5 4 2 3 3 6 2 2" xfId="46204" xr:uid="{00000000-0005-0000-0000-0000EA500000}"/>
    <cellStyle name="Normal 2 5 4 2 3 3 6 3" xfId="33382" xr:uid="{00000000-0005-0000-0000-0000EB500000}"/>
    <cellStyle name="Normal 2 5 4 2 3 3 7" xfId="16453" xr:uid="{00000000-0005-0000-0000-0000EC500000}"/>
    <cellStyle name="Normal 2 5 4 2 3 3 7 2" xfId="42006" xr:uid="{00000000-0005-0000-0000-0000ED500000}"/>
    <cellStyle name="Normal 2 5 4 2 3 3 8" xfId="27134" xr:uid="{00000000-0005-0000-0000-0000EE500000}"/>
    <cellStyle name="Normal 2 5 4 2 3 4" xfId="2982" xr:uid="{00000000-0005-0000-0000-0000EF500000}"/>
    <cellStyle name="Normal 2 5 4 2 3 4 2" xfId="5360" xr:uid="{00000000-0005-0000-0000-0000F0500000}"/>
    <cellStyle name="Normal 2 5 4 2 3 4 2 2" xfId="14197" xr:uid="{00000000-0005-0000-0000-0000F1500000}"/>
    <cellStyle name="Normal 2 5 4 2 3 4 2 2 2" xfId="24448" xr:uid="{00000000-0005-0000-0000-0000F2500000}"/>
    <cellStyle name="Normal 2 5 4 2 3 4 2 2 2 2" xfId="50001" xr:uid="{00000000-0005-0000-0000-0000F3500000}"/>
    <cellStyle name="Normal 2 5 4 2 3 4 2 2 3" xfId="39752" xr:uid="{00000000-0005-0000-0000-0000F4500000}"/>
    <cellStyle name="Normal 2 5 4 2 3 4 2 3" xfId="10618" xr:uid="{00000000-0005-0000-0000-0000F5500000}"/>
    <cellStyle name="Normal 2 5 4 2 3 4 2 3 2" xfId="36175" xr:uid="{00000000-0005-0000-0000-0000F6500000}"/>
    <cellStyle name="Normal 2 5 4 2 3 4 2 4" xfId="19441" xr:uid="{00000000-0005-0000-0000-0000F7500000}"/>
    <cellStyle name="Normal 2 5 4 2 3 4 2 4 2" xfId="44994" xr:uid="{00000000-0005-0000-0000-0000F8500000}"/>
    <cellStyle name="Normal 2 5 4 2 3 4 2 5" xfId="30931" xr:uid="{00000000-0005-0000-0000-0000F9500000}"/>
    <cellStyle name="Normal 2 5 4 2 3 4 3" xfId="6815" xr:uid="{00000000-0005-0000-0000-0000FA500000}"/>
    <cellStyle name="Normal 2 5 4 2 3 4 3 2" xfId="15642" xr:uid="{00000000-0005-0000-0000-0000FB500000}"/>
    <cellStyle name="Normal 2 5 4 2 3 4 3 2 2" xfId="41197" xr:uid="{00000000-0005-0000-0000-0000FC500000}"/>
    <cellStyle name="Normal 2 5 4 2 3 4 3 3" xfId="25893" xr:uid="{00000000-0005-0000-0000-0000FD500000}"/>
    <cellStyle name="Normal 2 5 4 2 3 4 3 3 2" xfId="51446" xr:uid="{00000000-0005-0000-0000-0000FE500000}"/>
    <cellStyle name="Normal 2 5 4 2 3 4 3 4" xfId="32376" xr:uid="{00000000-0005-0000-0000-0000FF500000}"/>
    <cellStyle name="Normal 2 5 4 2 3 4 4" xfId="8261" xr:uid="{00000000-0005-0000-0000-000000510000}"/>
    <cellStyle name="Normal 2 5 4 2 3 4 4 2" xfId="22343" xr:uid="{00000000-0005-0000-0000-000001510000}"/>
    <cellStyle name="Normal 2 5 4 2 3 4 4 2 2" xfId="47896" xr:uid="{00000000-0005-0000-0000-000002510000}"/>
    <cellStyle name="Normal 2 5 4 2 3 4 4 3" xfId="33818" xr:uid="{00000000-0005-0000-0000-000003510000}"/>
    <cellStyle name="Normal 2 5 4 2 3 4 5" xfId="17336" xr:uid="{00000000-0005-0000-0000-000004510000}"/>
    <cellStyle name="Normal 2 5 4 2 3 4 5 2" xfId="42889" xr:uid="{00000000-0005-0000-0000-000005510000}"/>
    <cellStyle name="Normal 2 5 4 2 3 4 6" xfId="28826" xr:uid="{00000000-0005-0000-0000-000006510000}"/>
    <cellStyle name="Normal 2 5 4 2 3 5" xfId="4316" xr:uid="{00000000-0005-0000-0000-000007510000}"/>
    <cellStyle name="Normal 2 5 4 2 3 5 2" xfId="13154" xr:uid="{00000000-0005-0000-0000-000008510000}"/>
    <cellStyle name="Normal 2 5 4 2 3 5 2 2" xfId="23405" xr:uid="{00000000-0005-0000-0000-000009510000}"/>
    <cellStyle name="Normal 2 5 4 2 3 5 2 2 2" xfId="48958" xr:uid="{00000000-0005-0000-0000-00000A510000}"/>
    <cellStyle name="Normal 2 5 4 2 3 5 2 3" xfId="38709" xr:uid="{00000000-0005-0000-0000-00000B510000}"/>
    <cellStyle name="Normal 2 5 4 2 3 5 3" xfId="9575" xr:uid="{00000000-0005-0000-0000-00000C510000}"/>
    <cellStyle name="Normal 2 5 4 2 3 5 3 2" xfId="35132" xr:uid="{00000000-0005-0000-0000-00000D510000}"/>
    <cellStyle name="Normal 2 5 4 2 3 5 4" xfId="18398" xr:uid="{00000000-0005-0000-0000-00000E510000}"/>
    <cellStyle name="Normal 2 5 4 2 3 5 4 2" xfId="43951" xr:uid="{00000000-0005-0000-0000-00000F510000}"/>
    <cellStyle name="Normal 2 5 4 2 3 5 5" xfId="29888" xr:uid="{00000000-0005-0000-0000-000010510000}"/>
    <cellStyle name="Normal 2 5 4 2 3 6" xfId="1588" xr:uid="{00000000-0005-0000-0000-000011510000}"/>
    <cellStyle name="Normal 2 5 4 2 3 6 2" xfId="10965" xr:uid="{00000000-0005-0000-0000-000012510000}"/>
    <cellStyle name="Normal 2 5 4 2 3 6 2 2" xfId="36520" xr:uid="{00000000-0005-0000-0000-000013510000}"/>
    <cellStyle name="Normal 2 5 4 2 3 6 3" xfId="20969" xr:uid="{00000000-0005-0000-0000-000014510000}"/>
    <cellStyle name="Normal 2 5 4 2 3 6 3 2" xfId="46522" xr:uid="{00000000-0005-0000-0000-000015510000}"/>
    <cellStyle name="Normal 2 5 4 2 3 6 4" xfId="27452" xr:uid="{00000000-0005-0000-0000-000016510000}"/>
    <cellStyle name="Normal 2 5 4 2 3 7" xfId="5772" xr:uid="{00000000-0005-0000-0000-000017510000}"/>
    <cellStyle name="Normal 2 5 4 2 3 7 2" xfId="14599" xr:uid="{00000000-0005-0000-0000-000018510000}"/>
    <cellStyle name="Normal 2 5 4 2 3 7 2 2" xfId="40154" xr:uid="{00000000-0005-0000-0000-000019510000}"/>
    <cellStyle name="Normal 2 5 4 2 3 7 3" xfId="24850" xr:uid="{00000000-0005-0000-0000-00001A510000}"/>
    <cellStyle name="Normal 2 5 4 2 3 7 3 2" xfId="50403" xr:uid="{00000000-0005-0000-0000-00001B510000}"/>
    <cellStyle name="Normal 2 5 4 2 3 7 4" xfId="31333" xr:uid="{00000000-0005-0000-0000-00001C510000}"/>
    <cellStyle name="Normal 2 5 4 2 3 8" xfId="7216" xr:uid="{00000000-0005-0000-0000-00001D510000}"/>
    <cellStyle name="Normal 2 5 4 2 3 8 2" xfId="19942" xr:uid="{00000000-0005-0000-0000-00001E510000}"/>
    <cellStyle name="Normal 2 5 4 2 3 8 2 2" xfId="45495" xr:uid="{00000000-0005-0000-0000-00001F510000}"/>
    <cellStyle name="Normal 2 5 4 2 3 8 3" xfId="32773" xr:uid="{00000000-0005-0000-0000-000020510000}"/>
    <cellStyle name="Normal 2 5 4 2 3 9" xfId="15962" xr:uid="{00000000-0005-0000-0000-000021510000}"/>
    <cellStyle name="Normal 2 5 4 2 3 9 2" xfId="41515" xr:uid="{00000000-0005-0000-0000-000022510000}"/>
    <cellStyle name="Normal 2 5 4 2 3_Degree data" xfId="2603" xr:uid="{00000000-0005-0000-0000-000023510000}"/>
    <cellStyle name="Normal 2 5 4 2 4" xfId="396" xr:uid="{00000000-0005-0000-0000-000024510000}"/>
    <cellStyle name="Normal 2 5 4 2 4 2" xfId="2882" xr:uid="{00000000-0005-0000-0000-000025510000}"/>
    <cellStyle name="Normal 2 5 4 2 4 2 2" xfId="12170" xr:uid="{00000000-0005-0000-0000-000026510000}"/>
    <cellStyle name="Normal 2 5 4 2 4 2 2 2" xfId="22243" xr:uid="{00000000-0005-0000-0000-000027510000}"/>
    <cellStyle name="Normal 2 5 4 2 4 2 2 2 2" xfId="47796" xr:uid="{00000000-0005-0000-0000-000028510000}"/>
    <cellStyle name="Normal 2 5 4 2 4 2 2 3" xfId="37725" xr:uid="{00000000-0005-0000-0000-000029510000}"/>
    <cellStyle name="Normal 2 5 4 2 4 2 3" xfId="8456" xr:uid="{00000000-0005-0000-0000-00002A510000}"/>
    <cellStyle name="Normal 2 5 4 2 4 2 3 2" xfId="34013" xr:uid="{00000000-0005-0000-0000-00002B510000}"/>
    <cellStyle name="Normal 2 5 4 2 4 2 4" xfId="17236" xr:uid="{00000000-0005-0000-0000-00002C510000}"/>
    <cellStyle name="Normal 2 5 4 2 4 2 4 2" xfId="42789" xr:uid="{00000000-0005-0000-0000-00002D510000}"/>
    <cellStyle name="Normal 2 5 4 2 4 2 5" xfId="28726" xr:uid="{00000000-0005-0000-0000-00002E510000}"/>
    <cellStyle name="Normal 2 5 4 2 4 3" xfId="4573" xr:uid="{00000000-0005-0000-0000-00002F510000}"/>
    <cellStyle name="Normal 2 5 4 2 4 3 2" xfId="13411" xr:uid="{00000000-0005-0000-0000-000030510000}"/>
    <cellStyle name="Normal 2 5 4 2 4 3 2 2" xfId="23662" xr:uid="{00000000-0005-0000-0000-000031510000}"/>
    <cellStyle name="Normal 2 5 4 2 4 3 2 2 2" xfId="49215" xr:uid="{00000000-0005-0000-0000-000032510000}"/>
    <cellStyle name="Normal 2 5 4 2 4 3 2 3" xfId="38966" xr:uid="{00000000-0005-0000-0000-000033510000}"/>
    <cellStyle name="Normal 2 5 4 2 4 3 3" xfId="9832" xr:uid="{00000000-0005-0000-0000-000034510000}"/>
    <cellStyle name="Normal 2 5 4 2 4 3 3 2" xfId="35389" xr:uid="{00000000-0005-0000-0000-000035510000}"/>
    <cellStyle name="Normal 2 5 4 2 4 3 4" xfId="18655" xr:uid="{00000000-0005-0000-0000-000036510000}"/>
    <cellStyle name="Normal 2 5 4 2 4 3 4 2" xfId="44208" xr:uid="{00000000-0005-0000-0000-000037510000}"/>
    <cellStyle name="Normal 2 5 4 2 4 3 5" xfId="30145" xr:uid="{00000000-0005-0000-0000-000038510000}"/>
    <cellStyle name="Normal 2 5 4 2 4 4" xfId="1991" xr:uid="{00000000-0005-0000-0000-000039510000}"/>
    <cellStyle name="Normal 2 5 4 2 4 4 2" xfId="11356" xr:uid="{00000000-0005-0000-0000-00003A510000}"/>
    <cellStyle name="Normal 2 5 4 2 4 4 2 2" xfId="36911" xr:uid="{00000000-0005-0000-0000-00003B510000}"/>
    <cellStyle name="Normal 2 5 4 2 4 4 3" xfId="21360" xr:uid="{00000000-0005-0000-0000-00003C510000}"/>
    <cellStyle name="Normal 2 5 4 2 4 4 3 2" xfId="46913" xr:uid="{00000000-0005-0000-0000-00003D510000}"/>
    <cellStyle name="Normal 2 5 4 2 4 4 4" xfId="27843" xr:uid="{00000000-0005-0000-0000-00003E510000}"/>
    <cellStyle name="Normal 2 5 4 2 4 5" xfId="6029" xr:uid="{00000000-0005-0000-0000-00003F510000}"/>
    <cellStyle name="Normal 2 5 4 2 4 5 2" xfId="14856" xr:uid="{00000000-0005-0000-0000-000040510000}"/>
    <cellStyle name="Normal 2 5 4 2 4 5 2 2" xfId="40411" xr:uid="{00000000-0005-0000-0000-000041510000}"/>
    <cellStyle name="Normal 2 5 4 2 4 5 3" xfId="25107" xr:uid="{00000000-0005-0000-0000-000042510000}"/>
    <cellStyle name="Normal 2 5 4 2 4 5 3 2" xfId="50660" xr:uid="{00000000-0005-0000-0000-000043510000}"/>
    <cellStyle name="Normal 2 5 4 2 4 5 4" xfId="31590" xr:uid="{00000000-0005-0000-0000-000044510000}"/>
    <cellStyle name="Normal 2 5 4 2 4 6" xfId="7473" xr:uid="{00000000-0005-0000-0000-000045510000}"/>
    <cellStyle name="Normal 2 5 4 2 4 6 2" xfId="19842" xr:uid="{00000000-0005-0000-0000-000046510000}"/>
    <cellStyle name="Normal 2 5 4 2 4 6 2 2" xfId="45395" xr:uid="{00000000-0005-0000-0000-000047510000}"/>
    <cellStyle name="Normal 2 5 4 2 4 6 3" xfId="33030" xr:uid="{00000000-0005-0000-0000-000048510000}"/>
    <cellStyle name="Normal 2 5 4 2 4 7" xfId="16353" xr:uid="{00000000-0005-0000-0000-000049510000}"/>
    <cellStyle name="Normal 2 5 4 2 4 7 2" xfId="41906" xr:uid="{00000000-0005-0000-0000-00004A510000}"/>
    <cellStyle name="Normal 2 5 4 2 4 8" xfId="26325" xr:uid="{00000000-0005-0000-0000-00004B510000}"/>
    <cellStyle name="Normal 2 5 4 2 5" xfId="758" xr:uid="{00000000-0005-0000-0000-00004C510000}"/>
    <cellStyle name="Normal 2 5 4 2 5 2" xfId="3244" xr:uid="{00000000-0005-0000-0000-00004D510000}"/>
    <cellStyle name="Normal 2 5 4 2 5 2 2" xfId="12386" xr:uid="{00000000-0005-0000-0000-00004E510000}"/>
    <cellStyle name="Normal 2 5 4 2 5 2 2 2" xfId="22605" xr:uid="{00000000-0005-0000-0000-00004F510000}"/>
    <cellStyle name="Normal 2 5 4 2 5 2 2 2 2" xfId="48158" xr:uid="{00000000-0005-0000-0000-000050510000}"/>
    <cellStyle name="Normal 2 5 4 2 5 2 2 3" xfId="37941" xr:uid="{00000000-0005-0000-0000-000051510000}"/>
    <cellStyle name="Normal 2 5 4 2 5 2 3" xfId="8808" xr:uid="{00000000-0005-0000-0000-000052510000}"/>
    <cellStyle name="Normal 2 5 4 2 5 2 3 2" xfId="34365" xr:uid="{00000000-0005-0000-0000-000053510000}"/>
    <cellStyle name="Normal 2 5 4 2 5 2 4" xfId="17598" xr:uid="{00000000-0005-0000-0000-000054510000}"/>
    <cellStyle name="Normal 2 5 4 2 5 2 4 2" xfId="43151" xr:uid="{00000000-0005-0000-0000-000055510000}"/>
    <cellStyle name="Normal 2 5 4 2 5 2 5" xfId="29088" xr:uid="{00000000-0005-0000-0000-000056510000}"/>
    <cellStyle name="Normal 2 5 4 2 5 3" xfId="4922" xr:uid="{00000000-0005-0000-0000-000057510000}"/>
    <cellStyle name="Normal 2 5 4 2 5 3 2" xfId="13759" xr:uid="{00000000-0005-0000-0000-000058510000}"/>
    <cellStyle name="Normal 2 5 4 2 5 3 2 2" xfId="24010" xr:uid="{00000000-0005-0000-0000-000059510000}"/>
    <cellStyle name="Normal 2 5 4 2 5 3 2 2 2" xfId="49563" xr:uid="{00000000-0005-0000-0000-00005A510000}"/>
    <cellStyle name="Normal 2 5 4 2 5 3 2 3" xfId="39314" xr:uid="{00000000-0005-0000-0000-00005B510000}"/>
    <cellStyle name="Normal 2 5 4 2 5 3 3" xfId="10180" xr:uid="{00000000-0005-0000-0000-00005C510000}"/>
    <cellStyle name="Normal 2 5 4 2 5 3 3 2" xfId="35737" xr:uid="{00000000-0005-0000-0000-00005D510000}"/>
    <cellStyle name="Normal 2 5 4 2 5 3 4" xfId="19003" xr:uid="{00000000-0005-0000-0000-00005E510000}"/>
    <cellStyle name="Normal 2 5 4 2 5 3 4 2" xfId="44556" xr:uid="{00000000-0005-0000-0000-00005F510000}"/>
    <cellStyle name="Normal 2 5 4 2 5 3 5" xfId="30493" xr:uid="{00000000-0005-0000-0000-000060510000}"/>
    <cellStyle name="Normal 2 5 4 2 5 4" xfId="2353" xr:uid="{00000000-0005-0000-0000-000061510000}"/>
    <cellStyle name="Normal 2 5 4 2 5 4 2" xfId="11718" xr:uid="{00000000-0005-0000-0000-000062510000}"/>
    <cellStyle name="Normal 2 5 4 2 5 4 2 2" xfId="37273" xr:uid="{00000000-0005-0000-0000-000063510000}"/>
    <cellStyle name="Normal 2 5 4 2 5 4 3" xfId="21722" xr:uid="{00000000-0005-0000-0000-000064510000}"/>
    <cellStyle name="Normal 2 5 4 2 5 4 3 2" xfId="47275" xr:uid="{00000000-0005-0000-0000-000065510000}"/>
    <cellStyle name="Normal 2 5 4 2 5 4 4" xfId="28205" xr:uid="{00000000-0005-0000-0000-000066510000}"/>
    <cellStyle name="Normal 2 5 4 2 5 5" xfId="6377" xr:uid="{00000000-0005-0000-0000-000067510000}"/>
    <cellStyle name="Normal 2 5 4 2 5 5 2" xfId="15204" xr:uid="{00000000-0005-0000-0000-000068510000}"/>
    <cellStyle name="Normal 2 5 4 2 5 5 2 2" xfId="40759" xr:uid="{00000000-0005-0000-0000-000069510000}"/>
    <cellStyle name="Normal 2 5 4 2 5 5 3" xfId="25455" xr:uid="{00000000-0005-0000-0000-00006A510000}"/>
    <cellStyle name="Normal 2 5 4 2 5 5 3 2" xfId="51008" xr:uid="{00000000-0005-0000-0000-00006B510000}"/>
    <cellStyle name="Normal 2 5 4 2 5 5 4" xfId="31938" xr:uid="{00000000-0005-0000-0000-00006C510000}"/>
    <cellStyle name="Normal 2 5 4 2 5 6" xfId="7823" xr:uid="{00000000-0005-0000-0000-00006D510000}"/>
    <cellStyle name="Normal 2 5 4 2 5 6 2" xfId="20204" xr:uid="{00000000-0005-0000-0000-00006E510000}"/>
    <cellStyle name="Normal 2 5 4 2 5 6 2 2" xfId="45757" xr:uid="{00000000-0005-0000-0000-00006F510000}"/>
    <cellStyle name="Normal 2 5 4 2 5 6 3" xfId="33380" xr:uid="{00000000-0005-0000-0000-000070510000}"/>
    <cellStyle name="Normal 2 5 4 2 5 7" xfId="16715" xr:uid="{00000000-0005-0000-0000-000071510000}"/>
    <cellStyle name="Normal 2 5 4 2 5 7 2" xfId="42268" xr:uid="{00000000-0005-0000-0000-000072510000}"/>
    <cellStyle name="Normal 2 5 4 2 5 8" xfId="26687" xr:uid="{00000000-0005-0000-0000-000073510000}"/>
    <cellStyle name="Normal 2 5 4 2 6" xfId="1168" xr:uid="{00000000-0005-0000-0000-000074510000}"/>
    <cellStyle name="Normal 2 5 4 2 6 2" xfId="3597" xr:uid="{00000000-0005-0000-0000-000075510000}"/>
    <cellStyle name="Normal 2 5 4 2 6 2 2" xfId="12733" xr:uid="{00000000-0005-0000-0000-000076510000}"/>
    <cellStyle name="Normal 2 5 4 2 6 2 2 2" xfId="22952" xr:uid="{00000000-0005-0000-0000-000077510000}"/>
    <cellStyle name="Normal 2 5 4 2 6 2 2 2 2" xfId="48505" xr:uid="{00000000-0005-0000-0000-000078510000}"/>
    <cellStyle name="Normal 2 5 4 2 6 2 2 3" xfId="38288" xr:uid="{00000000-0005-0000-0000-000079510000}"/>
    <cellStyle name="Normal 2 5 4 2 6 2 3" xfId="9154" xr:uid="{00000000-0005-0000-0000-00007A510000}"/>
    <cellStyle name="Normal 2 5 4 2 6 2 3 2" xfId="34711" xr:uid="{00000000-0005-0000-0000-00007B510000}"/>
    <cellStyle name="Normal 2 5 4 2 6 2 4" xfId="17945" xr:uid="{00000000-0005-0000-0000-00007C510000}"/>
    <cellStyle name="Normal 2 5 4 2 6 2 4 2" xfId="43498" xr:uid="{00000000-0005-0000-0000-00007D510000}"/>
    <cellStyle name="Normal 2 5 4 2 6 2 5" xfId="29435" xr:uid="{00000000-0005-0000-0000-00007E510000}"/>
    <cellStyle name="Normal 2 5 4 2 6 3" xfId="5260" xr:uid="{00000000-0005-0000-0000-00007F510000}"/>
    <cellStyle name="Normal 2 5 4 2 6 3 2" xfId="14097" xr:uid="{00000000-0005-0000-0000-000080510000}"/>
    <cellStyle name="Normal 2 5 4 2 6 3 2 2" xfId="24348" xr:uid="{00000000-0005-0000-0000-000081510000}"/>
    <cellStyle name="Normal 2 5 4 2 6 3 2 2 2" xfId="49901" xr:uid="{00000000-0005-0000-0000-000082510000}"/>
    <cellStyle name="Normal 2 5 4 2 6 3 2 3" xfId="39652" xr:uid="{00000000-0005-0000-0000-000083510000}"/>
    <cellStyle name="Normal 2 5 4 2 6 3 3" xfId="10518" xr:uid="{00000000-0005-0000-0000-000084510000}"/>
    <cellStyle name="Normal 2 5 4 2 6 3 3 2" xfId="36075" xr:uid="{00000000-0005-0000-0000-000085510000}"/>
    <cellStyle name="Normal 2 5 4 2 6 3 4" xfId="19341" xr:uid="{00000000-0005-0000-0000-000086510000}"/>
    <cellStyle name="Normal 2 5 4 2 6 3 4 2" xfId="44894" xr:uid="{00000000-0005-0000-0000-000087510000}"/>
    <cellStyle name="Normal 2 5 4 2 6 3 5" xfId="30831" xr:uid="{00000000-0005-0000-0000-000088510000}"/>
    <cellStyle name="Normal 2 5 4 2 6 4" xfId="1768" xr:uid="{00000000-0005-0000-0000-000089510000}"/>
    <cellStyle name="Normal 2 5 4 2 6 4 2" xfId="11139" xr:uid="{00000000-0005-0000-0000-00008A510000}"/>
    <cellStyle name="Normal 2 5 4 2 6 4 2 2" xfId="36694" xr:uid="{00000000-0005-0000-0000-00008B510000}"/>
    <cellStyle name="Normal 2 5 4 2 6 4 3" xfId="21143" xr:uid="{00000000-0005-0000-0000-00008C510000}"/>
    <cellStyle name="Normal 2 5 4 2 6 4 3 2" xfId="46696" xr:uid="{00000000-0005-0000-0000-00008D510000}"/>
    <cellStyle name="Normal 2 5 4 2 6 4 4" xfId="27626" xr:uid="{00000000-0005-0000-0000-00008E510000}"/>
    <cellStyle name="Normal 2 5 4 2 6 5" xfId="6715" xr:uid="{00000000-0005-0000-0000-00008F510000}"/>
    <cellStyle name="Normal 2 5 4 2 6 5 2" xfId="15542" xr:uid="{00000000-0005-0000-0000-000090510000}"/>
    <cellStyle name="Normal 2 5 4 2 6 5 2 2" xfId="41097" xr:uid="{00000000-0005-0000-0000-000091510000}"/>
    <cellStyle name="Normal 2 5 4 2 6 5 3" xfId="25793" xr:uid="{00000000-0005-0000-0000-000092510000}"/>
    <cellStyle name="Normal 2 5 4 2 6 5 3 2" xfId="51346" xr:uid="{00000000-0005-0000-0000-000093510000}"/>
    <cellStyle name="Normal 2 5 4 2 6 5 4" xfId="32276" xr:uid="{00000000-0005-0000-0000-000094510000}"/>
    <cellStyle name="Normal 2 5 4 2 6 6" xfId="8161" xr:uid="{00000000-0005-0000-0000-000095510000}"/>
    <cellStyle name="Normal 2 5 4 2 6 6 2" xfId="20551" xr:uid="{00000000-0005-0000-0000-000096510000}"/>
    <cellStyle name="Normal 2 5 4 2 6 6 2 2" xfId="46104" xr:uid="{00000000-0005-0000-0000-000097510000}"/>
    <cellStyle name="Normal 2 5 4 2 6 6 3" xfId="33718" xr:uid="{00000000-0005-0000-0000-000098510000}"/>
    <cellStyle name="Normal 2 5 4 2 6 7" xfId="16136" xr:uid="{00000000-0005-0000-0000-000099510000}"/>
    <cellStyle name="Normal 2 5 4 2 6 7 2" xfId="41689" xr:uid="{00000000-0005-0000-0000-00009A510000}"/>
    <cellStyle name="Normal 2 5 4 2 6 8" xfId="27034" xr:uid="{00000000-0005-0000-0000-00009B510000}"/>
    <cellStyle name="Normal 2 5 4 2 7" xfId="2665" xr:uid="{00000000-0005-0000-0000-00009C510000}"/>
    <cellStyle name="Normal 2 5 4 2 7 2" xfId="11982" xr:uid="{00000000-0005-0000-0000-00009D510000}"/>
    <cellStyle name="Normal 2 5 4 2 7 2 2" xfId="22026" xr:uid="{00000000-0005-0000-0000-00009E510000}"/>
    <cellStyle name="Normal 2 5 4 2 7 2 2 2" xfId="47579" xr:uid="{00000000-0005-0000-0000-00009F510000}"/>
    <cellStyle name="Normal 2 5 4 2 7 2 3" xfId="37537" xr:uid="{00000000-0005-0000-0000-0000A0510000}"/>
    <cellStyle name="Normal 2 5 4 2 7 3" xfId="8497" xr:uid="{00000000-0005-0000-0000-0000A1510000}"/>
    <cellStyle name="Normal 2 5 4 2 7 3 2" xfId="34054" xr:uid="{00000000-0005-0000-0000-0000A2510000}"/>
    <cellStyle name="Normal 2 5 4 2 7 4" xfId="17019" xr:uid="{00000000-0005-0000-0000-0000A3510000}"/>
    <cellStyle name="Normal 2 5 4 2 7 4 2" xfId="42572" xr:uid="{00000000-0005-0000-0000-0000A4510000}"/>
    <cellStyle name="Normal 2 5 4 2 7 5" xfId="28509" xr:uid="{00000000-0005-0000-0000-0000A5510000}"/>
    <cellStyle name="Normal 2 5 4 2 8" xfId="4216" xr:uid="{00000000-0005-0000-0000-0000A6510000}"/>
    <cellStyle name="Normal 2 5 4 2 8 2" xfId="13054" xr:uid="{00000000-0005-0000-0000-0000A7510000}"/>
    <cellStyle name="Normal 2 5 4 2 8 2 2" xfId="23305" xr:uid="{00000000-0005-0000-0000-0000A8510000}"/>
    <cellStyle name="Normal 2 5 4 2 8 2 2 2" xfId="48858" xr:uid="{00000000-0005-0000-0000-0000A9510000}"/>
    <cellStyle name="Normal 2 5 4 2 8 2 3" xfId="38609" xr:uid="{00000000-0005-0000-0000-0000AA510000}"/>
    <cellStyle name="Normal 2 5 4 2 8 3" xfId="9475" xr:uid="{00000000-0005-0000-0000-0000AB510000}"/>
    <cellStyle name="Normal 2 5 4 2 8 3 2" xfId="35032" xr:uid="{00000000-0005-0000-0000-0000AC510000}"/>
    <cellStyle name="Normal 2 5 4 2 8 4" xfId="18298" xr:uid="{00000000-0005-0000-0000-0000AD510000}"/>
    <cellStyle name="Normal 2 5 4 2 8 4 2" xfId="43851" xr:uid="{00000000-0005-0000-0000-0000AE510000}"/>
    <cellStyle name="Normal 2 5 4 2 8 5" xfId="29788" xr:uid="{00000000-0005-0000-0000-0000AF510000}"/>
    <cellStyle name="Normal 2 5 4 2 9" xfId="1488" xr:uid="{00000000-0005-0000-0000-0000B0510000}"/>
    <cellStyle name="Normal 2 5 4 2 9 2" xfId="10865" xr:uid="{00000000-0005-0000-0000-0000B1510000}"/>
    <cellStyle name="Normal 2 5 4 2 9 2 2" xfId="36420" xr:uid="{00000000-0005-0000-0000-0000B2510000}"/>
    <cellStyle name="Normal 2 5 4 2 9 3" xfId="20869" xr:uid="{00000000-0005-0000-0000-0000B3510000}"/>
    <cellStyle name="Normal 2 5 4 2 9 3 2" xfId="46422" xr:uid="{00000000-0005-0000-0000-0000B4510000}"/>
    <cellStyle name="Normal 2 5 4 2 9 4" xfId="27352" xr:uid="{00000000-0005-0000-0000-0000B5510000}"/>
    <cellStyle name="Normal 2 5 4 2_Degree data" xfId="3828" xr:uid="{00000000-0005-0000-0000-0000B6510000}"/>
    <cellStyle name="Normal 2 5 4 3" xfId="213" xr:uid="{00000000-0005-0000-0000-0000B7510000}"/>
    <cellStyle name="Normal 2 5 4 3 10" xfId="7159" xr:uid="{00000000-0005-0000-0000-0000B8510000}"/>
    <cellStyle name="Normal 2 5 4 3 10 2" xfId="19668" xr:uid="{00000000-0005-0000-0000-0000B9510000}"/>
    <cellStyle name="Normal 2 5 4 3 10 2 2" xfId="45221" xr:uid="{00000000-0005-0000-0000-0000BA510000}"/>
    <cellStyle name="Normal 2 5 4 3 10 3" xfId="32716" xr:uid="{00000000-0005-0000-0000-0000BB510000}"/>
    <cellStyle name="Normal 2 5 4 3 11" xfId="15905" xr:uid="{00000000-0005-0000-0000-0000BC510000}"/>
    <cellStyle name="Normal 2 5 4 3 11 2" xfId="41458" xr:uid="{00000000-0005-0000-0000-0000BD510000}"/>
    <cellStyle name="Normal 2 5 4 3 12" xfId="26151" xr:uid="{00000000-0005-0000-0000-0000BE510000}"/>
    <cellStyle name="Normal 2 5 4 3 2" xfId="539" xr:uid="{00000000-0005-0000-0000-0000BF510000}"/>
    <cellStyle name="Normal 2 5 4 3 2 10" xfId="26468" xr:uid="{00000000-0005-0000-0000-0000C0510000}"/>
    <cellStyle name="Normal 2 5 4 3 2 2" xfId="762" xr:uid="{00000000-0005-0000-0000-0000C1510000}"/>
    <cellStyle name="Normal 2 5 4 3 2 2 2" xfId="3248" xr:uid="{00000000-0005-0000-0000-0000C2510000}"/>
    <cellStyle name="Normal 2 5 4 3 2 2 2 2" xfId="12390" xr:uid="{00000000-0005-0000-0000-0000C3510000}"/>
    <cellStyle name="Normal 2 5 4 3 2 2 2 2 2" xfId="22609" xr:uid="{00000000-0005-0000-0000-0000C4510000}"/>
    <cellStyle name="Normal 2 5 4 3 2 2 2 2 2 2" xfId="48162" xr:uid="{00000000-0005-0000-0000-0000C5510000}"/>
    <cellStyle name="Normal 2 5 4 3 2 2 2 2 3" xfId="37945" xr:uid="{00000000-0005-0000-0000-0000C6510000}"/>
    <cellStyle name="Normal 2 5 4 3 2 2 2 3" xfId="8812" xr:uid="{00000000-0005-0000-0000-0000C7510000}"/>
    <cellStyle name="Normal 2 5 4 3 2 2 2 3 2" xfId="34369" xr:uid="{00000000-0005-0000-0000-0000C8510000}"/>
    <cellStyle name="Normal 2 5 4 3 2 2 2 4" xfId="17602" xr:uid="{00000000-0005-0000-0000-0000C9510000}"/>
    <cellStyle name="Normal 2 5 4 3 2 2 2 4 2" xfId="43155" xr:uid="{00000000-0005-0000-0000-0000CA510000}"/>
    <cellStyle name="Normal 2 5 4 3 2 2 2 5" xfId="29092" xr:uid="{00000000-0005-0000-0000-0000CB510000}"/>
    <cellStyle name="Normal 2 5 4 3 2 2 3" xfId="4577" xr:uid="{00000000-0005-0000-0000-0000CC510000}"/>
    <cellStyle name="Normal 2 5 4 3 2 2 3 2" xfId="13415" xr:uid="{00000000-0005-0000-0000-0000CD510000}"/>
    <cellStyle name="Normal 2 5 4 3 2 2 3 2 2" xfId="23666" xr:uid="{00000000-0005-0000-0000-0000CE510000}"/>
    <cellStyle name="Normal 2 5 4 3 2 2 3 2 2 2" xfId="49219" xr:uid="{00000000-0005-0000-0000-0000CF510000}"/>
    <cellStyle name="Normal 2 5 4 3 2 2 3 2 3" xfId="38970" xr:uid="{00000000-0005-0000-0000-0000D0510000}"/>
    <cellStyle name="Normal 2 5 4 3 2 2 3 3" xfId="9836" xr:uid="{00000000-0005-0000-0000-0000D1510000}"/>
    <cellStyle name="Normal 2 5 4 3 2 2 3 3 2" xfId="35393" xr:uid="{00000000-0005-0000-0000-0000D2510000}"/>
    <cellStyle name="Normal 2 5 4 3 2 2 3 4" xfId="18659" xr:uid="{00000000-0005-0000-0000-0000D3510000}"/>
    <cellStyle name="Normal 2 5 4 3 2 2 3 4 2" xfId="44212" xr:uid="{00000000-0005-0000-0000-0000D4510000}"/>
    <cellStyle name="Normal 2 5 4 3 2 2 3 5" xfId="30149" xr:uid="{00000000-0005-0000-0000-0000D5510000}"/>
    <cellStyle name="Normal 2 5 4 3 2 2 4" xfId="2357" xr:uid="{00000000-0005-0000-0000-0000D6510000}"/>
    <cellStyle name="Normal 2 5 4 3 2 2 4 2" xfId="11722" xr:uid="{00000000-0005-0000-0000-0000D7510000}"/>
    <cellStyle name="Normal 2 5 4 3 2 2 4 2 2" xfId="37277" xr:uid="{00000000-0005-0000-0000-0000D8510000}"/>
    <cellStyle name="Normal 2 5 4 3 2 2 4 3" xfId="21726" xr:uid="{00000000-0005-0000-0000-0000D9510000}"/>
    <cellStyle name="Normal 2 5 4 3 2 2 4 3 2" xfId="47279" xr:uid="{00000000-0005-0000-0000-0000DA510000}"/>
    <cellStyle name="Normal 2 5 4 3 2 2 4 4" xfId="28209" xr:uid="{00000000-0005-0000-0000-0000DB510000}"/>
    <cellStyle name="Normal 2 5 4 3 2 2 5" xfId="6033" xr:uid="{00000000-0005-0000-0000-0000DC510000}"/>
    <cellStyle name="Normal 2 5 4 3 2 2 5 2" xfId="14860" xr:uid="{00000000-0005-0000-0000-0000DD510000}"/>
    <cellStyle name="Normal 2 5 4 3 2 2 5 2 2" xfId="40415" xr:uid="{00000000-0005-0000-0000-0000DE510000}"/>
    <cellStyle name="Normal 2 5 4 3 2 2 5 3" xfId="25111" xr:uid="{00000000-0005-0000-0000-0000DF510000}"/>
    <cellStyle name="Normal 2 5 4 3 2 2 5 3 2" xfId="50664" xr:uid="{00000000-0005-0000-0000-0000E0510000}"/>
    <cellStyle name="Normal 2 5 4 3 2 2 5 4" xfId="31594" xr:uid="{00000000-0005-0000-0000-0000E1510000}"/>
    <cellStyle name="Normal 2 5 4 3 2 2 6" xfId="7477" xr:uid="{00000000-0005-0000-0000-0000E2510000}"/>
    <cellStyle name="Normal 2 5 4 3 2 2 6 2" xfId="20208" xr:uid="{00000000-0005-0000-0000-0000E3510000}"/>
    <cellStyle name="Normal 2 5 4 3 2 2 6 2 2" xfId="45761" xr:uid="{00000000-0005-0000-0000-0000E4510000}"/>
    <cellStyle name="Normal 2 5 4 3 2 2 6 3" xfId="33034" xr:uid="{00000000-0005-0000-0000-0000E5510000}"/>
    <cellStyle name="Normal 2 5 4 3 2 2 7" xfId="16719" xr:uid="{00000000-0005-0000-0000-0000E6510000}"/>
    <cellStyle name="Normal 2 5 4 3 2 2 7 2" xfId="42272" xr:uid="{00000000-0005-0000-0000-0000E7510000}"/>
    <cellStyle name="Normal 2 5 4 3 2 2 8" xfId="26691" xr:uid="{00000000-0005-0000-0000-0000E8510000}"/>
    <cellStyle name="Normal 2 5 4 3 2 3" xfId="1311" xr:uid="{00000000-0005-0000-0000-0000E9510000}"/>
    <cellStyle name="Normal 2 5 4 3 2 3 2" xfId="3740" xr:uid="{00000000-0005-0000-0000-0000EA510000}"/>
    <cellStyle name="Normal 2 5 4 3 2 3 2 2" xfId="12876" xr:uid="{00000000-0005-0000-0000-0000EB510000}"/>
    <cellStyle name="Normal 2 5 4 3 2 3 2 2 2" xfId="23095" xr:uid="{00000000-0005-0000-0000-0000EC510000}"/>
    <cellStyle name="Normal 2 5 4 3 2 3 2 2 2 2" xfId="48648" xr:uid="{00000000-0005-0000-0000-0000ED510000}"/>
    <cellStyle name="Normal 2 5 4 3 2 3 2 2 3" xfId="38431" xr:uid="{00000000-0005-0000-0000-0000EE510000}"/>
    <cellStyle name="Normal 2 5 4 3 2 3 2 3" xfId="9297" xr:uid="{00000000-0005-0000-0000-0000EF510000}"/>
    <cellStyle name="Normal 2 5 4 3 2 3 2 3 2" xfId="34854" xr:uid="{00000000-0005-0000-0000-0000F0510000}"/>
    <cellStyle name="Normal 2 5 4 3 2 3 2 4" xfId="18088" xr:uid="{00000000-0005-0000-0000-0000F1510000}"/>
    <cellStyle name="Normal 2 5 4 3 2 3 2 4 2" xfId="43641" xr:uid="{00000000-0005-0000-0000-0000F2510000}"/>
    <cellStyle name="Normal 2 5 4 3 2 3 2 5" xfId="29578" xr:uid="{00000000-0005-0000-0000-0000F3510000}"/>
    <cellStyle name="Normal 2 5 4 3 2 3 3" xfId="4926" xr:uid="{00000000-0005-0000-0000-0000F4510000}"/>
    <cellStyle name="Normal 2 5 4 3 2 3 3 2" xfId="13763" xr:uid="{00000000-0005-0000-0000-0000F5510000}"/>
    <cellStyle name="Normal 2 5 4 3 2 3 3 2 2" xfId="24014" xr:uid="{00000000-0005-0000-0000-0000F6510000}"/>
    <cellStyle name="Normal 2 5 4 3 2 3 3 2 2 2" xfId="49567" xr:uid="{00000000-0005-0000-0000-0000F7510000}"/>
    <cellStyle name="Normal 2 5 4 3 2 3 3 2 3" xfId="39318" xr:uid="{00000000-0005-0000-0000-0000F8510000}"/>
    <cellStyle name="Normal 2 5 4 3 2 3 3 3" xfId="10184" xr:uid="{00000000-0005-0000-0000-0000F9510000}"/>
    <cellStyle name="Normal 2 5 4 3 2 3 3 3 2" xfId="35741" xr:uid="{00000000-0005-0000-0000-0000FA510000}"/>
    <cellStyle name="Normal 2 5 4 3 2 3 3 4" xfId="19007" xr:uid="{00000000-0005-0000-0000-0000FB510000}"/>
    <cellStyle name="Normal 2 5 4 3 2 3 3 4 2" xfId="44560" xr:uid="{00000000-0005-0000-0000-0000FC510000}"/>
    <cellStyle name="Normal 2 5 4 3 2 3 3 5" xfId="30497" xr:uid="{00000000-0005-0000-0000-0000FD510000}"/>
    <cellStyle name="Normal 2 5 4 3 2 3 4" xfId="2134" xr:uid="{00000000-0005-0000-0000-0000FE510000}"/>
    <cellStyle name="Normal 2 5 4 3 2 3 4 2" xfId="11499" xr:uid="{00000000-0005-0000-0000-0000FF510000}"/>
    <cellStyle name="Normal 2 5 4 3 2 3 4 2 2" xfId="37054" xr:uid="{00000000-0005-0000-0000-000000520000}"/>
    <cellStyle name="Normal 2 5 4 3 2 3 4 3" xfId="21503" xr:uid="{00000000-0005-0000-0000-000001520000}"/>
    <cellStyle name="Normal 2 5 4 3 2 3 4 3 2" xfId="47056" xr:uid="{00000000-0005-0000-0000-000002520000}"/>
    <cellStyle name="Normal 2 5 4 3 2 3 4 4" xfId="27986" xr:uid="{00000000-0005-0000-0000-000003520000}"/>
    <cellStyle name="Normal 2 5 4 3 2 3 5" xfId="6381" xr:uid="{00000000-0005-0000-0000-000004520000}"/>
    <cellStyle name="Normal 2 5 4 3 2 3 5 2" xfId="15208" xr:uid="{00000000-0005-0000-0000-000005520000}"/>
    <cellStyle name="Normal 2 5 4 3 2 3 5 2 2" xfId="40763" xr:uid="{00000000-0005-0000-0000-000006520000}"/>
    <cellStyle name="Normal 2 5 4 3 2 3 5 3" xfId="25459" xr:uid="{00000000-0005-0000-0000-000007520000}"/>
    <cellStyle name="Normal 2 5 4 3 2 3 5 3 2" xfId="51012" xr:uid="{00000000-0005-0000-0000-000008520000}"/>
    <cellStyle name="Normal 2 5 4 3 2 3 5 4" xfId="31942" xr:uid="{00000000-0005-0000-0000-000009520000}"/>
    <cellStyle name="Normal 2 5 4 3 2 3 6" xfId="7827" xr:uid="{00000000-0005-0000-0000-00000A520000}"/>
    <cellStyle name="Normal 2 5 4 3 2 3 6 2" xfId="20694" xr:uid="{00000000-0005-0000-0000-00000B520000}"/>
    <cellStyle name="Normal 2 5 4 3 2 3 6 2 2" xfId="46247" xr:uid="{00000000-0005-0000-0000-00000C520000}"/>
    <cellStyle name="Normal 2 5 4 3 2 3 6 3" xfId="33384" xr:uid="{00000000-0005-0000-0000-00000D520000}"/>
    <cellStyle name="Normal 2 5 4 3 2 3 7" xfId="16496" xr:uid="{00000000-0005-0000-0000-00000E520000}"/>
    <cellStyle name="Normal 2 5 4 3 2 3 7 2" xfId="42049" xr:uid="{00000000-0005-0000-0000-00000F520000}"/>
    <cellStyle name="Normal 2 5 4 3 2 3 8" xfId="27177" xr:uid="{00000000-0005-0000-0000-000010520000}"/>
    <cellStyle name="Normal 2 5 4 3 2 4" xfId="3025" xr:uid="{00000000-0005-0000-0000-000011520000}"/>
    <cellStyle name="Normal 2 5 4 3 2 4 2" xfId="5403" xr:uid="{00000000-0005-0000-0000-000012520000}"/>
    <cellStyle name="Normal 2 5 4 3 2 4 2 2" xfId="14240" xr:uid="{00000000-0005-0000-0000-000013520000}"/>
    <cellStyle name="Normal 2 5 4 3 2 4 2 2 2" xfId="24491" xr:uid="{00000000-0005-0000-0000-000014520000}"/>
    <cellStyle name="Normal 2 5 4 3 2 4 2 2 2 2" xfId="50044" xr:uid="{00000000-0005-0000-0000-000015520000}"/>
    <cellStyle name="Normal 2 5 4 3 2 4 2 2 3" xfId="39795" xr:uid="{00000000-0005-0000-0000-000016520000}"/>
    <cellStyle name="Normal 2 5 4 3 2 4 2 3" xfId="10661" xr:uid="{00000000-0005-0000-0000-000017520000}"/>
    <cellStyle name="Normal 2 5 4 3 2 4 2 3 2" xfId="36218" xr:uid="{00000000-0005-0000-0000-000018520000}"/>
    <cellStyle name="Normal 2 5 4 3 2 4 2 4" xfId="19484" xr:uid="{00000000-0005-0000-0000-000019520000}"/>
    <cellStyle name="Normal 2 5 4 3 2 4 2 4 2" xfId="45037" xr:uid="{00000000-0005-0000-0000-00001A520000}"/>
    <cellStyle name="Normal 2 5 4 3 2 4 2 5" xfId="30974" xr:uid="{00000000-0005-0000-0000-00001B520000}"/>
    <cellStyle name="Normal 2 5 4 3 2 4 3" xfId="6858" xr:uid="{00000000-0005-0000-0000-00001C520000}"/>
    <cellStyle name="Normal 2 5 4 3 2 4 3 2" xfId="15685" xr:uid="{00000000-0005-0000-0000-00001D520000}"/>
    <cellStyle name="Normal 2 5 4 3 2 4 3 2 2" xfId="41240" xr:uid="{00000000-0005-0000-0000-00001E520000}"/>
    <cellStyle name="Normal 2 5 4 3 2 4 3 3" xfId="25936" xr:uid="{00000000-0005-0000-0000-00001F520000}"/>
    <cellStyle name="Normal 2 5 4 3 2 4 3 3 2" xfId="51489" xr:uid="{00000000-0005-0000-0000-000020520000}"/>
    <cellStyle name="Normal 2 5 4 3 2 4 3 4" xfId="32419" xr:uid="{00000000-0005-0000-0000-000021520000}"/>
    <cellStyle name="Normal 2 5 4 3 2 4 4" xfId="8304" xr:uid="{00000000-0005-0000-0000-000022520000}"/>
    <cellStyle name="Normal 2 5 4 3 2 4 4 2" xfId="22386" xr:uid="{00000000-0005-0000-0000-000023520000}"/>
    <cellStyle name="Normal 2 5 4 3 2 4 4 2 2" xfId="47939" xr:uid="{00000000-0005-0000-0000-000024520000}"/>
    <cellStyle name="Normal 2 5 4 3 2 4 4 3" xfId="33861" xr:uid="{00000000-0005-0000-0000-000025520000}"/>
    <cellStyle name="Normal 2 5 4 3 2 4 5" xfId="17379" xr:uid="{00000000-0005-0000-0000-000026520000}"/>
    <cellStyle name="Normal 2 5 4 3 2 4 5 2" xfId="42932" xr:uid="{00000000-0005-0000-0000-000027520000}"/>
    <cellStyle name="Normal 2 5 4 3 2 4 6" xfId="28869" xr:uid="{00000000-0005-0000-0000-000028520000}"/>
    <cellStyle name="Normal 2 5 4 3 2 5" xfId="4359" xr:uid="{00000000-0005-0000-0000-000029520000}"/>
    <cellStyle name="Normal 2 5 4 3 2 5 2" xfId="13197" xr:uid="{00000000-0005-0000-0000-00002A520000}"/>
    <cellStyle name="Normal 2 5 4 3 2 5 2 2" xfId="23448" xr:uid="{00000000-0005-0000-0000-00002B520000}"/>
    <cellStyle name="Normal 2 5 4 3 2 5 2 2 2" xfId="49001" xr:uid="{00000000-0005-0000-0000-00002C520000}"/>
    <cellStyle name="Normal 2 5 4 3 2 5 2 3" xfId="38752" xr:uid="{00000000-0005-0000-0000-00002D520000}"/>
    <cellStyle name="Normal 2 5 4 3 2 5 3" xfId="9618" xr:uid="{00000000-0005-0000-0000-00002E520000}"/>
    <cellStyle name="Normal 2 5 4 3 2 5 3 2" xfId="35175" xr:uid="{00000000-0005-0000-0000-00002F520000}"/>
    <cellStyle name="Normal 2 5 4 3 2 5 4" xfId="18441" xr:uid="{00000000-0005-0000-0000-000030520000}"/>
    <cellStyle name="Normal 2 5 4 3 2 5 4 2" xfId="43994" xr:uid="{00000000-0005-0000-0000-000031520000}"/>
    <cellStyle name="Normal 2 5 4 3 2 5 5" xfId="29931" xr:uid="{00000000-0005-0000-0000-000032520000}"/>
    <cellStyle name="Normal 2 5 4 3 2 6" xfId="1631" xr:uid="{00000000-0005-0000-0000-000033520000}"/>
    <cellStyle name="Normal 2 5 4 3 2 6 2" xfId="11008" xr:uid="{00000000-0005-0000-0000-000034520000}"/>
    <cellStyle name="Normal 2 5 4 3 2 6 2 2" xfId="36563" xr:uid="{00000000-0005-0000-0000-000035520000}"/>
    <cellStyle name="Normal 2 5 4 3 2 6 3" xfId="21012" xr:uid="{00000000-0005-0000-0000-000036520000}"/>
    <cellStyle name="Normal 2 5 4 3 2 6 3 2" xfId="46565" xr:uid="{00000000-0005-0000-0000-000037520000}"/>
    <cellStyle name="Normal 2 5 4 3 2 6 4" xfId="27495" xr:uid="{00000000-0005-0000-0000-000038520000}"/>
    <cellStyle name="Normal 2 5 4 3 2 7" xfId="5815" xr:uid="{00000000-0005-0000-0000-000039520000}"/>
    <cellStyle name="Normal 2 5 4 3 2 7 2" xfId="14642" xr:uid="{00000000-0005-0000-0000-00003A520000}"/>
    <cellStyle name="Normal 2 5 4 3 2 7 2 2" xfId="40197" xr:uid="{00000000-0005-0000-0000-00003B520000}"/>
    <cellStyle name="Normal 2 5 4 3 2 7 3" xfId="24893" xr:uid="{00000000-0005-0000-0000-00003C520000}"/>
    <cellStyle name="Normal 2 5 4 3 2 7 3 2" xfId="50446" xr:uid="{00000000-0005-0000-0000-00003D520000}"/>
    <cellStyle name="Normal 2 5 4 3 2 7 4" xfId="31376" xr:uid="{00000000-0005-0000-0000-00003E520000}"/>
    <cellStyle name="Normal 2 5 4 3 2 8" xfId="7259" xr:uid="{00000000-0005-0000-0000-00003F520000}"/>
    <cellStyle name="Normal 2 5 4 3 2 8 2" xfId="19985" xr:uid="{00000000-0005-0000-0000-000040520000}"/>
    <cellStyle name="Normal 2 5 4 3 2 8 2 2" xfId="45538" xr:uid="{00000000-0005-0000-0000-000041520000}"/>
    <cellStyle name="Normal 2 5 4 3 2 8 3" xfId="32816" xr:uid="{00000000-0005-0000-0000-000042520000}"/>
    <cellStyle name="Normal 2 5 4 3 2 9" xfId="16005" xr:uid="{00000000-0005-0000-0000-000043520000}"/>
    <cellStyle name="Normal 2 5 4 3 2 9 2" xfId="41558" xr:uid="{00000000-0005-0000-0000-000044520000}"/>
    <cellStyle name="Normal 2 5 4 3 2_Degree data" xfId="3846" xr:uid="{00000000-0005-0000-0000-000045520000}"/>
    <cellStyle name="Normal 2 5 4 3 3" xfId="439" xr:uid="{00000000-0005-0000-0000-000046520000}"/>
    <cellStyle name="Normal 2 5 4 3 3 2" xfId="2925" xr:uid="{00000000-0005-0000-0000-000047520000}"/>
    <cellStyle name="Normal 2 5 4 3 3 2 2" xfId="12213" xr:uid="{00000000-0005-0000-0000-000048520000}"/>
    <cellStyle name="Normal 2 5 4 3 3 2 2 2" xfId="22286" xr:uid="{00000000-0005-0000-0000-000049520000}"/>
    <cellStyle name="Normal 2 5 4 3 3 2 2 2 2" xfId="47839" xr:uid="{00000000-0005-0000-0000-00004A520000}"/>
    <cellStyle name="Normal 2 5 4 3 3 2 2 3" xfId="37768" xr:uid="{00000000-0005-0000-0000-00004B520000}"/>
    <cellStyle name="Normal 2 5 4 3 3 2 3" xfId="8445" xr:uid="{00000000-0005-0000-0000-00004C520000}"/>
    <cellStyle name="Normal 2 5 4 3 3 2 3 2" xfId="34002" xr:uid="{00000000-0005-0000-0000-00004D520000}"/>
    <cellStyle name="Normal 2 5 4 3 3 2 4" xfId="17279" xr:uid="{00000000-0005-0000-0000-00004E520000}"/>
    <cellStyle name="Normal 2 5 4 3 3 2 4 2" xfId="42832" xr:uid="{00000000-0005-0000-0000-00004F520000}"/>
    <cellStyle name="Normal 2 5 4 3 3 2 5" xfId="28769" xr:uid="{00000000-0005-0000-0000-000050520000}"/>
    <cellStyle name="Normal 2 5 4 3 3 3" xfId="4576" xr:uid="{00000000-0005-0000-0000-000051520000}"/>
    <cellStyle name="Normal 2 5 4 3 3 3 2" xfId="13414" xr:uid="{00000000-0005-0000-0000-000052520000}"/>
    <cellStyle name="Normal 2 5 4 3 3 3 2 2" xfId="23665" xr:uid="{00000000-0005-0000-0000-000053520000}"/>
    <cellStyle name="Normal 2 5 4 3 3 3 2 2 2" xfId="49218" xr:uid="{00000000-0005-0000-0000-000054520000}"/>
    <cellStyle name="Normal 2 5 4 3 3 3 2 3" xfId="38969" xr:uid="{00000000-0005-0000-0000-000055520000}"/>
    <cellStyle name="Normal 2 5 4 3 3 3 3" xfId="9835" xr:uid="{00000000-0005-0000-0000-000056520000}"/>
    <cellStyle name="Normal 2 5 4 3 3 3 3 2" xfId="35392" xr:uid="{00000000-0005-0000-0000-000057520000}"/>
    <cellStyle name="Normal 2 5 4 3 3 3 4" xfId="18658" xr:uid="{00000000-0005-0000-0000-000058520000}"/>
    <cellStyle name="Normal 2 5 4 3 3 3 4 2" xfId="44211" xr:uid="{00000000-0005-0000-0000-000059520000}"/>
    <cellStyle name="Normal 2 5 4 3 3 3 5" xfId="30148" xr:uid="{00000000-0005-0000-0000-00005A520000}"/>
    <cellStyle name="Normal 2 5 4 3 3 4" xfId="2034" xr:uid="{00000000-0005-0000-0000-00005B520000}"/>
    <cellStyle name="Normal 2 5 4 3 3 4 2" xfId="11399" xr:uid="{00000000-0005-0000-0000-00005C520000}"/>
    <cellStyle name="Normal 2 5 4 3 3 4 2 2" xfId="36954" xr:uid="{00000000-0005-0000-0000-00005D520000}"/>
    <cellStyle name="Normal 2 5 4 3 3 4 3" xfId="21403" xr:uid="{00000000-0005-0000-0000-00005E520000}"/>
    <cellStyle name="Normal 2 5 4 3 3 4 3 2" xfId="46956" xr:uid="{00000000-0005-0000-0000-00005F520000}"/>
    <cellStyle name="Normal 2 5 4 3 3 4 4" xfId="27886" xr:uid="{00000000-0005-0000-0000-000060520000}"/>
    <cellStyle name="Normal 2 5 4 3 3 5" xfId="6032" xr:uid="{00000000-0005-0000-0000-000061520000}"/>
    <cellStyle name="Normal 2 5 4 3 3 5 2" xfId="14859" xr:uid="{00000000-0005-0000-0000-000062520000}"/>
    <cellStyle name="Normal 2 5 4 3 3 5 2 2" xfId="40414" xr:uid="{00000000-0005-0000-0000-000063520000}"/>
    <cellStyle name="Normal 2 5 4 3 3 5 3" xfId="25110" xr:uid="{00000000-0005-0000-0000-000064520000}"/>
    <cellStyle name="Normal 2 5 4 3 3 5 3 2" xfId="50663" xr:uid="{00000000-0005-0000-0000-000065520000}"/>
    <cellStyle name="Normal 2 5 4 3 3 5 4" xfId="31593" xr:uid="{00000000-0005-0000-0000-000066520000}"/>
    <cellStyle name="Normal 2 5 4 3 3 6" xfId="7476" xr:uid="{00000000-0005-0000-0000-000067520000}"/>
    <cellStyle name="Normal 2 5 4 3 3 6 2" xfId="19885" xr:uid="{00000000-0005-0000-0000-000068520000}"/>
    <cellStyle name="Normal 2 5 4 3 3 6 2 2" xfId="45438" xr:uid="{00000000-0005-0000-0000-000069520000}"/>
    <cellStyle name="Normal 2 5 4 3 3 6 3" xfId="33033" xr:uid="{00000000-0005-0000-0000-00006A520000}"/>
    <cellStyle name="Normal 2 5 4 3 3 7" xfId="16396" xr:uid="{00000000-0005-0000-0000-00006B520000}"/>
    <cellStyle name="Normal 2 5 4 3 3 7 2" xfId="41949" xr:uid="{00000000-0005-0000-0000-00006C520000}"/>
    <cellStyle name="Normal 2 5 4 3 3 8" xfId="26368" xr:uid="{00000000-0005-0000-0000-00006D520000}"/>
    <cellStyle name="Normal 2 5 4 3 4" xfId="761" xr:uid="{00000000-0005-0000-0000-00006E520000}"/>
    <cellStyle name="Normal 2 5 4 3 4 2" xfId="3247" xr:uid="{00000000-0005-0000-0000-00006F520000}"/>
    <cellStyle name="Normal 2 5 4 3 4 2 2" xfId="12389" xr:uid="{00000000-0005-0000-0000-000070520000}"/>
    <cellStyle name="Normal 2 5 4 3 4 2 2 2" xfId="22608" xr:uid="{00000000-0005-0000-0000-000071520000}"/>
    <cellStyle name="Normal 2 5 4 3 4 2 2 2 2" xfId="48161" xr:uid="{00000000-0005-0000-0000-000072520000}"/>
    <cellStyle name="Normal 2 5 4 3 4 2 2 3" xfId="37944" xr:uid="{00000000-0005-0000-0000-000073520000}"/>
    <cellStyle name="Normal 2 5 4 3 4 2 3" xfId="8811" xr:uid="{00000000-0005-0000-0000-000074520000}"/>
    <cellStyle name="Normal 2 5 4 3 4 2 3 2" xfId="34368" xr:uid="{00000000-0005-0000-0000-000075520000}"/>
    <cellStyle name="Normal 2 5 4 3 4 2 4" xfId="17601" xr:uid="{00000000-0005-0000-0000-000076520000}"/>
    <cellStyle name="Normal 2 5 4 3 4 2 4 2" xfId="43154" xr:uid="{00000000-0005-0000-0000-000077520000}"/>
    <cellStyle name="Normal 2 5 4 3 4 2 5" xfId="29091" xr:uid="{00000000-0005-0000-0000-000078520000}"/>
    <cellStyle name="Normal 2 5 4 3 4 3" xfId="4925" xr:uid="{00000000-0005-0000-0000-000079520000}"/>
    <cellStyle name="Normal 2 5 4 3 4 3 2" xfId="13762" xr:uid="{00000000-0005-0000-0000-00007A520000}"/>
    <cellStyle name="Normal 2 5 4 3 4 3 2 2" xfId="24013" xr:uid="{00000000-0005-0000-0000-00007B520000}"/>
    <cellStyle name="Normal 2 5 4 3 4 3 2 2 2" xfId="49566" xr:uid="{00000000-0005-0000-0000-00007C520000}"/>
    <cellStyle name="Normal 2 5 4 3 4 3 2 3" xfId="39317" xr:uid="{00000000-0005-0000-0000-00007D520000}"/>
    <cellStyle name="Normal 2 5 4 3 4 3 3" xfId="10183" xr:uid="{00000000-0005-0000-0000-00007E520000}"/>
    <cellStyle name="Normal 2 5 4 3 4 3 3 2" xfId="35740" xr:uid="{00000000-0005-0000-0000-00007F520000}"/>
    <cellStyle name="Normal 2 5 4 3 4 3 4" xfId="19006" xr:uid="{00000000-0005-0000-0000-000080520000}"/>
    <cellStyle name="Normal 2 5 4 3 4 3 4 2" xfId="44559" xr:uid="{00000000-0005-0000-0000-000081520000}"/>
    <cellStyle name="Normal 2 5 4 3 4 3 5" xfId="30496" xr:uid="{00000000-0005-0000-0000-000082520000}"/>
    <cellStyle name="Normal 2 5 4 3 4 4" xfId="2356" xr:uid="{00000000-0005-0000-0000-000083520000}"/>
    <cellStyle name="Normal 2 5 4 3 4 4 2" xfId="11721" xr:uid="{00000000-0005-0000-0000-000084520000}"/>
    <cellStyle name="Normal 2 5 4 3 4 4 2 2" xfId="37276" xr:uid="{00000000-0005-0000-0000-000085520000}"/>
    <cellStyle name="Normal 2 5 4 3 4 4 3" xfId="21725" xr:uid="{00000000-0005-0000-0000-000086520000}"/>
    <cellStyle name="Normal 2 5 4 3 4 4 3 2" xfId="47278" xr:uid="{00000000-0005-0000-0000-000087520000}"/>
    <cellStyle name="Normal 2 5 4 3 4 4 4" xfId="28208" xr:uid="{00000000-0005-0000-0000-000088520000}"/>
    <cellStyle name="Normal 2 5 4 3 4 5" xfId="6380" xr:uid="{00000000-0005-0000-0000-000089520000}"/>
    <cellStyle name="Normal 2 5 4 3 4 5 2" xfId="15207" xr:uid="{00000000-0005-0000-0000-00008A520000}"/>
    <cellStyle name="Normal 2 5 4 3 4 5 2 2" xfId="40762" xr:uid="{00000000-0005-0000-0000-00008B520000}"/>
    <cellStyle name="Normal 2 5 4 3 4 5 3" xfId="25458" xr:uid="{00000000-0005-0000-0000-00008C520000}"/>
    <cellStyle name="Normal 2 5 4 3 4 5 3 2" xfId="51011" xr:uid="{00000000-0005-0000-0000-00008D520000}"/>
    <cellStyle name="Normal 2 5 4 3 4 5 4" xfId="31941" xr:uid="{00000000-0005-0000-0000-00008E520000}"/>
    <cellStyle name="Normal 2 5 4 3 4 6" xfId="7826" xr:uid="{00000000-0005-0000-0000-00008F520000}"/>
    <cellStyle name="Normal 2 5 4 3 4 6 2" xfId="20207" xr:uid="{00000000-0005-0000-0000-000090520000}"/>
    <cellStyle name="Normal 2 5 4 3 4 6 2 2" xfId="45760" xr:uid="{00000000-0005-0000-0000-000091520000}"/>
    <cellStyle name="Normal 2 5 4 3 4 6 3" xfId="33383" xr:uid="{00000000-0005-0000-0000-000092520000}"/>
    <cellStyle name="Normal 2 5 4 3 4 7" xfId="16718" xr:uid="{00000000-0005-0000-0000-000093520000}"/>
    <cellStyle name="Normal 2 5 4 3 4 7 2" xfId="42271" xr:uid="{00000000-0005-0000-0000-000094520000}"/>
    <cellStyle name="Normal 2 5 4 3 4 8" xfId="26690" xr:uid="{00000000-0005-0000-0000-000095520000}"/>
    <cellStyle name="Normal 2 5 4 3 5" xfId="1211" xr:uid="{00000000-0005-0000-0000-000096520000}"/>
    <cellStyle name="Normal 2 5 4 3 5 2" xfId="3640" xr:uid="{00000000-0005-0000-0000-000097520000}"/>
    <cellStyle name="Normal 2 5 4 3 5 2 2" xfId="12776" xr:uid="{00000000-0005-0000-0000-000098520000}"/>
    <cellStyle name="Normal 2 5 4 3 5 2 2 2" xfId="22995" xr:uid="{00000000-0005-0000-0000-000099520000}"/>
    <cellStyle name="Normal 2 5 4 3 5 2 2 2 2" xfId="48548" xr:uid="{00000000-0005-0000-0000-00009A520000}"/>
    <cellStyle name="Normal 2 5 4 3 5 2 2 3" xfId="38331" xr:uid="{00000000-0005-0000-0000-00009B520000}"/>
    <cellStyle name="Normal 2 5 4 3 5 2 3" xfId="9197" xr:uid="{00000000-0005-0000-0000-00009C520000}"/>
    <cellStyle name="Normal 2 5 4 3 5 2 3 2" xfId="34754" xr:uid="{00000000-0005-0000-0000-00009D520000}"/>
    <cellStyle name="Normal 2 5 4 3 5 2 4" xfId="17988" xr:uid="{00000000-0005-0000-0000-00009E520000}"/>
    <cellStyle name="Normal 2 5 4 3 5 2 4 2" xfId="43541" xr:uid="{00000000-0005-0000-0000-00009F520000}"/>
    <cellStyle name="Normal 2 5 4 3 5 2 5" xfId="29478" xr:uid="{00000000-0005-0000-0000-0000A0520000}"/>
    <cellStyle name="Normal 2 5 4 3 5 3" xfId="5303" xr:uid="{00000000-0005-0000-0000-0000A1520000}"/>
    <cellStyle name="Normal 2 5 4 3 5 3 2" xfId="14140" xr:uid="{00000000-0005-0000-0000-0000A2520000}"/>
    <cellStyle name="Normal 2 5 4 3 5 3 2 2" xfId="24391" xr:uid="{00000000-0005-0000-0000-0000A3520000}"/>
    <cellStyle name="Normal 2 5 4 3 5 3 2 2 2" xfId="49944" xr:uid="{00000000-0005-0000-0000-0000A4520000}"/>
    <cellStyle name="Normal 2 5 4 3 5 3 2 3" xfId="39695" xr:uid="{00000000-0005-0000-0000-0000A5520000}"/>
    <cellStyle name="Normal 2 5 4 3 5 3 3" xfId="10561" xr:uid="{00000000-0005-0000-0000-0000A6520000}"/>
    <cellStyle name="Normal 2 5 4 3 5 3 3 2" xfId="36118" xr:uid="{00000000-0005-0000-0000-0000A7520000}"/>
    <cellStyle name="Normal 2 5 4 3 5 3 4" xfId="19384" xr:uid="{00000000-0005-0000-0000-0000A8520000}"/>
    <cellStyle name="Normal 2 5 4 3 5 3 4 2" xfId="44937" xr:uid="{00000000-0005-0000-0000-0000A9520000}"/>
    <cellStyle name="Normal 2 5 4 3 5 3 5" xfId="30874" xr:uid="{00000000-0005-0000-0000-0000AA520000}"/>
    <cellStyle name="Normal 2 5 4 3 5 4" xfId="1814" xr:uid="{00000000-0005-0000-0000-0000AB520000}"/>
    <cellStyle name="Normal 2 5 4 3 5 4 2" xfId="11182" xr:uid="{00000000-0005-0000-0000-0000AC520000}"/>
    <cellStyle name="Normal 2 5 4 3 5 4 2 2" xfId="36737" xr:uid="{00000000-0005-0000-0000-0000AD520000}"/>
    <cellStyle name="Normal 2 5 4 3 5 4 3" xfId="21186" xr:uid="{00000000-0005-0000-0000-0000AE520000}"/>
    <cellStyle name="Normal 2 5 4 3 5 4 3 2" xfId="46739" xr:uid="{00000000-0005-0000-0000-0000AF520000}"/>
    <cellStyle name="Normal 2 5 4 3 5 4 4" xfId="27669" xr:uid="{00000000-0005-0000-0000-0000B0520000}"/>
    <cellStyle name="Normal 2 5 4 3 5 5" xfId="6758" xr:uid="{00000000-0005-0000-0000-0000B1520000}"/>
    <cellStyle name="Normal 2 5 4 3 5 5 2" xfId="15585" xr:uid="{00000000-0005-0000-0000-0000B2520000}"/>
    <cellStyle name="Normal 2 5 4 3 5 5 2 2" xfId="41140" xr:uid="{00000000-0005-0000-0000-0000B3520000}"/>
    <cellStyle name="Normal 2 5 4 3 5 5 3" xfId="25836" xr:uid="{00000000-0005-0000-0000-0000B4520000}"/>
    <cellStyle name="Normal 2 5 4 3 5 5 3 2" xfId="51389" xr:uid="{00000000-0005-0000-0000-0000B5520000}"/>
    <cellStyle name="Normal 2 5 4 3 5 5 4" xfId="32319" xr:uid="{00000000-0005-0000-0000-0000B6520000}"/>
    <cellStyle name="Normal 2 5 4 3 5 6" xfId="8204" xr:uid="{00000000-0005-0000-0000-0000B7520000}"/>
    <cellStyle name="Normal 2 5 4 3 5 6 2" xfId="20594" xr:uid="{00000000-0005-0000-0000-0000B8520000}"/>
    <cellStyle name="Normal 2 5 4 3 5 6 2 2" xfId="46147" xr:uid="{00000000-0005-0000-0000-0000B9520000}"/>
    <cellStyle name="Normal 2 5 4 3 5 6 3" xfId="33761" xr:uid="{00000000-0005-0000-0000-0000BA520000}"/>
    <cellStyle name="Normal 2 5 4 3 5 7" xfId="16179" xr:uid="{00000000-0005-0000-0000-0000BB520000}"/>
    <cellStyle name="Normal 2 5 4 3 5 7 2" xfId="41732" xr:uid="{00000000-0005-0000-0000-0000BC520000}"/>
    <cellStyle name="Normal 2 5 4 3 5 8" xfId="27077" xr:uid="{00000000-0005-0000-0000-0000BD520000}"/>
    <cellStyle name="Normal 2 5 4 3 6" xfId="2708" xr:uid="{00000000-0005-0000-0000-0000BE520000}"/>
    <cellStyle name="Normal 2 5 4 3 6 2" xfId="12025" xr:uid="{00000000-0005-0000-0000-0000BF520000}"/>
    <cellStyle name="Normal 2 5 4 3 6 2 2" xfId="22069" xr:uid="{00000000-0005-0000-0000-0000C0520000}"/>
    <cellStyle name="Normal 2 5 4 3 6 2 2 2" xfId="47622" xr:uid="{00000000-0005-0000-0000-0000C1520000}"/>
    <cellStyle name="Normal 2 5 4 3 6 2 3" xfId="37580" xr:uid="{00000000-0005-0000-0000-0000C2520000}"/>
    <cellStyle name="Normal 2 5 4 3 6 3" xfId="8540" xr:uid="{00000000-0005-0000-0000-0000C3520000}"/>
    <cellStyle name="Normal 2 5 4 3 6 3 2" xfId="34097" xr:uid="{00000000-0005-0000-0000-0000C4520000}"/>
    <cellStyle name="Normal 2 5 4 3 6 4" xfId="17062" xr:uid="{00000000-0005-0000-0000-0000C5520000}"/>
    <cellStyle name="Normal 2 5 4 3 6 4 2" xfId="42615" xr:uid="{00000000-0005-0000-0000-0000C6520000}"/>
    <cellStyle name="Normal 2 5 4 3 6 5" xfId="28552" xr:uid="{00000000-0005-0000-0000-0000C7520000}"/>
    <cellStyle name="Normal 2 5 4 3 7" xfId="4259" xr:uid="{00000000-0005-0000-0000-0000C8520000}"/>
    <cellStyle name="Normal 2 5 4 3 7 2" xfId="13097" xr:uid="{00000000-0005-0000-0000-0000C9520000}"/>
    <cellStyle name="Normal 2 5 4 3 7 2 2" xfId="23348" xr:uid="{00000000-0005-0000-0000-0000CA520000}"/>
    <cellStyle name="Normal 2 5 4 3 7 2 2 2" xfId="48901" xr:uid="{00000000-0005-0000-0000-0000CB520000}"/>
    <cellStyle name="Normal 2 5 4 3 7 2 3" xfId="38652" xr:uid="{00000000-0005-0000-0000-0000CC520000}"/>
    <cellStyle name="Normal 2 5 4 3 7 3" xfId="9518" xr:uid="{00000000-0005-0000-0000-0000CD520000}"/>
    <cellStyle name="Normal 2 5 4 3 7 3 2" xfId="35075" xr:uid="{00000000-0005-0000-0000-0000CE520000}"/>
    <cellStyle name="Normal 2 5 4 3 7 4" xfId="18341" xr:uid="{00000000-0005-0000-0000-0000CF520000}"/>
    <cellStyle name="Normal 2 5 4 3 7 4 2" xfId="43894" xr:uid="{00000000-0005-0000-0000-0000D0520000}"/>
    <cellStyle name="Normal 2 5 4 3 7 5" xfId="29831" xr:uid="{00000000-0005-0000-0000-0000D1520000}"/>
    <cellStyle name="Normal 2 5 4 3 8" xfId="1531" xr:uid="{00000000-0005-0000-0000-0000D2520000}"/>
    <cellStyle name="Normal 2 5 4 3 8 2" xfId="10908" xr:uid="{00000000-0005-0000-0000-0000D3520000}"/>
    <cellStyle name="Normal 2 5 4 3 8 2 2" xfId="36463" xr:uid="{00000000-0005-0000-0000-0000D4520000}"/>
    <cellStyle name="Normal 2 5 4 3 8 3" xfId="20912" xr:uid="{00000000-0005-0000-0000-0000D5520000}"/>
    <cellStyle name="Normal 2 5 4 3 8 3 2" xfId="46465" xr:uid="{00000000-0005-0000-0000-0000D6520000}"/>
    <cellStyle name="Normal 2 5 4 3 8 4" xfId="27395" xr:uid="{00000000-0005-0000-0000-0000D7520000}"/>
    <cellStyle name="Normal 2 5 4 3 9" xfId="5715" xr:uid="{00000000-0005-0000-0000-0000D8520000}"/>
    <cellStyle name="Normal 2 5 4 3 9 2" xfId="14542" xr:uid="{00000000-0005-0000-0000-0000D9520000}"/>
    <cellStyle name="Normal 2 5 4 3 9 2 2" xfId="40097" xr:uid="{00000000-0005-0000-0000-0000DA520000}"/>
    <cellStyle name="Normal 2 5 4 3 9 3" xfId="24793" xr:uid="{00000000-0005-0000-0000-0000DB520000}"/>
    <cellStyle name="Normal 2 5 4 3 9 3 2" xfId="50346" xr:uid="{00000000-0005-0000-0000-0000DC520000}"/>
    <cellStyle name="Normal 2 5 4 3 9 4" xfId="31276" xr:uid="{00000000-0005-0000-0000-0000DD520000}"/>
    <cellStyle name="Normal 2 5 4 3_Degree data" xfId="3929" xr:uid="{00000000-0005-0000-0000-0000DE520000}"/>
    <cellStyle name="Normal 2 5 4 4" xfId="245" xr:uid="{00000000-0005-0000-0000-0000DF520000}"/>
    <cellStyle name="Normal 2 5 4 4 10" xfId="7083" xr:uid="{00000000-0005-0000-0000-0000E0520000}"/>
    <cellStyle name="Normal 2 5 4 4 10 2" xfId="19697" xr:uid="{00000000-0005-0000-0000-0000E1520000}"/>
    <cellStyle name="Normal 2 5 4 4 10 2 2" xfId="45250" xr:uid="{00000000-0005-0000-0000-0000E2520000}"/>
    <cellStyle name="Normal 2 5 4 4 10 3" xfId="32640" xr:uid="{00000000-0005-0000-0000-0000E3520000}"/>
    <cellStyle name="Normal 2 5 4 4 11" xfId="15829" xr:uid="{00000000-0005-0000-0000-0000E4520000}"/>
    <cellStyle name="Normal 2 5 4 4 11 2" xfId="41382" xr:uid="{00000000-0005-0000-0000-0000E5520000}"/>
    <cellStyle name="Normal 2 5 4 4 12" xfId="26180" xr:uid="{00000000-0005-0000-0000-0000E6520000}"/>
    <cellStyle name="Normal 2 5 4 4 2" xfId="568" xr:uid="{00000000-0005-0000-0000-0000E7520000}"/>
    <cellStyle name="Normal 2 5 4 4 2 10" xfId="26497" xr:uid="{00000000-0005-0000-0000-0000E8520000}"/>
    <cellStyle name="Normal 2 5 4 4 2 2" xfId="764" xr:uid="{00000000-0005-0000-0000-0000E9520000}"/>
    <cellStyle name="Normal 2 5 4 4 2 2 2" xfId="3250" xr:uid="{00000000-0005-0000-0000-0000EA520000}"/>
    <cellStyle name="Normal 2 5 4 4 2 2 2 2" xfId="12392" xr:uid="{00000000-0005-0000-0000-0000EB520000}"/>
    <cellStyle name="Normal 2 5 4 4 2 2 2 2 2" xfId="22611" xr:uid="{00000000-0005-0000-0000-0000EC520000}"/>
    <cellStyle name="Normal 2 5 4 4 2 2 2 2 2 2" xfId="48164" xr:uid="{00000000-0005-0000-0000-0000ED520000}"/>
    <cellStyle name="Normal 2 5 4 4 2 2 2 2 3" xfId="37947" xr:uid="{00000000-0005-0000-0000-0000EE520000}"/>
    <cellStyle name="Normal 2 5 4 4 2 2 2 3" xfId="8814" xr:uid="{00000000-0005-0000-0000-0000EF520000}"/>
    <cellStyle name="Normal 2 5 4 4 2 2 2 3 2" xfId="34371" xr:uid="{00000000-0005-0000-0000-0000F0520000}"/>
    <cellStyle name="Normal 2 5 4 4 2 2 2 4" xfId="17604" xr:uid="{00000000-0005-0000-0000-0000F1520000}"/>
    <cellStyle name="Normal 2 5 4 4 2 2 2 4 2" xfId="43157" xr:uid="{00000000-0005-0000-0000-0000F2520000}"/>
    <cellStyle name="Normal 2 5 4 4 2 2 2 5" xfId="29094" xr:uid="{00000000-0005-0000-0000-0000F3520000}"/>
    <cellStyle name="Normal 2 5 4 4 2 2 3" xfId="4579" xr:uid="{00000000-0005-0000-0000-0000F4520000}"/>
    <cellStyle name="Normal 2 5 4 4 2 2 3 2" xfId="13417" xr:uid="{00000000-0005-0000-0000-0000F5520000}"/>
    <cellStyle name="Normal 2 5 4 4 2 2 3 2 2" xfId="23668" xr:uid="{00000000-0005-0000-0000-0000F6520000}"/>
    <cellStyle name="Normal 2 5 4 4 2 2 3 2 2 2" xfId="49221" xr:uid="{00000000-0005-0000-0000-0000F7520000}"/>
    <cellStyle name="Normal 2 5 4 4 2 2 3 2 3" xfId="38972" xr:uid="{00000000-0005-0000-0000-0000F8520000}"/>
    <cellStyle name="Normal 2 5 4 4 2 2 3 3" xfId="9838" xr:uid="{00000000-0005-0000-0000-0000F9520000}"/>
    <cellStyle name="Normal 2 5 4 4 2 2 3 3 2" xfId="35395" xr:uid="{00000000-0005-0000-0000-0000FA520000}"/>
    <cellStyle name="Normal 2 5 4 4 2 2 3 4" xfId="18661" xr:uid="{00000000-0005-0000-0000-0000FB520000}"/>
    <cellStyle name="Normal 2 5 4 4 2 2 3 4 2" xfId="44214" xr:uid="{00000000-0005-0000-0000-0000FC520000}"/>
    <cellStyle name="Normal 2 5 4 4 2 2 3 5" xfId="30151" xr:uid="{00000000-0005-0000-0000-0000FD520000}"/>
    <cellStyle name="Normal 2 5 4 4 2 2 4" xfId="2359" xr:uid="{00000000-0005-0000-0000-0000FE520000}"/>
    <cellStyle name="Normal 2 5 4 4 2 2 4 2" xfId="11724" xr:uid="{00000000-0005-0000-0000-0000FF520000}"/>
    <cellStyle name="Normal 2 5 4 4 2 2 4 2 2" xfId="37279" xr:uid="{00000000-0005-0000-0000-000000530000}"/>
    <cellStyle name="Normal 2 5 4 4 2 2 4 3" xfId="21728" xr:uid="{00000000-0005-0000-0000-000001530000}"/>
    <cellStyle name="Normal 2 5 4 4 2 2 4 3 2" xfId="47281" xr:uid="{00000000-0005-0000-0000-000002530000}"/>
    <cellStyle name="Normal 2 5 4 4 2 2 4 4" xfId="28211" xr:uid="{00000000-0005-0000-0000-000003530000}"/>
    <cellStyle name="Normal 2 5 4 4 2 2 5" xfId="6035" xr:uid="{00000000-0005-0000-0000-000004530000}"/>
    <cellStyle name="Normal 2 5 4 4 2 2 5 2" xfId="14862" xr:uid="{00000000-0005-0000-0000-000005530000}"/>
    <cellStyle name="Normal 2 5 4 4 2 2 5 2 2" xfId="40417" xr:uid="{00000000-0005-0000-0000-000006530000}"/>
    <cellStyle name="Normal 2 5 4 4 2 2 5 3" xfId="25113" xr:uid="{00000000-0005-0000-0000-000007530000}"/>
    <cellStyle name="Normal 2 5 4 4 2 2 5 3 2" xfId="50666" xr:uid="{00000000-0005-0000-0000-000008530000}"/>
    <cellStyle name="Normal 2 5 4 4 2 2 5 4" xfId="31596" xr:uid="{00000000-0005-0000-0000-000009530000}"/>
    <cellStyle name="Normal 2 5 4 4 2 2 6" xfId="7479" xr:uid="{00000000-0005-0000-0000-00000A530000}"/>
    <cellStyle name="Normal 2 5 4 4 2 2 6 2" xfId="20210" xr:uid="{00000000-0005-0000-0000-00000B530000}"/>
    <cellStyle name="Normal 2 5 4 4 2 2 6 2 2" xfId="45763" xr:uid="{00000000-0005-0000-0000-00000C530000}"/>
    <cellStyle name="Normal 2 5 4 4 2 2 6 3" xfId="33036" xr:uid="{00000000-0005-0000-0000-00000D530000}"/>
    <cellStyle name="Normal 2 5 4 4 2 2 7" xfId="16721" xr:uid="{00000000-0005-0000-0000-00000E530000}"/>
    <cellStyle name="Normal 2 5 4 4 2 2 7 2" xfId="42274" xr:uid="{00000000-0005-0000-0000-00000F530000}"/>
    <cellStyle name="Normal 2 5 4 4 2 2 8" xfId="26693" xr:uid="{00000000-0005-0000-0000-000010530000}"/>
    <cellStyle name="Normal 2 5 4 4 2 3" xfId="1340" xr:uid="{00000000-0005-0000-0000-000011530000}"/>
    <cellStyle name="Normal 2 5 4 4 2 3 2" xfId="3769" xr:uid="{00000000-0005-0000-0000-000012530000}"/>
    <cellStyle name="Normal 2 5 4 4 2 3 2 2" xfId="12905" xr:uid="{00000000-0005-0000-0000-000013530000}"/>
    <cellStyle name="Normal 2 5 4 4 2 3 2 2 2" xfId="23124" xr:uid="{00000000-0005-0000-0000-000014530000}"/>
    <cellStyle name="Normal 2 5 4 4 2 3 2 2 2 2" xfId="48677" xr:uid="{00000000-0005-0000-0000-000015530000}"/>
    <cellStyle name="Normal 2 5 4 4 2 3 2 2 3" xfId="38460" xr:uid="{00000000-0005-0000-0000-000016530000}"/>
    <cellStyle name="Normal 2 5 4 4 2 3 2 3" xfId="9326" xr:uid="{00000000-0005-0000-0000-000017530000}"/>
    <cellStyle name="Normal 2 5 4 4 2 3 2 3 2" xfId="34883" xr:uid="{00000000-0005-0000-0000-000018530000}"/>
    <cellStyle name="Normal 2 5 4 4 2 3 2 4" xfId="18117" xr:uid="{00000000-0005-0000-0000-000019530000}"/>
    <cellStyle name="Normal 2 5 4 4 2 3 2 4 2" xfId="43670" xr:uid="{00000000-0005-0000-0000-00001A530000}"/>
    <cellStyle name="Normal 2 5 4 4 2 3 2 5" xfId="29607" xr:uid="{00000000-0005-0000-0000-00001B530000}"/>
    <cellStyle name="Normal 2 5 4 4 2 3 3" xfId="4928" xr:uid="{00000000-0005-0000-0000-00001C530000}"/>
    <cellStyle name="Normal 2 5 4 4 2 3 3 2" xfId="13765" xr:uid="{00000000-0005-0000-0000-00001D530000}"/>
    <cellStyle name="Normal 2 5 4 4 2 3 3 2 2" xfId="24016" xr:uid="{00000000-0005-0000-0000-00001E530000}"/>
    <cellStyle name="Normal 2 5 4 4 2 3 3 2 2 2" xfId="49569" xr:uid="{00000000-0005-0000-0000-00001F530000}"/>
    <cellStyle name="Normal 2 5 4 4 2 3 3 2 3" xfId="39320" xr:uid="{00000000-0005-0000-0000-000020530000}"/>
    <cellStyle name="Normal 2 5 4 4 2 3 3 3" xfId="10186" xr:uid="{00000000-0005-0000-0000-000021530000}"/>
    <cellStyle name="Normal 2 5 4 4 2 3 3 3 2" xfId="35743" xr:uid="{00000000-0005-0000-0000-000022530000}"/>
    <cellStyle name="Normal 2 5 4 4 2 3 3 4" xfId="19009" xr:uid="{00000000-0005-0000-0000-000023530000}"/>
    <cellStyle name="Normal 2 5 4 4 2 3 3 4 2" xfId="44562" xr:uid="{00000000-0005-0000-0000-000024530000}"/>
    <cellStyle name="Normal 2 5 4 4 2 3 3 5" xfId="30499" xr:uid="{00000000-0005-0000-0000-000025530000}"/>
    <cellStyle name="Normal 2 5 4 4 2 3 4" xfId="2163" xr:uid="{00000000-0005-0000-0000-000026530000}"/>
    <cellStyle name="Normal 2 5 4 4 2 3 4 2" xfId="11528" xr:uid="{00000000-0005-0000-0000-000027530000}"/>
    <cellStyle name="Normal 2 5 4 4 2 3 4 2 2" xfId="37083" xr:uid="{00000000-0005-0000-0000-000028530000}"/>
    <cellStyle name="Normal 2 5 4 4 2 3 4 3" xfId="21532" xr:uid="{00000000-0005-0000-0000-000029530000}"/>
    <cellStyle name="Normal 2 5 4 4 2 3 4 3 2" xfId="47085" xr:uid="{00000000-0005-0000-0000-00002A530000}"/>
    <cellStyle name="Normal 2 5 4 4 2 3 4 4" xfId="28015" xr:uid="{00000000-0005-0000-0000-00002B530000}"/>
    <cellStyle name="Normal 2 5 4 4 2 3 5" xfId="6383" xr:uid="{00000000-0005-0000-0000-00002C530000}"/>
    <cellStyle name="Normal 2 5 4 4 2 3 5 2" xfId="15210" xr:uid="{00000000-0005-0000-0000-00002D530000}"/>
    <cellStyle name="Normal 2 5 4 4 2 3 5 2 2" xfId="40765" xr:uid="{00000000-0005-0000-0000-00002E530000}"/>
    <cellStyle name="Normal 2 5 4 4 2 3 5 3" xfId="25461" xr:uid="{00000000-0005-0000-0000-00002F530000}"/>
    <cellStyle name="Normal 2 5 4 4 2 3 5 3 2" xfId="51014" xr:uid="{00000000-0005-0000-0000-000030530000}"/>
    <cellStyle name="Normal 2 5 4 4 2 3 5 4" xfId="31944" xr:uid="{00000000-0005-0000-0000-000031530000}"/>
    <cellStyle name="Normal 2 5 4 4 2 3 6" xfId="7829" xr:uid="{00000000-0005-0000-0000-000032530000}"/>
    <cellStyle name="Normal 2 5 4 4 2 3 6 2" xfId="20723" xr:uid="{00000000-0005-0000-0000-000033530000}"/>
    <cellStyle name="Normal 2 5 4 4 2 3 6 2 2" xfId="46276" xr:uid="{00000000-0005-0000-0000-000034530000}"/>
    <cellStyle name="Normal 2 5 4 4 2 3 6 3" xfId="33386" xr:uid="{00000000-0005-0000-0000-000035530000}"/>
    <cellStyle name="Normal 2 5 4 4 2 3 7" xfId="16525" xr:uid="{00000000-0005-0000-0000-000036530000}"/>
    <cellStyle name="Normal 2 5 4 4 2 3 7 2" xfId="42078" xr:uid="{00000000-0005-0000-0000-000037530000}"/>
    <cellStyle name="Normal 2 5 4 4 2 3 8" xfId="27206" xr:uid="{00000000-0005-0000-0000-000038530000}"/>
    <cellStyle name="Normal 2 5 4 4 2 4" xfId="3054" xr:uid="{00000000-0005-0000-0000-000039530000}"/>
    <cellStyle name="Normal 2 5 4 4 2 4 2" xfId="5432" xr:uid="{00000000-0005-0000-0000-00003A530000}"/>
    <cellStyle name="Normal 2 5 4 4 2 4 2 2" xfId="14269" xr:uid="{00000000-0005-0000-0000-00003B530000}"/>
    <cellStyle name="Normal 2 5 4 4 2 4 2 2 2" xfId="24520" xr:uid="{00000000-0005-0000-0000-00003C530000}"/>
    <cellStyle name="Normal 2 5 4 4 2 4 2 2 2 2" xfId="50073" xr:uid="{00000000-0005-0000-0000-00003D530000}"/>
    <cellStyle name="Normal 2 5 4 4 2 4 2 2 3" xfId="39824" xr:uid="{00000000-0005-0000-0000-00003E530000}"/>
    <cellStyle name="Normal 2 5 4 4 2 4 2 3" xfId="10690" xr:uid="{00000000-0005-0000-0000-00003F530000}"/>
    <cellStyle name="Normal 2 5 4 4 2 4 2 3 2" xfId="36247" xr:uid="{00000000-0005-0000-0000-000040530000}"/>
    <cellStyle name="Normal 2 5 4 4 2 4 2 4" xfId="19513" xr:uid="{00000000-0005-0000-0000-000041530000}"/>
    <cellStyle name="Normal 2 5 4 4 2 4 2 4 2" xfId="45066" xr:uid="{00000000-0005-0000-0000-000042530000}"/>
    <cellStyle name="Normal 2 5 4 4 2 4 2 5" xfId="31003" xr:uid="{00000000-0005-0000-0000-000043530000}"/>
    <cellStyle name="Normal 2 5 4 4 2 4 3" xfId="6887" xr:uid="{00000000-0005-0000-0000-000044530000}"/>
    <cellStyle name="Normal 2 5 4 4 2 4 3 2" xfId="15714" xr:uid="{00000000-0005-0000-0000-000045530000}"/>
    <cellStyle name="Normal 2 5 4 4 2 4 3 2 2" xfId="41269" xr:uid="{00000000-0005-0000-0000-000046530000}"/>
    <cellStyle name="Normal 2 5 4 4 2 4 3 3" xfId="25965" xr:uid="{00000000-0005-0000-0000-000047530000}"/>
    <cellStyle name="Normal 2 5 4 4 2 4 3 3 2" xfId="51518" xr:uid="{00000000-0005-0000-0000-000048530000}"/>
    <cellStyle name="Normal 2 5 4 4 2 4 3 4" xfId="32448" xr:uid="{00000000-0005-0000-0000-000049530000}"/>
    <cellStyle name="Normal 2 5 4 4 2 4 4" xfId="8333" xr:uid="{00000000-0005-0000-0000-00004A530000}"/>
    <cellStyle name="Normal 2 5 4 4 2 4 4 2" xfId="22415" xr:uid="{00000000-0005-0000-0000-00004B530000}"/>
    <cellStyle name="Normal 2 5 4 4 2 4 4 2 2" xfId="47968" xr:uid="{00000000-0005-0000-0000-00004C530000}"/>
    <cellStyle name="Normal 2 5 4 4 2 4 4 3" xfId="33890" xr:uid="{00000000-0005-0000-0000-00004D530000}"/>
    <cellStyle name="Normal 2 5 4 4 2 4 5" xfId="17408" xr:uid="{00000000-0005-0000-0000-00004E530000}"/>
    <cellStyle name="Normal 2 5 4 4 2 4 5 2" xfId="42961" xr:uid="{00000000-0005-0000-0000-00004F530000}"/>
    <cellStyle name="Normal 2 5 4 4 2 4 6" xfId="28898" xr:uid="{00000000-0005-0000-0000-000050530000}"/>
    <cellStyle name="Normal 2 5 4 4 2 5" xfId="4388" xr:uid="{00000000-0005-0000-0000-000051530000}"/>
    <cellStyle name="Normal 2 5 4 4 2 5 2" xfId="13226" xr:uid="{00000000-0005-0000-0000-000052530000}"/>
    <cellStyle name="Normal 2 5 4 4 2 5 2 2" xfId="23477" xr:uid="{00000000-0005-0000-0000-000053530000}"/>
    <cellStyle name="Normal 2 5 4 4 2 5 2 2 2" xfId="49030" xr:uid="{00000000-0005-0000-0000-000054530000}"/>
    <cellStyle name="Normal 2 5 4 4 2 5 2 3" xfId="38781" xr:uid="{00000000-0005-0000-0000-000055530000}"/>
    <cellStyle name="Normal 2 5 4 4 2 5 3" xfId="9647" xr:uid="{00000000-0005-0000-0000-000056530000}"/>
    <cellStyle name="Normal 2 5 4 4 2 5 3 2" xfId="35204" xr:uid="{00000000-0005-0000-0000-000057530000}"/>
    <cellStyle name="Normal 2 5 4 4 2 5 4" xfId="18470" xr:uid="{00000000-0005-0000-0000-000058530000}"/>
    <cellStyle name="Normal 2 5 4 4 2 5 4 2" xfId="44023" xr:uid="{00000000-0005-0000-0000-000059530000}"/>
    <cellStyle name="Normal 2 5 4 4 2 5 5" xfId="29960" xr:uid="{00000000-0005-0000-0000-00005A530000}"/>
    <cellStyle name="Normal 2 5 4 4 2 6" xfId="1660" xr:uid="{00000000-0005-0000-0000-00005B530000}"/>
    <cellStyle name="Normal 2 5 4 4 2 6 2" xfId="11037" xr:uid="{00000000-0005-0000-0000-00005C530000}"/>
    <cellStyle name="Normal 2 5 4 4 2 6 2 2" xfId="36592" xr:uid="{00000000-0005-0000-0000-00005D530000}"/>
    <cellStyle name="Normal 2 5 4 4 2 6 3" xfId="21041" xr:uid="{00000000-0005-0000-0000-00005E530000}"/>
    <cellStyle name="Normal 2 5 4 4 2 6 3 2" xfId="46594" xr:uid="{00000000-0005-0000-0000-00005F530000}"/>
    <cellStyle name="Normal 2 5 4 4 2 6 4" xfId="27524" xr:uid="{00000000-0005-0000-0000-000060530000}"/>
    <cellStyle name="Normal 2 5 4 4 2 7" xfId="5844" xr:uid="{00000000-0005-0000-0000-000061530000}"/>
    <cellStyle name="Normal 2 5 4 4 2 7 2" xfId="14671" xr:uid="{00000000-0005-0000-0000-000062530000}"/>
    <cellStyle name="Normal 2 5 4 4 2 7 2 2" xfId="40226" xr:uid="{00000000-0005-0000-0000-000063530000}"/>
    <cellStyle name="Normal 2 5 4 4 2 7 3" xfId="24922" xr:uid="{00000000-0005-0000-0000-000064530000}"/>
    <cellStyle name="Normal 2 5 4 4 2 7 3 2" xfId="50475" xr:uid="{00000000-0005-0000-0000-000065530000}"/>
    <cellStyle name="Normal 2 5 4 4 2 7 4" xfId="31405" xr:uid="{00000000-0005-0000-0000-000066530000}"/>
    <cellStyle name="Normal 2 5 4 4 2 8" xfId="7288" xr:uid="{00000000-0005-0000-0000-000067530000}"/>
    <cellStyle name="Normal 2 5 4 4 2 8 2" xfId="20014" xr:uid="{00000000-0005-0000-0000-000068530000}"/>
    <cellStyle name="Normal 2 5 4 4 2 8 2 2" xfId="45567" xr:uid="{00000000-0005-0000-0000-000069530000}"/>
    <cellStyle name="Normal 2 5 4 4 2 8 3" xfId="32845" xr:uid="{00000000-0005-0000-0000-00006A530000}"/>
    <cellStyle name="Normal 2 5 4 4 2 9" xfId="16034" xr:uid="{00000000-0005-0000-0000-00006B530000}"/>
    <cellStyle name="Normal 2 5 4 4 2 9 2" xfId="41587" xr:uid="{00000000-0005-0000-0000-00006C530000}"/>
    <cellStyle name="Normal 2 5 4 4 2_Degree data" xfId="3826" xr:uid="{00000000-0005-0000-0000-00006D530000}"/>
    <cellStyle name="Normal 2 5 4 4 3" xfId="363" xr:uid="{00000000-0005-0000-0000-00006E530000}"/>
    <cellStyle name="Normal 2 5 4 4 3 2" xfId="2849" xr:uid="{00000000-0005-0000-0000-00006F530000}"/>
    <cellStyle name="Normal 2 5 4 4 3 2 2" xfId="12137" xr:uid="{00000000-0005-0000-0000-000070530000}"/>
    <cellStyle name="Normal 2 5 4 4 3 2 2 2" xfId="22210" xr:uid="{00000000-0005-0000-0000-000071530000}"/>
    <cellStyle name="Normal 2 5 4 4 3 2 2 2 2" xfId="47763" xr:uid="{00000000-0005-0000-0000-000072530000}"/>
    <cellStyle name="Normal 2 5 4 4 3 2 2 3" xfId="37692" xr:uid="{00000000-0005-0000-0000-000073530000}"/>
    <cellStyle name="Normal 2 5 4 4 3 2 3" xfId="8584" xr:uid="{00000000-0005-0000-0000-000074530000}"/>
    <cellStyle name="Normal 2 5 4 4 3 2 3 2" xfId="34141" xr:uid="{00000000-0005-0000-0000-000075530000}"/>
    <cellStyle name="Normal 2 5 4 4 3 2 4" xfId="17203" xr:uid="{00000000-0005-0000-0000-000076530000}"/>
    <cellStyle name="Normal 2 5 4 4 3 2 4 2" xfId="42756" xr:uid="{00000000-0005-0000-0000-000077530000}"/>
    <cellStyle name="Normal 2 5 4 4 3 2 5" xfId="28693" xr:uid="{00000000-0005-0000-0000-000078530000}"/>
    <cellStyle name="Normal 2 5 4 4 3 3" xfId="4578" xr:uid="{00000000-0005-0000-0000-000079530000}"/>
    <cellStyle name="Normal 2 5 4 4 3 3 2" xfId="13416" xr:uid="{00000000-0005-0000-0000-00007A530000}"/>
    <cellStyle name="Normal 2 5 4 4 3 3 2 2" xfId="23667" xr:uid="{00000000-0005-0000-0000-00007B530000}"/>
    <cellStyle name="Normal 2 5 4 4 3 3 2 2 2" xfId="49220" xr:uid="{00000000-0005-0000-0000-00007C530000}"/>
    <cellStyle name="Normal 2 5 4 4 3 3 2 3" xfId="38971" xr:uid="{00000000-0005-0000-0000-00007D530000}"/>
    <cellStyle name="Normal 2 5 4 4 3 3 3" xfId="9837" xr:uid="{00000000-0005-0000-0000-00007E530000}"/>
    <cellStyle name="Normal 2 5 4 4 3 3 3 2" xfId="35394" xr:uid="{00000000-0005-0000-0000-00007F530000}"/>
    <cellStyle name="Normal 2 5 4 4 3 3 4" xfId="18660" xr:uid="{00000000-0005-0000-0000-000080530000}"/>
    <cellStyle name="Normal 2 5 4 4 3 3 4 2" xfId="44213" xr:uid="{00000000-0005-0000-0000-000081530000}"/>
    <cellStyle name="Normal 2 5 4 4 3 3 5" xfId="30150" xr:uid="{00000000-0005-0000-0000-000082530000}"/>
    <cellStyle name="Normal 2 5 4 4 3 4" xfId="1958" xr:uid="{00000000-0005-0000-0000-000083530000}"/>
    <cellStyle name="Normal 2 5 4 4 3 4 2" xfId="11323" xr:uid="{00000000-0005-0000-0000-000084530000}"/>
    <cellStyle name="Normal 2 5 4 4 3 4 2 2" xfId="36878" xr:uid="{00000000-0005-0000-0000-000085530000}"/>
    <cellStyle name="Normal 2 5 4 4 3 4 3" xfId="21327" xr:uid="{00000000-0005-0000-0000-000086530000}"/>
    <cellStyle name="Normal 2 5 4 4 3 4 3 2" xfId="46880" xr:uid="{00000000-0005-0000-0000-000087530000}"/>
    <cellStyle name="Normal 2 5 4 4 3 4 4" xfId="27810" xr:uid="{00000000-0005-0000-0000-000088530000}"/>
    <cellStyle name="Normal 2 5 4 4 3 5" xfId="6034" xr:uid="{00000000-0005-0000-0000-000089530000}"/>
    <cellStyle name="Normal 2 5 4 4 3 5 2" xfId="14861" xr:uid="{00000000-0005-0000-0000-00008A530000}"/>
    <cellStyle name="Normal 2 5 4 4 3 5 2 2" xfId="40416" xr:uid="{00000000-0005-0000-0000-00008B530000}"/>
    <cellStyle name="Normal 2 5 4 4 3 5 3" xfId="25112" xr:uid="{00000000-0005-0000-0000-00008C530000}"/>
    <cellStyle name="Normal 2 5 4 4 3 5 3 2" xfId="50665" xr:uid="{00000000-0005-0000-0000-00008D530000}"/>
    <cellStyle name="Normal 2 5 4 4 3 5 4" xfId="31595" xr:uid="{00000000-0005-0000-0000-00008E530000}"/>
    <cellStyle name="Normal 2 5 4 4 3 6" xfId="7478" xr:uid="{00000000-0005-0000-0000-00008F530000}"/>
    <cellStyle name="Normal 2 5 4 4 3 6 2" xfId="19809" xr:uid="{00000000-0005-0000-0000-000090530000}"/>
    <cellStyle name="Normal 2 5 4 4 3 6 2 2" xfId="45362" xr:uid="{00000000-0005-0000-0000-000091530000}"/>
    <cellStyle name="Normal 2 5 4 4 3 6 3" xfId="33035" xr:uid="{00000000-0005-0000-0000-000092530000}"/>
    <cellStyle name="Normal 2 5 4 4 3 7" xfId="16320" xr:uid="{00000000-0005-0000-0000-000093530000}"/>
    <cellStyle name="Normal 2 5 4 4 3 7 2" xfId="41873" xr:uid="{00000000-0005-0000-0000-000094530000}"/>
    <cellStyle name="Normal 2 5 4 4 3 8" xfId="26292" xr:uid="{00000000-0005-0000-0000-000095530000}"/>
    <cellStyle name="Normal 2 5 4 4 4" xfId="763" xr:uid="{00000000-0005-0000-0000-000096530000}"/>
    <cellStyle name="Normal 2 5 4 4 4 2" xfId="3249" xr:uid="{00000000-0005-0000-0000-000097530000}"/>
    <cellStyle name="Normal 2 5 4 4 4 2 2" xfId="12391" xr:uid="{00000000-0005-0000-0000-000098530000}"/>
    <cellStyle name="Normal 2 5 4 4 4 2 2 2" xfId="22610" xr:uid="{00000000-0005-0000-0000-000099530000}"/>
    <cellStyle name="Normal 2 5 4 4 4 2 2 2 2" xfId="48163" xr:uid="{00000000-0005-0000-0000-00009A530000}"/>
    <cellStyle name="Normal 2 5 4 4 4 2 2 3" xfId="37946" xr:uid="{00000000-0005-0000-0000-00009B530000}"/>
    <cellStyle name="Normal 2 5 4 4 4 2 3" xfId="8813" xr:uid="{00000000-0005-0000-0000-00009C530000}"/>
    <cellStyle name="Normal 2 5 4 4 4 2 3 2" xfId="34370" xr:uid="{00000000-0005-0000-0000-00009D530000}"/>
    <cellStyle name="Normal 2 5 4 4 4 2 4" xfId="17603" xr:uid="{00000000-0005-0000-0000-00009E530000}"/>
    <cellStyle name="Normal 2 5 4 4 4 2 4 2" xfId="43156" xr:uid="{00000000-0005-0000-0000-00009F530000}"/>
    <cellStyle name="Normal 2 5 4 4 4 2 5" xfId="29093" xr:uid="{00000000-0005-0000-0000-0000A0530000}"/>
    <cellStyle name="Normal 2 5 4 4 4 3" xfId="4927" xr:uid="{00000000-0005-0000-0000-0000A1530000}"/>
    <cellStyle name="Normal 2 5 4 4 4 3 2" xfId="13764" xr:uid="{00000000-0005-0000-0000-0000A2530000}"/>
    <cellStyle name="Normal 2 5 4 4 4 3 2 2" xfId="24015" xr:uid="{00000000-0005-0000-0000-0000A3530000}"/>
    <cellStyle name="Normal 2 5 4 4 4 3 2 2 2" xfId="49568" xr:uid="{00000000-0005-0000-0000-0000A4530000}"/>
    <cellStyle name="Normal 2 5 4 4 4 3 2 3" xfId="39319" xr:uid="{00000000-0005-0000-0000-0000A5530000}"/>
    <cellStyle name="Normal 2 5 4 4 4 3 3" xfId="10185" xr:uid="{00000000-0005-0000-0000-0000A6530000}"/>
    <cellStyle name="Normal 2 5 4 4 4 3 3 2" xfId="35742" xr:uid="{00000000-0005-0000-0000-0000A7530000}"/>
    <cellStyle name="Normal 2 5 4 4 4 3 4" xfId="19008" xr:uid="{00000000-0005-0000-0000-0000A8530000}"/>
    <cellStyle name="Normal 2 5 4 4 4 3 4 2" xfId="44561" xr:uid="{00000000-0005-0000-0000-0000A9530000}"/>
    <cellStyle name="Normal 2 5 4 4 4 3 5" xfId="30498" xr:uid="{00000000-0005-0000-0000-0000AA530000}"/>
    <cellStyle name="Normal 2 5 4 4 4 4" xfId="2358" xr:uid="{00000000-0005-0000-0000-0000AB530000}"/>
    <cellStyle name="Normal 2 5 4 4 4 4 2" xfId="11723" xr:uid="{00000000-0005-0000-0000-0000AC530000}"/>
    <cellStyle name="Normal 2 5 4 4 4 4 2 2" xfId="37278" xr:uid="{00000000-0005-0000-0000-0000AD530000}"/>
    <cellStyle name="Normal 2 5 4 4 4 4 3" xfId="21727" xr:uid="{00000000-0005-0000-0000-0000AE530000}"/>
    <cellStyle name="Normal 2 5 4 4 4 4 3 2" xfId="47280" xr:uid="{00000000-0005-0000-0000-0000AF530000}"/>
    <cellStyle name="Normal 2 5 4 4 4 4 4" xfId="28210" xr:uid="{00000000-0005-0000-0000-0000B0530000}"/>
    <cellStyle name="Normal 2 5 4 4 4 5" xfId="6382" xr:uid="{00000000-0005-0000-0000-0000B1530000}"/>
    <cellStyle name="Normal 2 5 4 4 4 5 2" xfId="15209" xr:uid="{00000000-0005-0000-0000-0000B2530000}"/>
    <cellStyle name="Normal 2 5 4 4 4 5 2 2" xfId="40764" xr:uid="{00000000-0005-0000-0000-0000B3530000}"/>
    <cellStyle name="Normal 2 5 4 4 4 5 3" xfId="25460" xr:uid="{00000000-0005-0000-0000-0000B4530000}"/>
    <cellStyle name="Normal 2 5 4 4 4 5 3 2" xfId="51013" xr:uid="{00000000-0005-0000-0000-0000B5530000}"/>
    <cellStyle name="Normal 2 5 4 4 4 5 4" xfId="31943" xr:uid="{00000000-0005-0000-0000-0000B6530000}"/>
    <cellStyle name="Normal 2 5 4 4 4 6" xfId="7828" xr:uid="{00000000-0005-0000-0000-0000B7530000}"/>
    <cellStyle name="Normal 2 5 4 4 4 6 2" xfId="20209" xr:uid="{00000000-0005-0000-0000-0000B8530000}"/>
    <cellStyle name="Normal 2 5 4 4 4 6 2 2" xfId="45762" xr:uid="{00000000-0005-0000-0000-0000B9530000}"/>
    <cellStyle name="Normal 2 5 4 4 4 6 3" xfId="33385" xr:uid="{00000000-0005-0000-0000-0000BA530000}"/>
    <cellStyle name="Normal 2 5 4 4 4 7" xfId="16720" xr:uid="{00000000-0005-0000-0000-0000BB530000}"/>
    <cellStyle name="Normal 2 5 4 4 4 7 2" xfId="42273" xr:uid="{00000000-0005-0000-0000-0000BC530000}"/>
    <cellStyle name="Normal 2 5 4 4 4 8" xfId="26692" xr:uid="{00000000-0005-0000-0000-0000BD530000}"/>
    <cellStyle name="Normal 2 5 4 4 5" xfId="1135" xr:uid="{00000000-0005-0000-0000-0000BE530000}"/>
    <cellStyle name="Normal 2 5 4 4 5 2" xfId="3564" xr:uid="{00000000-0005-0000-0000-0000BF530000}"/>
    <cellStyle name="Normal 2 5 4 4 5 2 2" xfId="12700" xr:uid="{00000000-0005-0000-0000-0000C0530000}"/>
    <cellStyle name="Normal 2 5 4 4 5 2 2 2" xfId="22919" xr:uid="{00000000-0005-0000-0000-0000C1530000}"/>
    <cellStyle name="Normal 2 5 4 4 5 2 2 2 2" xfId="48472" xr:uid="{00000000-0005-0000-0000-0000C2530000}"/>
    <cellStyle name="Normal 2 5 4 4 5 2 2 3" xfId="38255" xr:uid="{00000000-0005-0000-0000-0000C3530000}"/>
    <cellStyle name="Normal 2 5 4 4 5 2 3" xfId="9121" xr:uid="{00000000-0005-0000-0000-0000C4530000}"/>
    <cellStyle name="Normal 2 5 4 4 5 2 3 2" xfId="34678" xr:uid="{00000000-0005-0000-0000-0000C5530000}"/>
    <cellStyle name="Normal 2 5 4 4 5 2 4" xfId="17912" xr:uid="{00000000-0005-0000-0000-0000C6530000}"/>
    <cellStyle name="Normal 2 5 4 4 5 2 4 2" xfId="43465" xr:uid="{00000000-0005-0000-0000-0000C7530000}"/>
    <cellStyle name="Normal 2 5 4 4 5 2 5" xfId="29402" xr:uid="{00000000-0005-0000-0000-0000C8530000}"/>
    <cellStyle name="Normal 2 5 4 4 5 3" xfId="5227" xr:uid="{00000000-0005-0000-0000-0000C9530000}"/>
    <cellStyle name="Normal 2 5 4 4 5 3 2" xfId="14064" xr:uid="{00000000-0005-0000-0000-0000CA530000}"/>
    <cellStyle name="Normal 2 5 4 4 5 3 2 2" xfId="24315" xr:uid="{00000000-0005-0000-0000-0000CB530000}"/>
    <cellStyle name="Normal 2 5 4 4 5 3 2 2 2" xfId="49868" xr:uid="{00000000-0005-0000-0000-0000CC530000}"/>
    <cellStyle name="Normal 2 5 4 4 5 3 2 3" xfId="39619" xr:uid="{00000000-0005-0000-0000-0000CD530000}"/>
    <cellStyle name="Normal 2 5 4 4 5 3 3" xfId="10485" xr:uid="{00000000-0005-0000-0000-0000CE530000}"/>
    <cellStyle name="Normal 2 5 4 4 5 3 3 2" xfId="36042" xr:uid="{00000000-0005-0000-0000-0000CF530000}"/>
    <cellStyle name="Normal 2 5 4 4 5 3 4" xfId="19308" xr:uid="{00000000-0005-0000-0000-0000D0530000}"/>
    <cellStyle name="Normal 2 5 4 4 5 3 4 2" xfId="44861" xr:uid="{00000000-0005-0000-0000-0000D1530000}"/>
    <cellStyle name="Normal 2 5 4 4 5 3 5" xfId="30798" xr:uid="{00000000-0005-0000-0000-0000D2530000}"/>
    <cellStyle name="Normal 2 5 4 4 5 4" xfId="1843" xr:uid="{00000000-0005-0000-0000-0000D3530000}"/>
    <cellStyle name="Normal 2 5 4 4 5 4 2" xfId="11211" xr:uid="{00000000-0005-0000-0000-0000D4530000}"/>
    <cellStyle name="Normal 2 5 4 4 5 4 2 2" xfId="36766" xr:uid="{00000000-0005-0000-0000-0000D5530000}"/>
    <cellStyle name="Normal 2 5 4 4 5 4 3" xfId="21215" xr:uid="{00000000-0005-0000-0000-0000D6530000}"/>
    <cellStyle name="Normal 2 5 4 4 5 4 3 2" xfId="46768" xr:uid="{00000000-0005-0000-0000-0000D7530000}"/>
    <cellStyle name="Normal 2 5 4 4 5 4 4" xfId="27698" xr:uid="{00000000-0005-0000-0000-0000D8530000}"/>
    <cellStyle name="Normal 2 5 4 4 5 5" xfId="6682" xr:uid="{00000000-0005-0000-0000-0000D9530000}"/>
    <cellStyle name="Normal 2 5 4 4 5 5 2" xfId="15509" xr:uid="{00000000-0005-0000-0000-0000DA530000}"/>
    <cellStyle name="Normal 2 5 4 4 5 5 2 2" xfId="41064" xr:uid="{00000000-0005-0000-0000-0000DB530000}"/>
    <cellStyle name="Normal 2 5 4 4 5 5 3" xfId="25760" xr:uid="{00000000-0005-0000-0000-0000DC530000}"/>
    <cellStyle name="Normal 2 5 4 4 5 5 3 2" xfId="51313" xr:uid="{00000000-0005-0000-0000-0000DD530000}"/>
    <cellStyle name="Normal 2 5 4 4 5 5 4" xfId="32243" xr:uid="{00000000-0005-0000-0000-0000DE530000}"/>
    <cellStyle name="Normal 2 5 4 4 5 6" xfId="8128" xr:uid="{00000000-0005-0000-0000-0000DF530000}"/>
    <cellStyle name="Normal 2 5 4 4 5 6 2" xfId="20518" xr:uid="{00000000-0005-0000-0000-0000E0530000}"/>
    <cellStyle name="Normal 2 5 4 4 5 6 2 2" xfId="46071" xr:uid="{00000000-0005-0000-0000-0000E1530000}"/>
    <cellStyle name="Normal 2 5 4 4 5 6 3" xfId="33685" xr:uid="{00000000-0005-0000-0000-0000E2530000}"/>
    <cellStyle name="Normal 2 5 4 4 5 7" xfId="16208" xr:uid="{00000000-0005-0000-0000-0000E3530000}"/>
    <cellStyle name="Normal 2 5 4 4 5 7 2" xfId="41761" xr:uid="{00000000-0005-0000-0000-0000E4530000}"/>
    <cellStyle name="Normal 2 5 4 4 5 8" xfId="27001" xr:uid="{00000000-0005-0000-0000-0000E5530000}"/>
    <cellStyle name="Normal 2 5 4 4 6" xfId="2737" xr:uid="{00000000-0005-0000-0000-0000E6530000}"/>
    <cellStyle name="Normal 2 5 4 4 6 2" xfId="12054" xr:uid="{00000000-0005-0000-0000-0000E7530000}"/>
    <cellStyle name="Normal 2 5 4 4 6 2 2" xfId="22098" xr:uid="{00000000-0005-0000-0000-0000E8530000}"/>
    <cellStyle name="Normal 2 5 4 4 6 2 2 2" xfId="47651" xr:uid="{00000000-0005-0000-0000-0000E9530000}"/>
    <cellStyle name="Normal 2 5 4 4 6 2 3" xfId="37609" xr:uid="{00000000-0005-0000-0000-0000EA530000}"/>
    <cellStyle name="Normal 2 5 4 4 6 3" xfId="8615" xr:uid="{00000000-0005-0000-0000-0000EB530000}"/>
    <cellStyle name="Normal 2 5 4 4 6 3 2" xfId="34172" xr:uid="{00000000-0005-0000-0000-0000EC530000}"/>
    <cellStyle name="Normal 2 5 4 4 6 4" xfId="17091" xr:uid="{00000000-0005-0000-0000-0000ED530000}"/>
    <cellStyle name="Normal 2 5 4 4 6 4 2" xfId="42644" xr:uid="{00000000-0005-0000-0000-0000EE530000}"/>
    <cellStyle name="Normal 2 5 4 4 6 5" xfId="28581" xr:uid="{00000000-0005-0000-0000-0000EF530000}"/>
    <cellStyle name="Normal 2 5 4 4 7" xfId="4183" xr:uid="{00000000-0005-0000-0000-0000F0530000}"/>
    <cellStyle name="Normal 2 5 4 4 7 2" xfId="13021" xr:uid="{00000000-0005-0000-0000-0000F1530000}"/>
    <cellStyle name="Normal 2 5 4 4 7 2 2" xfId="23272" xr:uid="{00000000-0005-0000-0000-0000F2530000}"/>
    <cellStyle name="Normal 2 5 4 4 7 2 2 2" xfId="48825" xr:uid="{00000000-0005-0000-0000-0000F3530000}"/>
    <cellStyle name="Normal 2 5 4 4 7 2 3" xfId="38576" xr:uid="{00000000-0005-0000-0000-0000F4530000}"/>
    <cellStyle name="Normal 2 5 4 4 7 3" xfId="9442" xr:uid="{00000000-0005-0000-0000-0000F5530000}"/>
    <cellStyle name="Normal 2 5 4 4 7 3 2" xfId="34999" xr:uid="{00000000-0005-0000-0000-0000F6530000}"/>
    <cellStyle name="Normal 2 5 4 4 7 4" xfId="18265" xr:uid="{00000000-0005-0000-0000-0000F7530000}"/>
    <cellStyle name="Normal 2 5 4 4 7 4 2" xfId="43818" xr:uid="{00000000-0005-0000-0000-0000F8530000}"/>
    <cellStyle name="Normal 2 5 4 4 7 5" xfId="29755" xr:uid="{00000000-0005-0000-0000-0000F9530000}"/>
    <cellStyle name="Normal 2 5 4 4 8" xfId="1455" xr:uid="{00000000-0005-0000-0000-0000FA530000}"/>
    <cellStyle name="Normal 2 5 4 4 8 2" xfId="10832" xr:uid="{00000000-0005-0000-0000-0000FB530000}"/>
    <cellStyle name="Normal 2 5 4 4 8 2 2" xfId="36387" xr:uid="{00000000-0005-0000-0000-0000FC530000}"/>
    <cellStyle name="Normal 2 5 4 4 8 3" xfId="20836" xr:uid="{00000000-0005-0000-0000-0000FD530000}"/>
    <cellStyle name="Normal 2 5 4 4 8 3 2" xfId="46389" xr:uid="{00000000-0005-0000-0000-0000FE530000}"/>
    <cellStyle name="Normal 2 5 4 4 8 4" xfId="27319" xr:uid="{00000000-0005-0000-0000-0000FF530000}"/>
    <cellStyle name="Normal 2 5 4 4 9" xfId="5639" xr:uid="{00000000-0005-0000-0000-000000540000}"/>
    <cellStyle name="Normal 2 5 4 4 9 2" xfId="14466" xr:uid="{00000000-0005-0000-0000-000001540000}"/>
    <cellStyle name="Normal 2 5 4 4 9 2 2" xfId="40021" xr:uid="{00000000-0005-0000-0000-000002540000}"/>
    <cellStyle name="Normal 2 5 4 4 9 3" xfId="24717" xr:uid="{00000000-0005-0000-0000-000003540000}"/>
    <cellStyle name="Normal 2 5 4 4 9 3 2" xfId="50270" xr:uid="{00000000-0005-0000-0000-000004540000}"/>
    <cellStyle name="Normal 2 5 4 4 9 4" xfId="31200" xr:uid="{00000000-0005-0000-0000-000005540000}"/>
    <cellStyle name="Normal 2 5 4 4_Degree data" xfId="3899" xr:uid="{00000000-0005-0000-0000-000006540000}"/>
    <cellStyle name="Normal 2 5 4 5" xfId="463" xr:uid="{00000000-0005-0000-0000-000007540000}"/>
    <cellStyle name="Normal 2 5 4 5 10" xfId="26392" xr:uid="{00000000-0005-0000-0000-000008540000}"/>
    <cellStyle name="Normal 2 5 4 5 2" xfId="765" xr:uid="{00000000-0005-0000-0000-000009540000}"/>
    <cellStyle name="Normal 2 5 4 5 2 2" xfId="3251" xr:uid="{00000000-0005-0000-0000-00000A540000}"/>
    <cellStyle name="Normal 2 5 4 5 2 2 2" xfId="12393" xr:uid="{00000000-0005-0000-0000-00000B540000}"/>
    <cellStyle name="Normal 2 5 4 5 2 2 2 2" xfId="22612" xr:uid="{00000000-0005-0000-0000-00000C540000}"/>
    <cellStyle name="Normal 2 5 4 5 2 2 2 2 2" xfId="48165" xr:uid="{00000000-0005-0000-0000-00000D540000}"/>
    <cellStyle name="Normal 2 5 4 5 2 2 2 3" xfId="37948" xr:uid="{00000000-0005-0000-0000-00000E540000}"/>
    <cellStyle name="Normal 2 5 4 5 2 2 3" xfId="8815" xr:uid="{00000000-0005-0000-0000-00000F540000}"/>
    <cellStyle name="Normal 2 5 4 5 2 2 3 2" xfId="34372" xr:uid="{00000000-0005-0000-0000-000010540000}"/>
    <cellStyle name="Normal 2 5 4 5 2 2 4" xfId="17605" xr:uid="{00000000-0005-0000-0000-000011540000}"/>
    <cellStyle name="Normal 2 5 4 5 2 2 4 2" xfId="43158" xr:uid="{00000000-0005-0000-0000-000012540000}"/>
    <cellStyle name="Normal 2 5 4 5 2 2 5" xfId="29095" xr:uid="{00000000-0005-0000-0000-000013540000}"/>
    <cellStyle name="Normal 2 5 4 5 2 3" xfId="4580" xr:uid="{00000000-0005-0000-0000-000014540000}"/>
    <cellStyle name="Normal 2 5 4 5 2 3 2" xfId="13418" xr:uid="{00000000-0005-0000-0000-000015540000}"/>
    <cellStyle name="Normal 2 5 4 5 2 3 2 2" xfId="23669" xr:uid="{00000000-0005-0000-0000-000016540000}"/>
    <cellStyle name="Normal 2 5 4 5 2 3 2 2 2" xfId="49222" xr:uid="{00000000-0005-0000-0000-000017540000}"/>
    <cellStyle name="Normal 2 5 4 5 2 3 2 3" xfId="38973" xr:uid="{00000000-0005-0000-0000-000018540000}"/>
    <cellStyle name="Normal 2 5 4 5 2 3 3" xfId="9839" xr:uid="{00000000-0005-0000-0000-000019540000}"/>
    <cellStyle name="Normal 2 5 4 5 2 3 3 2" xfId="35396" xr:uid="{00000000-0005-0000-0000-00001A540000}"/>
    <cellStyle name="Normal 2 5 4 5 2 3 4" xfId="18662" xr:uid="{00000000-0005-0000-0000-00001B540000}"/>
    <cellStyle name="Normal 2 5 4 5 2 3 4 2" xfId="44215" xr:uid="{00000000-0005-0000-0000-00001C540000}"/>
    <cellStyle name="Normal 2 5 4 5 2 3 5" xfId="30152" xr:uid="{00000000-0005-0000-0000-00001D540000}"/>
    <cellStyle name="Normal 2 5 4 5 2 4" xfId="2360" xr:uid="{00000000-0005-0000-0000-00001E540000}"/>
    <cellStyle name="Normal 2 5 4 5 2 4 2" xfId="11725" xr:uid="{00000000-0005-0000-0000-00001F540000}"/>
    <cellStyle name="Normal 2 5 4 5 2 4 2 2" xfId="37280" xr:uid="{00000000-0005-0000-0000-000020540000}"/>
    <cellStyle name="Normal 2 5 4 5 2 4 3" xfId="21729" xr:uid="{00000000-0005-0000-0000-000021540000}"/>
    <cellStyle name="Normal 2 5 4 5 2 4 3 2" xfId="47282" xr:uid="{00000000-0005-0000-0000-000022540000}"/>
    <cellStyle name="Normal 2 5 4 5 2 4 4" xfId="28212" xr:uid="{00000000-0005-0000-0000-000023540000}"/>
    <cellStyle name="Normal 2 5 4 5 2 5" xfId="6036" xr:uid="{00000000-0005-0000-0000-000024540000}"/>
    <cellStyle name="Normal 2 5 4 5 2 5 2" xfId="14863" xr:uid="{00000000-0005-0000-0000-000025540000}"/>
    <cellStyle name="Normal 2 5 4 5 2 5 2 2" xfId="40418" xr:uid="{00000000-0005-0000-0000-000026540000}"/>
    <cellStyle name="Normal 2 5 4 5 2 5 3" xfId="25114" xr:uid="{00000000-0005-0000-0000-000027540000}"/>
    <cellStyle name="Normal 2 5 4 5 2 5 3 2" xfId="50667" xr:uid="{00000000-0005-0000-0000-000028540000}"/>
    <cellStyle name="Normal 2 5 4 5 2 5 4" xfId="31597" xr:uid="{00000000-0005-0000-0000-000029540000}"/>
    <cellStyle name="Normal 2 5 4 5 2 6" xfId="7480" xr:uid="{00000000-0005-0000-0000-00002A540000}"/>
    <cellStyle name="Normal 2 5 4 5 2 6 2" xfId="20211" xr:uid="{00000000-0005-0000-0000-00002B540000}"/>
    <cellStyle name="Normal 2 5 4 5 2 6 2 2" xfId="45764" xr:uid="{00000000-0005-0000-0000-00002C540000}"/>
    <cellStyle name="Normal 2 5 4 5 2 6 3" xfId="33037" xr:uid="{00000000-0005-0000-0000-00002D540000}"/>
    <cellStyle name="Normal 2 5 4 5 2 7" xfId="16722" xr:uid="{00000000-0005-0000-0000-00002E540000}"/>
    <cellStyle name="Normal 2 5 4 5 2 7 2" xfId="42275" xr:uid="{00000000-0005-0000-0000-00002F540000}"/>
    <cellStyle name="Normal 2 5 4 5 2 8" xfId="26694" xr:uid="{00000000-0005-0000-0000-000030540000}"/>
    <cellStyle name="Normal 2 5 4 5 3" xfId="1235" xr:uid="{00000000-0005-0000-0000-000031540000}"/>
    <cellStyle name="Normal 2 5 4 5 3 2" xfId="3664" xr:uid="{00000000-0005-0000-0000-000032540000}"/>
    <cellStyle name="Normal 2 5 4 5 3 2 2" xfId="12800" xr:uid="{00000000-0005-0000-0000-000033540000}"/>
    <cellStyle name="Normal 2 5 4 5 3 2 2 2" xfId="23019" xr:uid="{00000000-0005-0000-0000-000034540000}"/>
    <cellStyle name="Normal 2 5 4 5 3 2 2 2 2" xfId="48572" xr:uid="{00000000-0005-0000-0000-000035540000}"/>
    <cellStyle name="Normal 2 5 4 5 3 2 2 3" xfId="38355" xr:uid="{00000000-0005-0000-0000-000036540000}"/>
    <cellStyle name="Normal 2 5 4 5 3 2 3" xfId="9221" xr:uid="{00000000-0005-0000-0000-000037540000}"/>
    <cellStyle name="Normal 2 5 4 5 3 2 3 2" xfId="34778" xr:uid="{00000000-0005-0000-0000-000038540000}"/>
    <cellStyle name="Normal 2 5 4 5 3 2 4" xfId="18012" xr:uid="{00000000-0005-0000-0000-000039540000}"/>
    <cellStyle name="Normal 2 5 4 5 3 2 4 2" xfId="43565" xr:uid="{00000000-0005-0000-0000-00003A540000}"/>
    <cellStyle name="Normal 2 5 4 5 3 2 5" xfId="29502" xr:uid="{00000000-0005-0000-0000-00003B540000}"/>
    <cellStyle name="Normal 2 5 4 5 3 3" xfId="4929" xr:uid="{00000000-0005-0000-0000-00003C540000}"/>
    <cellStyle name="Normal 2 5 4 5 3 3 2" xfId="13766" xr:uid="{00000000-0005-0000-0000-00003D540000}"/>
    <cellStyle name="Normal 2 5 4 5 3 3 2 2" xfId="24017" xr:uid="{00000000-0005-0000-0000-00003E540000}"/>
    <cellStyle name="Normal 2 5 4 5 3 3 2 2 2" xfId="49570" xr:uid="{00000000-0005-0000-0000-00003F540000}"/>
    <cellStyle name="Normal 2 5 4 5 3 3 2 3" xfId="39321" xr:uid="{00000000-0005-0000-0000-000040540000}"/>
    <cellStyle name="Normal 2 5 4 5 3 3 3" xfId="10187" xr:uid="{00000000-0005-0000-0000-000041540000}"/>
    <cellStyle name="Normal 2 5 4 5 3 3 3 2" xfId="35744" xr:uid="{00000000-0005-0000-0000-000042540000}"/>
    <cellStyle name="Normal 2 5 4 5 3 3 4" xfId="19010" xr:uid="{00000000-0005-0000-0000-000043540000}"/>
    <cellStyle name="Normal 2 5 4 5 3 3 4 2" xfId="44563" xr:uid="{00000000-0005-0000-0000-000044540000}"/>
    <cellStyle name="Normal 2 5 4 5 3 3 5" xfId="30500" xr:uid="{00000000-0005-0000-0000-000045540000}"/>
    <cellStyle name="Normal 2 5 4 5 3 4" xfId="2058" xr:uid="{00000000-0005-0000-0000-000046540000}"/>
    <cellStyle name="Normal 2 5 4 5 3 4 2" xfId="11423" xr:uid="{00000000-0005-0000-0000-000047540000}"/>
    <cellStyle name="Normal 2 5 4 5 3 4 2 2" xfId="36978" xr:uid="{00000000-0005-0000-0000-000048540000}"/>
    <cellStyle name="Normal 2 5 4 5 3 4 3" xfId="21427" xr:uid="{00000000-0005-0000-0000-000049540000}"/>
    <cellStyle name="Normal 2 5 4 5 3 4 3 2" xfId="46980" xr:uid="{00000000-0005-0000-0000-00004A540000}"/>
    <cellStyle name="Normal 2 5 4 5 3 4 4" xfId="27910" xr:uid="{00000000-0005-0000-0000-00004B540000}"/>
    <cellStyle name="Normal 2 5 4 5 3 5" xfId="6384" xr:uid="{00000000-0005-0000-0000-00004C540000}"/>
    <cellStyle name="Normal 2 5 4 5 3 5 2" xfId="15211" xr:uid="{00000000-0005-0000-0000-00004D540000}"/>
    <cellStyle name="Normal 2 5 4 5 3 5 2 2" xfId="40766" xr:uid="{00000000-0005-0000-0000-00004E540000}"/>
    <cellStyle name="Normal 2 5 4 5 3 5 3" xfId="25462" xr:uid="{00000000-0005-0000-0000-00004F540000}"/>
    <cellStyle name="Normal 2 5 4 5 3 5 3 2" xfId="51015" xr:uid="{00000000-0005-0000-0000-000050540000}"/>
    <cellStyle name="Normal 2 5 4 5 3 5 4" xfId="31945" xr:uid="{00000000-0005-0000-0000-000051540000}"/>
    <cellStyle name="Normal 2 5 4 5 3 6" xfId="7830" xr:uid="{00000000-0005-0000-0000-000052540000}"/>
    <cellStyle name="Normal 2 5 4 5 3 6 2" xfId="20618" xr:uid="{00000000-0005-0000-0000-000053540000}"/>
    <cellStyle name="Normal 2 5 4 5 3 6 2 2" xfId="46171" xr:uid="{00000000-0005-0000-0000-000054540000}"/>
    <cellStyle name="Normal 2 5 4 5 3 6 3" xfId="33387" xr:uid="{00000000-0005-0000-0000-000055540000}"/>
    <cellStyle name="Normal 2 5 4 5 3 7" xfId="16420" xr:uid="{00000000-0005-0000-0000-000056540000}"/>
    <cellStyle name="Normal 2 5 4 5 3 7 2" xfId="41973" xr:uid="{00000000-0005-0000-0000-000057540000}"/>
    <cellStyle name="Normal 2 5 4 5 3 8" xfId="27101" xr:uid="{00000000-0005-0000-0000-000058540000}"/>
    <cellStyle name="Normal 2 5 4 5 4" xfId="2949" xr:uid="{00000000-0005-0000-0000-000059540000}"/>
    <cellStyle name="Normal 2 5 4 5 4 2" xfId="5327" xr:uid="{00000000-0005-0000-0000-00005A540000}"/>
    <cellStyle name="Normal 2 5 4 5 4 2 2" xfId="14164" xr:uid="{00000000-0005-0000-0000-00005B540000}"/>
    <cellStyle name="Normal 2 5 4 5 4 2 2 2" xfId="24415" xr:uid="{00000000-0005-0000-0000-00005C540000}"/>
    <cellStyle name="Normal 2 5 4 5 4 2 2 2 2" xfId="49968" xr:uid="{00000000-0005-0000-0000-00005D540000}"/>
    <cellStyle name="Normal 2 5 4 5 4 2 2 3" xfId="39719" xr:uid="{00000000-0005-0000-0000-00005E540000}"/>
    <cellStyle name="Normal 2 5 4 5 4 2 3" xfId="10585" xr:uid="{00000000-0005-0000-0000-00005F540000}"/>
    <cellStyle name="Normal 2 5 4 5 4 2 3 2" xfId="36142" xr:uid="{00000000-0005-0000-0000-000060540000}"/>
    <cellStyle name="Normal 2 5 4 5 4 2 4" xfId="19408" xr:uid="{00000000-0005-0000-0000-000061540000}"/>
    <cellStyle name="Normal 2 5 4 5 4 2 4 2" xfId="44961" xr:uid="{00000000-0005-0000-0000-000062540000}"/>
    <cellStyle name="Normal 2 5 4 5 4 2 5" xfId="30898" xr:uid="{00000000-0005-0000-0000-000063540000}"/>
    <cellStyle name="Normal 2 5 4 5 4 3" xfId="6782" xr:uid="{00000000-0005-0000-0000-000064540000}"/>
    <cellStyle name="Normal 2 5 4 5 4 3 2" xfId="15609" xr:uid="{00000000-0005-0000-0000-000065540000}"/>
    <cellStyle name="Normal 2 5 4 5 4 3 2 2" xfId="41164" xr:uid="{00000000-0005-0000-0000-000066540000}"/>
    <cellStyle name="Normal 2 5 4 5 4 3 3" xfId="25860" xr:uid="{00000000-0005-0000-0000-000067540000}"/>
    <cellStyle name="Normal 2 5 4 5 4 3 3 2" xfId="51413" xr:uid="{00000000-0005-0000-0000-000068540000}"/>
    <cellStyle name="Normal 2 5 4 5 4 3 4" xfId="32343" xr:uid="{00000000-0005-0000-0000-000069540000}"/>
    <cellStyle name="Normal 2 5 4 5 4 4" xfId="8228" xr:uid="{00000000-0005-0000-0000-00006A540000}"/>
    <cellStyle name="Normal 2 5 4 5 4 4 2" xfId="22310" xr:uid="{00000000-0005-0000-0000-00006B540000}"/>
    <cellStyle name="Normal 2 5 4 5 4 4 2 2" xfId="47863" xr:uid="{00000000-0005-0000-0000-00006C540000}"/>
    <cellStyle name="Normal 2 5 4 5 4 4 3" xfId="33785" xr:uid="{00000000-0005-0000-0000-00006D540000}"/>
    <cellStyle name="Normal 2 5 4 5 4 5" xfId="17303" xr:uid="{00000000-0005-0000-0000-00006E540000}"/>
    <cellStyle name="Normal 2 5 4 5 4 5 2" xfId="42856" xr:uid="{00000000-0005-0000-0000-00006F540000}"/>
    <cellStyle name="Normal 2 5 4 5 4 6" xfId="28793" xr:uid="{00000000-0005-0000-0000-000070540000}"/>
    <cellStyle name="Normal 2 5 4 5 5" xfId="4283" xr:uid="{00000000-0005-0000-0000-000071540000}"/>
    <cellStyle name="Normal 2 5 4 5 5 2" xfId="13121" xr:uid="{00000000-0005-0000-0000-000072540000}"/>
    <cellStyle name="Normal 2 5 4 5 5 2 2" xfId="23372" xr:uid="{00000000-0005-0000-0000-000073540000}"/>
    <cellStyle name="Normal 2 5 4 5 5 2 2 2" xfId="48925" xr:uid="{00000000-0005-0000-0000-000074540000}"/>
    <cellStyle name="Normal 2 5 4 5 5 2 3" xfId="38676" xr:uid="{00000000-0005-0000-0000-000075540000}"/>
    <cellStyle name="Normal 2 5 4 5 5 3" xfId="9542" xr:uid="{00000000-0005-0000-0000-000076540000}"/>
    <cellStyle name="Normal 2 5 4 5 5 3 2" xfId="35099" xr:uid="{00000000-0005-0000-0000-000077540000}"/>
    <cellStyle name="Normal 2 5 4 5 5 4" xfId="18365" xr:uid="{00000000-0005-0000-0000-000078540000}"/>
    <cellStyle name="Normal 2 5 4 5 5 4 2" xfId="43918" xr:uid="{00000000-0005-0000-0000-000079540000}"/>
    <cellStyle name="Normal 2 5 4 5 5 5" xfId="29855" xr:uid="{00000000-0005-0000-0000-00007A540000}"/>
    <cellStyle name="Normal 2 5 4 5 6" xfId="1555" xr:uid="{00000000-0005-0000-0000-00007B540000}"/>
    <cellStyle name="Normal 2 5 4 5 6 2" xfId="10932" xr:uid="{00000000-0005-0000-0000-00007C540000}"/>
    <cellStyle name="Normal 2 5 4 5 6 2 2" xfId="36487" xr:uid="{00000000-0005-0000-0000-00007D540000}"/>
    <cellStyle name="Normal 2 5 4 5 6 3" xfId="20936" xr:uid="{00000000-0005-0000-0000-00007E540000}"/>
    <cellStyle name="Normal 2 5 4 5 6 3 2" xfId="46489" xr:uid="{00000000-0005-0000-0000-00007F540000}"/>
    <cellStyle name="Normal 2 5 4 5 6 4" xfId="27419" xr:uid="{00000000-0005-0000-0000-000080540000}"/>
    <cellStyle name="Normal 2 5 4 5 7" xfId="5739" xr:uid="{00000000-0005-0000-0000-000081540000}"/>
    <cellStyle name="Normal 2 5 4 5 7 2" xfId="14566" xr:uid="{00000000-0005-0000-0000-000082540000}"/>
    <cellStyle name="Normal 2 5 4 5 7 2 2" xfId="40121" xr:uid="{00000000-0005-0000-0000-000083540000}"/>
    <cellStyle name="Normal 2 5 4 5 7 3" xfId="24817" xr:uid="{00000000-0005-0000-0000-000084540000}"/>
    <cellStyle name="Normal 2 5 4 5 7 3 2" xfId="50370" xr:uid="{00000000-0005-0000-0000-000085540000}"/>
    <cellStyle name="Normal 2 5 4 5 7 4" xfId="31300" xr:uid="{00000000-0005-0000-0000-000086540000}"/>
    <cellStyle name="Normal 2 5 4 5 8" xfId="7183" xr:uid="{00000000-0005-0000-0000-000087540000}"/>
    <cellStyle name="Normal 2 5 4 5 8 2" xfId="19909" xr:uid="{00000000-0005-0000-0000-000088540000}"/>
    <cellStyle name="Normal 2 5 4 5 8 2 2" xfId="45462" xr:uid="{00000000-0005-0000-0000-000089540000}"/>
    <cellStyle name="Normal 2 5 4 5 8 3" xfId="32740" xr:uid="{00000000-0005-0000-0000-00008A540000}"/>
    <cellStyle name="Normal 2 5 4 5 9" xfId="15929" xr:uid="{00000000-0005-0000-0000-00008B540000}"/>
    <cellStyle name="Normal 2 5 4 5 9 2" xfId="41482" xr:uid="{00000000-0005-0000-0000-00008C540000}"/>
    <cellStyle name="Normal 2 5 4 5_Degree data" xfId="3901" xr:uid="{00000000-0005-0000-0000-00008D540000}"/>
    <cellStyle name="Normal 2 5 4 6" xfId="339" xr:uid="{00000000-0005-0000-0000-00008E540000}"/>
    <cellStyle name="Normal 2 5 4 6 10" xfId="26268" xr:uid="{00000000-0005-0000-0000-00008F540000}"/>
    <cellStyle name="Normal 2 5 4 6 2" xfId="766" xr:uid="{00000000-0005-0000-0000-000090540000}"/>
    <cellStyle name="Normal 2 5 4 6 2 2" xfId="3252" xr:uid="{00000000-0005-0000-0000-000091540000}"/>
    <cellStyle name="Normal 2 5 4 6 2 2 2" xfId="12394" xr:uid="{00000000-0005-0000-0000-000092540000}"/>
    <cellStyle name="Normal 2 5 4 6 2 2 2 2" xfId="22613" xr:uid="{00000000-0005-0000-0000-000093540000}"/>
    <cellStyle name="Normal 2 5 4 6 2 2 2 2 2" xfId="48166" xr:uid="{00000000-0005-0000-0000-000094540000}"/>
    <cellStyle name="Normal 2 5 4 6 2 2 2 3" xfId="37949" xr:uid="{00000000-0005-0000-0000-000095540000}"/>
    <cellStyle name="Normal 2 5 4 6 2 2 3" xfId="8816" xr:uid="{00000000-0005-0000-0000-000096540000}"/>
    <cellStyle name="Normal 2 5 4 6 2 2 3 2" xfId="34373" xr:uid="{00000000-0005-0000-0000-000097540000}"/>
    <cellStyle name="Normal 2 5 4 6 2 2 4" xfId="17606" xr:uid="{00000000-0005-0000-0000-000098540000}"/>
    <cellStyle name="Normal 2 5 4 6 2 2 4 2" xfId="43159" xr:uid="{00000000-0005-0000-0000-000099540000}"/>
    <cellStyle name="Normal 2 5 4 6 2 2 5" xfId="29096" xr:uid="{00000000-0005-0000-0000-00009A540000}"/>
    <cellStyle name="Normal 2 5 4 6 2 3" xfId="4581" xr:uid="{00000000-0005-0000-0000-00009B540000}"/>
    <cellStyle name="Normal 2 5 4 6 2 3 2" xfId="13419" xr:uid="{00000000-0005-0000-0000-00009C540000}"/>
    <cellStyle name="Normal 2 5 4 6 2 3 2 2" xfId="23670" xr:uid="{00000000-0005-0000-0000-00009D540000}"/>
    <cellStyle name="Normal 2 5 4 6 2 3 2 2 2" xfId="49223" xr:uid="{00000000-0005-0000-0000-00009E540000}"/>
    <cellStyle name="Normal 2 5 4 6 2 3 2 3" xfId="38974" xr:uid="{00000000-0005-0000-0000-00009F540000}"/>
    <cellStyle name="Normal 2 5 4 6 2 3 3" xfId="9840" xr:uid="{00000000-0005-0000-0000-0000A0540000}"/>
    <cellStyle name="Normal 2 5 4 6 2 3 3 2" xfId="35397" xr:uid="{00000000-0005-0000-0000-0000A1540000}"/>
    <cellStyle name="Normal 2 5 4 6 2 3 4" xfId="18663" xr:uid="{00000000-0005-0000-0000-0000A2540000}"/>
    <cellStyle name="Normal 2 5 4 6 2 3 4 2" xfId="44216" xr:uid="{00000000-0005-0000-0000-0000A3540000}"/>
    <cellStyle name="Normal 2 5 4 6 2 3 5" xfId="30153" xr:uid="{00000000-0005-0000-0000-0000A4540000}"/>
    <cellStyle name="Normal 2 5 4 6 2 4" xfId="2361" xr:uid="{00000000-0005-0000-0000-0000A5540000}"/>
    <cellStyle name="Normal 2 5 4 6 2 4 2" xfId="11726" xr:uid="{00000000-0005-0000-0000-0000A6540000}"/>
    <cellStyle name="Normal 2 5 4 6 2 4 2 2" xfId="37281" xr:uid="{00000000-0005-0000-0000-0000A7540000}"/>
    <cellStyle name="Normal 2 5 4 6 2 4 3" xfId="21730" xr:uid="{00000000-0005-0000-0000-0000A8540000}"/>
    <cellStyle name="Normal 2 5 4 6 2 4 3 2" xfId="47283" xr:uid="{00000000-0005-0000-0000-0000A9540000}"/>
    <cellStyle name="Normal 2 5 4 6 2 4 4" xfId="28213" xr:uid="{00000000-0005-0000-0000-0000AA540000}"/>
    <cellStyle name="Normal 2 5 4 6 2 5" xfId="6037" xr:uid="{00000000-0005-0000-0000-0000AB540000}"/>
    <cellStyle name="Normal 2 5 4 6 2 5 2" xfId="14864" xr:uid="{00000000-0005-0000-0000-0000AC540000}"/>
    <cellStyle name="Normal 2 5 4 6 2 5 2 2" xfId="40419" xr:uid="{00000000-0005-0000-0000-0000AD540000}"/>
    <cellStyle name="Normal 2 5 4 6 2 5 3" xfId="25115" xr:uid="{00000000-0005-0000-0000-0000AE540000}"/>
    <cellStyle name="Normal 2 5 4 6 2 5 3 2" xfId="50668" xr:uid="{00000000-0005-0000-0000-0000AF540000}"/>
    <cellStyle name="Normal 2 5 4 6 2 5 4" xfId="31598" xr:uid="{00000000-0005-0000-0000-0000B0540000}"/>
    <cellStyle name="Normal 2 5 4 6 2 6" xfId="7481" xr:uid="{00000000-0005-0000-0000-0000B1540000}"/>
    <cellStyle name="Normal 2 5 4 6 2 6 2" xfId="20212" xr:uid="{00000000-0005-0000-0000-0000B2540000}"/>
    <cellStyle name="Normal 2 5 4 6 2 6 2 2" xfId="45765" xr:uid="{00000000-0005-0000-0000-0000B3540000}"/>
    <cellStyle name="Normal 2 5 4 6 2 6 3" xfId="33038" xr:uid="{00000000-0005-0000-0000-0000B4540000}"/>
    <cellStyle name="Normal 2 5 4 6 2 7" xfId="16723" xr:uid="{00000000-0005-0000-0000-0000B5540000}"/>
    <cellStyle name="Normal 2 5 4 6 2 7 2" xfId="42276" xr:uid="{00000000-0005-0000-0000-0000B6540000}"/>
    <cellStyle name="Normal 2 5 4 6 2 8" xfId="26695" xr:uid="{00000000-0005-0000-0000-0000B7540000}"/>
    <cellStyle name="Normal 2 5 4 6 3" xfId="1111" xr:uid="{00000000-0005-0000-0000-0000B8540000}"/>
    <cellStyle name="Normal 2 5 4 6 3 2" xfId="3540" xr:uid="{00000000-0005-0000-0000-0000B9540000}"/>
    <cellStyle name="Normal 2 5 4 6 3 2 2" xfId="12676" xr:uid="{00000000-0005-0000-0000-0000BA540000}"/>
    <cellStyle name="Normal 2 5 4 6 3 2 2 2" xfId="22895" xr:uid="{00000000-0005-0000-0000-0000BB540000}"/>
    <cellStyle name="Normal 2 5 4 6 3 2 2 2 2" xfId="48448" xr:uid="{00000000-0005-0000-0000-0000BC540000}"/>
    <cellStyle name="Normal 2 5 4 6 3 2 2 3" xfId="38231" xr:uid="{00000000-0005-0000-0000-0000BD540000}"/>
    <cellStyle name="Normal 2 5 4 6 3 2 3" xfId="9097" xr:uid="{00000000-0005-0000-0000-0000BE540000}"/>
    <cellStyle name="Normal 2 5 4 6 3 2 3 2" xfId="34654" xr:uid="{00000000-0005-0000-0000-0000BF540000}"/>
    <cellStyle name="Normal 2 5 4 6 3 2 4" xfId="17888" xr:uid="{00000000-0005-0000-0000-0000C0540000}"/>
    <cellStyle name="Normal 2 5 4 6 3 2 4 2" xfId="43441" xr:uid="{00000000-0005-0000-0000-0000C1540000}"/>
    <cellStyle name="Normal 2 5 4 6 3 2 5" xfId="29378" xr:uid="{00000000-0005-0000-0000-0000C2540000}"/>
    <cellStyle name="Normal 2 5 4 6 3 3" xfId="4930" xr:uid="{00000000-0005-0000-0000-0000C3540000}"/>
    <cellStyle name="Normal 2 5 4 6 3 3 2" xfId="13767" xr:uid="{00000000-0005-0000-0000-0000C4540000}"/>
    <cellStyle name="Normal 2 5 4 6 3 3 2 2" xfId="24018" xr:uid="{00000000-0005-0000-0000-0000C5540000}"/>
    <cellStyle name="Normal 2 5 4 6 3 3 2 2 2" xfId="49571" xr:uid="{00000000-0005-0000-0000-0000C6540000}"/>
    <cellStyle name="Normal 2 5 4 6 3 3 2 3" xfId="39322" xr:uid="{00000000-0005-0000-0000-0000C7540000}"/>
    <cellStyle name="Normal 2 5 4 6 3 3 3" xfId="10188" xr:uid="{00000000-0005-0000-0000-0000C8540000}"/>
    <cellStyle name="Normal 2 5 4 6 3 3 3 2" xfId="35745" xr:uid="{00000000-0005-0000-0000-0000C9540000}"/>
    <cellStyle name="Normal 2 5 4 6 3 3 4" xfId="19011" xr:uid="{00000000-0005-0000-0000-0000CA540000}"/>
    <cellStyle name="Normal 2 5 4 6 3 3 4 2" xfId="44564" xr:uid="{00000000-0005-0000-0000-0000CB540000}"/>
    <cellStyle name="Normal 2 5 4 6 3 3 5" xfId="30501" xr:uid="{00000000-0005-0000-0000-0000CC540000}"/>
    <cellStyle name="Normal 2 5 4 6 3 4" xfId="2588" xr:uid="{00000000-0005-0000-0000-0000CD540000}"/>
    <cellStyle name="Normal 2 5 4 6 3 4 2" xfId="11952" xr:uid="{00000000-0005-0000-0000-0000CE540000}"/>
    <cellStyle name="Normal 2 5 4 6 3 4 2 2" xfId="37507" xr:uid="{00000000-0005-0000-0000-0000CF540000}"/>
    <cellStyle name="Normal 2 5 4 6 3 4 3" xfId="21956" xr:uid="{00000000-0005-0000-0000-0000D0540000}"/>
    <cellStyle name="Normal 2 5 4 6 3 4 3 2" xfId="47509" xr:uid="{00000000-0005-0000-0000-0000D1540000}"/>
    <cellStyle name="Normal 2 5 4 6 3 4 4" xfId="28439" xr:uid="{00000000-0005-0000-0000-0000D2540000}"/>
    <cellStyle name="Normal 2 5 4 6 3 5" xfId="6385" xr:uid="{00000000-0005-0000-0000-0000D3540000}"/>
    <cellStyle name="Normal 2 5 4 6 3 5 2" xfId="15212" xr:uid="{00000000-0005-0000-0000-0000D4540000}"/>
    <cellStyle name="Normal 2 5 4 6 3 5 2 2" xfId="40767" xr:uid="{00000000-0005-0000-0000-0000D5540000}"/>
    <cellStyle name="Normal 2 5 4 6 3 5 3" xfId="25463" xr:uid="{00000000-0005-0000-0000-0000D6540000}"/>
    <cellStyle name="Normal 2 5 4 6 3 5 3 2" xfId="51016" xr:uid="{00000000-0005-0000-0000-0000D7540000}"/>
    <cellStyle name="Normal 2 5 4 6 3 5 4" xfId="31946" xr:uid="{00000000-0005-0000-0000-0000D8540000}"/>
    <cellStyle name="Normal 2 5 4 6 3 6" xfId="7831" xr:uid="{00000000-0005-0000-0000-0000D9540000}"/>
    <cellStyle name="Normal 2 5 4 6 3 6 2" xfId="20494" xr:uid="{00000000-0005-0000-0000-0000DA540000}"/>
    <cellStyle name="Normal 2 5 4 6 3 6 2 2" xfId="46047" xr:uid="{00000000-0005-0000-0000-0000DB540000}"/>
    <cellStyle name="Normal 2 5 4 6 3 6 3" xfId="33388" xr:uid="{00000000-0005-0000-0000-0000DC540000}"/>
    <cellStyle name="Normal 2 5 4 6 3 7" xfId="16949" xr:uid="{00000000-0005-0000-0000-0000DD540000}"/>
    <cellStyle name="Normal 2 5 4 6 3 7 2" xfId="42502" xr:uid="{00000000-0005-0000-0000-0000DE540000}"/>
    <cellStyle name="Normal 2 5 4 6 3 8" xfId="26977" xr:uid="{00000000-0005-0000-0000-0000DF540000}"/>
    <cellStyle name="Normal 2 5 4 6 4" xfId="2825" xr:uid="{00000000-0005-0000-0000-0000E0540000}"/>
    <cellStyle name="Normal 2 5 4 6 4 2" xfId="5203" xr:uid="{00000000-0005-0000-0000-0000E1540000}"/>
    <cellStyle name="Normal 2 5 4 6 4 2 2" xfId="14040" xr:uid="{00000000-0005-0000-0000-0000E2540000}"/>
    <cellStyle name="Normal 2 5 4 6 4 2 2 2" xfId="24291" xr:uid="{00000000-0005-0000-0000-0000E3540000}"/>
    <cellStyle name="Normal 2 5 4 6 4 2 2 2 2" xfId="49844" xr:uid="{00000000-0005-0000-0000-0000E4540000}"/>
    <cellStyle name="Normal 2 5 4 6 4 2 2 3" xfId="39595" xr:uid="{00000000-0005-0000-0000-0000E5540000}"/>
    <cellStyle name="Normal 2 5 4 6 4 2 3" xfId="10461" xr:uid="{00000000-0005-0000-0000-0000E6540000}"/>
    <cellStyle name="Normal 2 5 4 6 4 2 3 2" xfId="36018" xr:uid="{00000000-0005-0000-0000-0000E7540000}"/>
    <cellStyle name="Normal 2 5 4 6 4 2 4" xfId="19284" xr:uid="{00000000-0005-0000-0000-0000E8540000}"/>
    <cellStyle name="Normal 2 5 4 6 4 2 4 2" xfId="44837" xr:uid="{00000000-0005-0000-0000-0000E9540000}"/>
    <cellStyle name="Normal 2 5 4 6 4 2 5" xfId="30774" xr:uid="{00000000-0005-0000-0000-0000EA540000}"/>
    <cellStyle name="Normal 2 5 4 6 4 3" xfId="6658" xr:uid="{00000000-0005-0000-0000-0000EB540000}"/>
    <cellStyle name="Normal 2 5 4 6 4 3 2" xfId="15485" xr:uid="{00000000-0005-0000-0000-0000EC540000}"/>
    <cellStyle name="Normal 2 5 4 6 4 3 2 2" xfId="41040" xr:uid="{00000000-0005-0000-0000-0000ED540000}"/>
    <cellStyle name="Normal 2 5 4 6 4 3 3" xfId="25736" xr:uid="{00000000-0005-0000-0000-0000EE540000}"/>
    <cellStyle name="Normal 2 5 4 6 4 3 3 2" xfId="51289" xr:uid="{00000000-0005-0000-0000-0000EF540000}"/>
    <cellStyle name="Normal 2 5 4 6 4 3 4" xfId="32219" xr:uid="{00000000-0005-0000-0000-0000F0540000}"/>
    <cellStyle name="Normal 2 5 4 6 4 4" xfId="8104" xr:uid="{00000000-0005-0000-0000-0000F1540000}"/>
    <cellStyle name="Normal 2 5 4 6 4 4 2" xfId="22186" xr:uid="{00000000-0005-0000-0000-0000F2540000}"/>
    <cellStyle name="Normal 2 5 4 6 4 4 2 2" xfId="47739" xr:uid="{00000000-0005-0000-0000-0000F3540000}"/>
    <cellStyle name="Normal 2 5 4 6 4 4 3" xfId="33661" xr:uid="{00000000-0005-0000-0000-0000F4540000}"/>
    <cellStyle name="Normal 2 5 4 6 4 5" xfId="17179" xr:uid="{00000000-0005-0000-0000-0000F5540000}"/>
    <cellStyle name="Normal 2 5 4 6 4 5 2" xfId="42732" xr:uid="{00000000-0005-0000-0000-0000F6540000}"/>
    <cellStyle name="Normal 2 5 4 6 4 6" xfId="28669" xr:uid="{00000000-0005-0000-0000-0000F7540000}"/>
    <cellStyle name="Normal 2 5 4 6 5" xfId="4157" xr:uid="{00000000-0005-0000-0000-0000F8540000}"/>
    <cellStyle name="Normal 2 5 4 6 5 2" xfId="12995" xr:uid="{00000000-0005-0000-0000-0000F9540000}"/>
    <cellStyle name="Normal 2 5 4 6 5 2 2" xfId="23246" xr:uid="{00000000-0005-0000-0000-0000FA540000}"/>
    <cellStyle name="Normal 2 5 4 6 5 2 2 2" xfId="48799" xr:uid="{00000000-0005-0000-0000-0000FB540000}"/>
    <cellStyle name="Normal 2 5 4 6 5 2 3" xfId="38550" xr:uid="{00000000-0005-0000-0000-0000FC540000}"/>
    <cellStyle name="Normal 2 5 4 6 5 3" xfId="9416" xr:uid="{00000000-0005-0000-0000-0000FD540000}"/>
    <cellStyle name="Normal 2 5 4 6 5 3 2" xfId="34973" xr:uid="{00000000-0005-0000-0000-0000FE540000}"/>
    <cellStyle name="Normal 2 5 4 6 5 4" xfId="18239" xr:uid="{00000000-0005-0000-0000-0000FF540000}"/>
    <cellStyle name="Normal 2 5 4 6 5 4 2" xfId="43792" xr:uid="{00000000-0005-0000-0000-000000550000}"/>
    <cellStyle name="Normal 2 5 4 6 5 5" xfId="29729" xr:uid="{00000000-0005-0000-0000-000001550000}"/>
    <cellStyle name="Normal 2 5 4 6 6" xfId="1934" xr:uid="{00000000-0005-0000-0000-000002550000}"/>
    <cellStyle name="Normal 2 5 4 6 6 2" xfId="11299" xr:uid="{00000000-0005-0000-0000-000003550000}"/>
    <cellStyle name="Normal 2 5 4 6 6 2 2" xfId="36854" xr:uid="{00000000-0005-0000-0000-000004550000}"/>
    <cellStyle name="Normal 2 5 4 6 6 3" xfId="21303" xr:uid="{00000000-0005-0000-0000-000005550000}"/>
    <cellStyle name="Normal 2 5 4 6 6 3 2" xfId="46856" xr:uid="{00000000-0005-0000-0000-000006550000}"/>
    <cellStyle name="Normal 2 5 4 6 6 4" xfId="27786" xr:uid="{00000000-0005-0000-0000-000007550000}"/>
    <cellStyle name="Normal 2 5 4 6 7" xfId="5615" xr:uid="{00000000-0005-0000-0000-000008550000}"/>
    <cellStyle name="Normal 2 5 4 6 7 2" xfId="14442" xr:uid="{00000000-0005-0000-0000-000009550000}"/>
    <cellStyle name="Normal 2 5 4 6 7 2 2" xfId="39997" xr:uid="{00000000-0005-0000-0000-00000A550000}"/>
    <cellStyle name="Normal 2 5 4 6 7 3" xfId="24693" xr:uid="{00000000-0005-0000-0000-00000B550000}"/>
    <cellStyle name="Normal 2 5 4 6 7 3 2" xfId="50246" xr:uid="{00000000-0005-0000-0000-00000C550000}"/>
    <cellStyle name="Normal 2 5 4 6 7 4" xfId="31176" xr:uid="{00000000-0005-0000-0000-00000D550000}"/>
    <cellStyle name="Normal 2 5 4 6 8" xfId="7059" xr:uid="{00000000-0005-0000-0000-00000E550000}"/>
    <cellStyle name="Normal 2 5 4 6 8 2" xfId="19785" xr:uid="{00000000-0005-0000-0000-00000F550000}"/>
    <cellStyle name="Normal 2 5 4 6 8 2 2" xfId="45338" xr:uid="{00000000-0005-0000-0000-000010550000}"/>
    <cellStyle name="Normal 2 5 4 6 8 3" xfId="32616" xr:uid="{00000000-0005-0000-0000-000011550000}"/>
    <cellStyle name="Normal 2 5 4 6 9" xfId="16296" xr:uid="{00000000-0005-0000-0000-000012550000}"/>
    <cellStyle name="Normal 2 5 4 6 9 2" xfId="41849" xr:uid="{00000000-0005-0000-0000-000013550000}"/>
    <cellStyle name="Normal 2 5 4 6_Degree data" xfId="3830" xr:uid="{00000000-0005-0000-0000-000014550000}"/>
    <cellStyle name="Normal 2 5 4 7" xfId="757" xr:uid="{00000000-0005-0000-0000-000015550000}"/>
    <cellStyle name="Normal 2 5 4 7 2" xfId="3243" xr:uid="{00000000-0005-0000-0000-000016550000}"/>
    <cellStyle name="Normal 2 5 4 7 2 2" xfId="12385" xr:uid="{00000000-0005-0000-0000-000017550000}"/>
    <cellStyle name="Normal 2 5 4 7 2 2 2" xfId="22604" xr:uid="{00000000-0005-0000-0000-000018550000}"/>
    <cellStyle name="Normal 2 5 4 7 2 2 2 2" xfId="48157" xr:uid="{00000000-0005-0000-0000-000019550000}"/>
    <cellStyle name="Normal 2 5 4 7 2 2 3" xfId="37940" xr:uid="{00000000-0005-0000-0000-00001A550000}"/>
    <cellStyle name="Normal 2 5 4 7 2 3" xfId="8807" xr:uid="{00000000-0005-0000-0000-00001B550000}"/>
    <cellStyle name="Normal 2 5 4 7 2 3 2" xfId="34364" xr:uid="{00000000-0005-0000-0000-00001C550000}"/>
    <cellStyle name="Normal 2 5 4 7 2 4" xfId="17597" xr:uid="{00000000-0005-0000-0000-00001D550000}"/>
    <cellStyle name="Normal 2 5 4 7 2 4 2" xfId="43150" xr:uid="{00000000-0005-0000-0000-00001E550000}"/>
    <cellStyle name="Normal 2 5 4 7 2 5" xfId="29087" xr:uid="{00000000-0005-0000-0000-00001F550000}"/>
    <cellStyle name="Normal 2 5 4 7 3" xfId="4572" xr:uid="{00000000-0005-0000-0000-000020550000}"/>
    <cellStyle name="Normal 2 5 4 7 3 2" xfId="13410" xr:uid="{00000000-0005-0000-0000-000021550000}"/>
    <cellStyle name="Normal 2 5 4 7 3 2 2" xfId="23661" xr:uid="{00000000-0005-0000-0000-000022550000}"/>
    <cellStyle name="Normal 2 5 4 7 3 2 2 2" xfId="49214" xr:uid="{00000000-0005-0000-0000-000023550000}"/>
    <cellStyle name="Normal 2 5 4 7 3 2 3" xfId="38965" xr:uid="{00000000-0005-0000-0000-000024550000}"/>
    <cellStyle name="Normal 2 5 4 7 3 3" xfId="9831" xr:uid="{00000000-0005-0000-0000-000025550000}"/>
    <cellStyle name="Normal 2 5 4 7 3 3 2" xfId="35388" xr:uid="{00000000-0005-0000-0000-000026550000}"/>
    <cellStyle name="Normal 2 5 4 7 3 4" xfId="18654" xr:uid="{00000000-0005-0000-0000-000027550000}"/>
    <cellStyle name="Normal 2 5 4 7 3 4 2" xfId="44207" xr:uid="{00000000-0005-0000-0000-000028550000}"/>
    <cellStyle name="Normal 2 5 4 7 3 5" xfId="30144" xr:uid="{00000000-0005-0000-0000-000029550000}"/>
    <cellStyle name="Normal 2 5 4 7 4" xfId="2352" xr:uid="{00000000-0005-0000-0000-00002A550000}"/>
    <cellStyle name="Normal 2 5 4 7 4 2" xfId="11717" xr:uid="{00000000-0005-0000-0000-00002B550000}"/>
    <cellStyle name="Normal 2 5 4 7 4 2 2" xfId="37272" xr:uid="{00000000-0005-0000-0000-00002C550000}"/>
    <cellStyle name="Normal 2 5 4 7 4 3" xfId="21721" xr:uid="{00000000-0005-0000-0000-00002D550000}"/>
    <cellStyle name="Normal 2 5 4 7 4 3 2" xfId="47274" xr:uid="{00000000-0005-0000-0000-00002E550000}"/>
    <cellStyle name="Normal 2 5 4 7 4 4" xfId="28204" xr:uid="{00000000-0005-0000-0000-00002F550000}"/>
    <cellStyle name="Normal 2 5 4 7 5" xfId="6028" xr:uid="{00000000-0005-0000-0000-000030550000}"/>
    <cellStyle name="Normal 2 5 4 7 5 2" xfId="14855" xr:uid="{00000000-0005-0000-0000-000031550000}"/>
    <cellStyle name="Normal 2 5 4 7 5 2 2" xfId="40410" xr:uid="{00000000-0005-0000-0000-000032550000}"/>
    <cellStyle name="Normal 2 5 4 7 5 3" xfId="25106" xr:uid="{00000000-0005-0000-0000-000033550000}"/>
    <cellStyle name="Normal 2 5 4 7 5 3 2" xfId="50659" xr:uid="{00000000-0005-0000-0000-000034550000}"/>
    <cellStyle name="Normal 2 5 4 7 5 4" xfId="31589" xr:uid="{00000000-0005-0000-0000-000035550000}"/>
    <cellStyle name="Normal 2 5 4 7 6" xfId="7472" xr:uid="{00000000-0005-0000-0000-000036550000}"/>
    <cellStyle name="Normal 2 5 4 7 6 2" xfId="20203" xr:uid="{00000000-0005-0000-0000-000037550000}"/>
    <cellStyle name="Normal 2 5 4 7 6 2 2" xfId="45756" xr:uid="{00000000-0005-0000-0000-000038550000}"/>
    <cellStyle name="Normal 2 5 4 7 6 3" xfId="33029" xr:uid="{00000000-0005-0000-0000-000039550000}"/>
    <cellStyle name="Normal 2 5 4 7 7" xfId="16714" xr:uid="{00000000-0005-0000-0000-00003A550000}"/>
    <cellStyle name="Normal 2 5 4 7 7 2" xfId="42267" xr:uid="{00000000-0005-0000-0000-00003B550000}"/>
    <cellStyle name="Normal 2 5 4 7 8" xfId="26686" xr:uid="{00000000-0005-0000-0000-00003C550000}"/>
    <cellStyle name="Normal 2 5 4 8" xfId="1066" xr:uid="{00000000-0005-0000-0000-00003D550000}"/>
    <cellStyle name="Normal 2 5 4 8 2" xfId="3495" xr:uid="{00000000-0005-0000-0000-00003E550000}"/>
    <cellStyle name="Normal 2 5 4 8 2 2" xfId="12631" xr:uid="{00000000-0005-0000-0000-00003F550000}"/>
    <cellStyle name="Normal 2 5 4 8 2 2 2" xfId="22850" xr:uid="{00000000-0005-0000-0000-000040550000}"/>
    <cellStyle name="Normal 2 5 4 8 2 2 2 2" xfId="48403" xr:uid="{00000000-0005-0000-0000-000041550000}"/>
    <cellStyle name="Normal 2 5 4 8 2 2 3" xfId="38186" xr:uid="{00000000-0005-0000-0000-000042550000}"/>
    <cellStyle name="Normal 2 5 4 8 2 3" xfId="9053" xr:uid="{00000000-0005-0000-0000-000043550000}"/>
    <cellStyle name="Normal 2 5 4 8 2 3 2" xfId="34610" xr:uid="{00000000-0005-0000-0000-000044550000}"/>
    <cellStyle name="Normal 2 5 4 8 2 4" xfId="17843" xr:uid="{00000000-0005-0000-0000-000045550000}"/>
    <cellStyle name="Normal 2 5 4 8 2 4 2" xfId="43396" xr:uid="{00000000-0005-0000-0000-000046550000}"/>
    <cellStyle name="Normal 2 5 4 8 2 5" xfId="29333" xr:uid="{00000000-0005-0000-0000-000047550000}"/>
    <cellStyle name="Normal 2 5 4 8 3" xfId="4921" xr:uid="{00000000-0005-0000-0000-000048550000}"/>
    <cellStyle name="Normal 2 5 4 8 3 2" xfId="13758" xr:uid="{00000000-0005-0000-0000-000049550000}"/>
    <cellStyle name="Normal 2 5 4 8 3 2 2" xfId="24009" xr:uid="{00000000-0005-0000-0000-00004A550000}"/>
    <cellStyle name="Normal 2 5 4 8 3 2 2 2" xfId="49562" xr:uid="{00000000-0005-0000-0000-00004B550000}"/>
    <cellStyle name="Normal 2 5 4 8 3 2 3" xfId="39313" xr:uid="{00000000-0005-0000-0000-00004C550000}"/>
    <cellStyle name="Normal 2 5 4 8 3 3" xfId="10179" xr:uid="{00000000-0005-0000-0000-00004D550000}"/>
    <cellStyle name="Normal 2 5 4 8 3 3 2" xfId="35736" xr:uid="{00000000-0005-0000-0000-00004E550000}"/>
    <cellStyle name="Normal 2 5 4 8 3 4" xfId="19002" xr:uid="{00000000-0005-0000-0000-00004F550000}"/>
    <cellStyle name="Normal 2 5 4 8 3 4 2" xfId="44555" xr:uid="{00000000-0005-0000-0000-000050550000}"/>
    <cellStyle name="Normal 2 5 4 8 3 5" xfId="30492" xr:uid="{00000000-0005-0000-0000-000051550000}"/>
    <cellStyle name="Normal 2 5 4 8 4" xfId="1731" xr:uid="{00000000-0005-0000-0000-000052550000}"/>
    <cellStyle name="Normal 2 5 4 8 4 2" xfId="11105" xr:uid="{00000000-0005-0000-0000-000053550000}"/>
    <cellStyle name="Normal 2 5 4 8 4 2 2" xfId="36660" xr:uid="{00000000-0005-0000-0000-000054550000}"/>
    <cellStyle name="Normal 2 5 4 8 4 3" xfId="21109" xr:uid="{00000000-0005-0000-0000-000055550000}"/>
    <cellStyle name="Normal 2 5 4 8 4 3 2" xfId="46662" xr:uid="{00000000-0005-0000-0000-000056550000}"/>
    <cellStyle name="Normal 2 5 4 8 4 4" xfId="27592" xr:uid="{00000000-0005-0000-0000-000057550000}"/>
    <cellStyle name="Normal 2 5 4 8 5" xfId="6376" xr:uid="{00000000-0005-0000-0000-000058550000}"/>
    <cellStyle name="Normal 2 5 4 8 5 2" xfId="15203" xr:uid="{00000000-0005-0000-0000-000059550000}"/>
    <cellStyle name="Normal 2 5 4 8 5 2 2" xfId="40758" xr:uid="{00000000-0005-0000-0000-00005A550000}"/>
    <cellStyle name="Normal 2 5 4 8 5 3" xfId="25454" xr:uid="{00000000-0005-0000-0000-00005B550000}"/>
    <cellStyle name="Normal 2 5 4 8 5 3 2" xfId="51007" xr:uid="{00000000-0005-0000-0000-00005C550000}"/>
    <cellStyle name="Normal 2 5 4 8 5 4" xfId="31937" xr:uid="{00000000-0005-0000-0000-00005D550000}"/>
    <cellStyle name="Normal 2 5 4 8 6" xfId="7822" xr:uid="{00000000-0005-0000-0000-00005E550000}"/>
    <cellStyle name="Normal 2 5 4 8 6 2" xfId="20449" xr:uid="{00000000-0005-0000-0000-00005F550000}"/>
    <cellStyle name="Normal 2 5 4 8 6 2 2" xfId="46002" xr:uid="{00000000-0005-0000-0000-000060550000}"/>
    <cellStyle name="Normal 2 5 4 8 6 3" xfId="33379" xr:uid="{00000000-0005-0000-0000-000061550000}"/>
    <cellStyle name="Normal 2 5 4 8 7" xfId="16102" xr:uid="{00000000-0005-0000-0000-000062550000}"/>
    <cellStyle name="Normal 2 5 4 8 7 2" xfId="41655" xr:uid="{00000000-0005-0000-0000-000063550000}"/>
    <cellStyle name="Normal 2 5 4 8 8" xfId="26932" xr:uid="{00000000-0005-0000-0000-000064550000}"/>
    <cellStyle name="Normal 2 5 4 9" xfId="2631" xr:uid="{00000000-0005-0000-0000-000065550000}"/>
    <cellStyle name="Normal 2 5 4 9 2" xfId="5158" xr:uid="{00000000-0005-0000-0000-000066550000}"/>
    <cellStyle name="Normal 2 5 4 9 2 2" xfId="13995" xr:uid="{00000000-0005-0000-0000-000067550000}"/>
    <cellStyle name="Normal 2 5 4 9 2 2 2" xfId="24246" xr:uid="{00000000-0005-0000-0000-000068550000}"/>
    <cellStyle name="Normal 2 5 4 9 2 2 2 2" xfId="49799" xr:uid="{00000000-0005-0000-0000-000069550000}"/>
    <cellStyle name="Normal 2 5 4 9 2 2 3" xfId="39550" xr:uid="{00000000-0005-0000-0000-00006A550000}"/>
    <cellStyle name="Normal 2 5 4 9 2 3" xfId="10416" xr:uid="{00000000-0005-0000-0000-00006B550000}"/>
    <cellStyle name="Normal 2 5 4 9 2 3 2" xfId="35973" xr:uid="{00000000-0005-0000-0000-00006C550000}"/>
    <cellStyle name="Normal 2 5 4 9 2 4" xfId="19239" xr:uid="{00000000-0005-0000-0000-00006D550000}"/>
    <cellStyle name="Normal 2 5 4 9 2 4 2" xfId="44792" xr:uid="{00000000-0005-0000-0000-00006E550000}"/>
    <cellStyle name="Normal 2 5 4 9 2 5" xfId="30729" xr:uid="{00000000-0005-0000-0000-00006F550000}"/>
    <cellStyle name="Normal 2 5 4 9 3" xfId="6613" xr:uid="{00000000-0005-0000-0000-000070550000}"/>
    <cellStyle name="Normal 2 5 4 9 3 2" xfId="15440" xr:uid="{00000000-0005-0000-0000-000071550000}"/>
    <cellStyle name="Normal 2 5 4 9 3 2 2" xfId="40995" xr:uid="{00000000-0005-0000-0000-000072550000}"/>
    <cellStyle name="Normal 2 5 4 9 3 3" xfId="25691" xr:uid="{00000000-0005-0000-0000-000073550000}"/>
    <cellStyle name="Normal 2 5 4 9 3 3 2" xfId="51244" xr:uid="{00000000-0005-0000-0000-000074550000}"/>
    <cellStyle name="Normal 2 5 4 9 3 4" xfId="32174" xr:uid="{00000000-0005-0000-0000-000075550000}"/>
    <cellStyle name="Normal 2 5 4 9 4" xfId="8059" xr:uid="{00000000-0005-0000-0000-000076550000}"/>
    <cellStyle name="Normal 2 5 4 9 4 2" xfId="21993" xr:uid="{00000000-0005-0000-0000-000077550000}"/>
    <cellStyle name="Normal 2 5 4 9 4 2 2" xfId="47546" xr:uid="{00000000-0005-0000-0000-000078550000}"/>
    <cellStyle name="Normal 2 5 4 9 4 3" xfId="33616" xr:uid="{00000000-0005-0000-0000-000079550000}"/>
    <cellStyle name="Normal 2 5 4 9 5" xfId="16986" xr:uid="{00000000-0005-0000-0000-00007A550000}"/>
    <cellStyle name="Normal 2 5 4 9 5 2" xfId="42539" xr:uid="{00000000-0005-0000-0000-00007B550000}"/>
    <cellStyle name="Normal 2 5 4 9 6" xfId="28476" xr:uid="{00000000-0005-0000-0000-00007C550000}"/>
    <cellStyle name="Normal 2 5 4_Degree data" xfId="3890" xr:uid="{00000000-0005-0000-0000-00007D550000}"/>
    <cellStyle name="Normal 2 5 5" xfId="133" xr:uid="{00000000-0005-0000-0000-00007E550000}"/>
    <cellStyle name="Normal 2 5 5 10" xfId="1401" xr:uid="{00000000-0005-0000-0000-00007F550000}"/>
    <cellStyle name="Normal 2 5 5 10 2" xfId="10778" xr:uid="{00000000-0005-0000-0000-000080550000}"/>
    <cellStyle name="Normal 2 5 5 10 2 2" xfId="36333" xr:uid="{00000000-0005-0000-0000-000081550000}"/>
    <cellStyle name="Normal 2 5 5 10 3" xfId="20782" xr:uid="{00000000-0005-0000-0000-000082550000}"/>
    <cellStyle name="Normal 2 5 5 10 3 2" xfId="46335" xr:uid="{00000000-0005-0000-0000-000083550000}"/>
    <cellStyle name="Normal 2 5 5 10 4" xfId="27265" xr:uid="{00000000-0005-0000-0000-000084550000}"/>
    <cellStyle name="Normal 2 5 5 11" xfId="5512" xr:uid="{00000000-0005-0000-0000-000085550000}"/>
    <cellStyle name="Normal 2 5 5 11 2" xfId="14339" xr:uid="{00000000-0005-0000-0000-000086550000}"/>
    <cellStyle name="Normal 2 5 5 11 2 2" xfId="39894" xr:uid="{00000000-0005-0000-0000-000087550000}"/>
    <cellStyle name="Normal 2 5 5 11 3" xfId="24590" xr:uid="{00000000-0005-0000-0000-000088550000}"/>
    <cellStyle name="Normal 2 5 5 11 3 2" xfId="50143" xr:uid="{00000000-0005-0000-0000-000089550000}"/>
    <cellStyle name="Normal 2 5 5 11 4" xfId="31073" xr:uid="{00000000-0005-0000-0000-00008A550000}"/>
    <cellStyle name="Normal 2 5 5 12" xfId="6952" xr:uid="{00000000-0005-0000-0000-00008B550000}"/>
    <cellStyle name="Normal 2 5 5 12 2" xfId="19597" xr:uid="{00000000-0005-0000-0000-00008C550000}"/>
    <cellStyle name="Normal 2 5 5 12 2 2" xfId="45150" xr:uid="{00000000-0005-0000-0000-00008D550000}"/>
    <cellStyle name="Normal 2 5 5 12 3" xfId="32510" xr:uid="{00000000-0005-0000-0000-00008E550000}"/>
    <cellStyle name="Normal 2 5 5 13" xfId="15775" xr:uid="{00000000-0005-0000-0000-00008F550000}"/>
    <cellStyle name="Normal 2 5 5 13 2" xfId="41328" xr:uid="{00000000-0005-0000-0000-000090550000}"/>
    <cellStyle name="Normal 2 5 5 14" xfId="26080" xr:uid="{00000000-0005-0000-0000-000091550000}"/>
    <cellStyle name="Normal 2 5 5 2" xfId="183" xr:uid="{00000000-0005-0000-0000-000092550000}"/>
    <cellStyle name="Normal 2 5 5 2 10" xfId="7131" xr:uid="{00000000-0005-0000-0000-000093550000}"/>
    <cellStyle name="Normal 2 5 5 2 10 2" xfId="19640" xr:uid="{00000000-0005-0000-0000-000094550000}"/>
    <cellStyle name="Normal 2 5 5 2 10 2 2" xfId="45193" xr:uid="{00000000-0005-0000-0000-000095550000}"/>
    <cellStyle name="Normal 2 5 5 2 10 3" xfId="32688" xr:uid="{00000000-0005-0000-0000-000096550000}"/>
    <cellStyle name="Normal 2 5 5 2 11" xfId="15877" xr:uid="{00000000-0005-0000-0000-000097550000}"/>
    <cellStyle name="Normal 2 5 5 2 11 2" xfId="41430" xr:uid="{00000000-0005-0000-0000-000098550000}"/>
    <cellStyle name="Normal 2 5 5 2 12" xfId="26123" xr:uid="{00000000-0005-0000-0000-000099550000}"/>
    <cellStyle name="Normal 2 5 5 2 2" xfId="511" xr:uid="{00000000-0005-0000-0000-00009A550000}"/>
    <cellStyle name="Normal 2 5 5 2 2 10" xfId="26440" xr:uid="{00000000-0005-0000-0000-00009B550000}"/>
    <cellStyle name="Normal 2 5 5 2 2 2" xfId="769" xr:uid="{00000000-0005-0000-0000-00009C550000}"/>
    <cellStyle name="Normal 2 5 5 2 2 2 2" xfId="3255" xr:uid="{00000000-0005-0000-0000-00009D550000}"/>
    <cellStyle name="Normal 2 5 5 2 2 2 2 2" xfId="12397" xr:uid="{00000000-0005-0000-0000-00009E550000}"/>
    <cellStyle name="Normal 2 5 5 2 2 2 2 2 2" xfId="22616" xr:uid="{00000000-0005-0000-0000-00009F550000}"/>
    <cellStyle name="Normal 2 5 5 2 2 2 2 2 2 2" xfId="48169" xr:uid="{00000000-0005-0000-0000-0000A0550000}"/>
    <cellStyle name="Normal 2 5 5 2 2 2 2 2 3" xfId="37952" xr:uid="{00000000-0005-0000-0000-0000A1550000}"/>
    <cellStyle name="Normal 2 5 5 2 2 2 2 3" xfId="8819" xr:uid="{00000000-0005-0000-0000-0000A2550000}"/>
    <cellStyle name="Normal 2 5 5 2 2 2 2 3 2" xfId="34376" xr:uid="{00000000-0005-0000-0000-0000A3550000}"/>
    <cellStyle name="Normal 2 5 5 2 2 2 2 4" xfId="17609" xr:uid="{00000000-0005-0000-0000-0000A4550000}"/>
    <cellStyle name="Normal 2 5 5 2 2 2 2 4 2" xfId="43162" xr:uid="{00000000-0005-0000-0000-0000A5550000}"/>
    <cellStyle name="Normal 2 5 5 2 2 2 2 5" xfId="29099" xr:uid="{00000000-0005-0000-0000-0000A6550000}"/>
    <cellStyle name="Normal 2 5 5 2 2 2 3" xfId="4584" xr:uid="{00000000-0005-0000-0000-0000A7550000}"/>
    <cellStyle name="Normal 2 5 5 2 2 2 3 2" xfId="13422" xr:uid="{00000000-0005-0000-0000-0000A8550000}"/>
    <cellStyle name="Normal 2 5 5 2 2 2 3 2 2" xfId="23673" xr:uid="{00000000-0005-0000-0000-0000A9550000}"/>
    <cellStyle name="Normal 2 5 5 2 2 2 3 2 2 2" xfId="49226" xr:uid="{00000000-0005-0000-0000-0000AA550000}"/>
    <cellStyle name="Normal 2 5 5 2 2 2 3 2 3" xfId="38977" xr:uid="{00000000-0005-0000-0000-0000AB550000}"/>
    <cellStyle name="Normal 2 5 5 2 2 2 3 3" xfId="9843" xr:uid="{00000000-0005-0000-0000-0000AC550000}"/>
    <cellStyle name="Normal 2 5 5 2 2 2 3 3 2" xfId="35400" xr:uid="{00000000-0005-0000-0000-0000AD550000}"/>
    <cellStyle name="Normal 2 5 5 2 2 2 3 4" xfId="18666" xr:uid="{00000000-0005-0000-0000-0000AE550000}"/>
    <cellStyle name="Normal 2 5 5 2 2 2 3 4 2" xfId="44219" xr:uid="{00000000-0005-0000-0000-0000AF550000}"/>
    <cellStyle name="Normal 2 5 5 2 2 2 3 5" xfId="30156" xr:uid="{00000000-0005-0000-0000-0000B0550000}"/>
    <cellStyle name="Normal 2 5 5 2 2 2 4" xfId="2364" xr:uid="{00000000-0005-0000-0000-0000B1550000}"/>
    <cellStyle name="Normal 2 5 5 2 2 2 4 2" xfId="11729" xr:uid="{00000000-0005-0000-0000-0000B2550000}"/>
    <cellStyle name="Normal 2 5 5 2 2 2 4 2 2" xfId="37284" xr:uid="{00000000-0005-0000-0000-0000B3550000}"/>
    <cellStyle name="Normal 2 5 5 2 2 2 4 3" xfId="21733" xr:uid="{00000000-0005-0000-0000-0000B4550000}"/>
    <cellStyle name="Normal 2 5 5 2 2 2 4 3 2" xfId="47286" xr:uid="{00000000-0005-0000-0000-0000B5550000}"/>
    <cellStyle name="Normal 2 5 5 2 2 2 4 4" xfId="28216" xr:uid="{00000000-0005-0000-0000-0000B6550000}"/>
    <cellStyle name="Normal 2 5 5 2 2 2 5" xfId="6040" xr:uid="{00000000-0005-0000-0000-0000B7550000}"/>
    <cellStyle name="Normal 2 5 5 2 2 2 5 2" xfId="14867" xr:uid="{00000000-0005-0000-0000-0000B8550000}"/>
    <cellStyle name="Normal 2 5 5 2 2 2 5 2 2" xfId="40422" xr:uid="{00000000-0005-0000-0000-0000B9550000}"/>
    <cellStyle name="Normal 2 5 5 2 2 2 5 3" xfId="25118" xr:uid="{00000000-0005-0000-0000-0000BA550000}"/>
    <cellStyle name="Normal 2 5 5 2 2 2 5 3 2" xfId="50671" xr:uid="{00000000-0005-0000-0000-0000BB550000}"/>
    <cellStyle name="Normal 2 5 5 2 2 2 5 4" xfId="31601" xr:uid="{00000000-0005-0000-0000-0000BC550000}"/>
    <cellStyle name="Normal 2 5 5 2 2 2 6" xfId="7484" xr:uid="{00000000-0005-0000-0000-0000BD550000}"/>
    <cellStyle name="Normal 2 5 5 2 2 2 6 2" xfId="20215" xr:uid="{00000000-0005-0000-0000-0000BE550000}"/>
    <cellStyle name="Normal 2 5 5 2 2 2 6 2 2" xfId="45768" xr:uid="{00000000-0005-0000-0000-0000BF550000}"/>
    <cellStyle name="Normal 2 5 5 2 2 2 6 3" xfId="33041" xr:uid="{00000000-0005-0000-0000-0000C0550000}"/>
    <cellStyle name="Normal 2 5 5 2 2 2 7" xfId="16726" xr:uid="{00000000-0005-0000-0000-0000C1550000}"/>
    <cellStyle name="Normal 2 5 5 2 2 2 7 2" xfId="42279" xr:uid="{00000000-0005-0000-0000-0000C2550000}"/>
    <cellStyle name="Normal 2 5 5 2 2 2 8" xfId="26698" xr:uid="{00000000-0005-0000-0000-0000C3550000}"/>
    <cellStyle name="Normal 2 5 5 2 2 3" xfId="1283" xr:uid="{00000000-0005-0000-0000-0000C4550000}"/>
    <cellStyle name="Normal 2 5 5 2 2 3 2" xfId="3712" xr:uid="{00000000-0005-0000-0000-0000C5550000}"/>
    <cellStyle name="Normal 2 5 5 2 2 3 2 2" xfId="12848" xr:uid="{00000000-0005-0000-0000-0000C6550000}"/>
    <cellStyle name="Normal 2 5 5 2 2 3 2 2 2" xfId="23067" xr:uid="{00000000-0005-0000-0000-0000C7550000}"/>
    <cellStyle name="Normal 2 5 5 2 2 3 2 2 2 2" xfId="48620" xr:uid="{00000000-0005-0000-0000-0000C8550000}"/>
    <cellStyle name="Normal 2 5 5 2 2 3 2 2 3" xfId="38403" xr:uid="{00000000-0005-0000-0000-0000C9550000}"/>
    <cellStyle name="Normal 2 5 5 2 2 3 2 3" xfId="9269" xr:uid="{00000000-0005-0000-0000-0000CA550000}"/>
    <cellStyle name="Normal 2 5 5 2 2 3 2 3 2" xfId="34826" xr:uid="{00000000-0005-0000-0000-0000CB550000}"/>
    <cellStyle name="Normal 2 5 5 2 2 3 2 4" xfId="18060" xr:uid="{00000000-0005-0000-0000-0000CC550000}"/>
    <cellStyle name="Normal 2 5 5 2 2 3 2 4 2" xfId="43613" xr:uid="{00000000-0005-0000-0000-0000CD550000}"/>
    <cellStyle name="Normal 2 5 5 2 2 3 2 5" xfId="29550" xr:uid="{00000000-0005-0000-0000-0000CE550000}"/>
    <cellStyle name="Normal 2 5 5 2 2 3 3" xfId="4933" xr:uid="{00000000-0005-0000-0000-0000CF550000}"/>
    <cellStyle name="Normal 2 5 5 2 2 3 3 2" xfId="13770" xr:uid="{00000000-0005-0000-0000-0000D0550000}"/>
    <cellStyle name="Normal 2 5 5 2 2 3 3 2 2" xfId="24021" xr:uid="{00000000-0005-0000-0000-0000D1550000}"/>
    <cellStyle name="Normal 2 5 5 2 2 3 3 2 2 2" xfId="49574" xr:uid="{00000000-0005-0000-0000-0000D2550000}"/>
    <cellStyle name="Normal 2 5 5 2 2 3 3 2 3" xfId="39325" xr:uid="{00000000-0005-0000-0000-0000D3550000}"/>
    <cellStyle name="Normal 2 5 5 2 2 3 3 3" xfId="10191" xr:uid="{00000000-0005-0000-0000-0000D4550000}"/>
    <cellStyle name="Normal 2 5 5 2 2 3 3 3 2" xfId="35748" xr:uid="{00000000-0005-0000-0000-0000D5550000}"/>
    <cellStyle name="Normal 2 5 5 2 2 3 3 4" xfId="19014" xr:uid="{00000000-0005-0000-0000-0000D6550000}"/>
    <cellStyle name="Normal 2 5 5 2 2 3 3 4 2" xfId="44567" xr:uid="{00000000-0005-0000-0000-0000D7550000}"/>
    <cellStyle name="Normal 2 5 5 2 2 3 3 5" xfId="30504" xr:uid="{00000000-0005-0000-0000-0000D8550000}"/>
    <cellStyle name="Normal 2 5 5 2 2 3 4" xfId="2106" xr:uid="{00000000-0005-0000-0000-0000D9550000}"/>
    <cellStyle name="Normal 2 5 5 2 2 3 4 2" xfId="11471" xr:uid="{00000000-0005-0000-0000-0000DA550000}"/>
    <cellStyle name="Normal 2 5 5 2 2 3 4 2 2" xfId="37026" xr:uid="{00000000-0005-0000-0000-0000DB550000}"/>
    <cellStyle name="Normal 2 5 5 2 2 3 4 3" xfId="21475" xr:uid="{00000000-0005-0000-0000-0000DC550000}"/>
    <cellStyle name="Normal 2 5 5 2 2 3 4 3 2" xfId="47028" xr:uid="{00000000-0005-0000-0000-0000DD550000}"/>
    <cellStyle name="Normal 2 5 5 2 2 3 4 4" xfId="27958" xr:uid="{00000000-0005-0000-0000-0000DE550000}"/>
    <cellStyle name="Normal 2 5 5 2 2 3 5" xfId="6388" xr:uid="{00000000-0005-0000-0000-0000DF550000}"/>
    <cellStyle name="Normal 2 5 5 2 2 3 5 2" xfId="15215" xr:uid="{00000000-0005-0000-0000-0000E0550000}"/>
    <cellStyle name="Normal 2 5 5 2 2 3 5 2 2" xfId="40770" xr:uid="{00000000-0005-0000-0000-0000E1550000}"/>
    <cellStyle name="Normal 2 5 5 2 2 3 5 3" xfId="25466" xr:uid="{00000000-0005-0000-0000-0000E2550000}"/>
    <cellStyle name="Normal 2 5 5 2 2 3 5 3 2" xfId="51019" xr:uid="{00000000-0005-0000-0000-0000E3550000}"/>
    <cellStyle name="Normal 2 5 5 2 2 3 5 4" xfId="31949" xr:uid="{00000000-0005-0000-0000-0000E4550000}"/>
    <cellStyle name="Normal 2 5 5 2 2 3 6" xfId="7834" xr:uid="{00000000-0005-0000-0000-0000E5550000}"/>
    <cellStyle name="Normal 2 5 5 2 2 3 6 2" xfId="20666" xr:uid="{00000000-0005-0000-0000-0000E6550000}"/>
    <cellStyle name="Normal 2 5 5 2 2 3 6 2 2" xfId="46219" xr:uid="{00000000-0005-0000-0000-0000E7550000}"/>
    <cellStyle name="Normal 2 5 5 2 2 3 6 3" xfId="33391" xr:uid="{00000000-0005-0000-0000-0000E8550000}"/>
    <cellStyle name="Normal 2 5 5 2 2 3 7" xfId="16468" xr:uid="{00000000-0005-0000-0000-0000E9550000}"/>
    <cellStyle name="Normal 2 5 5 2 2 3 7 2" xfId="42021" xr:uid="{00000000-0005-0000-0000-0000EA550000}"/>
    <cellStyle name="Normal 2 5 5 2 2 3 8" xfId="27149" xr:uid="{00000000-0005-0000-0000-0000EB550000}"/>
    <cellStyle name="Normal 2 5 5 2 2 4" xfId="2997" xr:uid="{00000000-0005-0000-0000-0000EC550000}"/>
    <cellStyle name="Normal 2 5 5 2 2 4 2" xfId="5375" xr:uid="{00000000-0005-0000-0000-0000ED550000}"/>
    <cellStyle name="Normal 2 5 5 2 2 4 2 2" xfId="14212" xr:uid="{00000000-0005-0000-0000-0000EE550000}"/>
    <cellStyle name="Normal 2 5 5 2 2 4 2 2 2" xfId="24463" xr:uid="{00000000-0005-0000-0000-0000EF550000}"/>
    <cellStyle name="Normal 2 5 5 2 2 4 2 2 2 2" xfId="50016" xr:uid="{00000000-0005-0000-0000-0000F0550000}"/>
    <cellStyle name="Normal 2 5 5 2 2 4 2 2 3" xfId="39767" xr:uid="{00000000-0005-0000-0000-0000F1550000}"/>
    <cellStyle name="Normal 2 5 5 2 2 4 2 3" xfId="10633" xr:uid="{00000000-0005-0000-0000-0000F2550000}"/>
    <cellStyle name="Normal 2 5 5 2 2 4 2 3 2" xfId="36190" xr:uid="{00000000-0005-0000-0000-0000F3550000}"/>
    <cellStyle name="Normal 2 5 5 2 2 4 2 4" xfId="19456" xr:uid="{00000000-0005-0000-0000-0000F4550000}"/>
    <cellStyle name="Normal 2 5 5 2 2 4 2 4 2" xfId="45009" xr:uid="{00000000-0005-0000-0000-0000F5550000}"/>
    <cellStyle name="Normal 2 5 5 2 2 4 2 5" xfId="30946" xr:uid="{00000000-0005-0000-0000-0000F6550000}"/>
    <cellStyle name="Normal 2 5 5 2 2 4 3" xfId="6830" xr:uid="{00000000-0005-0000-0000-0000F7550000}"/>
    <cellStyle name="Normal 2 5 5 2 2 4 3 2" xfId="15657" xr:uid="{00000000-0005-0000-0000-0000F8550000}"/>
    <cellStyle name="Normal 2 5 5 2 2 4 3 2 2" xfId="41212" xr:uid="{00000000-0005-0000-0000-0000F9550000}"/>
    <cellStyle name="Normal 2 5 5 2 2 4 3 3" xfId="25908" xr:uid="{00000000-0005-0000-0000-0000FA550000}"/>
    <cellStyle name="Normal 2 5 5 2 2 4 3 3 2" xfId="51461" xr:uid="{00000000-0005-0000-0000-0000FB550000}"/>
    <cellStyle name="Normal 2 5 5 2 2 4 3 4" xfId="32391" xr:uid="{00000000-0005-0000-0000-0000FC550000}"/>
    <cellStyle name="Normal 2 5 5 2 2 4 4" xfId="8276" xr:uid="{00000000-0005-0000-0000-0000FD550000}"/>
    <cellStyle name="Normal 2 5 5 2 2 4 4 2" xfId="22358" xr:uid="{00000000-0005-0000-0000-0000FE550000}"/>
    <cellStyle name="Normal 2 5 5 2 2 4 4 2 2" xfId="47911" xr:uid="{00000000-0005-0000-0000-0000FF550000}"/>
    <cellStyle name="Normal 2 5 5 2 2 4 4 3" xfId="33833" xr:uid="{00000000-0005-0000-0000-000000560000}"/>
    <cellStyle name="Normal 2 5 5 2 2 4 5" xfId="17351" xr:uid="{00000000-0005-0000-0000-000001560000}"/>
    <cellStyle name="Normal 2 5 5 2 2 4 5 2" xfId="42904" xr:uid="{00000000-0005-0000-0000-000002560000}"/>
    <cellStyle name="Normal 2 5 5 2 2 4 6" xfId="28841" xr:uid="{00000000-0005-0000-0000-000003560000}"/>
    <cellStyle name="Normal 2 5 5 2 2 5" xfId="4331" xr:uid="{00000000-0005-0000-0000-000004560000}"/>
    <cellStyle name="Normal 2 5 5 2 2 5 2" xfId="13169" xr:uid="{00000000-0005-0000-0000-000005560000}"/>
    <cellStyle name="Normal 2 5 5 2 2 5 2 2" xfId="23420" xr:uid="{00000000-0005-0000-0000-000006560000}"/>
    <cellStyle name="Normal 2 5 5 2 2 5 2 2 2" xfId="48973" xr:uid="{00000000-0005-0000-0000-000007560000}"/>
    <cellStyle name="Normal 2 5 5 2 2 5 2 3" xfId="38724" xr:uid="{00000000-0005-0000-0000-000008560000}"/>
    <cellStyle name="Normal 2 5 5 2 2 5 3" xfId="9590" xr:uid="{00000000-0005-0000-0000-000009560000}"/>
    <cellStyle name="Normal 2 5 5 2 2 5 3 2" xfId="35147" xr:uid="{00000000-0005-0000-0000-00000A560000}"/>
    <cellStyle name="Normal 2 5 5 2 2 5 4" xfId="18413" xr:uid="{00000000-0005-0000-0000-00000B560000}"/>
    <cellStyle name="Normal 2 5 5 2 2 5 4 2" xfId="43966" xr:uid="{00000000-0005-0000-0000-00000C560000}"/>
    <cellStyle name="Normal 2 5 5 2 2 5 5" xfId="29903" xr:uid="{00000000-0005-0000-0000-00000D560000}"/>
    <cellStyle name="Normal 2 5 5 2 2 6" xfId="1603" xr:uid="{00000000-0005-0000-0000-00000E560000}"/>
    <cellStyle name="Normal 2 5 5 2 2 6 2" xfId="10980" xr:uid="{00000000-0005-0000-0000-00000F560000}"/>
    <cellStyle name="Normal 2 5 5 2 2 6 2 2" xfId="36535" xr:uid="{00000000-0005-0000-0000-000010560000}"/>
    <cellStyle name="Normal 2 5 5 2 2 6 3" xfId="20984" xr:uid="{00000000-0005-0000-0000-000011560000}"/>
    <cellStyle name="Normal 2 5 5 2 2 6 3 2" xfId="46537" xr:uid="{00000000-0005-0000-0000-000012560000}"/>
    <cellStyle name="Normal 2 5 5 2 2 6 4" xfId="27467" xr:uid="{00000000-0005-0000-0000-000013560000}"/>
    <cellStyle name="Normal 2 5 5 2 2 7" xfId="5787" xr:uid="{00000000-0005-0000-0000-000014560000}"/>
    <cellStyle name="Normal 2 5 5 2 2 7 2" xfId="14614" xr:uid="{00000000-0005-0000-0000-000015560000}"/>
    <cellStyle name="Normal 2 5 5 2 2 7 2 2" xfId="40169" xr:uid="{00000000-0005-0000-0000-000016560000}"/>
    <cellStyle name="Normal 2 5 5 2 2 7 3" xfId="24865" xr:uid="{00000000-0005-0000-0000-000017560000}"/>
    <cellStyle name="Normal 2 5 5 2 2 7 3 2" xfId="50418" xr:uid="{00000000-0005-0000-0000-000018560000}"/>
    <cellStyle name="Normal 2 5 5 2 2 7 4" xfId="31348" xr:uid="{00000000-0005-0000-0000-000019560000}"/>
    <cellStyle name="Normal 2 5 5 2 2 8" xfId="7231" xr:uid="{00000000-0005-0000-0000-00001A560000}"/>
    <cellStyle name="Normal 2 5 5 2 2 8 2" xfId="19957" xr:uid="{00000000-0005-0000-0000-00001B560000}"/>
    <cellStyle name="Normal 2 5 5 2 2 8 2 2" xfId="45510" xr:uid="{00000000-0005-0000-0000-00001C560000}"/>
    <cellStyle name="Normal 2 5 5 2 2 8 3" xfId="32788" xr:uid="{00000000-0005-0000-0000-00001D560000}"/>
    <cellStyle name="Normal 2 5 5 2 2 9" xfId="15977" xr:uid="{00000000-0005-0000-0000-00001E560000}"/>
    <cellStyle name="Normal 2 5 5 2 2 9 2" xfId="41530" xr:uid="{00000000-0005-0000-0000-00001F560000}"/>
    <cellStyle name="Normal 2 5 5 2 2_Degree data" xfId="3462" xr:uid="{00000000-0005-0000-0000-000020560000}"/>
    <cellStyle name="Normal 2 5 5 2 3" xfId="411" xr:uid="{00000000-0005-0000-0000-000021560000}"/>
    <cellStyle name="Normal 2 5 5 2 3 2" xfId="2897" xr:uid="{00000000-0005-0000-0000-000022560000}"/>
    <cellStyle name="Normal 2 5 5 2 3 2 2" xfId="12185" xr:uid="{00000000-0005-0000-0000-000023560000}"/>
    <cellStyle name="Normal 2 5 5 2 3 2 2 2" xfId="22258" xr:uid="{00000000-0005-0000-0000-000024560000}"/>
    <cellStyle name="Normal 2 5 5 2 3 2 2 2 2" xfId="47811" xr:uid="{00000000-0005-0000-0000-000025560000}"/>
    <cellStyle name="Normal 2 5 5 2 3 2 2 3" xfId="37740" xr:uid="{00000000-0005-0000-0000-000026560000}"/>
    <cellStyle name="Normal 2 5 5 2 3 2 3" xfId="8451" xr:uid="{00000000-0005-0000-0000-000027560000}"/>
    <cellStyle name="Normal 2 5 5 2 3 2 3 2" xfId="34008" xr:uid="{00000000-0005-0000-0000-000028560000}"/>
    <cellStyle name="Normal 2 5 5 2 3 2 4" xfId="17251" xr:uid="{00000000-0005-0000-0000-000029560000}"/>
    <cellStyle name="Normal 2 5 5 2 3 2 4 2" xfId="42804" xr:uid="{00000000-0005-0000-0000-00002A560000}"/>
    <cellStyle name="Normal 2 5 5 2 3 2 5" xfId="28741" xr:uid="{00000000-0005-0000-0000-00002B560000}"/>
    <cellStyle name="Normal 2 5 5 2 3 3" xfId="4583" xr:uid="{00000000-0005-0000-0000-00002C560000}"/>
    <cellStyle name="Normal 2 5 5 2 3 3 2" xfId="13421" xr:uid="{00000000-0005-0000-0000-00002D560000}"/>
    <cellStyle name="Normal 2 5 5 2 3 3 2 2" xfId="23672" xr:uid="{00000000-0005-0000-0000-00002E560000}"/>
    <cellStyle name="Normal 2 5 5 2 3 3 2 2 2" xfId="49225" xr:uid="{00000000-0005-0000-0000-00002F560000}"/>
    <cellStyle name="Normal 2 5 5 2 3 3 2 3" xfId="38976" xr:uid="{00000000-0005-0000-0000-000030560000}"/>
    <cellStyle name="Normal 2 5 5 2 3 3 3" xfId="9842" xr:uid="{00000000-0005-0000-0000-000031560000}"/>
    <cellStyle name="Normal 2 5 5 2 3 3 3 2" xfId="35399" xr:uid="{00000000-0005-0000-0000-000032560000}"/>
    <cellStyle name="Normal 2 5 5 2 3 3 4" xfId="18665" xr:uid="{00000000-0005-0000-0000-000033560000}"/>
    <cellStyle name="Normal 2 5 5 2 3 3 4 2" xfId="44218" xr:uid="{00000000-0005-0000-0000-000034560000}"/>
    <cellStyle name="Normal 2 5 5 2 3 3 5" xfId="30155" xr:uid="{00000000-0005-0000-0000-000035560000}"/>
    <cellStyle name="Normal 2 5 5 2 3 4" xfId="2006" xr:uid="{00000000-0005-0000-0000-000036560000}"/>
    <cellStyle name="Normal 2 5 5 2 3 4 2" xfId="11371" xr:uid="{00000000-0005-0000-0000-000037560000}"/>
    <cellStyle name="Normal 2 5 5 2 3 4 2 2" xfId="36926" xr:uid="{00000000-0005-0000-0000-000038560000}"/>
    <cellStyle name="Normal 2 5 5 2 3 4 3" xfId="21375" xr:uid="{00000000-0005-0000-0000-000039560000}"/>
    <cellStyle name="Normal 2 5 5 2 3 4 3 2" xfId="46928" xr:uid="{00000000-0005-0000-0000-00003A560000}"/>
    <cellStyle name="Normal 2 5 5 2 3 4 4" xfId="27858" xr:uid="{00000000-0005-0000-0000-00003B560000}"/>
    <cellStyle name="Normal 2 5 5 2 3 5" xfId="6039" xr:uid="{00000000-0005-0000-0000-00003C560000}"/>
    <cellStyle name="Normal 2 5 5 2 3 5 2" xfId="14866" xr:uid="{00000000-0005-0000-0000-00003D560000}"/>
    <cellStyle name="Normal 2 5 5 2 3 5 2 2" xfId="40421" xr:uid="{00000000-0005-0000-0000-00003E560000}"/>
    <cellStyle name="Normal 2 5 5 2 3 5 3" xfId="25117" xr:uid="{00000000-0005-0000-0000-00003F560000}"/>
    <cellStyle name="Normal 2 5 5 2 3 5 3 2" xfId="50670" xr:uid="{00000000-0005-0000-0000-000040560000}"/>
    <cellStyle name="Normal 2 5 5 2 3 5 4" xfId="31600" xr:uid="{00000000-0005-0000-0000-000041560000}"/>
    <cellStyle name="Normal 2 5 5 2 3 6" xfId="7483" xr:uid="{00000000-0005-0000-0000-000042560000}"/>
    <cellStyle name="Normal 2 5 5 2 3 6 2" xfId="19857" xr:uid="{00000000-0005-0000-0000-000043560000}"/>
    <cellStyle name="Normal 2 5 5 2 3 6 2 2" xfId="45410" xr:uid="{00000000-0005-0000-0000-000044560000}"/>
    <cellStyle name="Normal 2 5 5 2 3 6 3" xfId="33040" xr:uid="{00000000-0005-0000-0000-000045560000}"/>
    <cellStyle name="Normal 2 5 5 2 3 7" xfId="16368" xr:uid="{00000000-0005-0000-0000-000046560000}"/>
    <cellStyle name="Normal 2 5 5 2 3 7 2" xfId="41921" xr:uid="{00000000-0005-0000-0000-000047560000}"/>
    <cellStyle name="Normal 2 5 5 2 3 8" xfId="26340" xr:uid="{00000000-0005-0000-0000-000048560000}"/>
    <cellStyle name="Normal 2 5 5 2 4" xfId="768" xr:uid="{00000000-0005-0000-0000-000049560000}"/>
    <cellStyle name="Normal 2 5 5 2 4 2" xfId="3254" xr:uid="{00000000-0005-0000-0000-00004A560000}"/>
    <cellStyle name="Normal 2 5 5 2 4 2 2" xfId="12396" xr:uid="{00000000-0005-0000-0000-00004B560000}"/>
    <cellStyle name="Normal 2 5 5 2 4 2 2 2" xfId="22615" xr:uid="{00000000-0005-0000-0000-00004C560000}"/>
    <cellStyle name="Normal 2 5 5 2 4 2 2 2 2" xfId="48168" xr:uid="{00000000-0005-0000-0000-00004D560000}"/>
    <cellStyle name="Normal 2 5 5 2 4 2 2 3" xfId="37951" xr:uid="{00000000-0005-0000-0000-00004E560000}"/>
    <cellStyle name="Normal 2 5 5 2 4 2 3" xfId="8818" xr:uid="{00000000-0005-0000-0000-00004F560000}"/>
    <cellStyle name="Normal 2 5 5 2 4 2 3 2" xfId="34375" xr:uid="{00000000-0005-0000-0000-000050560000}"/>
    <cellStyle name="Normal 2 5 5 2 4 2 4" xfId="17608" xr:uid="{00000000-0005-0000-0000-000051560000}"/>
    <cellStyle name="Normal 2 5 5 2 4 2 4 2" xfId="43161" xr:uid="{00000000-0005-0000-0000-000052560000}"/>
    <cellStyle name="Normal 2 5 5 2 4 2 5" xfId="29098" xr:uid="{00000000-0005-0000-0000-000053560000}"/>
    <cellStyle name="Normal 2 5 5 2 4 3" xfId="4932" xr:uid="{00000000-0005-0000-0000-000054560000}"/>
    <cellStyle name="Normal 2 5 5 2 4 3 2" xfId="13769" xr:uid="{00000000-0005-0000-0000-000055560000}"/>
    <cellStyle name="Normal 2 5 5 2 4 3 2 2" xfId="24020" xr:uid="{00000000-0005-0000-0000-000056560000}"/>
    <cellStyle name="Normal 2 5 5 2 4 3 2 2 2" xfId="49573" xr:uid="{00000000-0005-0000-0000-000057560000}"/>
    <cellStyle name="Normal 2 5 5 2 4 3 2 3" xfId="39324" xr:uid="{00000000-0005-0000-0000-000058560000}"/>
    <cellStyle name="Normal 2 5 5 2 4 3 3" xfId="10190" xr:uid="{00000000-0005-0000-0000-000059560000}"/>
    <cellStyle name="Normal 2 5 5 2 4 3 3 2" xfId="35747" xr:uid="{00000000-0005-0000-0000-00005A560000}"/>
    <cellStyle name="Normal 2 5 5 2 4 3 4" xfId="19013" xr:uid="{00000000-0005-0000-0000-00005B560000}"/>
    <cellStyle name="Normal 2 5 5 2 4 3 4 2" xfId="44566" xr:uid="{00000000-0005-0000-0000-00005C560000}"/>
    <cellStyle name="Normal 2 5 5 2 4 3 5" xfId="30503" xr:uid="{00000000-0005-0000-0000-00005D560000}"/>
    <cellStyle name="Normal 2 5 5 2 4 4" xfId="2363" xr:uid="{00000000-0005-0000-0000-00005E560000}"/>
    <cellStyle name="Normal 2 5 5 2 4 4 2" xfId="11728" xr:uid="{00000000-0005-0000-0000-00005F560000}"/>
    <cellStyle name="Normal 2 5 5 2 4 4 2 2" xfId="37283" xr:uid="{00000000-0005-0000-0000-000060560000}"/>
    <cellStyle name="Normal 2 5 5 2 4 4 3" xfId="21732" xr:uid="{00000000-0005-0000-0000-000061560000}"/>
    <cellStyle name="Normal 2 5 5 2 4 4 3 2" xfId="47285" xr:uid="{00000000-0005-0000-0000-000062560000}"/>
    <cellStyle name="Normal 2 5 5 2 4 4 4" xfId="28215" xr:uid="{00000000-0005-0000-0000-000063560000}"/>
    <cellStyle name="Normal 2 5 5 2 4 5" xfId="6387" xr:uid="{00000000-0005-0000-0000-000064560000}"/>
    <cellStyle name="Normal 2 5 5 2 4 5 2" xfId="15214" xr:uid="{00000000-0005-0000-0000-000065560000}"/>
    <cellStyle name="Normal 2 5 5 2 4 5 2 2" xfId="40769" xr:uid="{00000000-0005-0000-0000-000066560000}"/>
    <cellStyle name="Normal 2 5 5 2 4 5 3" xfId="25465" xr:uid="{00000000-0005-0000-0000-000067560000}"/>
    <cellStyle name="Normal 2 5 5 2 4 5 3 2" xfId="51018" xr:uid="{00000000-0005-0000-0000-000068560000}"/>
    <cellStyle name="Normal 2 5 5 2 4 5 4" xfId="31948" xr:uid="{00000000-0005-0000-0000-000069560000}"/>
    <cellStyle name="Normal 2 5 5 2 4 6" xfId="7833" xr:uid="{00000000-0005-0000-0000-00006A560000}"/>
    <cellStyle name="Normal 2 5 5 2 4 6 2" xfId="20214" xr:uid="{00000000-0005-0000-0000-00006B560000}"/>
    <cellStyle name="Normal 2 5 5 2 4 6 2 2" xfId="45767" xr:uid="{00000000-0005-0000-0000-00006C560000}"/>
    <cellStyle name="Normal 2 5 5 2 4 6 3" xfId="33390" xr:uid="{00000000-0005-0000-0000-00006D560000}"/>
    <cellStyle name="Normal 2 5 5 2 4 7" xfId="16725" xr:uid="{00000000-0005-0000-0000-00006E560000}"/>
    <cellStyle name="Normal 2 5 5 2 4 7 2" xfId="42278" xr:uid="{00000000-0005-0000-0000-00006F560000}"/>
    <cellStyle name="Normal 2 5 5 2 4 8" xfId="26697" xr:uid="{00000000-0005-0000-0000-000070560000}"/>
    <cellStyle name="Normal 2 5 5 2 5" xfId="1183" xr:uid="{00000000-0005-0000-0000-000071560000}"/>
    <cellStyle name="Normal 2 5 5 2 5 2" xfId="3612" xr:uid="{00000000-0005-0000-0000-000072560000}"/>
    <cellStyle name="Normal 2 5 5 2 5 2 2" xfId="12748" xr:uid="{00000000-0005-0000-0000-000073560000}"/>
    <cellStyle name="Normal 2 5 5 2 5 2 2 2" xfId="22967" xr:uid="{00000000-0005-0000-0000-000074560000}"/>
    <cellStyle name="Normal 2 5 5 2 5 2 2 2 2" xfId="48520" xr:uid="{00000000-0005-0000-0000-000075560000}"/>
    <cellStyle name="Normal 2 5 5 2 5 2 2 3" xfId="38303" xr:uid="{00000000-0005-0000-0000-000076560000}"/>
    <cellStyle name="Normal 2 5 5 2 5 2 3" xfId="9169" xr:uid="{00000000-0005-0000-0000-000077560000}"/>
    <cellStyle name="Normal 2 5 5 2 5 2 3 2" xfId="34726" xr:uid="{00000000-0005-0000-0000-000078560000}"/>
    <cellStyle name="Normal 2 5 5 2 5 2 4" xfId="17960" xr:uid="{00000000-0005-0000-0000-000079560000}"/>
    <cellStyle name="Normal 2 5 5 2 5 2 4 2" xfId="43513" xr:uid="{00000000-0005-0000-0000-00007A560000}"/>
    <cellStyle name="Normal 2 5 5 2 5 2 5" xfId="29450" xr:uid="{00000000-0005-0000-0000-00007B560000}"/>
    <cellStyle name="Normal 2 5 5 2 5 3" xfId="5275" xr:uid="{00000000-0005-0000-0000-00007C560000}"/>
    <cellStyle name="Normal 2 5 5 2 5 3 2" xfId="14112" xr:uid="{00000000-0005-0000-0000-00007D560000}"/>
    <cellStyle name="Normal 2 5 5 2 5 3 2 2" xfId="24363" xr:uid="{00000000-0005-0000-0000-00007E560000}"/>
    <cellStyle name="Normal 2 5 5 2 5 3 2 2 2" xfId="49916" xr:uid="{00000000-0005-0000-0000-00007F560000}"/>
    <cellStyle name="Normal 2 5 5 2 5 3 2 3" xfId="39667" xr:uid="{00000000-0005-0000-0000-000080560000}"/>
    <cellStyle name="Normal 2 5 5 2 5 3 3" xfId="10533" xr:uid="{00000000-0005-0000-0000-000081560000}"/>
    <cellStyle name="Normal 2 5 5 2 5 3 3 2" xfId="36090" xr:uid="{00000000-0005-0000-0000-000082560000}"/>
    <cellStyle name="Normal 2 5 5 2 5 3 4" xfId="19356" xr:uid="{00000000-0005-0000-0000-000083560000}"/>
    <cellStyle name="Normal 2 5 5 2 5 3 4 2" xfId="44909" xr:uid="{00000000-0005-0000-0000-000084560000}"/>
    <cellStyle name="Normal 2 5 5 2 5 3 5" xfId="30846" xr:uid="{00000000-0005-0000-0000-000085560000}"/>
    <cellStyle name="Normal 2 5 5 2 5 4" xfId="1785" xr:uid="{00000000-0005-0000-0000-000086560000}"/>
    <cellStyle name="Normal 2 5 5 2 5 4 2" xfId="11154" xr:uid="{00000000-0005-0000-0000-000087560000}"/>
    <cellStyle name="Normal 2 5 5 2 5 4 2 2" xfId="36709" xr:uid="{00000000-0005-0000-0000-000088560000}"/>
    <cellStyle name="Normal 2 5 5 2 5 4 3" xfId="21158" xr:uid="{00000000-0005-0000-0000-000089560000}"/>
    <cellStyle name="Normal 2 5 5 2 5 4 3 2" xfId="46711" xr:uid="{00000000-0005-0000-0000-00008A560000}"/>
    <cellStyle name="Normal 2 5 5 2 5 4 4" xfId="27641" xr:uid="{00000000-0005-0000-0000-00008B560000}"/>
    <cellStyle name="Normal 2 5 5 2 5 5" xfId="6730" xr:uid="{00000000-0005-0000-0000-00008C560000}"/>
    <cellStyle name="Normal 2 5 5 2 5 5 2" xfId="15557" xr:uid="{00000000-0005-0000-0000-00008D560000}"/>
    <cellStyle name="Normal 2 5 5 2 5 5 2 2" xfId="41112" xr:uid="{00000000-0005-0000-0000-00008E560000}"/>
    <cellStyle name="Normal 2 5 5 2 5 5 3" xfId="25808" xr:uid="{00000000-0005-0000-0000-00008F560000}"/>
    <cellStyle name="Normal 2 5 5 2 5 5 3 2" xfId="51361" xr:uid="{00000000-0005-0000-0000-000090560000}"/>
    <cellStyle name="Normal 2 5 5 2 5 5 4" xfId="32291" xr:uid="{00000000-0005-0000-0000-000091560000}"/>
    <cellStyle name="Normal 2 5 5 2 5 6" xfId="8176" xr:uid="{00000000-0005-0000-0000-000092560000}"/>
    <cellStyle name="Normal 2 5 5 2 5 6 2" xfId="20566" xr:uid="{00000000-0005-0000-0000-000093560000}"/>
    <cellStyle name="Normal 2 5 5 2 5 6 2 2" xfId="46119" xr:uid="{00000000-0005-0000-0000-000094560000}"/>
    <cellStyle name="Normal 2 5 5 2 5 6 3" xfId="33733" xr:uid="{00000000-0005-0000-0000-000095560000}"/>
    <cellStyle name="Normal 2 5 5 2 5 7" xfId="16151" xr:uid="{00000000-0005-0000-0000-000096560000}"/>
    <cellStyle name="Normal 2 5 5 2 5 7 2" xfId="41704" xr:uid="{00000000-0005-0000-0000-000097560000}"/>
    <cellStyle name="Normal 2 5 5 2 5 8" xfId="27049" xr:uid="{00000000-0005-0000-0000-000098560000}"/>
    <cellStyle name="Normal 2 5 5 2 6" xfId="2680" xr:uid="{00000000-0005-0000-0000-000099560000}"/>
    <cellStyle name="Normal 2 5 5 2 6 2" xfId="11997" xr:uid="{00000000-0005-0000-0000-00009A560000}"/>
    <cellStyle name="Normal 2 5 5 2 6 2 2" xfId="22041" xr:uid="{00000000-0005-0000-0000-00009B560000}"/>
    <cellStyle name="Normal 2 5 5 2 6 2 2 2" xfId="47594" xr:uid="{00000000-0005-0000-0000-00009C560000}"/>
    <cellStyle name="Normal 2 5 5 2 6 2 3" xfId="37552" xr:uid="{00000000-0005-0000-0000-00009D560000}"/>
    <cellStyle name="Normal 2 5 5 2 6 3" xfId="8496" xr:uid="{00000000-0005-0000-0000-00009E560000}"/>
    <cellStyle name="Normal 2 5 5 2 6 3 2" xfId="34053" xr:uid="{00000000-0005-0000-0000-00009F560000}"/>
    <cellStyle name="Normal 2 5 5 2 6 4" xfId="17034" xr:uid="{00000000-0005-0000-0000-0000A0560000}"/>
    <cellStyle name="Normal 2 5 5 2 6 4 2" xfId="42587" xr:uid="{00000000-0005-0000-0000-0000A1560000}"/>
    <cellStyle name="Normal 2 5 5 2 6 5" xfId="28524" xr:uid="{00000000-0005-0000-0000-0000A2560000}"/>
    <cellStyle name="Normal 2 5 5 2 7" xfId="4231" xr:uid="{00000000-0005-0000-0000-0000A3560000}"/>
    <cellStyle name="Normal 2 5 5 2 7 2" xfId="13069" xr:uid="{00000000-0005-0000-0000-0000A4560000}"/>
    <cellStyle name="Normal 2 5 5 2 7 2 2" xfId="23320" xr:uid="{00000000-0005-0000-0000-0000A5560000}"/>
    <cellStyle name="Normal 2 5 5 2 7 2 2 2" xfId="48873" xr:uid="{00000000-0005-0000-0000-0000A6560000}"/>
    <cellStyle name="Normal 2 5 5 2 7 2 3" xfId="38624" xr:uid="{00000000-0005-0000-0000-0000A7560000}"/>
    <cellStyle name="Normal 2 5 5 2 7 3" xfId="9490" xr:uid="{00000000-0005-0000-0000-0000A8560000}"/>
    <cellStyle name="Normal 2 5 5 2 7 3 2" xfId="35047" xr:uid="{00000000-0005-0000-0000-0000A9560000}"/>
    <cellStyle name="Normal 2 5 5 2 7 4" xfId="18313" xr:uid="{00000000-0005-0000-0000-0000AA560000}"/>
    <cellStyle name="Normal 2 5 5 2 7 4 2" xfId="43866" xr:uid="{00000000-0005-0000-0000-0000AB560000}"/>
    <cellStyle name="Normal 2 5 5 2 7 5" xfId="29803" xr:uid="{00000000-0005-0000-0000-0000AC560000}"/>
    <cellStyle name="Normal 2 5 5 2 8" xfId="1503" xr:uid="{00000000-0005-0000-0000-0000AD560000}"/>
    <cellStyle name="Normal 2 5 5 2 8 2" xfId="10880" xr:uid="{00000000-0005-0000-0000-0000AE560000}"/>
    <cellStyle name="Normal 2 5 5 2 8 2 2" xfId="36435" xr:uid="{00000000-0005-0000-0000-0000AF560000}"/>
    <cellStyle name="Normal 2 5 5 2 8 3" xfId="20884" xr:uid="{00000000-0005-0000-0000-0000B0560000}"/>
    <cellStyle name="Normal 2 5 5 2 8 3 2" xfId="46437" xr:uid="{00000000-0005-0000-0000-0000B1560000}"/>
    <cellStyle name="Normal 2 5 5 2 8 4" xfId="27367" xr:uid="{00000000-0005-0000-0000-0000B2560000}"/>
    <cellStyle name="Normal 2 5 5 2 9" xfId="5687" xr:uid="{00000000-0005-0000-0000-0000B3560000}"/>
    <cellStyle name="Normal 2 5 5 2 9 2" xfId="14514" xr:uid="{00000000-0005-0000-0000-0000B4560000}"/>
    <cellStyle name="Normal 2 5 5 2 9 2 2" xfId="40069" xr:uid="{00000000-0005-0000-0000-0000B5560000}"/>
    <cellStyle name="Normal 2 5 5 2 9 3" xfId="24765" xr:uid="{00000000-0005-0000-0000-0000B6560000}"/>
    <cellStyle name="Normal 2 5 5 2 9 3 2" xfId="50318" xr:uid="{00000000-0005-0000-0000-0000B7560000}"/>
    <cellStyle name="Normal 2 5 5 2 9 4" xfId="31248" xr:uid="{00000000-0005-0000-0000-0000B8560000}"/>
    <cellStyle name="Normal 2 5 5 2_Degree data" xfId="3884" xr:uid="{00000000-0005-0000-0000-0000B9560000}"/>
    <cellStyle name="Normal 2 5 5 3" xfId="250" xr:uid="{00000000-0005-0000-0000-0000BA560000}"/>
    <cellStyle name="Normal 2 5 5 3 10" xfId="7088" xr:uid="{00000000-0005-0000-0000-0000BB560000}"/>
    <cellStyle name="Normal 2 5 5 3 10 2" xfId="19702" xr:uid="{00000000-0005-0000-0000-0000BC560000}"/>
    <cellStyle name="Normal 2 5 5 3 10 2 2" xfId="45255" xr:uid="{00000000-0005-0000-0000-0000BD560000}"/>
    <cellStyle name="Normal 2 5 5 3 10 3" xfId="32645" xr:uid="{00000000-0005-0000-0000-0000BE560000}"/>
    <cellStyle name="Normal 2 5 5 3 11" xfId="15834" xr:uid="{00000000-0005-0000-0000-0000BF560000}"/>
    <cellStyle name="Normal 2 5 5 3 11 2" xfId="41387" xr:uid="{00000000-0005-0000-0000-0000C0560000}"/>
    <cellStyle name="Normal 2 5 5 3 12" xfId="26185" xr:uid="{00000000-0005-0000-0000-0000C1560000}"/>
    <cellStyle name="Normal 2 5 5 3 2" xfId="573" xr:uid="{00000000-0005-0000-0000-0000C2560000}"/>
    <cellStyle name="Normal 2 5 5 3 2 10" xfId="26502" xr:uid="{00000000-0005-0000-0000-0000C3560000}"/>
    <cellStyle name="Normal 2 5 5 3 2 2" xfId="771" xr:uid="{00000000-0005-0000-0000-0000C4560000}"/>
    <cellStyle name="Normal 2 5 5 3 2 2 2" xfId="3257" xr:uid="{00000000-0005-0000-0000-0000C5560000}"/>
    <cellStyle name="Normal 2 5 5 3 2 2 2 2" xfId="12399" xr:uid="{00000000-0005-0000-0000-0000C6560000}"/>
    <cellStyle name="Normal 2 5 5 3 2 2 2 2 2" xfId="22618" xr:uid="{00000000-0005-0000-0000-0000C7560000}"/>
    <cellStyle name="Normal 2 5 5 3 2 2 2 2 2 2" xfId="48171" xr:uid="{00000000-0005-0000-0000-0000C8560000}"/>
    <cellStyle name="Normal 2 5 5 3 2 2 2 2 3" xfId="37954" xr:uid="{00000000-0005-0000-0000-0000C9560000}"/>
    <cellStyle name="Normal 2 5 5 3 2 2 2 3" xfId="8821" xr:uid="{00000000-0005-0000-0000-0000CA560000}"/>
    <cellStyle name="Normal 2 5 5 3 2 2 2 3 2" xfId="34378" xr:uid="{00000000-0005-0000-0000-0000CB560000}"/>
    <cellStyle name="Normal 2 5 5 3 2 2 2 4" xfId="17611" xr:uid="{00000000-0005-0000-0000-0000CC560000}"/>
    <cellStyle name="Normal 2 5 5 3 2 2 2 4 2" xfId="43164" xr:uid="{00000000-0005-0000-0000-0000CD560000}"/>
    <cellStyle name="Normal 2 5 5 3 2 2 2 5" xfId="29101" xr:uid="{00000000-0005-0000-0000-0000CE560000}"/>
    <cellStyle name="Normal 2 5 5 3 2 2 3" xfId="4586" xr:uid="{00000000-0005-0000-0000-0000CF560000}"/>
    <cellStyle name="Normal 2 5 5 3 2 2 3 2" xfId="13424" xr:uid="{00000000-0005-0000-0000-0000D0560000}"/>
    <cellStyle name="Normal 2 5 5 3 2 2 3 2 2" xfId="23675" xr:uid="{00000000-0005-0000-0000-0000D1560000}"/>
    <cellStyle name="Normal 2 5 5 3 2 2 3 2 2 2" xfId="49228" xr:uid="{00000000-0005-0000-0000-0000D2560000}"/>
    <cellStyle name="Normal 2 5 5 3 2 2 3 2 3" xfId="38979" xr:uid="{00000000-0005-0000-0000-0000D3560000}"/>
    <cellStyle name="Normal 2 5 5 3 2 2 3 3" xfId="9845" xr:uid="{00000000-0005-0000-0000-0000D4560000}"/>
    <cellStyle name="Normal 2 5 5 3 2 2 3 3 2" xfId="35402" xr:uid="{00000000-0005-0000-0000-0000D5560000}"/>
    <cellStyle name="Normal 2 5 5 3 2 2 3 4" xfId="18668" xr:uid="{00000000-0005-0000-0000-0000D6560000}"/>
    <cellStyle name="Normal 2 5 5 3 2 2 3 4 2" xfId="44221" xr:uid="{00000000-0005-0000-0000-0000D7560000}"/>
    <cellStyle name="Normal 2 5 5 3 2 2 3 5" xfId="30158" xr:uid="{00000000-0005-0000-0000-0000D8560000}"/>
    <cellStyle name="Normal 2 5 5 3 2 2 4" xfId="2366" xr:uid="{00000000-0005-0000-0000-0000D9560000}"/>
    <cellStyle name="Normal 2 5 5 3 2 2 4 2" xfId="11731" xr:uid="{00000000-0005-0000-0000-0000DA560000}"/>
    <cellStyle name="Normal 2 5 5 3 2 2 4 2 2" xfId="37286" xr:uid="{00000000-0005-0000-0000-0000DB560000}"/>
    <cellStyle name="Normal 2 5 5 3 2 2 4 3" xfId="21735" xr:uid="{00000000-0005-0000-0000-0000DC560000}"/>
    <cellStyle name="Normal 2 5 5 3 2 2 4 3 2" xfId="47288" xr:uid="{00000000-0005-0000-0000-0000DD560000}"/>
    <cellStyle name="Normal 2 5 5 3 2 2 4 4" xfId="28218" xr:uid="{00000000-0005-0000-0000-0000DE560000}"/>
    <cellStyle name="Normal 2 5 5 3 2 2 5" xfId="6042" xr:uid="{00000000-0005-0000-0000-0000DF560000}"/>
    <cellStyle name="Normal 2 5 5 3 2 2 5 2" xfId="14869" xr:uid="{00000000-0005-0000-0000-0000E0560000}"/>
    <cellStyle name="Normal 2 5 5 3 2 2 5 2 2" xfId="40424" xr:uid="{00000000-0005-0000-0000-0000E1560000}"/>
    <cellStyle name="Normal 2 5 5 3 2 2 5 3" xfId="25120" xr:uid="{00000000-0005-0000-0000-0000E2560000}"/>
    <cellStyle name="Normal 2 5 5 3 2 2 5 3 2" xfId="50673" xr:uid="{00000000-0005-0000-0000-0000E3560000}"/>
    <cellStyle name="Normal 2 5 5 3 2 2 5 4" xfId="31603" xr:uid="{00000000-0005-0000-0000-0000E4560000}"/>
    <cellStyle name="Normal 2 5 5 3 2 2 6" xfId="7486" xr:uid="{00000000-0005-0000-0000-0000E5560000}"/>
    <cellStyle name="Normal 2 5 5 3 2 2 6 2" xfId="20217" xr:uid="{00000000-0005-0000-0000-0000E6560000}"/>
    <cellStyle name="Normal 2 5 5 3 2 2 6 2 2" xfId="45770" xr:uid="{00000000-0005-0000-0000-0000E7560000}"/>
    <cellStyle name="Normal 2 5 5 3 2 2 6 3" xfId="33043" xr:uid="{00000000-0005-0000-0000-0000E8560000}"/>
    <cellStyle name="Normal 2 5 5 3 2 2 7" xfId="16728" xr:uid="{00000000-0005-0000-0000-0000E9560000}"/>
    <cellStyle name="Normal 2 5 5 3 2 2 7 2" xfId="42281" xr:uid="{00000000-0005-0000-0000-0000EA560000}"/>
    <cellStyle name="Normal 2 5 5 3 2 2 8" xfId="26700" xr:uid="{00000000-0005-0000-0000-0000EB560000}"/>
    <cellStyle name="Normal 2 5 5 3 2 3" xfId="1345" xr:uid="{00000000-0005-0000-0000-0000EC560000}"/>
    <cellStyle name="Normal 2 5 5 3 2 3 2" xfId="3774" xr:uid="{00000000-0005-0000-0000-0000ED560000}"/>
    <cellStyle name="Normal 2 5 5 3 2 3 2 2" xfId="12910" xr:uid="{00000000-0005-0000-0000-0000EE560000}"/>
    <cellStyle name="Normal 2 5 5 3 2 3 2 2 2" xfId="23129" xr:uid="{00000000-0005-0000-0000-0000EF560000}"/>
    <cellStyle name="Normal 2 5 5 3 2 3 2 2 2 2" xfId="48682" xr:uid="{00000000-0005-0000-0000-0000F0560000}"/>
    <cellStyle name="Normal 2 5 5 3 2 3 2 2 3" xfId="38465" xr:uid="{00000000-0005-0000-0000-0000F1560000}"/>
    <cellStyle name="Normal 2 5 5 3 2 3 2 3" xfId="9331" xr:uid="{00000000-0005-0000-0000-0000F2560000}"/>
    <cellStyle name="Normal 2 5 5 3 2 3 2 3 2" xfId="34888" xr:uid="{00000000-0005-0000-0000-0000F3560000}"/>
    <cellStyle name="Normal 2 5 5 3 2 3 2 4" xfId="18122" xr:uid="{00000000-0005-0000-0000-0000F4560000}"/>
    <cellStyle name="Normal 2 5 5 3 2 3 2 4 2" xfId="43675" xr:uid="{00000000-0005-0000-0000-0000F5560000}"/>
    <cellStyle name="Normal 2 5 5 3 2 3 2 5" xfId="29612" xr:uid="{00000000-0005-0000-0000-0000F6560000}"/>
    <cellStyle name="Normal 2 5 5 3 2 3 3" xfId="4935" xr:uid="{00000000-0005-0000-0000-0000F7560000}"/>
    <cellStyle name="Normal 2 5 5 3 2 3 3 2" xfId="13772" xr:uid="{00000000-0005-0000-0000-0000F8560000}"/>
    <cellStyle name="Normal 2 5 5 3 2 3 3 2 2" xfId="24023" xr:uid="{00000000-0005-0000-0000-0000F9560000}"/>
    <cellStyle name="Normal 2 5 5 3 2 3 3 2 2 2" xfId="49576" xr:uid="{00000000-0005-0000-0000-0000FA560000}"/>
    <cellStyle name="Normal 2 5 5 3 2 3 3 2 3" xfId="39327" xr:uid="{00000000-0005-0000-0000-0000FB560000}"/>
    <cellStyle name="Normal 2 5 5 3 2 3 3 3" xfId="10193" xr:uid="{00000000-0005-0000-0000-0000FC560000}"/>
    <cellStyle name="Normal 2 5 5 3 2 3 3 3 2" xfId="35750" xr:uid="{00000000-0005-0000-0000-0000FD560000}"/>
    <cellStyle name="Normal 2 5 5 3 2 3 3 4" xfId="19016" xr:uid="{00000000-0005-0000-0000-0000FE560000}"/>
    <cellStyle name="Normal 2 5 5 3 2 3 3 4 2" xfId="44569" xr:uid="{00000000-0005-0000-0000-0000FF560000}"/>
    <cellStyle name="Normal 2 5 5 3 2 3 3 5" xfId="30506" xr:uid="{00000000-0005-0000-0000-000000570000}"/>
    <cellStyle name="Normal 2 5 5 3 2 3 4" xfId="2168" xr:uid="{00000000-0005-0000-0000-000001570000}"/>
    <cellStyle name="Normal 2 5 5 3 2 3 4 2" xfId="11533" xr:uid="{00000000-0005-0000-0000-000002570000}"/>
    <cellStyle name="Normal 2 5 5 3 2 3 4 2 2" xfId="37088" xr:uid="{00000000-0005-0000-0000-000003570000}"/>
    <cellStyle name="Normal 2 5 5 3 2 3 4 3" xfId="21537" xr:uid="{00000000-0005-0000-0000-000004570000}"/>
    <cellStyle name="Normal 2 5 5 3 2 3 4 3 2" xfId="47090" xr:uid="{00000000-0005-0000-0000-000005570000}"/>
    <cellStyle name="Normal 2 5 5 3 2 3 4 4" xfId="28020" xr:uid="{00000000-0005-0000-0000-000006570000}"/>
    <cellStyle name="Normal 2 5 5 3 2 3 5" xfId="6390" xr:uid="{00000000-0005-0000-0000-000007570000}"/>
    <cellStyle name="Normal 2 5 5 3 2 3 5 2" xfId="15217" xr:uid="{00000000-0005-0000-0000-000008570000}"/>
    <cellStyle name="Normal 2 5 5 3 2 3 5 2 2" xfId="40772" xr:uid="{00000000-0005-0000-0000-000009570000}"/>
    <cellStyle name="Normal 2 5 5 3 2 3 5 3" xfId="25468" xr:uid="{00000000-0005-0000-0000-00000A570000}"/>
    <cellStyle name="Normal 2 5 5 3 2 3 5 3 2" xfId="51021" xr:uid="{00000000-0005-0000-0000-00000B570000}"/>
    <cellStyle name="Normal 2 5 5 3 2 3 5 4" xfId="31951" xr:uid="{00000000-0005-0000-0000-00000C570000}"/>
    <cellStyle name="Normal 2 5 5 3 2 3 6" xfId="7836" xr:uid="{00000000-0005-0000-0000-00000D570000}"/>
    <cellStyle name="Normal 2 5 5 3 2 3 6 2" xfId="20728" xr:uid="{00000000-0005-0000-0000-00000E570000}"/>
    <cellStyle name="Normal 2 5 5 3 2 3 6 2 2" xfId="46281" xr:uid="{00000000-0005-0000-0000-00000F570000}"/>
    <cellStyle name="Normal 2 5 5 3 2 3 6 3" xfId="33393" xr:uid="{00000000-0005-0000-0000-000010570000}"/>
    <cellStyle name="Normal 2 5 5 3 2 3 7" xfId="16530" xr:uid="{00000000-0005-0000-0000-000011570000}"/>
    <cellStyle name="Normal 2 5 5 3 2 3 7 2" xfId="42083" xr:uid="{00000000-0005-0000-0000-000012570000}"/>
    <cellStyle name="Normal 2 5 5 3 2 3 8" xfId="27211" xr:uid="{00000000-0005-0000-0000-000013570000}"/>
    <cellStyle name="Normal 2 5 5 3 2 4" xfId="3059" xr:uid="{00000000-0005-0000-0000-000014570000}"/>
    <cellStyle name="Normal 2 5 5 3 2 4 2" xfId="5437" xr:uid="{00000000-0005-0000-0000-000015570000}"/>
    <cellStyle name="Normal 2 5 5 3 2 4 2 2" xfId="14274" xr:uid="{00000000-0005-0000-0000-000016570000}"/>
    <cellStyle name="Normal 2 5 5 3 2 4 2 2 2" xfId="24525" xr:uid="{00000000-0005-0000-0000-000017570000}"/>
    <cellStyle name="Normal 2 5 5 3 2 4 2 2 2 2" xfId="50078" xr:uid="{00000000-0005-0000-0000-000018570000}"/>
    <cellStyle name="Normal 2 5 5 3 2 4 2 2 3" xfId="39829" xr:uid="{00000000-0005-0000-0000-000019570000}"/>
    <cellStyle name="Normal 2 5 5 3 2 4 2 3" xfId="10695" xr:uid="{00000000-0005-0000-0000-00001A570000}"/>
    <cellStyle name="Normal 2 5 5 3 2 4 2 3 2" xfId="36252" xr:uid="{00000000-0005-0000-0000-00001B570000}"/>
    <cellStyle name="Normal 2 5 5 3 2 4 2 4" xfId="19518" xr:uid="{00000000-0005-0000-0000-00001C570000}"/>
    <cellStyle name="Normal 2 5 5 3 2 4 2 4 2" xfId="45071" xr:uid="{00000000-0005-0000-0000-00001D570000}"/>
    <cellStyle name="Normal 2 5 5 3 2 4 2 5" xfId="31008" xr:uid="{00000000-0005-0000-0000-00001E570000}"/>
    <cellStyle name="Normal 2 5 5 3 2 4 3" xfId="6892" xr:uid="{00000000-0005-0000-0000-00001F570000}"/>
    <cellStyle name="Normal 2 5 5 3 2 4 3 2" xfId="15719" xr:uid="{00000000-0005-0000-0000-000020570000}"/>
    <cellStyle name="Normal 2 5 5 3 2 4 3 2 2" xfId="41274" xr:uid="{00000000-0005-0000-0000-000021570000}"/>
    <cellStyle name="Normal 2 5 5 3 2 4 3 3" xfId="25970" xr:uid="{00000000-0005-0000-0000-000022570000}"/>
    <cellStyle name="Normal 2 5 5 3 2 4 3 3 2" xfId="51523" xr:uid="{00000000-0005-0000-0000-000023570000}"/>
    <cellStyle name="Normal 2 5 5 3 2 4 3 4" xfId="32453" xr:uid="{00000000-0005-0000-0000-000024570000}"/>
    <cellStyle name="Normal 2 5 5 3 2 4 4" xfId="8338" xr:uid="{00000000-0005-0000-0000-000025570000}"/>
    <cellStyle name="Normal 2 5 5 3 2 4 4 2" xfId="22420" xr:uid="{00000000-0005-0000-0000-000026570000}"/>
    <cellStyle name="Normal 2 5 5 3 2 4 4 2 2" xfId="47973" xr:uid="{00000000-0005-0000-0000-000027570000}"/>
    <cellStyle name="Normal 2 5 5 3 2 4 4 3" xfId="33895" xr:uid="{00000000-0005-0000-0000-000028570000}"/>
    <cellStyle name="Normal 2 5 5 3 2 4 5" xfId="17413" xr:uid="{00000000-0005-0000-0000-000029570000}"/>
    <cellStyle name="Normal 2 5 5 3 2 4 5 2" xfId="42966" xr:uid="{00000000-0005-0000-0000-00002A570000}"/>
    <cellStyle name="Normal 2 5 5 3 2 4 6" xfId="28903" xr:uid="{00000000-0005-0000-0000-00002B570000}"/>
    <cellStyle name="Normal 2 5 5 3 2 5" xfId="4393" xr:uid="{00000000-0005-0000-0000-00002C570000}"/>
    <cellStyle name="Normal 2 5 5 3 2 5 2" xfId="13231" xr:uid="{00000000-0005-0000-0000-00002D570000}"/>
    <cellStyle name="Normal 2 5 5 3 2 5 2 2" xfId="23482" xr:uid="{00000000-0005-0000-0000-00002E570000}"/>
    <cellStyle name="Normal 2 5 5 3 2 5 2 2 2" xfId="49035" xr:uid="{00000000-0005-0000-0000-00002F570000}"/>
    <cellStyle name="Normal 2 5 5 3 2 5 2 3" xfId="38786" xr:uid="{00000000-0005-0000-0000-000030570000}"/>
    <cellStyle name="Normal 2 5 5 3 2 5 3" xfId="9652" xr:uid="{00000000-0005-0000-0000-000031570000}"/>
    <cellStyle name="Normal 2 5 5 3 2 5 3 2" xfId="35209" xr:uid="{00000000-0005-0000-0000-000032570000}"/>
    <cellStyle name="Normal 2 5 5 3 2 5 4" xfId="18475" xr:uid="{00000000-0005-0000-0000-000033570000}"/>
    <cellStyle name="Normal 2 5 5 3 2 5 4 2" xfId="44028" xr:uid="{00000000-0005-0000-0000-000034570000}"/>
    <cellStyle name="Normal 2 5 5 3 2 5 5" xfId="29965" xr:uid="{00000000-0005-0000-0000-000035570000}"/>
    <cellStyle name="Normal 2 5 5 3 2 6" xfId="1665" xr:uid="{00000000-0005-0000-0000-000036570000}"/>
    <cellStyle name="Normal 2 5 5 3 2 6 2" xfId="11042" xr:uid="{00000000-0005-0000-0000-000037570000}"/>
    <cellStyle name="Normal 2 5 5 3 2 6 2 2" xfId="36597" xr:uid="{00000000-0005-0000-0000-000038570000}"/>
    <cellStyle name="Normal 2 5 5 3 2 6 3" xfId="21046" xr:uid="{00000000-0005-0000-0000-000039570000}"/>
    <cellStyle name="Normal 2 5 5 3 2 6 3 2" xfId="46599" xr:uid="{00000000-0005-0000-0000-00003A570000}"/>
    <cellStyle name="Normal 2 5 5 3 2 6 4" xfId="27529" xr:uid="{00000000-0005-0000-0000-00003B570000}"/>
    <cellStyle name="Normal 2 5 5 3 2 7" xfId="5849" xr:uid="{00000000-0005-0000-0000-00003C570000}"/>
    <cellStyle name="Normal 2 5 5 3 2 7 2" xfId="14676" xr:uid="{00000000-0005-0000-0000-00003D570000}"/>
    <cellStyle name="Normal 2 5 5 3 2 7 2 2" xfId="40231" xr:uid="{00000000-0005-0000-0000-00003E570000}"/>
    <cellStyle name="Normal 2 5 5 3 2 7 3" xfId="24927" xr:uid="{00000000-0005-0000-0000-00003F570000}"/>
    <cellStyle name="Normal 2 5 5 3 2 7 3 2" xfId="50480" xr:uid="{00000000-0005-0000-0000-000040570000}"/>
    <cellStyle name="Normal 2 5 5 3 2 7 4" xfId="31410" xr:uid="{00000000-0005-0000-0000-000041570000}"/>
    <cellStyle name="Normal 2 5 5 3 2 8" xfId="7293" xr:uid="{00000000-0005-0000-0000-000042570000}"/>
    <cellStyle name="Normal 2 5 5 3 2 8 2" xfId="20019" xr:uid="{00000000-0005-0000-0000-000043570000}"/>
    <cellStyle name="Normal 2 5 5 3 2 8 2 2" xfId="45572" xr:uid="{00000000-0005-0000-0000-000044570000}"/>
    <cellStyle name="Normal 2 5 5 3 2 8 3" xfId="32850" xr:uid="{00000000-0005-0000-0000-000045570000}"/>
    <cellStyle name="Normal 2 5 5 3 2 9" xfId="16039" xr:uid="{00000000-0005-0000-0000-000046570000}"/>
    <cellStyle name="Normal 2 5 5 3 2 9 2" xfId="41592" xr:uid="{00000000-0005-0000-0000-000047570000}"/>
    <cellStyle name="Normal 2 5 5 3 2_Degree data" xfId="3876" xr:uid="{00000000-0005-0000-0000-000048570000}"/>
    <cellStyle name="Normal 2 5 5 3 3" xfId="368" xr:uid="{00000000-0005-0000-0000-000049570000}"/>
    <cellStyle name="Normal 2 5 5 3 3 2" xfId="2854" xr:uid="{00000000-0005-0000-0000-00004A570000}"/>
    <cellStyle name="Normal 2 5 5 3 3 2 2" xfId="12142" xr:uid="{00000000-0005-0000-0000-00004B570000}"/>
    <cellStyle name="Normal 2 5 5 3 3 2 2 2" xfId="22215" xr:uid="{00000000-0005-0000-0000-00004C570000}"/>
    <cellStyle name="Normal 2 5 5 3 3 2 2 2 2" xfId="47768" xr:uid="{00000000-0005-0000-0000-00004D570000}"/>
    <cellStyle name="Normal 2 5 5 3 3 2 2 3" xfId="37697" xr:uid="{00000000-0005-0000-0000-00004E570000}"/>
    <cellStyle name="Normal 2 5 5 3 3 2 3" xfId="8524" xr:uid="{00000000-0005-0000-0000-00004F570000}"/>
    <cellStyle name="Normal 2 5 5 3 3 2 3 2" xfId="34081" xr:uid="{00000000-0005-0000-0000-000050570000}"/>
    <cellStyle name="Normal 2 5 5 3 3 2 4" xfId="17208" xr:uid="{00000000-0005-0000-0000-000051570000}"/>
    <cellStyle name="Normal 2 5 5 3 3 2 4 2" xfId="42761" xr:uid="{00000000-0005-0000-0000-000052570000}"/>
    <cellStyle name="Normal 2 5 5 3 3 2 5" xfId="28698" xr:uid="{00000000-0005-0000-0000-000053570000}"/>
    <cellStyle name="Normal 2 5 5 3 3 3" xfId="4585" xr:uid="{00000000-0005-0000-0000-000054570000}"/>
    <cellStyle name="Normal 2 5 5 3 3 3 2" xfId="13423" xr:uid="{00000000-0005-0000-0000-000055570000}"/>
    <cellStyle name="Normal 2 5 5 3 3 3 2 2" xfId="23674" xr:uid="{00000000-0005-0000-0000-000056570000}"/>
    <cellStyle name="Normal 2 5 5 3 3 3 2 2 2" xfId="49227" xr:uid="{00000000-0005-0000-0000-000057570000}"/>
    <cellStyle name="Normal 2 5 5 3 3 3 2 3" xfId="38978" xr:uid="{00000000-0005-0000-0000-000058570000}"/>
    <cellStyle name="Normal 2 5 5 3 3 3 3" xfId="9844" xr:uid="{00000000-0005-0000-0000-000059570000}"/>
    <cellStyle name="Normal 2 5 5 3 3 3 3 2" xfId="35401" xr:uid="{00000000-0005-0000-0000-00005A570000}"/>
    <cellStyle name="Normal 2 5 5 3 3 3 4" xfId="18667" xr:uid="{00000000-0005-0000-0000-00005B570000}"/>
    <cellStyle name="Normal 2 5 5 3 3 3 4 2" xfId="44220" xr:uid="{00000000-0005-0000-0000-00005C570000}"/>
    <cellStyle name="Normal 2 5 5 3 3 3 5" xfId="30157" xr:uid="{00000000-0005-0000-0000-00005D570000}"/>
    <cellStyle name="Normal 2 5 5 3 3 4" xfId="1963" xr:uid="{00000000-0005-0000-0000-00005E570000}"/>
    <cellStyle name="Normal 2 5 5 3 3 4 2" xfId="11328" xr:uid="{00000000-0005-0000-0000-00005F570000}"/>
    <cellStyle name="Normal 2 5 5 3 3 4 2 2" xfId="36883" xr:uid="{00000000-0005-0000-0000-000060570000}"/>
    <cellStyle name="Normal 2 5 5 3 3 4 3" xfId="21332" xr:uid="{00000000-0005-0000-0000-000061570000}"/>
    <cellStyle name="Normal 2 5 5 3 3 4 3 2" xfId="46885" xr:uid="{00000000-0005-0000-0000-000062570000}"/>
    <cellStyle name="Normal 2 5 5 3 3 4 4" xfId="27815" xr:uid="{00000000-0005-0000-0000-000063570000}"/>
    <cellStyle name="Normal 2 5 5 3 3 5" xfId="6041" xr:uid="{00000000-0005-0000-0000-000064570000}"/>
    <cellStyle name="Normal 2 5 5 3 3 5 2" xfId="14868" xr:uid="{00000000-0005-0000-0000-000065570000}"/>
    <cellStyle name="Normal 2 5 5 3 3 5 2 2" xfId="40423" xr:uid="{00000000-0005-0000-0000-000066570000}"/>
    <cellStyle name="Normal 2 5 5 3 3 5 3" xfId="25119" xr:uid="{00000000-0005-0000-0000-000067570000}"/>
    <cellStyle name="Normal 2 5 5 3 3 5 3 2" xfId="50672" xr:uid="{00000000-0005-0000-0000-000068570000}"/>
    <cellStyle name="Normal 2 5 5 3 3 5 4" xfId="31602" xr:uid="{00000000-0005-0000-0000-000069570000}"/>
    <cellStyle name="Normal 2 5 5 3 3 6" xfId="7485" xr:uid="{00000000-0005-0000-0000-00006A570000}"/>
    <cellStyle name="Normal 2 5 5 3 3 6 2" xfId="19814" xr:uid="{00000000-0005-0000-0000-00006B570000}"/>
    <cellStyle name="Normal 2 5 5 3 3 6 2 2" xfId="45367" xr:uid="{00000000-0005-0000-0000-00006C570000}"/>
    <cellStyle name="Normal 2 5 5 3 3 6 3" xfId="33042" xr:uid="{00000000-0005-0000-0000-00006D570000}"/>
    <cellStyle name="Normal 2 5 5 3 3 7" xfId="16325" xr:uid="{00000000-0005-0000-0000-00006E570000}"/>
    <cellStyle name="Normal 2 5 5 3 3 7 2" xfId="41878" xr:uid="{00000000-0005-0000-0000-00006F570000}"/>
    <cellStyle name="Normal 2 5 5 3 3 8" xfId="26297" xr:uid="{00000000-0005-0000-0000-000070570000}"/>
    <cellStyle name="Normal 2 5 5 3 4" xfId="770" xr:uid="{00000000-0005-0000-0000-000071570000}"/>
    <cellStyle name="Normal 2 5 5 3 4 2" xfId="3256" xr:uid="{00000000-0005-0000-0000-000072570000}"/>
    <cellStyle name="Normal 2 5 5 3 4 2 2" xfId="12398" xr:uid="{00000000-0005-0000-0000-000073570000}"/>
    <cellStyle name="Normal 2 5 5 3 4 2 2 2" xfId="22617" xr:uid="{00000000-0005-0000-0000-000074570000}"/>
    <cellStyle name="Normal 2 5 5 3 4 2 2 2 2" xfId="48170" xr:uid="{00000000-0005-0000-0000-000075570000}"/>
    <cellStyle name="Normal 2 5 5 3 4 2 2 3" xfId="37953" xr:uid="{00000000-0005-0000-0000-000076570000}"/>
    <cellStyle name="Normal 2 5 5 3 4 2 3" xfId="8820" xr:uid="{00000000-0005-0000-0000-000077570000}"/>
    <cellStyle name="Normal 2 5 5 3 4 2 3 2" xfId="34377" xr:uid="{00000000-0005-0000-0000-000078570000}"/>
    <cellStyle name="Normal 2 5 5 3 4 2 4" xfId="17610" xr:uid="{00000000-0005-0000-0000-000079570000}"/>
    <cellStyle name="Normal 2 5 5 3 4 2 4 2" xfId="43163" xr:uid="{00000000-0005-0000-0000-00007A570000}"/>
    <cellStyle name="Normal 2 5 5 3 4 2 5" xfId="29100" xr:uid="{00000000-0005-0000-0000-00007B570000}"/>
    <cellStyle name="Normal 2 5 5 3 4 3" xfId="4934" xr:uid="{00000000-0005-0000-0000-00007C570000}"/>
    <cellStyle name="Normal 2 5 5 3 4 3 2" xfId="13771" xr:uid="{00000000-0005-0000-0000-00007D570000}"/>
    <cellStyle name="Normal 2 5 5 3 4 3 2 2" xfId="24022" xr:uid="{00000000-0005-0000-0000-00007E570000}"/>
    <cellStyle name="Normal 2 5 5 3 4 3 2 2 2" xfId="49575" xr:uid="{00000000-0005-0000-0000-00007F570000}"/>
    <cellStyle name="Normal 2 5 5 3 4 3 2 3" xfId="39326" xr:uid="{00000000-0005-0000-0000-000080570000}"/>
    <cellStyle name="Normal 2 5 5 3 4 3 3" xfId="10192" xr:uid="{00000000-0005-0000-0000-000081570000}"/>
    <cellStyle name="Normal 2 5 5 3 4 3 3 2" xfId="35749" xr:uid="{00000000-0005-0000-0000-000082570000}"/>
    <cellStyle name="Normal 2 5 5 3 4 3 4" xfId="19015" xr:uid="{00000000-0005-0000-0000-000083570000}"/>
    <cellStyle name="Normal 2 5 5 3 4 3 4 2" xfId="44568" xr:uid="{00000000-0005-0000-0000-000084570000}"/>
    <cellStyle name="Normal 2 5 5 3 4 3 5" xfId="30505" xr:uid="{00000000-0005-0000-0000-000085570000}"/>
    <cellStyle name="Normal 2 5 5 3 4 4" xfId="2365" xr:uid="{00000000-0005-0000-0000-000086570000}"/>
    <cellStyle name="Normal 2 5 5 3 4 4 2" xfId="11730" xr:uid="{00000000-0005-0000-0000-000087570000}"/>
    <cellStyle name="Normal 2 5 5 3 4 4 2 2" xfId="37285" xr:uid="{00000000-0005-0000-0000-000088570000}"/>
    <cellStyle name="Normal 2 5 5 3 4 4 3" xfId="21734" xr:uid="{00000000-0005-0000-0000-000089570000}"/>
    <cellStyle name="Normal 2 5 5 3 4 4 3 2" xfId="47287" xr:uid="{00000000-0005-0000-0000-00008A570000}"/>
    <cellStyle name="Normal 2 5 5 3 4 4 4" xfId="28217" xr:uid="{00000000-0005-0000-0000-00008B570000}"/>
    <cellStyle name="Normal 2 5 5 3 4 5" xfId="6389" xr:uid="{00000000-0005-0000-0000-00008C570000}"/>
    <cellStyle name="Normal 2 5 5 3 4 5 2" xfId="15216" xr:uid="{00000000-0005-0000-0000-00008D570000}"/>
    <cellStyle name="Normal 2 5 5 3 4 5 2 2" xfId="40771" xr:uid="{00000000-0005-0000-0000-00008E570000}"/>
    <cellStyle name="Normal 2 5 5 3 4 5 3" xfId="25467" xr:uid="{00000000-0005-0000-0000-00008F570000}"/>
    <cellStyle name="Normal 2 5 5 3 4 5 3 2" xfId="51020" xr:uid="{00000000-0005-0000-0000-000090570000}"/>
    <cellStyle name="Normal 2 5 5 3 4 5 4" xfId="31950" xr:uid="{00000000-0005-0000-0000-000091570000}"/>
    <cellStyle name="Normal 2 5 5 3 4 6" xfId="7835" xr:uid="{00000000-0005-0000-0000-000092570000}"/>
    <cellStyle name="Normal 2 5 5 3 4 6 2" xfId="20216" xr:uid="{00000000-0005-0000-0000-000093570000}"/>
    <cellStyle name="Normal 2 5 5 3 4 6 2 2" xfId="45769" xr:uid="{00000000-0005-0000-0000-000094570000}"/>
    <cellStyle name="Normal 2 5 5 3 4 6 3" xfId="33392" xr:uid="{00000000-0005-0000-0000-000095570000}"/>
    <cellStyle name="Normal 2 5 5 3 4 7" xfId="16727" xr:uid="{00000000-0005-0000-0000-000096570000}"/>
    <cellStyle name="Normal 2 5 5 3 4 7 2" xfId="42280" xr:uid="{00000000-0005-0000-0000-000097570000}"/>
    <cellStyle name="Normal 2 5 5 3 4 8" xfId="26699" xr:uid="{00000000-0005-0000-0000-000098570000}"/>
    <cellStyle name="Normal 2 5 5 3 5" xfId="1140" xr:uid="{00000000-0005-0000-0000-000099570000}"/>
    <cellStyle name="Normal 2 5 5 3 5 2" xfId="3569" xr:uid="{00000000-0005-0000-0000-00009A570000}"/>
    <cellStyle name="Normal 2 5 5 3 5 2 2" xfId="12705" xr:uid="{00000000-0005-0000-0000-00009B570000}"/>
    <cellStyle name="Normal 2 5 5 3 5 2 2 2" xfId="22924" xr:uid="{00000000-0005-0000-0000-00009C570000}"/>
    <cellStyle name="Normal 2 5 5 3 5 2 2 2 2" xfId="48477" xr:uid="{00000000-0005-0000-0000-00009D570000}"/>
    <cellStyle name="Normal 2 5 5 3 5 2 2 3" xfId="38260" xr:uid="{00000000-0005-0000-0000-00009E570000}"/>
    <cellStyle name="Normal 2 5 5 3 5 2 3" xfId="9126" xr:uid="{00000000-0005-0000-0000-00009F570000}"/>
    <cellStyle name="Normal 2 5 5 3 5 2 3 2" xfId="34683" xr:uid="{00000000-0005-0000-0000-0000A0570000}"/>
    <cellStyle name="Normal 2 5 5 3 5 2 4" xfId="17917" xr:uid="{00000000-0005-0000-0000-0000A1570000}"/>
    <cellStyle name="Normal 2 5 5 3 5 2 4 2" xfId="43470" xr:uid="{00000000-0005-0000-0000-0000A2570000}"/>
    <cellStyle name="Normal 2 5 5 3 5 2 5" xfId="29407" xr:uid="{00000000-0005-0000-0000-0000A3570000}"/>
    <cellStyle name="Normal 2 5 5 3 5 3" xfId="5232" xr:uid="{00000000-0005-0000-0000-0000A4570000}"/>
    <cellStyle name="Normal 2 5 5 3 5 3 2" xfId="14069" xr:uid="{00000000-0005-0000-0000-0000A5570000}"/>
    <cellStyle name="Normal 2 5 5 3 5 3 2 2" xfId="24320" xr:uid="{00000000-0005-0000-0000-0000A6570000}"/>
    <cellStyle name="Normal 2 5 5 3 5 3 2 2 2" xfId="49873" xr:uid="{00000000-0005-0000-0000-0000A7570000}"/>
    <cellStyle name="Normal 2 5 5 3 5 3 2 3" xfId="39624" xr:uid="{00000000-0005-0000-0000-0000A8570000}"/>
    <cellStyle name="Normal 2 5 5 3 5 3 3" xfId="10490" xr:uid="{00000000-0005-0000-0000-0000A9570000}"/>
    <cellStyle name="Normal 2 5 5 3 5 3 3 2" xfId="36047" xr:uid="{00000000-0005-0000-0000-0000AA570000}"/>
    <cellStyle name="Normal 2 5 5 3 5 3 4" xfId="19313" xr:uid="{00000000-0005-0000-0000-0000AB570000}"/>
    <cellStyle name="Normal 2 5 5 3 5 3 4 2" xfId="44866" xr:uid="{00000000-0005-0000-0000-0000AC570000}"/>
    <cellStyle name="Normal 2 5 5 3 5 3 5" xfId="30803" xr:uid="{00000000-0005-0000-0000-0000AD570000}"/>
    <cellStyle name="Normal 2 5 5 3 5 4" xfId="1848" xr:uid="{00000000-0005-0000-0000-0000AE570000}"/>
    <cellStyle name="Normal 2 5 5 3 5 4 2" xfId="11216" xr:uid="{00000000-0005-0000-0000-0000AF570000}"/>
    <cellStyle name="Normal 2 5 5 3 5 4 2 2" xfId="36771" xr:uid="{00000000-0005-0000-0000-0000B0570000}"/>
    <cellStyle name="Normal 2 5 5 3 5 4 3" xfId="21220" xr:uid="{00000000-0005-0000-0000-0000B1570000}"/>
    <cellStyle name="Normal 2 5 5 3 5 4 3 2" xfId="46773" xr:uid="{00000000-0005-0000-0000-0000B2570000}"/>
    <cellStyle name="Normal 2 5 5 3 5 4 4" xfId="27703" xr:uid="{00000000-0005-0000-0000-0000B3570000}"/>
    <cellStyle name="Normal 2 5 5 3 5 5" xfId="6687" xr:uid="{00000000-0005-0000-0000-0000B4570000}"/>
    <cellStyle name="Normal 2 5 5 3 5 5 2" xfId="15514" xr:uid="{00000000-0005-0000-0000-0000B5570000}"/>
    <cellStyle name="Normal 2 5 5 3 5 5 2 2" xfId="41069" xr:uid="{00000000-0005-0000-0000-0000B6570000}"/>
    <cellStyle name="Normal 2 5 5 3 5 5 3" xfId="25765" xr:uid="{00000000-0005-0000-0000-0000B7570000}"/>
    <cellStyle name="Normal 2 5 5 3 5 5 3 2" xfId="51318" xr:uid="{00000000-0005-0000-0000-0000B8570000}"/>
    <cellStyle name="Normal 2 5 5 3 5 5 4" xfId="32248" xr:uid="{00000000-0005-0000-0000-0000B9570000}"/>
    <cellStyle name="Normal 2 5 5 3 5 6" xfId="8133" xr:uid="{00000000-0005-0000-0000-0000BA570000}"/>
    <cellStyle name="Normal 2 5 5 3 5 6 2" xfId="20523" xr:uid="{00000000-0005-0000-0000-0000BB570000}"/>
    <cellStyle name="Normal 2 5 5 3 5 6 2 2" xfId="46076" xr:uid="{00000000-0005-0000-0000-0000BC570000}"/>
    <cellStyle name="Normal 2 5 5 3 5 6 3" xfId="33690" xr:uid="{00000000-0005-0000-0000-0000BD570000}"/>
    <cellStyle name="Normal 2 5 5 3 5 7" xfId="16213" xr:uid="{00000000-0005-0000-0000-0000BE570000}"/>
    <cellStyle name="Normal 2 5 5 3 5 7 2" xfId="41766" xr:uid="{00000000-0005-0000-0000-0000BF570000}"/>
    <cellStyle name="Normal 2 5 5 3 5 8" xfId="27006" xr:uid="{00000000-0005-0000-0000-0000C0570000}"/>
    <cellStyle name="Normal 2 5 5 3 6" xfId="2742" xr:uid="{00000000-0005-0000-0000-0000C1570000}"/>
    <cellStyle name="Normal 2 5 5 3 6 2" xfId="12059" xr:uid="{00000000-0005-0000-0000-0000C2570000}"/>
    <cellStyle name="Normal 2 5 5 3 6 2 2" xfId="22103" xr:uid="{00000000-0005-0000-0000-0000C3570000}"/>
    <cellStyle name="Normal 2 5 5 3 6 2 2 2" xfId="47656" xr:uid="{00000000-0005-0000-0000-0000C4570000}"/>
    <cellStyle name="Normal 2 5 5 3 6 2 3" xfId="37614" xr:uid="{00000000-0005-0000-0000-0000C5570000}"/>
    <cellStyle name="Normal 2 5 5 3 6 3" xfId="8544" xr:uid="{00000000-0005-0000-0000-0000C6570000}"/>
    <cellStyle name="Normal 2 5 5 3 6 3 2" xfId="34101" xr:uid="{00000000-0005-0000-0000-0000C7570000}"/>
    <cellStyle name="Normal 2 5 5 3 6 4" xfId="17096" xr:uid="{00000000-0005-0000-0000-0000C8570000}"/>
    <cellStyle name="Normal 2 5 5 3 6 4 2" xfId="42649" xr:uid="{00000000-0005-0000-0000-0000C9570000}"/>
    <cellStyle name="Normal 2 5 5 3 6 5" xfId="28586" xr:uid="{00000000-0005-0000-0000-0000CA570000}"/>
    <cellStyle name="Normal 2 5 5 3 7" xfId="4188" xr:uid="{00000000-0005-0000-0000-0000CB570000}"/>
    <cellStyle name="Normal 2 5 5 3 7 2" xfId="13026" xr:uid="{00000000-0005-0000-0000-0000CC570000}"/>
    <cellStyle name="Normal 2 5 5 3 7 2 2" xfId="23277" xr:uid="{00000000-0005-0000-0000-0000CD570000}"/>
    <cellStyle name="Normal 2 5 5 3 7 2 2 2" xfId="48830" xr:uid="{00000000-0005-0000-0000-0000CE570000}"/>
    <cellStyle name="Normal 2 5 5 3 7 2 3" xfId="38581" xr:uid="{00000000-0005-0000-0000-0000CF570000}"/>
    <cellStyle name="Normal 2 5 5 3 7 3" xfId="9447" xr:uid="{00000000-0005-0000-0000-0000D0570000}"/>
    <cellStyle name="Normal 2 5 5 3 7 3 2" xfId="35004" xr:uid="{00000000-0005-0000-0000-0000D1570000}"/>
    <cellStyle name="Normal 2 5 5 3 7 4" xfId="18270" xr:uid="{00000000-0005-0000-0000-0000D2570000}"/>
    <cellStyle name="Normal 2 5 5 3 7 4 2" xfId="43823" xr:uid="{00000000-0005-0000-0000-0000D3570000}"/>
    <cellStyle name="Normal 2 5 5 3 7 5" xfId="29760" xr:uid="{00000000-0005-0000-0000-0000D4570000}"/>
    <cellStyle name="Normal 2 5 5 3 8" xfId="1460" xr:uid="{00000000-0005-0000-0000-0000D5570000}"/>
    <cellStyle name="Normal 2 5 5 3 8 2" xfId="10837" xr:uid="{00000000-0005-0000-0000-0000D6570000}"/>
    <cellStyle name="Normal 2 5 5 3 8 2 2" xfId="36392" xr:uid="{00000000-0005-0000-0000-0000D7570000}"/>
    <cellStyle name="Normal 2 5 5 3 8 3" xfId="20841" xr:uid="{00000000-0005-0000-0000-0000D8570000}"/>
    <cellStyle name="Normal 2 5 5 3 8 3 2" xfId="46394" xr:uid="{00000000-0005-0000-0000-0000D9570000}"/>
    <cellStyle name="Normal 2 5 5 3 8 4" xfId="27324" xr:uid="{00000000-0005-0000-0000-0000DA570000}"/>
    <cellStyle name="Normal 2 5 5 3 9" xfId="5644" xr:uid="{00000000-0005-0000-0000-0000DB570000}"/>
    <cellStyle name="Normal 2 5 5 3 9 2" xfId="14471" xr:uid="{00000000-0005-0000-0000-0000DC570000}"/>
    <cellStyle name="Normal 2 5 5 3 9 2 2" xfId="40026" xr:uid="{00000000-0005-0000-0000-0000DD570000}"/>
    <cellStyle name="Normal 2 5 5 3 9 3" xfId="24722" xr:uid="{00000000-0005-0000-0000-0000DE570000}"/>
    <cellStyle name="Normal 2 5 5 3 9 3 2" xfId="50275" xr:uid="{00000000-0005-0000-0000-0000DF570000}"/>
    <cellStyle name="Normal 2 5 5 3 9 4" xfId="31205" xr:uid="{00000000-0005-0000-0000-0000E0570000}"/>
    <cellStyle name="Normal 2 5 5 3_Degree data" xfId="3906" xr:uid="{00000000-0005-0000-0000-0000E1570000}"/>
    <cellStyle name="Normal 2 5 5 4" xfId="468" xr:uid="{00000000-0005-0000-0000-0000E2570000}"/>
    <cellStyle name="Normal 2 5 5 4 10" xfId="26397" xr:uid="{00000000-0005-0000-0000-0000E3570000}"/>
    <cellStyle name="Normal 2 5 5 4 2" xfId="772" xr:uid="{00000000-0005-0000-0000-0000E4570000}"/>
    <cellStyle name="Normal 2 5 5 4 2 2" xfId="3258" xr:uid="{00000000-0005-0000-0000-0000E5570000}"/>
    <cellStyle name="Normal 2 5 5 4 2 2 2" xfId="12400" xr:uid="{00000000-0005-0000-0000-0000E6570000}"/>
    <cellStyle name="Normal 2 5 5 4 2 2 2 2" xfId="22619" xr:uid="{00000000-0005-0000-0000-0000E7570000}"/>
    <cellStyle name="Normal 2 5 5 4 2 2 2 2 2" xfId="48172" xr:uid="{00000000-0005-0000-0000-0000E8570000}"/>
    <cellStyle name="Normal 2 5 5 4 2 2 2 3" xfId="37955" xr:uid="{00000000-0005-0000-0000-0000E9570000}"/>
    <cellStyle name="Normal 2 5 5 4 2 2 3" xfId="8822" xr:uid="{00000000-0005-0000-0000-0000EA570000}"/>
    <cellStyle name="Normal 2 5 5 4 2 2 3 2" xfId="34379" xr:uid="{00000000-0005-0000-0000-0000EB570000}"/>
    <cellStyle name="Normal 2 5 5 4 2 2 4" xfId="17612" xr:uid="{00000000-0005-0000-0000-0000EC570000}"/>
    <cellStyle name="Normal 2 5 5 4 2 2 4 2" xfId="43165" xr:uid="{00000000-0005-0000-0000-0000ED570000}"/>
    <cellStyle name="Normal 2 5 5 4 2 2 5" xfId="29102" xr:uid="{00000000-0005-0000-0000-0000EE570000}"/>
    <cellStyle name="Normal 2 5 5 4 2 3" xfId="4587" xr:uid="{00000000-0005-0000-0000-0000EF570000}"/>
    <cellStyle name="Normal 2 5 5 4 2 3 2" xfId="13425" xr:uid="{00000000-0005-0000-0000-0000F0570000}"/>
    <cellStyle name="Normal 2 5 5 4 2 3 2 2" xfId="23676" xr:uid="{00000000-0005-0000-0000-0000F1570000}"/>
    <cellStyle name="Normal 2 5 5 4 2 3 2 2 2" xfId="49229" xr:uid="{00000000-0005-0000-0000-0000F2570000}"/>
    <cellStyle name="Normal 2 5 5 4 2 3 2 3" xfId="38980" xr:uid="{00000000-0005-0000-0000-0000F3570000}"/>
    <cellStyle name="Normal 2 5 5 4 2 3 3" xfId="9846" xr:uid="{00000000-0005-0000-0000-0000F4570000}"/>
    <cellStyle name="Normal 2 5 5 4 2 3 3 2" xfId="35403" xr:uid="{00000000-0005-0000-0000-0000F5570000}"/>
    <cellStyle name="Normal 2 5 5 4 2 3 4" xfId="18669" xr:uid="{00000000-0005-0000-0000-0000F6570000}"/>
    <cellStyle name="Normal 2 5 5 4 2 3 4 2" xfId="44222" xr:uid="{00000000-0005-0000-0000-0000F7570000}"/>
    <cellStyle name="Normal 2 5 5 4 2 3 5" xfId="30159" xr:uid="{00000000-0005-0000-0000-0000F8570000}"/>
    <cellStyle name="Normal 2 5 5 4 2 4" xfId="2367" xr:uid="{00000000-0005-0000-0000-0000F9570000}"/>
    <cellStyle name="Normal 2 5 5 4 2 4 2" xfId="11732" xr:uid="{00000000-0005-0000-0000-0000FA570000}"/>
    <cellStyle name="Normal 2 5 5 4 2 4 2 2" xfId="37287" xr:uid="{00000000-0005-0000-0000-0000FB570000}"/>
    <cellStyle name="Normal 2 5 5 4 2 4 3" xfId="21736" xr:uid="{00000000-0005-0000-0000-0000FC570000}"/>
    <cellStyle name="Normal 2 5 5 4 2 4 3 2" xfId="47289" xr:uid="{00000000-0005-0000-0000-0000FD570000}"/>
    <cellStyle name="Normal 2 5 5 4 2 4 4" xfId="28219" xr:uid="{00000000-0005-0000-0000-0000FE570000}"/>
    <cellStyle name="Normal 2 5 5 4 2 5" xfId="6043" xr:uid="{00000000-0005-0000-0000-0000FF570000}"/>
    <cellStyle name="Normal 2 5 5 4 2 5 2" xfId="14870" xr:uid="{00000000-0005-0000-0000-000000580000}"/>
    <cellStyle name="Normal 2 5 5 4 2 5 2 2" xfId="40425" xr:uid="{00000000-0005-0000-0000-000001580000}"/>
    <cellStyle name="Normal 2 5 5 4 2 5 3" xfId="25121" xr:uid="{00000000-0005-0000-0000-000002580000}"/>
    <cellStyle name="Normal 2 5 5 4 2 5 3 2" xfId="50674" xr:uid="{00000000-0005-0000-0000-000003580000}"/>
    <cellStyle name="Normal 2 5 5 4 2 5 4" xfId="31604" xr:uid="{00000000-0005-0000-0000-000004580000}"/>
    <cellStyle name="Normal 2 5 5 4 2 6" xfId="7487" xr:uid="{00000000-0005-0000-0000-000005580000}"/>
    <cellStyle name="Normal 2 5 5 4 2 6 2" xfId="20218" xr:uid="{00000000-0005-0000-0000-000006580000}"/>
    <cellStyle name="Normal 2 5 5 4 2 6 2 2" xfId="45771" xr:uid="{00000000-0005-0000-0000-000007580000}"/>
    <cellStyle name="Normal 2 5 5 4 2 6 3" xfId="33044" xr:uid="{00000000-0005-0000-0000-000008580000}"/>
    <cellStyle name="Normal 2 5 5 4 2 7" xfId="16729" xr:uid="{00000000-0005-0000-0000-000009580000}"/>
    <cellStyle name="Normal 2 5 5 4 2 7 2" xfId="42282" xr:uid="{00000000-0005-0000-0000-00000A580000}"/>
    <cellStyle name="Normal 2 5 5 4 2 8" xfId="26701" xr:uid="{00000000-0005-0000-0000-00000B580000}"/>
    <cellStyle name="Normal 2 5 5 4 3" xfId="1240" xr:uid="{00000000-0005-0000-0000-00000C580000}"/>
    <cellStyle name="Normal 2 5 5 4 3 2" xfId="3669" xr:uid="{00000000-0005-0000-0000-00000D580000}"/>
    <cellStyle name="Normal 2 5 5 4 3 2 2" xfId="12805" xr:uid="{00000000-0005-0000-0000-00000E580000}"/>
    <cellStyle name="Normal 2 5 5 4 3 2 2 2" xfId="23024" xr:uid="{00000000-0005-0000-0000-00000F580000}"/>
    <cellStyle name="Normal 2 5 5 4 3 2 2 2 2" xfId="48577" xr:uid="{00000000-0005-0000-0000-000010580000}"/>
    <cellStyle name="Normal 2 5 5 4 3 2 2 3" xfId="38360" xr:uid="{00000000-0005-0000-0000-000011580000}"/>
    <cellStyle name="Normal 2 5 5 4 3 2 3" xfId="9226" xr:uid="{00000000-0005-0000-0000-000012580000}"/>
    <cellStyle name="Normal 2 5 5 4 3 2 3 2" xfId="34783" xr:uid="{00000000-0005-0000-0000-000013580000}"/>
    <cellStyle name="Normal 2 5 5 4 3 2 4" xfId="18017" xr:uid="{00000000-0005-0000-0000-000014580000}"/>
    <cellStyle name="Normal 2 5 5 4 3 2 4 2" xfId="43570" xr:uid="{00000000-0005-0000-0000-000015580000}"/>
    <cellStyle name="Normal 2 5 5 4 3 2 5" xfId="29507" xr:uid="{00000000-0005-0000-0000-000016580000}"/>
    <cellStyle name="Normal 2 5 5 4 3 3" xfId="4936" xr:uid="{00000000-0005-0000-0000-000017580000}"/>
    <cellStyle name="Normal 2 5 5 4 3 3 2" xfId="13773" xr:uid="{00000000-0005-0000-0000-000018580000}"/>
    <cellStyle name="Normal 2 5 5 4 3 3 2 2" xfId="24024" xr:uid="{00000000-0005-0000-0000-000019580000}"/>
    <cellStyle name="Normal 2 5 5 4 3 3 2 2 2" xfId="49577" xr:uid="{00000000-0005-0000-0000-00001A580000}"/>
    <cellStyle name="Normal 2 5 5 4 3 3 2 3" xfId="39328" xr:uid="{00000000-0005-0000-0000-00001B580000}"/>
    <cellStyle name="Normal 2 5 5 4 3 3 3" xfId="10194" xr:uid="{00000000-0005-0000-0000-00001C580000}"/>
    <cellStyle name="Normal 2 5 5 4 3 3 3 2" xfId="35751" xr:uid="{00000000-0005-0000-0000-00001D580000}"/>
    <cellStyle name="Normal 2 5 5 4 3 3 4" xfId="19017" xr:uid="{00000000-0005-0000-0000-00001E580000}"/>
    <cellStyle name="Normal 2 5 5 4 3 3 4 2" xfId="44570" xr:uid="{00000000-0005-0000-0000-00001F580000}"/>
    <cellStyle name="Normal 2 5 5 4 3 3 5" xfId="30507" xr:uid="{00000000-0005-0000-0000-000020580000}"/>
    <cellStyle name="Normal 2 5 5 4 3 4" xfId="2063" xr:uid="{00000000-0005-0000-0000-000021580000}"/>
    <cellStyle name="Normal 2 5 5 4 3 4 2" xfId="11428" xr:uid="{00000000-0005-0000-0000-000022580000}"/>
    <cellStyle name="Normal 2 5 5 4 3 4 2 2" xfId="36983" xr:uid="{00000000-0005-0000-0000-000023580000}"/>
    <cellStyle name="Normal 2 5 5 4 3 4 3" xfId="21432" xr:uid="{00000000-0005-0000-0000-000024580000}"/>
    <cellStyle name="Normal 2 5 5 4 3 4 3 2" xfId="46985" xr:uid="{00000000-0005-0000-0000-000025580000}"/>
    <cellStyle name="Normal 2 5 5 4 3 4 4" xfId="27915" xr:uid="{00000000-0005-0000-0000-000026580000}"/>
    <cellStyle name="Normal 2 5 5 4 3 5" xfId="6391" xr:uid="{00000000-0005-0000-0000-000027580000}"/>
    <cellStyle name="Normal 2 5 5 4 3 5 2" xfId="15218" xr:uid="{00000000-0005-0000-0000-000028580000}"/>
    <cellStyle name="Normal 2 5 5 4 3 5 2 2" xfId="40773" xr:uid="{00000000-0005-0000-0000-000029580000}"/>
    <cellStyle name="Normal 2 5 5 4 3 5 3" xfId="25469" xr:uid="{00000000-0005-0000-0000-00002A580000}"/>
    <cellStyle name="Normal 2 5 5 4 3 5 3 2" xfId="51022" xr:uid="{00000000-0005-0000-0000-00002B580000}"/>
    <cellStyle name="Normal 2 5 5 4 3 5 4" xfId="31952" xr:uid="{00000000-0005-0000-0000-00002C580000}"/>
    <cellStyle name="Normal 2 5 5 4 3 6" xfId="7837" xr:uid="{00000000-0005-0000-0000-00002D580000}"/>
    <cellStyle name="Normal 2 5 5 4 3 6 2" xfId="20623" xr:uid="{00000000-0005-0000-0000-00002E580000}"/>
    <cellStyle name="Normal 2 5 5 4 3 6 2 2" xfId="46176" xr:uid="{00000000-0005-0000-0000-00002F580000}"/>
    <cellStyle name="Normal 2 5 5 4 3 6 3" xfId="33394" xr:uid="{00000000-0005-0000-0000-000030580000}"/>
    <cellStyle name="Normal 2 5 5 4 3 7" xfId="16425" xr:uid="{00000000-0005-0000-0000-000031580000}"/>
    <cellStyle name="Normal 2 5 5 4 3 7 2" xfId="41978" xr:uid="{00000000-0005-0000-0000-000032580000}"/>
    <cellStyle name="Normal 2 5 5 4 3 8" xfId="27106" xr:uid="{00000000-0005-0000-0000-000033580000}"/>
    <cellStyle name="Normal 2 5 5 4 4" xfId="2954" xr:uid="{00000000-0005-0000-0000-000034580000}"/>
    <cellStyle name="Normal 2 5 5 4 4 2" xfId="5332" xr:uid="{00000000-0005-0000-0000-000035580000}"/>
    <cellStyle name="Normal 2 5 5 4 4 2 2" xfId="14169" xr:uid="{00000000-0005-0000-0000-000036580000}"/>
    <cellStyle name="Normal 2 5 5 4 4 2 2 2" xfId="24420" xr:uid="{00000000-0005-0000-0000-000037580000}"/>
    <cellStyle name="Normal 2 5 5 4 4 2 2 2 2" xfId="49973" xr:uid="{00000000-0005-0000-0000-000038580000}"/>
    <cellStyle name="Normal 2 5 5 4 4 2 2 3" xfId="39724" xr:uid="{00000000-0005-0000-0000-000039580000}"/>
    <cellStyle name="Normal 2 5 5 4 4 2 3" xfId="10590" xr:uid="{00000000-0005-0000-0000-00003A580000}"/>
    <cellStyle name="Normal 2 5 5 4 4 2 3 2" xfId="36147" xr:uid="{00000000-0005-0000-0000-00003B580000}"/>
    <cellStyle name="Normal 2 5 5 4 4 2 4" xfId="19413" xr:uid="{00000000-0005-0000-0000-00003C580000}"/>
    <cellStyle name="Normal 2 5 5 4 4 2 4 2" xfId="44966" xr:uid="{00000000-0005-0000-0000-00003D580000}"/>
    <cellStyle name="Normal 2 5 5 4 4 2 5" xfId="30903" xr:uid="{00000000-0005-0000-0000-00003E580000}"/>
    <cellStyle name="Normal 2 5 5 4 4 3" xfId="6787" xr:uid="{00000000-0005-0000-0000-00003F580000}"/>
    <cellStyle name="Normal 2 5 5 4 4 3 2" xfId="15614" xr:uid="{00000000-0005-0000-0000-000040580000}"/>
    <cellStyle name="Normal 2 5 5 4 4 3 2 2" xfId="41169" xr:uid="{00000000-0005-0000-0000-000041580000}"/>
    <cellStyle name="Normal 2 5 5 4 4 3 3" xfId="25865" xr:uid="{00000000-0005-0000-0000-000042580000}"/>
    <cellStyle name="Normal 2 5 5 4 4 3 3 2" xfId="51418" xr:uid="{00000000-0005-0000-0000-000043580000}"/>
    <cellStyle name="Normal 2 5 5 4 4 3 4" xfId="32348" xr:uid="{00000000-0005-0000-0000-000044580000}"/>
    <cellStyle name="Normal 2 5 5 4 4 4" xfId="8233" xr:uid="{00000000-0005-0000-0000-000045580000}"/>
    <cellStyle name="Normal 2 5 5 4 4 4 2" xfId="22315" xr:uid="{00000000-0005-0000-0000-000046580000}"/>
    <cellStyle name="Normal 2 5 5 4 4 4 2 2" xfId="47868" xr:uid="{00000000-0005-0000-0000-000047580000}"/>
    <cellStyle name="Normal 2 5 5 4 4 4 3" xfId="33790" xr:uid="{00000000-0005-0000-0000-000048580000}"/>
    <cellStyle name="Normal 2 5 5 4 4 5" xfId="17308" xr:uid="{00000000-0005-0000-0000-000049580000}"/>
    <cellStyle name="Normal 2 5 5 4 4 5 2" xfId="42861" xr:uid="{00000000-0005-0000-0000-00004A580000}"/>
    <cellStyle name="Normal 2 5 5 4 4 6" xfId="28798" xr:uid="{00000000-0005-0000-0000-00004B580000}"/>
    <cellStyle name="Normal 2 5 5 4 5" xfId="4288" xr:uid="{00000000-0005-0000-0000-00004C580000}"/>
    <cellStyle name="Normal 2 5 5 4 5 2" xfId="13126" xr:uid="{00000000-0005-0000-0000-00004D580000}"/>
    <cellStyle name="Normal 2 5 5 4 5 2 2" xfId="23377" xr:uid="{00000000-0005-0000-0000-00004E580000}"/>
    <cellStyle name="Normal 2 5 5 4 5 2 2 2" xfId="48930" xr:uid="{00000000-0005-0000-0000-00004F580000}"/>
    <cellStyle name="Normal 2 5 5 4 5 2 3" xfId="38681" xr:uid="{00000000-0005-0000-0000-000050580000}"/>
    <cellStyle name="Normal 2 5 5 4 5 3" xfId="9547" xr:uid="{00000000-0005-0000-0000-000051580000}"/>
    <cellStyle name="Normal 2 5 5 4 5 3 2" xfId="35104" xr:uid="{00000000-0005-0000-0000-000052580000}"/>
    <cellStyle name="Normal 2 5 5 4 5 4" xfId="18370" xr:uid="{00000000-0005-0000-0000-000053580000}"/>
    <cellStyle name="Normal 2 5 5 4 5 4 2" xfId="43923" xr:uid="{00000000-0005-0000-0000-000054580000}"/>
    <cellStyle name="Normal 2 5 5 4 5 5" xfId="29860" xr:uid="{00000000-0005-0000-0000-000055580000}"/>
    <cellStyle name="Normal 2 5 5 4 6" xfId="1560" xr:uid="{00000000-0005-0000-0000-000056580000}"/>
    <cellStyle name="Normal 2 5 5 4 6 2" xfId="10937" xr:uid="{00000000-0005-0000-0000-000057580000}"/>
    <cellStyle name="Normal 2 5 5 4 6 2 2" xfId="36492" xr:uid="{00000000-0005-0000-0000-000058580000}"/>
    <cellStyle name="Normal 2 5 5 4 6 3" xfId="20941" xr:uid="{00000000-0005-0000-0000-000059580000}"/>
    <cellStyle name="Normal 2 5 5 4 6 3 2" xfId="46494" xr:uid="{00000000-0005-0000-0000-00005A580000}"/>
    <cellStyle name="Normal 2 5 5 4 6 4" xfId="27424" xr:uid="{00000000-0005-0000-0000-00005B580000}"/>
    <cellStyle name="Normal 2 5 5 4 7" xfId="5744" xr:uid="{00000000-0005-0000-0000-00005C580000}"/>
    <cellStyle name="Normal 2 5 5 4 7 2" xfId="14571" xr:uid="{00000000-0005-0000-0000-00005D580000}"/>
    <cellStyle name="Normal 2 5 5 4 7 2 2" xfId="40126" xr:uid="{00000000-0005-0000-0000-00005E580000}"/>
    <cellStyle name="Normal 2 5 5 4 7 3" xfId="24822" xr:uid="{00000000-0005-0000-0000-00005F580000}"/>
    <cellStyle name="Normal 2 5 5 4 7 3 2" xfId="50375" xr:uid="{00000000-0005-0000-0000-000060580000}"/>
    <cellStyle name="Normal 2 5 5 4 7 4" xfId="31305" xr:uid="{00000000-0005-0000-0000-000061580000}"/>
    <cellStyle name="Normal 2 5 5 4 8" xfId="7188" xr:uid="{00000000-0005-0000-0000-000062580000}"/>
    <cellStyle name="Normal 2 5 5 4 8 2" xfId="19914" xr:uid="{00000000-0005-0000-0000-000063580000}"/>
    <cellStyle name="Normal 2 5 5 4 8 2 2" xfId="45467" xr:uid="{00000000-0005-0000-0000-000064580000}"/>
    <cellStyle name="Normal 2 5 5 4 8 3" xfId="32745" xr:uid="{00000000-0005-0000-0000-000065580000}"/>
    <cellStyle name="Normal 2 5 5 4 9" xfId="15934" xr:uid="{00000000-0005-0000-0000-000066580000}"/>
    <cellStyle name="Normal 2 5 5 4 9 2" xfId="41487" xr:uid="{00000000-0005-0000-0000-000067580000}"/>
    <cellStyle name="Normal 2 5 5 4_Degree data" xfId="3855" xr:uid="{00000000-0005-0000-0000-000068580000}"/>
    <cellStyle name="Normal 2 5 5 5" xfId="309" xr:uid="{00000000-0005-0000-0000-000069580000}"/>
    <cellStyle name="Normal 2 5 5 5 2" xfId="2795" xr:uid="{00000000-0005-0000-0000-00006A580000}"/>
    <cellStyle name="Normal 2 5 5 5 2 2" xfId="12099" xr:uid="{00000000-0005-0000-0000-00006B580000}"/>
    <cellStyle name="Normal 2 5 5 5 2 2 2" xfId="22156" xr:uid="{00000000-0005-0000-0000-00006C580000}"/>
    <cellStyle name="Normal 2 5 5 5 2 2 2 2" xfId="47709" xr:uid="{00000000-0005-0000-0000-00006D580000}"/>
    <cellStyle name="Normal 2 5 5 5 2 2 3" xfId="37654" xr:uid="{00000000-0005-0000-0000-00006E580000}"/>
    <cellStyle name="Normal 2 5 5 5 2 3" xfId="8396" xr:uid="{00000000-0005-0000-0000-00006F580000}"/>
    <cellStyle name="Normal 2 5 5 5 2 3 2" xfId="33953" xr:uid="{00000000-0005-0000-0000-000070580000}"/>
    <cellStyle name="Normal 2 5 5 5 2 4" xfId="17149" xr:uid="{00000000-0005-0000-0000-000071580000}"/>
    <cellStyle name="Normal 2 5 5 5 2 4 2" xfId="42702" xr:uid="{00000000-0005-0000-0000-000072580000}"/>
    <cellStyle name="Normal 2 5 5 5 2 5" xfId="28639" xr:uid="{00000000-0005-0000-0000-000073580000}"/>
    <cellStyle name="Normal 2 5 5 5 3" xfId="4582" xr:uid="{00000000-0005-0000-0000-000074580000}"/>
    <cellStyle name="Normal 2 5 5 5 3 2" xfId="13420" xr:uid="{00000000-0005-0000-0000-000075580000}"/>
    <cellStyle name="Normal 2 5 5 5 3 2 2" xfId="23671" xr:uid="{00000000-0005-0000-0000-000076580000}"/>
    <cellStyle name="Normal 2 5 5 5 3 2 2 2" xfId="49224" xr:uid="{00000000-0005-0000-0000-000077580000}"/>
    <cellStyle name="Normal 2 5 5 5 3 2 3" xfId="38975" xr:uid="{00000000-0005-0000-0000-000078580000}"/>
    <cellStyle name="Normal 2 5 5 5 3 3" xfId="9841" xr:uid="{00000000-0005-0000-0000-000079580000}"/>
    <cellStyle name="Normal 2 5 5 5 3 3 2" xfId="35398" xr:uid="{00000000-0005-0000-0000-00007A580000}"/>
    <cellStyle name="Normal 2 5 5 5 3 4" xfId="18664" xr:uid="{00000000-0005-0000-0000-00007B580000}"/>
    <cellStyle name="Normal 2 5 5 5 3 4 2" xfId="44217" xr:uid="{00000000-0005-0000-0000-00007C580000}"/>
    <cellStyle name="Normal 2 5 5 5 3 5" xfId="30154" xr:uid="{00000000-0005-0000-0000-00007D580000}"/>
    <cellStyle name="Normal 2 5 5 5 4" xfId="1904" xr:uid="{00000000-0005-0000-0000-00007E580000}"/>
    <cellStyle name="Normal 2 5 5 5 4 2" xfId="11269" xr:uid="{00000000-0005-0000-0000-00007F580000}"/>
    <cellStyle name="Normal 2 5 5 5 4 2 2" xfId="36824" xr:uid="{00000000-0005-0000-0000-000080580000}"/>
    <cellStyle name="Normal 2 5 5 5 4 3" xfId="21273" xr:uid="{00000000-0005-0000-0000-000081580000}"/>
    <cellStyle name="Normal 2 5 5 5 4 3 2" xfId="46826" xr:uid="{00000000-0005-0000-0000-000082580000}"/>
    <cellStyle name="Normal 2 5 5 5 4 4" xfId="27756" xr:uid="{00000000-0005-0000-0000-000083580000}"/>
    <cellStyle name="Normal 2 5 5 5 5" xfId="6038" xr:uid="{00000000-0005-0000-0000-000084580000}"/>
    <cellStyle name="Normal 2 5 5 5 5 2" xfId="14865" xr:uid="{00000000-0005-0000-0000-000085580000}"/>
    <cellStyle name="Normal 2 5 5 5 5 2 2" xfId="40420" xr:uid="{00000000-0005-0000-0000-000086580000}"/>
    <cellStyle name="Normal 2 5 5 5 5 3" xfId="25116" xr:uid="{00000000-0005-0000-0000-000087580000}"/>
    <cellStyle name="Normal 2 5 5 5 5 3 2" xfId="50669" xr:uid="{00000000-0005-0000-0000-000088580000}"/>
    <cellStyle name="Normal 2 5 5 5 5 4" xfId="31599" xr:uid="{00000000-0005-0000-0000-000089580000}"/>
    <cellStyle name="Normal 2 5 5 5 6" xfId="7482" xr:uid="{00000000-0005-0000-0000-00008A580000}"/>
    <cellStyle name="Normal 2 5 5 5 6 2" xfId="19755" xr:uid="{00000000-0005-0000-0000-00008B580000}"/>
    <cellStyle name="Normal 2 5 5 5 6 2 2" xfId="45308" xr:uid="{00000000-0005-0000-0000-00008C580000}"/>
    <cellStyle name="Normal 2 5 5 5 6 3" xfId="33039" xr:uid="{00000000-0005-0000-0000-00008D580000}"/>
    <cellStyle name="Normal 2 5 5 5 7" xfId="16266" xr:uid="{00000000-0005-0000-0000-00008E580000}"/>
    <cellStyle name="Normal 2 5 5 5 7 2" xfId="41819" xr:uid="{00000000-0005-0000-0000-00008F580000}"/>
    <cellStyle name="Normal 2 5 5 5 8" xfId="26238" xr:uid="{00000000-0005-0000-0000-000090580000}"/>
    <cellStyle name="Normal 2 5 5 6" xfId="767" xr:uid="{00000000-0005-0000-0000-000091580000}"/>
    <cellStyle name="Normal 2 5 5 6 2" xfId="3253" xr:uid="{00000000-0005-0000-0000-000092580000}"/>
    <cellStyle name="Normal 2 5 5 6 2 2" xfId="12395" xr:uid="{00000000-0005-0000-0000-000093580000}"/>
    <cellStyle name="Normal 2 5 5 6 2 2 2" xfId="22614" xr:uid="{00000000-0005-0000-0000-000094580000}"/>
    <cellStyle name="Normal 2 5 5 6 2 2 2 2" xfId="48167" xr:uid="{00000000-0005-0000-0000-000095580000}"/>
    <cellStyle name="Normal 2 5 5 6 2 2 3" xfId="37950" xr:uid="{00000000-0005-0000-0000-000096580000}"/>
    <cellStyle name="Normal 2 5 5 6 2 3" xfId="8817" xr:uid="{00000000-0005-0000-0000-000097580000}"/>
    <cellStyle name="Normal 2 5 5 6 2 3 2" xfId="34374" xr:uid="{00000000-0005-0000-0000-000098580000}"/>
    <cellStyle name="Normal 2 5 5 6 2 4" xfId="17607" xr:uid="{00000000-0005-0000-0000-000099580000}"/>
    <cellStyle name="Normal 2 5 5 6 2 4 2" xfId="43160" xr:uid="{00000000-0005-0000-0000-00009A580000}"/>
    <cellStyle name="Normal 2 5 5 6 2 5" xfId="29097" xr:uid="{00000000-0005-0000-0000-00009B580000}"/>
    <cellStyle name="Normal 2 5 5 6 3" xfId="4931" xr:uid="{00000000-0005-0000-0000-00009C580000}"/>
    <cellStyle name="Normal 2 5 5 6 3 2" xfId="13768" xr:uid="{00000000-0005-0000-0000-00009D580000}"/>
    <cellStyle name="Normal 2 5 5 6 3 2 2" xfId="24019" xr:uid="{00000000-0005-0000-0000-00009E580000}"/>
    <cellStyle name="Normal 2 5 5 6 3 2 2 2" xfId="49572" xr:uid="{00000000-0005-0000-0000-00009F580000}"/>
    <cellStyle name="Normal 2 5 5 6 3 2 3" xfId="39323" xr:uid="{00000000-0005-0000-0000-0000A0580000}"/>
    <cellStyle name="Normal 2 5 5 6 3 3" xfId="10189" xr:uid="{00000000-0005-0000-0000-0000A1580000}"/>
    <cellStyle name="Normal 2 5 5 6 3 3 2" xfId="35746" xr:uid="{00000000-0005-0000-0000-0000A2580000}"/>
    <cellStyle name="Normal 2 5 5 6 3 4" xfId="19012" xr:uid="{00000000-0005-0000-0000-0000A3580000}"/>
    <cellStyle name="Normal 2 5 5 6 3 4 2" xfId="44565" xr:uid="{00000000-0005-0000-0000-0000A4580000}"/>
    <cellStyle name="Normal 2 5 5 6 3 5" xfId="30502" xr:uid="{00000000-0005-0000-0000-0000A5580000}"/>
    <cellStyle name="Normal 2 5 5 6 4" xfId="2362" xr:uid="{00000000-0005-0000-0000-0000A6580000}"/>
    <cellStyle name="Normal 2 5 5 6 4 2" xfId="11727" xr:uid="{00000000-0005-0000-0000-0000A7580000}"/>
    <cellStyle name="Normal 2 5 5 6 4 2 2" xfId="37282" xr:uid="{00000000-0005-0000-0000-0000A8580000}"/>
    <cellStyle name="Normal 2 5 5 6 4 3" xfId="21731" xr:uid="{00000000-0005-0000-0000-0000A9580000}"/>
    <cellStyle name="Normal 2 5 5 6 4 3 2" xfId="47284" xr:uid="{00000000-0005-0000-0000-0000AA580000}"/>
    <cellStyle name="Normal 2 5 5 6 4 4" xfId="28214" xr:uid="{00000000-0005-0000-0000-0000AB580000}"/>
    <cellStyle name="Normal 2 5 5 6 5" xfId="6386" xr:uid="{00000000-0005-0000-0000-0000AC580000}"/>
    <cellStyle name="Normal 2 5 5 6 5 2" xfId="15213" xr:uid="{00000000-0005-0000-0000-0000AD580000}"/>
    <cellStyle name="Normal 2 5 5 6 5 2 2" xfId="40768" xr:uid="{00000000-0005-0000-0000-0000AE580000}"/>
    <cellStyle name="Normal 2 5 5 6 5 3" xfId="25464" xr:uid="{00000000-0005-0000-0000-0000AF580000}"/>
    <cellStyle name="Normal 2 5 5 6 5 3 2" xfId="51017" xr:uid="{00000000-0005-0000-0000-0000B0580000}"/>
    <cellStyle name="Normal 2 5 5 6 5 4" xfId="31947" xr:uid="{00000000-0005-0000-0000-0000B1580000}"/>
    <cellStyle name="Normal 2 5 5 6 6" xfId="7832" xr:uid="{00000000-0005-0000-0000-0000B2580000}"/>
    <cellStyle name="Normal 2 5 5 6 6 2" xfId="20213" xr:uid="{00000000-0005-0000-0000-0000B3580000}"/>
    <cellStyle name="Normal 2 5 5 6 6 2 2" xfId="45766" xr:uid="{00000000-0005-0000-0000-0000B4580000}"/>
    <cellStyle name="Normal 2 5 5 6 6 3" xfId="33389" xr:uid="{00000000-0005-0000-0000-0000B5580000}"/>
    <cellStyle name="Normal 2 5 5 6 7" xfId="16724" xr:uid="{00000000-0005-0000-0000-0000B6580000}"/>
    <cellStyle name="Normal 2 5 5 6 7 2" xfId="42277" xr:uid="{00000000-0005-0000-0000-0000B7580000}"/>
    <cellStyle name="Normal 2 5 5 6 8" xfId="26696" xr:uid="{00000000-0005-0000-0000-0000B8580000}"/>
    <cellStyle name="Normal 2 5 5 7" xfId="1081" xr:uid="{00000000-0005-0000-0000-0000B9580000}"/>
    <cellStyle name="Normal 2 5 5 7 2" xfId="3510" xr:uid="{00000000-0005-0000-0000-0000BA580000}"/>
    <cellStyle name="Normal 2 5 5 7 2 2" xfId="12646" xr:uid="{00000000-0005-0000-0000-0000BB580000}"/>
    <cellStyle name="Normal 2 5 5 7 2 2 2" xfId="22865" xr:uid="{00000000-0005-0000-0000-0000BC580000}"/>
    <cellStyle name="Normal 2 5 5 7 2 2 2 2" xfId="48418" xr:uid="{00000000-0005-0000-0000-0000BD580000}"/>
    <cellStyle name="Normal 2 5 5 7 2 2 3" xfId="38201" xr:uid="{00000000-0005-0000-0000-0000BE580000}"/>
    <cellStyle name="Normal 2 5 5 7 2 3" xfId="9068" xr:uid="{00000000-0005-0000-0000-0000BF580000}"/>
    <cellStyle name="Normal 2 5 5 7 2 3 2" xfId="34625" xr:uid="{00000000-0005-0000-0000-0000C0580000}"/>
    <cellStyle name="Normal 2 5 5 7 2 4" xfId="17858" xr:uid="{00000000-0005-0000-0000-0000C1580000}"/>
    <cellStyle name="Normal 2 5 5 7 2 4 2" xfId="43411" xr:uid="{00000000-0005-0000-0000-0000C2580000}"/>
    <cellStyle name="Normal 2 5 5 7 2 5" xfId="29348" xr:uid="{00000000-0005-0000-0000-0000C3580000}"/>
    <cellStyle name="Normal 2 5 5 7 3" xfId="5173" xr:uid="{00000000-0005-0000-0000-0000C4580000}"/>
    <cellStyle name="Normal 2 5 5 7 3 2" xfId="14010" xr:uid="{00000000-0005-0000-0000-0000C5580000}"/>
    <cellStyle name="Normal 2 5 5 7 3 2 2" xfId="24261" xr:uid="{00000000-0005-0000-0000-0000C6580000}"/>
    <cellStyle name="Normal 2 5 5 7 3 2 2 2" xfId="49814" xr:uid="{00000000-0005-0000-0000-0000C7580000}"/>
    <cellStyle name="Normal 2 5 5 7 3 2 3" xfId="39565" xr:uid="{00000000-0005-0000-0000-0000C8580000}"/>
    <cellStyle name="Normal 2 5 5 7 3 3" xfId="10431" xr:uid="{00000000-0005-0000-0000-0000C9580000}"/>
    <cellStyle name="Normal 2 5 5 7 3 3 2" xfId="35988" xr:uid="{00000000-0005-0000-0000-0000CA580000}"/>
    <cellStyle name="Normal 2 5 5 7 3 4" xfId="19254" xr:uid="{00000000-0005-0000-0000-0000CB580000}"/>
    <cellStyle name="Normal 2 5 5 7 3 4 2" xfId="44807" xr:uid="{00000000-0005-0000-0000-0000CC580000}"/>
    <cellStyle name="Normal 2 5 5 7 3 5" xfId="30744" xr:uid="{00000000-0005-0000-0000-0000CD580000}"/>
    <cellStyle name="Normal 2 5 5 7 4" xfId="1739" xr:uid="{00000000-0005-0000-0000-0000CE580000}"/>
    <cellStyle name="Normal 2 5 5 7 4 2" xfId="11110" xr:uid="{00000000-0005-0000-0000-0000CF580000}"/>
    <cellStyle name="Normal 2 5 5 7 4 2 2" xfId="36665" xr:uid="{00000000-0005-0000-0000-0000D0580000}"/>
    <cellStyle name="Normal 2 5 5 7 4 3" xfId="21114" xr:uid="{00000000-0005-0000-0000-0000D1580000}"/>
    <cellStyle name="Normal 2 5 5 7 4 3 2" xfId="46667" xr:uid="{00000000-0005-0000-0000-0000D2580000}"/>
    <cellStyle name="Normal 2 5 5 7 4 4" xfId="27597" xr:uid="{00000000-0005-0000-0000-0000D3580000}"/>
    <cellStyle name="Normal 2 5 5 7 5" xfId="6628" xr:uid="{00000000-0005-0000-0000-0000D4580000}"/>
    <cellStyle name="Normal 2 5 5 7 5 2" xfId="15455" xr:uid="{00000000-0005-0000-0000-0000D5580000}"/>
    <cellStyle name="Normal 2 5 5 7 5 2 2" xfId="41010" xr:uid="{00000000-0005-0000-0000-0000D6580000}"/>
    <cellStyle name="Normal 2 5 5 7 5 3" xfId="25706" xr:uid="{00000000-0005-0000-0000-0000D7580000}"/>
    <cellStyle name="Normal 2 5 5 7 5 3 2" xfId="51259" xr:uid="{00000000-0005-0000-0000-0000D8580000}"/>
    <cellStyle name="Normal 2 5 5 7 5 4" xfId="32189" xr:uid="{00000000-0005-0000-0000-0000D9580000}"/>
    <cellStyle name="Normal 2 5 5 7 6" xfId="8074" xr:uid="{00000000-0005-0000-0000-0000DA580000}"/>
    <cellStyle name="Normal 2 5 5 7 6 2" xfId="20464" xr:uid="{00000000-0005-0000-0000-0000DB580000}"/>
    <cellStyle name="Normal 2 5 5 7 6 2 2" xfId="46017" xr:uid="{00000000-0005-0000-0000-0000DC580000}"/>
    <cellStyle name="Normal 2 5 5 7 6 3" xfId="33631" xr:uid="{00000000-0005-0000-0000-0000DD580000}"/>
    <cellStyle name="Normal 2 5 5 7 7" xfId="16107" xr:uid="{00000000-0005-0000-0000-0000DE580000}"/>
    <cellStyle name="Normal 2 5 5 7 7 2" xfId="41660" xr:uid="{00000000-0005-0000-0000-0000DF580000}"/>
    <cellStyle name="Normal 2 5 5 7 8" xfId="26947" xr:uid="{00000000-0005-0000-0000-0000E0580000}"/>
    <cellStyle name="Normal 2 5 5 8" xfId="2637" xr:uid="{00000000-0005-0000-0000-0000E1580000}"/>
    <cellStyle name="Normal 2 5 5 8 2" xfId="5585" xr:uid="{00000000-0005-0000-0000-0000E2580000}"/>
    <cellStyle name="Normal 2 5 5 8 2 2" xfId="14412" xr:uid="{00000000-0005-0000-0000-0000E3580000}"/>
    <cellStyle name="Normal 2 5 5 8 2 2 2" xfId="39967" xr:uid="{00000000-0005-0000-0000-0000E4580000}"/>
    <cellStyle name="Normal 2 5 5 8 2 3" xfId="24663" xr:uid="{00000000-0005-0000-0000-0000E5580000}"/>
    <cellStyle name="Normal 2 5 5 8 2 3 2" xfId="50216" xr:uid="{00000000-0005-0000-0000-0000E6580000}"/>
    <cellStyle name="Normal 2 5 5 8 2 4" xfId="31146" xr:uid="{00000000-0005-0000-0000-0000E7580000}"/>
    <cellStyle name="Normal 2 5 5 8 3" xfId="7029" xr:uid="{00000000-0005-0000-0000-0000E8580000}"/>
    <cellStyle name="Normal 2 5 5 8 3 2" xfId="21998" xr:uid="{00000000-0005-0000-0000-0000E9580000}"/>
    <cellStyle name="Normal 2 5 5 8 3 2 2" xfId="47551" xr:uid="{00000000-0005-0000-0000-0000EA580000}"/>
    <cellStyle name="Normal 2 5 5 8 3 3" xfId="32586" xr:uid="{00000000-0005-0000-0000-0000EB580000}"/>
    <cellStyle name="Normal 2 5 5 8 4" xfId="16991" xr:uid="{00000000-0005-0000-0000-0000EC580000}"/>
    <cellStyle name="Normal 2 5 5 8 4 2" xfId="42544" xr:uid="{00000000-0005-0000-0000-0000ED580000}"/>
    <cellStyle name="Normal 2 5 5 8 5" xfId="28481" xr:uid="{00000000-0005-0000-0000-0000EE580000}"/>
    <cellStyle name="Normal 2 5 5 9" xfId="4127" xr:uid="{00000000-0005-0000-0000-0000EF580000}"/>
    <cellStyle name="Normal 2 5 5 9 2" xfId="12965" xr:uid="{00000000-0005-0000-0000-0000F0580000}"/>
    <cellStyle name="Normal 2 5 5 9 2 2" xfId="23216" xr:uid="{00000000-0005-0000-0000-0000F1580000}"/>
    <cellStyle name="Normal 2 5 5 9 2 2 2" xfId="48769" xr:uid="{00000000-0005-0000-0000-0000F2580000}"/>
    <cellStyle name="Normal 2 5 5 9 2 3" xfId="38520" xr:uid="{00000000-0005-0000-0000-0000F3580000}"/>
    <cellStyle name="Normal 2 5 5 9 3" xfId="9386" xr:uid="{00000000-0005-0000-0000-0000F4580000}"/>
    <cellStyle name="Normal 2 5 5 9 3 2" xfId="34943" xr:uid="{00000000-0005-0000-0000-0000F5580000}"/>
    <cellStyle name="Normal 2 5 5 9 4" xfId="18209" xr:uid="{00000000-0005-0000-0000-0000F6580000}"/>
    <cellStyle name="Normal 2 5 5 9 4 2" xfId="43762" xr:uid="{00000000-0005-0000-0000-0000F7580000}"/>
    <cellStyle name="Normal 2 5 5 9 5" xfId="29699" xr:uid="{00000000-0005-0000-0000-0000F8580000}"/>
    <cellStyle name="Normal 2 5 5_Degree data" xfId="3863" xr:uid="{00000000-0005-0000-0000-0000F9580000}"/>
    <cellStyle name="Normal 2 5 6" xfId="174" xr:uid="{00000000-0005-0000-0000-0000FA580000}"/>
    <cellStyle name="Normal 2 5 6 10" xfId="7122" xr:uid="{00000000-0005-0000-0000-0000FB580000}"/>
    <cellStyle name="Normal 2 5 6 10 2" xfId="19631" xr:uid="{00000000-0005-0000-0000-0000FC580000}"/>
    <cellStyle name="Normal 2 5 6 10 2 2" xfId="45184" xr:uid="{00000000-0005-0000-0000-0000FD580000}"/>
    <cellStyle name="Normal 2 5 6 10 3" xfId="32679" xr:uid="{00000000-0005-0000-0000-0000FE580000}"/>
    <cellStyle name="Normal 2 5 6 11" xfId="15868" xr:uid="{00000000-0005-0000-0000-0000FF580000}"/>
    <cellStyle name="Normal 2 5 6 11 2" xfId="41421" xr:uid="{00000000-0005-0000-0000-000000590000}"/>
    <cellStyle name="Normal 2 5 6 12" xfId="26114" xr:uid="{00000000-0005-0000-0000-000001590000}"/>
    <cellStyle name="Normal 2 5 6 2" xfId="502" xr:uid="{00000000-0005-0000-0000-000002590000}"/>
    <cellStyle name="Normal 2 5 6 2 10" xfId="26431" xr:uid="{00000000-0005-0000-0000-000003590000}"/>
    <cellStyle name="Normal 2 5 6 2 2" xfId="774" xr:uid="{00000000-0005-0000-0000-000004590000}"/>
    <cellStyle name="Normal 2 5 6 2 2 2" xfId="3260" xr:uid="{00000000-0005-0000-0000-000005590000}"/>
    <cellStyle name="Normal 2 5 6 2 2 2 2" xfId="12402" xr:uid="{00000000-0005-0000-0000-000006590000}"/>
    <cellStyle name="Normal 2 5 6 2 2 2 2 2" xfId="22621" xr:uid="{00000000-0005-0000-0000-000007590000}"/>
    <cellStyle name="Normal 2 5 6 2 2 2 2 2 2" xfId="48174" xr:uid="{00000000-0005-0000-0000-000008590000}"/>
    <cellStyle name="Normal 2 5 6 2 2 2 2 3" xfId="37957" xr:uid="{00000000-0005-0000-0000-000009590000}"/>
    <cellStyle name="Normal 2 5 6 2 2 2 3" xfId="8824" xr:uid="{00000000-0005-0000-0000-00000A590000}"/>
    <cellStyle name="Normal 2 5 6 2 2 2 3 2" xfId="34381" xr:uid="{00000000-0005-0000-0000-00000B590000}"/>
    <cellStyle name="Normal 2 5 6 2 2 2 4" xfId="17614" xr:uid="{00000000-0005-0000-0000-00000C590000}"/>
    <cellStyle name="Normal 2 5 6 2 2 2 4 2" xfId="43167" xr:uid="{00000000-0005-0000-0000-00000D590000}"/>
    <cellStyle name="Normal 2 5 6 2 2 2 5" xfId="29104" xr:uid="{00000000-0005-0000-0000-00000E590000}"/>
    <cellStyle name="Normal 2 5 6 2 2 3" xfId="4589" xr:uid="{00000000-0005-0000-0000-00000F590000}"/>
    <cellStyle name="Normal 2 5 6 2 2 3 2" xfId="13427" xr:uid="{00000000-0005-0000-0000-000010590000}"/>
    <cellStyle name="Normal 2 5 6 2 2 3 2 2" xfId="23678" xr:uid="{00000000-0005-0000-0000-000011590000}"/>
    <cellStyle name="Normal 2 5 6 2 2 3 2 2 2" xfId="49231" xr:uid="{00000000-0005-0000-0000-000012590000}"/>
    <cellStyle name="Normal 2 5 6 2 2 3 2 3" xfId="38982" xr:uid="{00000000-0005-0000-0000-000013590000}"/>
    <cellStyle name="Normal 2 5 6 2 2 3 3" xfId="9848" xr:uid="{00000000-0005-0000-0000-000014590000}"/>
    <cellStyle name="Normal 2 5 6 2 2 3 3 2" xfId="35405" xr:uid="{00000000-0005-0000-0000-000015590000}"/>
    <cellStyle name="Normal 2 5 6 2 2 3 4" xfId="18671" xr:uid="{00000000-0005-0000-0000-000016590000}"/>
    <cellStyle name="Normal 2 5 6 2 2 3 4 2" xfId="44224" xr:uid="{00000000-0005-0000-0000-000017590000}"/>
    <cellStyle name="Normal 2 5 6 2 2 3 5" xfId="30161" xr:uid="{00000000-0005-0000-0000-000018590000}"/>
    <cellStyle name="Normal 2 5 6 2 2 4" xfId="2369" xr:uid="{00000000-0005-0000-0000-000019590000}"/>
    <cellStyle name="Normal 2 5 6 2 2 4 2" xfId="11734" xr:uid="{00000000-0005-0000-0000-00001A590000}"/>
    <cellStyle name="Normal 2 5 6 2 2 4 2 2" xfId="37289" xr:uid="{00000000-0005-0000-0000-00001B590000}"/>
    <cellStyle name="Normal 2 5 6 2 2 4 3" xfId="21738" xr:uid="{00000000-0005-0000-0000-00001C590000}"/>
    <cellStyle name="Normal 2 5 6 2 2 4 3 2" xfId="47291" xr:uid="{00000000-0005-0000-0000-00001D590000}"/>
    <cellStyle name="Normal 2 5 6 2 2 4 4" xfId="28221" xr:uid="{00000000-0005-0000-0000-00001E590000}"/>
    <cellStyle name="Normal 2 5 6 2 2 5" xfId="6045" xr:uid="{00000000-0005-0000-0000-00001F590000}"/>
    <cellStyle name="Normal 2 5 6 2 2 5 2" xfId="14872" xr:uid="{00000000-0005-0000-0000-000020590000}"/>
    <cellStyle name="Normal 2 5 6 2 2 5 2 2" xfId="40427" xr:uid="{00000000-0005-0000-0000-000021590000}"/>
    <cellStyle name="Normal 2 5 6 2 2 5 3" xfId="25123" xr:uid="{00000000-0005-0000-0000-000022590000}"/>
    <cellStyle name="Normal 2 5 6 2 2 5 3 2" xfId="50676" xr:uid="{00000000-0005-0000-0000-000023590000}"/>
    <cellStyle name="Normal 2 5 6 2 2 5 4" xfId="31606" xr:uid="{00000000-0005-0000-0000-000024590000}"/>
    <cellStyle name="Normal 2 5 6 2 2 6" xfId="7489" xr:uid="{00000000-0005-0000-0000-000025590000}"/>
    <cellStyle name="Normal 2 5 6 2 2 6 2" xfId="20220" xr:uid="{00000000-0005-0000-0000-000026590000}"/>
    <cellStyle name="Normal 2 5 6 2 2 6 2 2" xfId="45773" xr:uid="{00000000-0005-0000-0000-000027590000}"/>
    <cellStyle name="Normal 2 5 6 2 2 6 3" xfId="33046" xr:uid="{00000000-0005-0000-0000-000028590000}"/>
    <cellStyle name="Normal 2 5 6 2 2 7" xfId="16731" xr:uid="{00000000-0005-0000-0000-000029590000}"/>
    <cellStyle name="Normal 2 5 6 2 2 7 2" xfId="42284" xr:uid="{00000000-0005-0000-0000-00002A590000}"/>
    <cellStyle name="Normal 2 5 6 2 2 8" xfId="26703" xr:uid="{00000000-0005-0000-0000-00002B590000}"/>
    <cellStyle name="Normal 2 5 6 2 3" xfId="1274" xr:uid="{00000000-0005-0000-0000-00002C590000}"/>
    <cellStyle name="Normal 2 5 6 2 3 2" xfId="3703" xr:uid="{00000000-0005-0000-0000-00002D590000}"/>
    <cellStyle name="Normal 2 5 6 2 3 2 2" xfId="12839" xr:uid="{00000000-0005-0000-0000-00002E590000}"/>
    <cellStyle name="Normal 2 5 6 2 3 2 2 2" xfId="23058" xr:uid="{00000000-0005-0000-0000-00002F590000}"/>
    <cellStyle name="Normal 2 5 6 2 3 2 2 2 2" xfId="48611" xr:uid="{00000000-0005-0000-0000-000030590000}"/>
    <cellStyle name="Normal 2 5 6 2 3 2 2 3" xfId="38394" xr:uid="{00000000-0005-0000-0000-000031590000}"/>
    <cellStyle name="Normal 2 5 6 2 3 2 3" xfId="9260" xr:uid="{00000000-0005-0000-0000-000032590000}"/>
    <cellStyle name="Normal 2 5 6 2 3 2 3 2" xfId="34817" xr:uid="{00000000-0005-0000-0000-000033590000}"/>
    <cellStyle name="Normal 2 5 6 2 3 2 4" xfId="18051" xr:uid="{00000000-0005-0000-0000-000034590000}"/>
    <cellStyle name="Normal 2 5 6 2 3 2 4 2" xfId="43604" xr:uid="{00000000-0005-0000-0000-000035590000}"/>
    <cellStyle name="Normal 2 5 6 2 3 2 5" xfId="29541" xr:uid="{00000000-0005-0000-0000-000036590000}"/>
    <cellStyle name="Normal 2 5 6 2 3 3" xfId="4938" xr:uid="{00000000-0005-0000-0000-000037590000}"/>
    <cellStyle name="Normal 2 5 6 2 3 3 2" xfId="13775" xr:uid="{00000000-0005-0000-0000-000038590000}"/>
    <cellStyle name="Normal 2 5 6 2 3 3 2 2" xfId="24026" xr:uid="{00000000-0005-0000-0000-000039590000}"/>
    <cellStyle name="Normal 2 5 6 2 3 3 2 2 2" xfId="49579" xr:uid="{00000000-0005-0000-0000-00003A590000}"/>
    <cellStyle name="Normal 2 5 6 2 3 3 2 3" xfId="39330" xr:uid="{00000000-0005-0000-0000-00003B590000}"/>
    <cellStyle name="Normal 2 5 6 2 3 3 3" xfId="10196" xr:uid="{00000000-0005-0000-0000-00003C590000}"/>
    <cellStyle name="Normal 2 5 6 2 3 3 3 2" xfId="35753" xr:uid="{00000000-0005-0000-0000-00003D590000}"/>
    <cellStyle name="Normal 2 5 6 2 3 3 4" xfId="19019" xr:uid="{00000000-0005-0000-0000-00003E590000}"/>
    <cellStyle name="Normal 2 5 6 2 3 3 4 2" xfId="44572" xr:uid="{00000000-0005-0000-0000-00003F590000}"/>
    <cellStyle name="Normal 2 5 6 2 3 3 5" xfId="30509" xr:uid="{00000000-0005-0000-0000-000040590000}"/>
    <cellStyle name="Normal 2 5 6 2 3 4" xfId="2097" xr:uid="{00000000-0005-0000-0000-000041590000}"/>
    <cellStyle name="Normal 2 5 6 2 3 4 2" xfId="11462" xr:uid="{00000000-0005-0000-0000-000042590000}"/>
    <cellStyle name="Normal 2 5 6 2 3 4 2 2" xfId="37017" xr:uid="{00000000-0005-0000-0000-000043590000}"/>
    <cellStyle name="Normal 2 5 6 2 3 4 3" xfId="21466" xr:uid="{00000000-0005-0000-0000-000044590000}"/>
    <cellStyle name="Normal 2 5 6 2 3 4 3 2" xfId="47019" xr:uid="{00000000-0005-0000-0000-000045590000}"/>
    <cellStyle name="Normal 2 5 6 2 3 4 4" xfId="27949" xr:uid="{00000000-0005-0000-0000-000046590000}"/>
    <cellStyle name="Normal 2 5 6 2 3 5" xfId="6393" xr:uid="{00000000-0005-0000-0000-000047590000}"/>
    <cellStyle name="Normal 2 5 6 2 3 5 2" xfId="15220" xr:uid="{00000000-0005-0000-0000-000048590000}"/>
    <cellStyle name="Normal 2 5 6 2 3 5 2 2" xfId="40775" xr:uid="{00000000-0005-0000-0000-000049590000}"/>
    <cellStyle name="Normal 2 5 6 2 3 5 3" xfId="25471" xr:uid="{00000000-0005-0000-0000-00004A590000}"/>
    <cellStyle name="Normal 2 5 6 2 3 5 3 2" xfId="51024" xr:uid="{00000000-0005-0000-0000-00004B590000}"/>
    <cellStyle name="Normal 2 5 6 2 3 5 4" xfId="31954" xr:uid="{00000000-0005-0000-0000-00004C590000}"/>
    <cellStyle name="Normal 2 5 6 2 3 6" xfId="7839" xr:uid="{00000000-0005-0000-0000-00004D590000}"/>
    <cellStyle name="Normal 2 5 6 2 3 6 2" xfId="20657" xr:uid="{00000000-0005-0000-0000-00004E590000}"/>
    <cellStyle name="Normal 2 5 6 2 3 6 2 2" xfId="46210" xr:uid="{00000000-0005-0000-0000-00004F590000}"/>
    <cellStyle name="Normal 2 5 6 2 3 6 3" xfId="33396" xr:uid="{00000000-0005-0000-0000-000050590000}"/>
    <cellStyle name="Normal 2 5 6 2 3 7" xfId="16459" xr:uid="{00000000-0005-0000-0000-000051590000}"/>
    <cellStyle name="Normal 2 5 6 2 3 7 2" xfId="42012" xr:uid="{00000000-0005-0000-0000-000052590000}"/>
    <cellStyle name="Normal 2 5 6 2 3 8" xfId="27140" xr:uid="{00000000-0005-0000-0000-000053590000}"/>
    <cellStyle name="Normal 2 5 6 2 4" xfId="2988" xr:uid="{00000000-0005-0000-0000-000054590000}"/>
    <cellStyle name="Normal 2 5 6 2 4 2" xfId="5366" xr:uid="{00000000-0005-0000-0000-000055590000}"/>
    <cellStyle name="Normal 2 5 6 2 4 2 2" xfId="14203" xr:uid="{00000000-0005-0000-0000-000056590000}"/>
    <cellStyle name="Normal 2 5 6 2 4 2 2 2" xfId="24454" xr:uid="{00000000-0005-0000-0000-000057590000}"/>
    <cellStyle name="Normal 2 5 6 2 4 2 2 2 2" xfId="50007" xr:uid="{00000000-0005-0000-0000-000058590000}"/>
    <cellStyle name="Normal 2 5 6 2 4 2 2 3" xfId="39758" xr:uid="{00000000-0005-0000-0000-000059590000}"/>
    <cellStyle name="Normal 2 5 6 2 4 2 3" xfId="10624" xr:uid="{00000000-0005-0000-0000-00005A590000}"/>
    <cellStyle name="Normal 2 5 6 2 4 2 3 2" xfId="36181" xr:uid="{00000000-0005-0000-0000-00005B590000}"/>
    <cellStyle name="Normal 2 5 6 2 4 2 4" xfId="19447" xr:uid="{00000000-0005-0000-0000-00005C590000}"/>
    <cellStyle name="Normal 2 5 6 2 4 2 4 2" xfId="45000" xr:uid="{00000000-0005-0000-0000-00005D590000}"/>
    <cellStyle name="Normal 2 5 6 2 4 2 5" xfId="30937" xr:uid="{00000000-0005-0000-0000-00005E590000}"/>
    <cellStyle name="Normal 2 5 6 2 4 3" xfId="6821" xr:uid="{00000000-0005-0000-0000-00005F590000}"/>
    <cellStyle name="Normal 2 5 6 2 4 3 2" xfId="15648" xr:uid="{00000000-0005-0000-0000-000060590000}"/>
    <cellStyle name="Normal 2 5 6 2 4 3 2 2" xfId="41203" xr:uid="{00000000-0005-0000-0000-000061590000}"/>
    <cellStyle name="Normal 2 5 6 2 4 3 3" xfId="25899" xr:uid="{00000000-0005-0000-0000-000062590000}"/>
    <cellStyle name="Normal 2 5 6 2 4 3 3 2" xfId="51452" xr:uid="{00000000-0005-0000-0000-000063590000}"/>
    <cellStyle name="Normal 2 5 6 2 4 3 4" xfId="32382" xr:uid="{00000000-0005-0000-0000-000064590000}"/>
    <cellStyle name="Normal 2 5 6 2 4 4" xfId="8267" xr:uid="{00000000-0005-0000-0000-000065590000}"/>
    <cellStyle name="Normal 2 5 6 2 4 4 2" xfId="22349" xr:uid="{00000000-0005-0000-0000-000066590000}"/>
    <cellStyle name="Normal 2 5 6 2 4 4 2 2" xfId="47902" xr:uid="{00000000-0005-0000-0000-000067590000}"/>
    <cellStyle name="Normal 2 5 6 2 4 4 3" xfId="33824" xr:uid="{00000000-0005-0000-0000-000068590000}"/>
    <cellStyle name="Normal 2 5 6 2 4 5" xfId="17342" xr:uid="{00000000-0005-0000-0000-000069590000}"/>
    <cellStyle name="Normal 2 5 6 2 4 5 2" xfId="42895" xr:uid="{00000000-0005-0000-0000-00006A590000}"/>
    <cellStyle name="Normal 2 5 6 2 4 6" xfId="28832" xr:uid="{00000000-0005-0000-0000-00006B590000}"/>
    <cellStyle name="Normal 2 5 6 2 5" xfId="4322" xr:uid="{00000000-0005-0000-0000-00006C590000}"/>
    <cellStyle name="Normal 2 5 6 2 5 2" xfId="13160" xr:uid="{00000000-0005-0000-0000-00006D590000}"/>
    <cellStyle name="Normal 2 5 6 2 5 2 2" xfId="23411" xr:uid="{00000000-0005-0000-0000-00006E590000}"/>
    <cellStyle name="Normal 2 5 6 2 5 2 2 2" xfId="48964" xr:uid="{00000000-0005-0000-0000-00006F590000}"/>
    <cellStyle name="Normal 2 5 6 2 5 2 3" xfId="38715" xr:uid="{00000000-0005-0000-0000-000070590000}"/>
    <cellStyle name="Normal 2 5 6 2 5 3" xfId="9581" xr:uid="{00000000-0005-0000-0000-000071590000}"/>
    <cellStyle name="Normal 2 5 6 2 5 3 2" xfId="35138" xr:uid="{00000000-0005-0000-0000-000072590000}"/>
    <cellStyle name="Normal 2 5 6 2 5 4" xfId="18404" xr:uid="{00000000-0005-0000-0000-000073590000}"/>
    <cellStyle name="Normal 2 5 6 2 5 4 2" xfId="43957" xr:uid="{00000000-0005-0000-0000-000074590000}"/>
    <cellStyle name="Normal 2 5 6 2 5 5" xfId="29894" xr:uid="{00000000-0005-0000-0000-000075590000}"/>
    <cellStyle name="Normal 2 5 6 2 6" xfId="1594" xr:uid="{00000000-0005-0000-0000-000076590000}"/>
    <cellStyle name="Normal 2 5 6 2 6 2" xfId="10971" xr:uid="{00000000-0005-0000-0000-000077590000}"/>
    <cellStyle name="Normal 2 5 6 2 6 2 2" xfId="36526" xr:uid="{00000000-0005-0000-0000-000078590000}"/>
    <cellStyle name="Normal 2 5 6 2 6 3" xfId="20975" xr:uid="{00000000-0005-0000-0000-000079590000}"/>
    <cellStyle name="Normal 2 5 6 2 6 3 2" xfId="46528" xr:uid="{00000000-0005-0000-0000-00007A590000}"/>
    <cellStyle name="Normal 2 5 6 2 6 4" xfId="27458" xr:uid="{00000000-0005-0000-0000-00007B590000}"/>
    <cellStyle name="Normal 2 5 6 2 7" xfId="5778" xr:uid="{00000000-0005-0000-0000-00007C590000}"/>
    <cellStyle name="Normal 2 5 6 2 7 2" xfId="14605" xr:uid="{00000000-0005-0000-0000-00007D590000}"/>
    <cellStyle name="Normal 2 5 6 2 7 2 2" xfId="40160" xr:uid="{00000000-0005-0000-0000-00007E590000}"/>
    <cellStyle name="Normal 2 5 6 2 7 3" xfId="24856" xr:uid="{00000000-0005-0000-0000-00007F590000}"/>
    <cellStyle name="Normal 2 5 6 2 7 3 2" xfId="50409" xr:uid="{00000000-0005-0000-0000-000080590000}"/>
    <cellStyle name="Normal 2 5 6 2 7 4" xfId="31339" xr:uid="{00000000-0005-0000-0000-000081590000}"/>
    <cellStyle name="Normal 2 5 6 2 8" xfId="7222" xr:uid="{00000000-0005-0000-0000-000082590000}"/>
    <cellStyle name="Normal 2 5 6 2 8 2" xfId="19948" xr:uid="{00000000-0005-0000-0000-000083590000}"/>
    <cellStyle name="Normal 2 5 6 2 8 2 2" xfId="45501" xr:uid="{00000000-0005-0000-0000-000084590000}"/>
    <cellStyle name="Normal 2 5 6 2 8 3" xfId="32779" xr:uid="{00000000-0005-0000-0000-000085590000}"/>
    <cellStyle name="Normal 2 5 6 2 9" xfId="15968" xr:uid="{00000000-0005-0000-0000-000086590000}"/>
    <cellStyle name="Normal 2 5 6 2 9 2" xfId="41521" xr:uid="{00000000-0005-0000-0000-000087590000}"/>
    <cellStyle name="Normal 2 5 6 2_Degree data" xfId="3465" xr:uid="{00000000-0005-0000-0000-000088590000}"/>
    <cellStyle name="Normal 2 5 6 3" xfId="402" xr:uid="{00000000-0005-0000-0000-000089590000}"/>
    <cellStyle name="Normal 2 5 6 3 2" xfId="2888" xr:uid="{00000000-0005-0000-0000-00008A590000}"/>
    <cellStyle name="Normal 2 5 6 3 2 2" xfId="12176" xr:uid="{00000000-0005-0000-0000-00008B590000}"/>
    <cellStyle name="Normal 2 5 6 3 2 2 2" xfId="22249" xr:uid="{00000000-0005-0000-0000-00008C590000}"/>
    <cellStyle name="Normal 2 5 6 3 2 2 2 2" xfId="47802" xr:uid="{00000000-0005-0000-0000-00008D590000}"/>
    <cellStyle name="Normal 2 5 6 3 2 2 3" xfId="37731" xr:uid="{00000000-0005-0000-0000-00008E590000}"/>
    <cellStyle name="Normal 2 5 6 3 2 3" xfId="8515" xr:uid="{00000000-0005-0000-0000-00008F590000}"/>
    <cellStyle name="Normal 2 5 6 3 2 3 2" xfId="34072" xr:uid="{00000000-0005-0000-0000-000090590000}"/>
    <cellStyle name="Normal 2 5 6 3 2 4" xfId="17242" xr:uid="{00000000-0005-0000-0000-000091590000}"/>
    <cellStyle name="Normal 2 5 6 3 2 4 2" xfId="42795" xr:uid="{00000000-0005-0000-0000-000092590000}"/>
    <cellStyle name="Normal 2 5 6 3 2 5" xfId="28732" xr:uid="{00000000-0005-0000-0000-000093590000}"/>
    <cellStyle name="Normal 2 5 6 3 3" xfId="4588" xr:uid="{00000000-0005-0000-0000-000094590000}"/>
    <cellStyle name="Normal 2 5 6 3 3 2" xfId="13426" xr:uid="{00000000-0005-0000-0000-000095590000}"/>
    <cellStyle name="Normal 2 5 6 3 3 2 2" xfId="23677" xr:uid="{00000000-0005-0000-0000-000096590000}"/>
    <cellStyle name="Normal 2 5 6 3 3 2 2 2" xfId="49230" xr:uid="{00000000-0005-0000-0000-000097590000}"/>
    <cellStyle name="Normal 2 5 6 3 3 2 3" xfId="38981" xr:uid="{00000000-0005-0000-0000-000098590000}"/>
    <cellStyle name="Normal 2 5 6 3 3 3" xfId="9847" xr:uid="{00000000-0005-0000-0000-000099590000}"/>
    <cellStyle name="Normal 2 5 6 3 3 3 2" xfId="35404" xr:uid="{00000000-0005-0000-0000-00009A590000}"/>
    <cellStyle name="Normal 2 5 6 3 3 4" xfId="18670" xr:uid="{00000000-0005-0000-0000-00009B590000}"/>
    <cellStyle name="Normal 2 5 6 3 3 4 2" xfId="44223" xr:uid="{00000000-0005-0000-0000-00009C590000}"/>
    <cellStyle name="Normal 2 5 6 3 3 5" xfId="30160" xr:uid="{00000000-0005-0000-0000-00009D590000}"/>
    <cellStyle name="Normal 2 5 6 3 4" xfId="1997" xr:uid="{00000000-0005-0000-0000-00009E590000}"/>
    <cellStyle name="Normal 2 5 6 3 4 2" xfId="11362" xr:uid="{00000000-0005-0000-0000-00009F590000}"/>
    <cellStyle name="Normal 2 5 6 3 4 2 2" xfId="36917" xr:uid="{00000000-0005-0000-0000-0000A0590000}"/>
    <cellStyle name="Normal 2 5 6 3 4 3" xfId="21366" xr:uid="{00000000-0005-0000-0000-0000A1590000}"/>
    <cellStyle name="Normal 2 5 6 3 4 3 2" xfId="46919" xr:uid="{00000000-0005-0000-0000-0000A2590000}"/>
    <cellStyle name="Normal 2 5 6 3 4 4" xfId="27849" xr:uid="{00000000-0005-0000-0000-0000A3590000}"/>
    <cellStyle name="Normal 2 5 6 3 5" xfId="6044" xr:uid="{00000000-0005-0000-0000-0000A4590000}"/>
    <cellStyle name="Normal 2 5 6 3 5 2" xfId="14871" xr:uid="{00000000-0005-0000-0000-0000A5590000}"/>
    <cellStyle name="Normal 2 5 6 3 5 2 2" xfId="40426" xr:uid="{00000000-0005-0000-0000-0000A6590000}"/>
    <cellStyle name="Normal 2 5 6 3 5 3" xfId="25122" xr:uid="{00000000-0005-0000-0000-0000A7590000}"/>
    <cellStyle name="Normal 2 5 6 3 5 3 2" xfId="50675" xr:uid="{00000000-0005-0000-0000-0000A8590000}"/>
    <cellStyle name="Normal 2 5 6 3 5 4" xfId="31605" xr:uid="{00000000-0005-0000-0000-0000A9590000}"/>
    <cellStyle name="Normal 2 5 6 3 6" xfId="7488" xr:uid="{00000000-0005-0000-0000-0000AA590000}"/>
    <cellStyle name="Normal 2 5 6 3 6 2" xfId="19848" xr:uid="{00000000-0005-0000-0000-0000AB590000}"/>
    <cellStyle name="Normal 2 5 6 3 6 2 2" xfId="45401" xr:uid="{00000000-0005-0000-0000-0000AC590000}"/>
    <cellStyle name="Normal 2 5 6 3 6 3" xfId="33045" xr:uid="{00000000-0005-0000-0000-0000AD590000}"/>
    <cellStyle name="Normal 2 5 6 3 7" xfId="16359" xr:uid="{00000000-0005-0000-0000-0000AE590000}"/>
    <cellStyle name="Normal 2 5 6 3 7 2" xfId="41912" xr:uid="{00000000-0005-0000-0000-0000AF590000}"/>
    <cellStyle name="Normal 2 5 6 3 8" xfId="26331" xr:uid="{00000000-0005-0000-0000-0000B0590000}"/>
    <cellStyle name="Normal 2 5 6 4" xfId="773" xr:uid="{00000000-0005-0000-0000-0000B1590000}"/>
    <cellStyle name="Normal 2 5 6 4 2" xfId="3259" xr:uid="{00000000-0005-0000-0000-0000B2590000}"/>
    <cellStyle name="Normal 2 5 6 4 2 2" xfId="12401" xr:uid="{00000000-0005-0000-0000-0000B3590000}"/>
    <cellStyle name="Normal 2 5 6 4 2 2 2" xfId="22620" xr:uid="{00000000-0005-0000-0000-0000B4590000}"/>
    <cellStyle name="Normal 2 5 6 4 2 2 2 2" xfId="48173" xr:uid="{00000000-0005-0000-0000-0000B5590000}"/>
    <cellStyle name="Normal 2 5 6 4 2 2 3" xfId="37956" xr:uid="{00000000-0005-0000-0000-0000B6590000}"/>
    <cellStyle name="Normal 2 5 6 4 2 3" xfId="8823" xr:uid="{00000000-0005-0000-0000-0000B7590000}"/>
    <cellStyle name="Normal 2 5 6 4 2 3 2" xfId="34380" xr:uid="{00000000-0005-0000-0000-0000B8590000}"/>
    <cellStyle name="Normal 2 5 6 4 2 4" xfId="17613" xr:uid="{00000000-0005-0000-0000-0000B9590000}"/>
    <cellStyle name="Normal 2 5 6 4 2 4 2" xfId="43166" xr:uid="{00000000-0005-0000-0000-0000BA590000}"/>
    <cellStyle name="Normal 2 5 6 4 2 5" xfId="29103" xr:uid="{00000000-0005-0000-0000-0000BB590000}"/>
    <cellStyle name="Normal 2 5 6 4 3" xfId="4937" xr:uid="{00000000-0005-0000-0000-0000BC590000}"/>
    <cellStyle name="Normal 2 5 6 4 3 2" xfId="13774" xr:uid="{00000000-0005-0000-0000-0000BD590000}"/>
    <cellStyle name="Normal 2 5 6 4 3 2 2" xfId="24025" xr:uid="{00000000-0005-0000-0000-0000BE590000}"/>
    <cellStyle name="Normal 2 5 6 4 3 2 2 2" xfId="49578" xr:uid="{00000000-0005-0000-0000-0000BF590000}"/>
    <cellStyle name="Normal 2 5 6 4 3 2 3" xfId="39329" xr:uid="{00000000-0005-0000-0000-0000C0590000}"/>
    <cellStyle name="Normal 2 5 6 4 3 3" xfId="10195" xr:uid="{00000000-0005-0000-0000-0000C1590000}"/>
    <cellStyle name="Normal 2 5 6 4 3 3 2" xfId="35752" xr:uid="{00000000-0005-0000-0000-0000C2590000}"/>
    <cellStyle name="Normal 2 5 6 4 3 4" xfId="19018" xr:uid="{00000000-0005-0000-0000-0000C3590000}"/>
    <cellStyle name="Normal 2 5 6 4 3 4 2" xfId="44571" xr:uid="{00000000-0005-0000-0000-0000C4590000}"/>
    <cellStyle name="Normal 2 5 6 4 3 5" xfId="30508" xr:uid="{00000000-0005-0000-0000-0000C5590000}"/>
    <cellStyle name="Normal 2 5 6 4 4" xfId="2368" xr:uid="{00000000-0005-0000-0000-0000C6590000}"/>
    <cellStyle name="Normal 2 5 6 4 4 2" xfId="11733" xr:uid="{00000000-0005-0000-0000-0000C7590000}"/>
    <cellStyle name="Normal 2 5 6 4 4 2 2" xfId="37288" xr:uid="{00000000-0005-0000-0000-0000C8590000}"/>
    <cellStyle name="Normal 2 5 6 4 4 3" xfId="21737" xr:uid="{00000000-0005-0000-0000-0000C9590000}"/>
    <cellStyle name="Normal 2 5 6 4 4 3 2" xfId="47290" xr:uid="{00000000-0005-0000-0000-0000CA590000}"/>
    <cellStyle name="Normal 2 5 6 4 4 4" xfId="28220" xr:uid="{00000000-0005-0000-0000-0000CB590000}"/>
    <cellStyle name="Normal 2 5 6 4 5" xfId="6392" xr:uid="{00000000-0005-0000-0000-0000CC590000}"/>
    <cellStyle name="Normal 2 5 6 4 5 2" xfId="15219" xr:uid="{00000000-0005-0000-0000-0000CD590000}"/>
    <cellStyle name="Normal 2 5 6 4 5 2 2" xfId="40774" xr:uid="{00000000-0005-0000-0000-0000CE590000}"/>
    <cellStyle name="Normal 2 5 6 4 5 3" xfId="25470" xr:uid="{00000000-0005-0000-0000-0000CF590000}"/>
    <cellStyle name="Normal 2 5 6 4 5 3 2" xfId="51023" xr:uid="{00000000-0005-0000-0000-0000D0590000}"/>
    <cellStyle name="Normal 2 5 6 4 5 4" xfId="31953" xr:uid="{00000000-0005-0000-0000-0000D1590000}"/>
    <cellStyle name="Normal 2 5 6 4 6" xfId="7838" xr:uid="{00000000-0005-0000-0000-0000D2590000}"/>
    <cellStyle name="Normal 2 5 6 4 6 2" xfId="20219" xr:uid="{00000000-0005-0000-0000-0000D3590000}"/>
    <cellStyle name="Normal 2 5 6 4 6 2 2" xfId="45772" xr:uid="{00000000-0005-0000-0000-0000D4590000}"/>
    <cellStyle name="Normal 2 5 6 4 6 3" xfId="33395" xr:uid="{00000000-0005-0000-0000-0000D5590000}"/>
    <cellStyle name="Normal 2 5 6 4 7" xfId="16730" xr:uid="{00000000-0005-0000-0000-0000D6590000}"/>
    <cellStyle name="Normal 2 5 6 4 7 2" xfId="42283" xr:uid="{00000000-0005-0000-0000-0000D7590000}"/>
    <cellStyle name="Normal 2 5 6 4 8" xfId="26702" xr:uid="{00000000-0005-0000-0000-0000D8590000}"/>
    <cellStyle name="Normal 2 5 6 5" xfId="1174" xr:uid="{00000000-0005-0000-0000-0000D9590000}"/>
    <cellStyle name="Normal 2 5 6 5 2" xfId="3603" xr:uid="{00000000-0005-0000-0000-0000DA590000}"/>
    <cellStyle name="Normal 2 5 6 5 2 2" xfId="12739" xr:uid="{00000000-0005-0000-0000-0000DB590000}"/>
    <cellStyle name="Normal 2 5 6 5 2 2 2" xfId="22958" xr:uid="{00000000-0005-0000-0000-0000DC590000}"/>
    <cellStyle name="Normal 2 5 6 5 2 2 2 2" xfId="48511" xr:uid="{00000000-0005-0000-0000-0000DD590000}"/>
    <cellStyle name="Normal 2 5 6 5 2 2 3" xfId="38294" xr:uid="{00000000-0005-0000-0000-0000DE590000}"/>
    <cellStyle name="Normal 2 5 6 5 2 3" xfId="9160" xr:uid="{00000000-0005-0000-0000-0000DF590000}"/>
    <cellStyle name="Normal 2 5 6 5 2 3 2" xfId="34717" xr:uid="{00000000-0005-0000-0000-0000E0590000}"/>
    <cellStyle name="Normal 2 5 6 5 2 4" xfId="17951" xr:uid="{00000000-0005-0000-0000-0000E1590000}"/>
    <cellStyle name="Normal 2 5 6 5 2 4 2" xfId="43504" xr:uid="{00000000-0005-0000-0000-0000E2590000}"/>
    <cellStyle name="Normal 2 5 6 5 2 5" xfId="29441" xr:uid="{00000000-0005-0000-0000-0000E3590000}"/>
    <cellStyle name="Normal 2 5 6 5 3" xfId="5266" xr:uid="{00000000-0005-0000-0000-0000E4590000}"/>
    <cellStyle name="Normal 2 5 6 5 3 2" xfId="14103" xr:uid="{00000000-0005-0000-0000-0000E5590000}"/>
    <cellStyle name="Normal 2 5 6 5 3 2 2" xfId="24354" xr:uid="{00000000-0005-0000-0000-0000E6590000}"/>
    <cellStyle name="Normal 2 5 6 5 3 2 2 2" xfId="49907" xr:uid="{00000000-0005-0000-0000-0000E7590000}"/>
    <cellStyle name="Normal 2 5 6 5 3 2 3" xfId="39658" xr:uid="{00000000-0005-0000-0000-0000E8590000}"/>
    <cellStyle name="Normal 2 5 6 5 3 3" xfId="10524" xr:uid="{00000000-0005-0000-0000-0000E9590000}"/>
    <cellStyle name="Normal 2 5 6 5 3 3 2" xfId="36081" xr:uid="{00000000-0005-0000-0000-0000EA590000}"/>
    <cellStyle name="Normal 2 5 6 5 3 4" xfId="19347" xr:uid="{00000000-0005-0000-0000-0000EB590000}"/>
    <cellStyle name="Normal 2 5 6 5 3 4 2" xfId="44900" xr:uid="{00000000-0005-0000-0000-0000EC590000}"/>
    <cellStyle name="Normal 2 5 6 5 3 5" xfId="30837" xr:uid="{00000000-0005-0000-0000-0000ED590000}"/>
    <cellStyle name="Normal 2 5 6 5 4" xfId="1776" xr:uid="{00000000-0005-0000-0000-0000EE590000}"/>
    <cellStyle name="Normal 2 5 6 5 4 2" xfId="11145" xr:uid="{00000000-0005-0000-0000-0000EF590000}"/>
    <cellStyle name="Normal 2 5 6 5 4 2 2" xfId="36700" xr:uid="{00000000-0005-0000-0000-0000F0590000}"/>
    <cellStyle name="Normal 2 5 6 5 4 3" xfId="21149" xr:uid="{00000000-0005-0000-0000-0000F1590000}"/>
    <cellStyle name="Normal 2 5 6 5 4 3 2" xfId="46702" xr:uid="{00000000-0005-0000-0000-0000F2590000}"/>
    <cellStyle name="Normal 2 5 6 5 4 4" xfId="27632" xr:uid="{00000000-0005-0000-0000-0000F3590000}"/>
    <cellStyle name="Normal 2 5 6 5 5" xfId="6721" xr:uid="{00000000-0005-0000-0000-0000F4590000}"/>
    <cellStyle name="Normal 2 5 6 5 5 2" xfId="15548" xr:uid="{00000000-0005-0000-0000-0000F5590000}"/>
    <cellStyle name="Normal 2 5 6 5 5 2 2" xfId="41103" xr:uid="{00000000-0005-0000-0000-0000F6590000}"/>
    <cellStyle name="Normal 2 5 6 5 5 3" xfId="25799" xr:uid="{00000000-0005-0000-0000-0000F7590000}"/>
    <cellStyle name="Normal 2 5 6 5 5 3 2" xfId="51352" xr:uid="{00000000-0005-0000-0000-0000F8590000}"/>
    <cellStyle name="Normal 2 5 6 5 5 4" xfId="32282" xr:uid="{00000000-0005-0000-0000-0000F9590000}"/>
    <cellStyle name="Normal 2 5 6 5 6" xfId="8167" xr:uid="{00000000-0005-0000-0000-0000FA590000}"/>
    <cellStyle name="Normal 2 5 6 5 6 2" xfId="20557" xr:uid="{00000000-0005-0000-0000-0000FB590000}"/>
    <cellStyle name="Normal 2 5 6 5 6 2 2" xfId="46110" xr:uid="{00000000-0005-0000-0000-0000FC590000}"/>
    <cellStyle name="Normal 2 5 6 5 6 3" xfId="33724" xr:uid="{00000000-0005-0000-0000-0000FD590000}"/>
    <cellStyle name="Normal 2 5 6 5 7" xfId="16142" xr:uid="{00000000-0005-0000-0000-0000FE590000}"/>
    <cellStyle name="Normal 2 5 6 5 7 2" xfId="41695" xr:uid="{00000000-0005-0000-0000-0000FF590000}"/>
    <cellStyle name="Normal 2 5 6 5 8" xfId="27040" xr:uid="{00000000-0005-0000-0000-0000005A0000}"/>
    <cellStyle name="Normal 2 5 6 6" xfId="2671" xr:uid="{00000000-0005-0000-0000-0000015A0000}"/>
    <cellStyle name="Normal 2 5 6 6 2" xfId="11988" xr:uid="{00000000-0005-0000-0000-0000025A0000}"/>
    <cellStyle name="Normal 2 5 6 6 2 2" xfId="22032" xr:uid="{00000000-0005-0000-0000-0000035A0000}"/>
    <cellStyle name="Normal 2 5 6 6 2 2 2" xfId="47585" xr:uid="{00000000-0005-0000-0000-0000045A0000}"/>
    <cellStyle name="Normal 2 5 6 6 2 3" xfId="37543" xr:uid="{00000000-0005-0000-0000-0000055A0000}"/>
    <cellStyle name="Normal 2 5 6 6 3" xfId="8404" xr:uid="{00000000-0005-0000-0000-0000065A0000}"/>
    <cellStyle name="Normal 2 5 6 6 3 2" xfId="33961" xr:uid="{00000000-0005-0000-0000-0000075A0000}"/>
    <cellStyle name="Normal 2 5 6 6 4" xfId="17025" xr:uid="{00000000-0005-0000-0000-0000085A0000}"/>
    <cellStyle name="Normal 2 5 6 6 4 2" xfId="42578" xr:uid="{00000000-0005-0000-0000-0000095A0000}"/>
    <cellStyle name="Normal 2 5 6 6 5" xfId="28515" xr:uid="{00000000-0005-0000-0000-00000A5A0000}"/>
    <cellStyle name="Normal 2 5 6 7" xfId="4222" xr:uid="{00000000-0005-0000-0000-00000B5A0000}"/>
    <cellStyle name="Normal 2 5 6 7 2" xfId="13060" xr:uid="{00000000-0005-0000-0000-00000C5A0000}"/>
    <cellStyle name="Normal 2 5 6 7 2 2" xfId="23311" xr:uid="{00000000-0005-0000-0000-00000D5A0000}"/>
    <cellStyle name="Normal 2 5 6 7 2 2 2" xfId="48864" xr:uid="{00000000-0005-0000-0000-00000E5A0000}"/>
    <cellStyle name="Normal 2 5 6 7 2 3" xfId="38615" xr:uid="{00000000-0005-0000-0000-00000F5A0000}"/>
    <cellStyle name="Normal 2 5 6 7 3" xfId="9481" xr:uid="{00000000-0005-0000-0000-0000105A0000}"/>
    <cellStyle name="Normal 2 5 6 7 3 2" xfId="35038" xr:uid="{00000000-0005-0000-0000-0000115A0000}"/>
    <cellStyle name="Normal 2 5 6 7 4" xfId="18304" xr:uid="{00000000-0005-0000-0000-0000125A0000}"/>
    <cellStyle name="Normal 2 5 6 7 4 2" xfId="43857" xr:uid="{00000000-0005-0000-0000-0000135A0000}"/>
    <cellStyle name="Normal 2 5 6 7 5" xfId="29794" xr:uid="{00000000-0005-0000-0000-0000145A0000}"/>
    <cellStyle name="Normal 2 5 6 8" xfId="1494" xr:uid="{00000000-0005-0000-0000-0000155A0000}"/>
    <cellStyle name="Normal 2 5 6 8 2" xfId="10871" xr:uid="{00000000-0005-0000-0000-0000165A0000}"/>
    <cellStyle name="Normal 2 5 6 8 2 2" xfId="36426" xr:uid="{00000000-0005-0000-0000-0000175A0000}"/>
    <cellStyle name="Normal 2 5 6 8 3" xfId="20875" xr:uid="{00000000-0005-0000-0000-0000185A0000}"/>
    <cellStyle name="Normal 2 5 6 8 3 2" xfId="46428" xr:uid="{00000000-0005-0000-0000-0000195A0000}"/>
    <cellStyle name="Normal 2 5 6 8 4" xfId="27358" xr:uid="{00000000-0005-0000-0000-00001A5A0000}"/>
    <cellStyle name="Normal 2 5 6 9" xfId="5678" xr:uid="{00000000-0005-0000-0000-00001B5A0000}"/>
    <cellStyle name="Normal 2 5 6 9 2" xfId="14505" xr:uid="{00000000-0005-0000-0000-00001C5A0000}"/>
    <cellStyle name="Normal 2 5 6 9 2 2" xfId="40060" xr:uid="{00000000-0005-0000-0000-00001D5A0000}"/>
    <cellStyle name="Normal 2 5 6 9 3" xfId="24756" xr:uid="{00000000-0005-0000-0000-00001E5A0000}"/>
    <cellStyle name="Normal 2 5 6 9 3 2" xfId="50309" xr:uid="{00000000-0005-0000-0000-00001F5A0000}"/>
    <cellStyle name="Normal 2 5 6 9 4" xfId="31239" xr:uid="{00000000-0005-0000-0000-0000205A0000}"/>
    <cellStyle name="Normal 2 5 6_Degree data" xfId="3885" xr:uid="{00000000-0005-0000-0000-0000215A0000}"/>
    <cellStyle name="Normal 2 5 7" xfId="227" xr:uid="{00000000-0005-0000-0000-0000225A0000}"/>
    <cellStyle name="Normal 2 5 7 10" xfId="7065" xr:uid="{00000000-0005-0000-0000-0000235A0000}"/>
    <cellStyle name="Normal 2 5 7 10 2" xfId="19679" xr:uid="{00000000-0005-0000-0000-0000245A0000}"/>
    <cellStyle name="Normal 2 5 7 10 2 2" xfId="45232" xr:uid="{00000000-0005-0000-0000-0000255A0000}"/>
    <cellStyle name="Normal 2 5 7 10 3" xfId="32622" xr:uid="{00000000-0005-0000-0000-0000265A0000}"/>
    <cellStyle name="Normal 2 5 7 11" xfId="15811" xr:uid="{00000000-0005-0000-0000-0000275A0000}"/>
    <cellStyle name="Normal 2 5 7 11 2" xfId="41364" xr:uid="{00000000-0005-0000-0000-0000285A0000}"/>
    <cellStyle name="Normal 2 5 7 12" xfId="26162" xr:uid="{00000000-0005-0000-0000-0000295A0000}"/>
    <cellStyle name="Normal 2 5 7 2" xfId="550" xr:uid="{00000000-0005-0000-0000-00002A5A0000}"/>
    <cellStyle name="Normal 2 5 7 2 10" xfId="26479" xr:uid="{00000000-0005-0000-0000-00002B5A0000}"/>
    <cellStyle name="Normal 2 5 7 2 2" xfId="776" xr:uid="{00000000-0005-0000-0000-00002C5A0000}"/>
    <cellStyle name="Normal 2 5 7 2 2 2" xfId="3262" xr:uid="{00000000-0005-0000-0000-00002D5A0000}"/>
    <cellStyle name="Normal 2 5 7 2 2 2 2" xfId="12404" xr:uid="{00000000-0005-0000-0000-00002E5A0000}"/>
    <cellStyle name="Normal 2 5 7 2 2 2 2 2" xfId="22623" xr:uid="{00000000-0005-0000-0000-00002F5A0000}"/>
    <cellStyle name="Normal 2 5 7 2 2 2 2 2 2" xfId="48176" xr:uid="{00000000-0005-0000-0000-0000305A0000}"/>
    <cellStyle name="Normal 2 5 7 2 2 2 2 3" xfId="37959" xr:uid="{00000000-0005-0000-0000-0000315A0000}"/>
    <cellStyle name="Normal 2 5 7 2 2 2 3" xfId="8826" xr:uid="{00000000-0005-0000-0000-0000325A0000}"/>
    <cellStyle name="Normal 2 5 7 2 2 2 3 2" xfId="34383" xr:uid="{00000000-0005-0000-0000-0000335A0000}"/>
    <cellStyle name="Normal 2 5 7 2 2 2 4" xfId="17616" xr:uid="{00000000-0005-0000-0000-0000345A0000}"/>
    <cellStyle name="Normal 2 5 7 2 2 2 4 2" xfId="43169" xr:uid="{00000000-0005-0000-0000-0000355A0000}"/>
    <cellStyle name="Normal 2 5 7 2 2 2 5" xfId="29106" xr:uid="{00000000-0005-0000-0000-0000365A0000}"/>
    <cellStyle name="Normal 2 5 7 2 2 3" xfId="4591" xr:uid="{00000000-0005-0000-0000-0000375A0000}"/>
    <cellStyle name="Normal 2 5 7 2 2 3 2" xfId="13429" xr:uid="{00000000-0005-0000-0000-0000385A0000}"/>
    <cellStyle name="Normal 2 5 7 2 2 3 2 2" xfId="23680" xr:uid="{00000000-0005-0000-0000-0000395A0000}"/>
    <cellStyle name="Normal 2 5 7 2 2 3 2 2 2" xfId="49233" xr:uid="{00000000-0005-0000-0000-00003A5A0000}"/>
    <cellStyle name="Normal 2 5 7 2 2 3 2 3" xfId="38984" xr:uid="{00000000-0005-0000-0000-00003B5A0000}"/>
    <cellStyle name="Normal 2 5 7 2 2 3 3" xfId="9850" xr:uid="{00000000-0005-0000-0000-00003C5A0000}"/>
    <cellStyle name="Normal 2 5 7 2 2 3 3 2" xfId="35407" xr:uid="{00000000-0005-0000-0000-00003D5A0000}"/>
    <cellStyle name="Normal 2 5 7 2 2 3 4" xfId="18673" xr:uid="{00000000-0005-0000-0000-00003E5A0000}"/>
    <cellStyle name="Normal 2 5 7 2 2 3 4 2" xfId="44226" xr:uid="{00000000-0005-0000-0000-00003F5A0000}"/>
    <cellStyle name="Normal 2 5 7 2 2 3 5" xfId="30163" xr:uid="{00000000-0005-0000-0000-0000405A0000}"/>
    <cellStyle name="Normal 2 5 7 2 2 4" xfId="2371" xr:uid="{00000000-0005-0000-0000-0000415A0000}"/>
    <cellStyle name="Normal 2 5 7 2 2 4 2" xfId="11736" xr:uid="{00000000-0005-0000-0000-0000425A0000}"/>
    <cellStyle name="Normal 2 5 7 2 2 4 2 2" xfId="37291" xr:uid="{00000000-0005-0000-0000-0000435A0000}"/>
    <cellStyle name="Normal 2 5 7 2 2 4 3" xfId="21740" xr:uid="{00000000-0005-0000-0000-0000445A0000}"/>
    <cellStyle name="Normal 2 5 7 2 2 4 3 2" xfId="47293" xr:uid="{00000000-0005-0000-0000-0000455A0000}"/>
    <cellStyle name="Normal 2 5 7 2 2 4 4" xfId="28223" xr:uid="{00000000-0005-0000-0000-0000465A0000}"/>
    <cellStyle name="Normal 2 5 7 2 2 5" xfId="6047" xr:uid="{00000000-0005-0000-0000-0000475A0000}"/>
    <cellStyle name="Normal 2 5 7 2 2 5 2" xfId="14874" xr:uid="{00000000-0005-0000-0000-0000485A0000}"/>
    <cellStyle name="Normal 2 5 7 2 2 5 2 2" xfId="40429" xr:uid="{00000000-0005-0000-0000-0000495A0000}"/>
    <cellStyle name="Normal 2 5 7 2 2 5 3" xfId="25125" xr:uid="{00000000-0005-0000-0000-00004A5A0000}"/>
    <cellStyle name="Normal 2 5 7 2 2 5 3 2" xfId="50678" xr:uid="{00000000-0005-0000-0000-00004B5A0000}"/>
    <cellStyle name="Normal 2 5 7 2 2 5 4" xfId="31608" xr:uid="{00000000-0005-0000-0000-00004C5A0000}"/>
    <cellStyle name="Normal 2 5 7 2 2 6" xfId="7491" xr:uid="{00000000-0005-0000-0000-00004D5A0000}"/>
    <cellStyle name="Normal 2 5 7 2 2 6 2" xfId="20222" xr:uid="{00000000-0005-0000-0000-00004E5A0000}"/>
    <cellStyle name="Normal 2 5 7 2 2 6 2 2" xfId="45775" xr:uid="{00000000-0005-0000-0000-00004F5A0000}"/>
    <cellStyle name="Normal 2 5 7 2 2 6 3" xfId="33048" xr:uid="{00000000-0005-0000-0000-0000505A0000}"/>
    <cellStyle name="Normal 2 5 7 2 2 7" xfId="16733" xr:uid="{00000000-0005-0000-0000-0000515A0000}"/>
    <cellStyle name="Normal 2 5 7 2 2 7 2" xfId="42286" xr:uid="{00000000-0005-0000-0000-0000525A0000}"/>
    <cellStyle name="Normal 2 5 7 2 2 8" xfId="26705" xr:uid="{00000000-0005-0000-0000-0000535A0000}"/>
    <cellStyle name="Normal 2 5 7 2 3" xfId="1322" xr:uid="{00000000-0005-0000-0000-0000545A0000}"/>
    <cellStyle name="Normal 2 5 7 2 3 2" xfId="3751" xr:uid="{00000000-0005-0000-0000-0000555A0000}"/>
    <cellStyle name="Normal 2 5 7 2 3 2 2" xfId="12887" xr:uid="{00000000-0005-0000-0000-0000565A0000}"/>
    <cellStyle name="Normal 2 5 7 2 3 2 2 2" xfId="23106" xr:uid="{00000000-0005-0000-0000-0000575A0000}"/>
    <cellStyle name="Normal 2 5 7 2 3 2 2 2 2" xfId="48659" xr:uid="{00000000-0005-0000-0000-0000585A0000}"/>
    <cellStyle name="Normal 2 5 7 2 3 2 2 3" xfId="38442" xr:uid="{00000000-0005-0000-0000-0000595A0000}"/>
    <cellStyle name="Normal 2 5 7 2 3 2 3" xfId="9308" xr:uid="{00000000-0005-0000-0000-00005A5A0000}"/>
    <cellStyle name="Normal 2 5 7 2 3 2 3 2" xfId="34865" xr:uid="{00000000-0005-0000-0000-00005B5A0000}"/>
    <cellStyle name="Normal 2 5 7 2 3 2 4" xfId="18099" xr:uid="{00000000-0005-0000-0000-00005C5A0000}"/>
    <cellStyle name="Normal 2 5 7 2 3 2 4 2" xfId="43652" xr:uid="{00000000-0005-0000-0000-00005D5A0000}"/>
    <cellStyle name="Normal 2 5 7 2 3 2 5" xfId="29589" xr:uid="{00000000-0005-0000-0000-00005E5A0000}"/>
    <cellStyle name="Normal 2 5 7 2 3 3" xfId="4940" xr:uid="{00000000-0005-0000-0000-00005F5A0000}"/>
    <cellStyle name="Normal 2 5 7 2 3 3 2" xfId="13777" xr:uid="{00000000-0005-0000-0000-0000605A0000}"/>
    <cellStyle name="Normal 2 5 7 2 3 3 2 2" xfId="24028" xr:uid="{00000000-0005-0000-0000-0000615A0000}"/>
    <cellStyle name="Normal 2 5 7 2 3 3 2 2 2" xfId="49581" xr:uid="{00000000-0005-0000-0000-0000625A0000}"/>
    <cellStyle name="Normal 2 5 7 2 3 3 2 3" xfId="39332" xr:uid="{00000000-0005-0000-0000-0000635A0000}"/>
    <cellStyle name="Normal 2 5 7 2 3 3 3" xfId="10198" xr:uid="{00000000-0005-0000-0000-0000645A0000}"/>
    <cellStyle name="Normal 2 5 7 2 3 3 3 2" xfId="35755" xr:uid="{00000000-0005-0000-0000-0000655A0000}"/>
    <cellStyle name="Normal 2 5 7 2 3 3 4" xfId="19021" xr:uid="{00000000-0005-0000-0000-0000665A0000}"/>
    <cellStyle name="Normal 2 5 7 2 3 3 4 2" xfId="44574" xr:uid="{00000000-0005-0000-0000-0000675A0000}"/>
    <cellStyle name="Normal 2 5 7 2 3 3 5" xfId="30511" xr:uid="{00000000-0005-0000-0000-0000685A0000}"/>
    <cellStyle name="Normal 2 5 7 2 3 4" xfId="2145" xr:uid="{00000000-0005-0000-0000-0000695A0000}"/>
    <cellStyle name="Normal 2 5 7 2 3 4 2" xfId="11510" xr:uid="{00000000-0005-0000-0000-00006A5A0000}"/>
    <cellStyle name="Normal 2 5 7 2 3 4 2 2" xfId="37065" xr:uid="{00000000-0005-0000-0000-00006B5A0000}"/>
    <cellStyle name="Normal 2 5 7 2 3 4 3" xfId="21514" xr:uid="{00000000-0005-0000-0000-00006C5A0000}"/>
    <cellStyle name="Normal 2 5 7 2 3 4 3 2" xfId="47067" xr:uid="{00000000-0005-0000-0000-00006D5A0000}"/>
    <cellStyle name="Normal 2 5 7 2 3 4 4" xfId="27997" xr:uid="{00000000-0005-0000-0000-00006E5A0000}"/>
    <cellStyle name="Normal 2 5 7 2 3 5" xfId="6395" xr:uid="{00000000-0005-0000-0000-00006F5A0000}"/>
    <cellStyle name="Normal 2 5 7 2 3 5 2" xfId="15222" xr:uid="{00000000-0005-0000-0000-0000705A0000}"/>
    <cellStyle name="Normal 2 5 7 2 3 5 2 2" xfId="40777" xr:uid="{00000000-0005-0000-0000-0000715A0000}"/>
    <cellStyle name="Normal 2 5 7 2 3 5 3" xfId="25473" xr:uid="{00000000-0005-0000-0000-0000725A0000}"/>
    <cellStyle name="Normal 2 5 7 2 3 5 3 2" xfId="51026" xr:uid="{00000000-0005-0000-0000-0000735A0000}"/>
    <cellStyle name="Normal 2 5 7 2 3 5 4" xfId="31956" xr:uid="{00000000-0005-0000-0000-0000745A0000}"/>
    <cellStyle name="Normal 2 5 7 2 3 6" xfId="7841" xr:uid="{00000000-0005-0000-0000-0000755A0000}"/>
    <cellStyle name="Normal 2 5 7 2 3 6 2" xfId="20705" xr:uid="{00000000-0005-0000-0000-0000765A0000}"/>
    <cellStyle name="Normal 2 5 7 2 3 6 2 2" xfId="46258" xr:uid="{00000000-0005-0000-0000-0000775A0000}"/>
    <cellStyle name="Normal 2 5 7 2 3 6 3" xfId="33398" xr:uid="{00000000-0005-0000-0000-0000785A0000}"/>
    <cellStyle name="Normal 2 5 7 2 3 7" xfId="16507" xr:uid="{00000000-0005-0000-0000-0000795A0000}"/>
    <cellStyle name="Normal 2 5 7 2 3 7 2" xfId="42060" xr:uid="{00000000-0005-0000-0000-00007A5A0000}"/>
    <cellStyle name="Normal 2 5 7 2 3 8" xfId="27188" xr:uid="{00000000-0005-0000-0000-00007B5A0000}"/>
    <cellStyle name="Normal 2 5 7 2 4" xfId="3036" xr:uid="{00000000-0005-0000-0000-00007C5A0000}"/>
    <cellStyle name="Normal 2 5 7 2 4 2" xfId="5414" xr:uid="{00000000-0005-0000-0000-00007D5A0000}"/>
    <cellStyle name="Normal 2 5 7 2 4 2 2" xfId="14251" xr:uid="{00000000-0005-0000-0000-00007E5A0000}"/>
    <cellStyle name="Normal 2 5 7 2 4 2 2 2" xfId="24502" xr:uid="{00000000-0005-0000-0000-00007F5A0000}"/>
    <cellStyle name="Normal 2 5 7 2 4 2 2 2 2" xfId="50055" xr:uid="{00000000-0005-0000-0000-0000805A0000}"/>
    <cellStyle name="Normal 2 5 7 2 4 2 2 3" xfId="39806" xr:uid="{00000000-0005-0000-0000-0000815A0000}"/>
    <cellStyle name="Normal 2 5 7 2 4 2 3" xfId="10672" xr:uid="{00000000-0005-0000-0000-0000825A0000}"/>
    <cellStyle name="Normal 2 5 7 2 4 2 3 2" xfId="36229" xr:uid="{00000000-0005-0000-0000-0000835A0000}"/>
    <cellStyle name="Normal 2 5 7 2 4 2 4" xfId="19495" xr:uid="{00000000-0005-0000-0000-0000845A0000}"/>
    <cellStyle name="Normal 2 5 7 2 4 2 4 2" xfId="45048" xr:uid="{00000000-0005-0000-0000-0000855A0000}"/>
    <cellStyle name="Normal 2 5 7 2 4 2 5" xfId="30985" xr:uid="{00000000-0005-0000-0000-0000865A0000}"/>
    <cellStyle name="Normal 2 5 7 2 4 3" xfId="6869" xr:uid="{00000000-0005-0000-0000-0000875A0000}"/>
    <cellStyle name="Normal 2 5 7 2 4 3 2" xfId="15696" xr:uid="{00000000-0005-0000-0000-0000885A0000}"/>
    <cellStyle name="Normal 2 5 7 2 4 3 2 2" xfId="41251" xr:uid="{00000000-0005-0000-0000-0000895A0000}"/>
    <cellStyle name="Normal 2 5 7 2 4 3 3" xfId="25947" xr:uid="{00000000-0005-0000-0000-00008A5A0000}"/>
    <cellStyle name="Normal 2 5 7 2 4 3 3 2" xfId="51500" xr:uid="{00000000-0005-0000-0000-00008B5A0000}"/>
    <cellStyle name="Normal 2 5 7 2 4 3 4" xfId="32430" xr:uid="{00000000-0005-0000-0000-00008C5A0000}"/>
    <cellStyle name="Normal 2 5 7 2 4 4" xfId="8315" xr:uid="{00000000-0005-0000-0000-00008D5A0000}"/>
    <cellStyle name="Normal 2 5 7 2 4 4 2" xfId="22397" xr:uid="{00000000-0005-0000-0000-00008E5A0000}"/>
    <cellStyle name="Normal 2 5 7 2 4 4 2 2" xfId="47950" xr:uid="{00000000-0005-0000-0000-00008F5A0000}"/>
    <cellStyle name="Normal 2 5 7 2 4 4 3" xfId="33872" xr:uid="{00000000-0005-0000-0000-0000905A0000}"/>
    <cellStyle name="Normal 2 5 7 2 4 5" xfId="17390" xr:uid="{00000000-0005-0000-0000-0000915A0000}"/>
    <cellStyle name="Normal 2 5 7 2 4 5 2" xfId="42943" xr:uid="{00000000-0005-0000-0000-0000925A0000}"/>
    <cellStyle name="Normal 2 5 7 2 4 6" xfId="28880" xr:uid="{00000000-0005-0000-0000-0000935A0000}"/>
    <cellStyle name="Normal 2 5 7 2 5" xfId="4370" xr:uid="{00000000-0005-0000-0000-0000945A0000}"/>
    <cellStyle name="Normal 2 5 7 2 5 2" xfId="13208" xr:uid="{00000000-0005-0000-0000-0000955A0000}"/>
    <cellStyle name="Normal 2 5 7 2 5 2 2" xfId="23459" xr:uid="{00000000-0005-0000-0000-0000965A0000}"/>
    <cellStyle name="Normal 2 5 7 2 5 2 2 2" xfId="49012" xr:uid="{00000000-0005-0000-0000-0000975A0000}"/>
    <cellStyle name="Normal 2 5 7 2 5 2 3" xfId="38763" xr:uid="{00000000-0005-0000-0000-0000985A0000}"/>
    <cellStyle name="Normal 2 5 7 2 5 3" xfId="9629" xr:uid="{00000000-0005-0000-0000-0000995A0000}"/>
    <cellStyle name="Normal 2 5 7 2 5 3 2" xfId="35186" xr:uid="{00000000-0005-0000-0000-00009A5A0000}"/>
    <cellStyle name="Normal 2 5 7 2 5 4" xfId="18452" xr:uid="{00000000-0005-0000-0000-00009B5A0000}"/>
    <cellStyle name="Normal 2 5 7 2 5 4 2" xfId="44005" xr:uid="{00000000-0005-0000-0000-00009C5A0000}"/>
    <cellStyle name="Normal 2 5 7 2 5 5" xfId="29942" xr:uid="{00000000-0005-0000-0000-00009D5A0000}"/>
    <cellStyle name="Normal 2 5 7 2 6" xfId="1642" xr:uid="{00000000-0005-0000-0000-00009E5A0000}"/>
    <cellStyle name="Normal 2 5 7 2 6 2" xfId="11019" xr:uid="{00000000-0005-0000-0000-00009F5A0000}"/>
    <cellStyle name="Normal 2 5 7 2 6 2 2" xfId="36574" xr:uid="{00000000-0005-0000-0000-0000A05A0000}"/>
    <cellStyle name="Normal 2 5 7 2 6 3" xfId="21023" xr:uid="{00000000-0005-0000-0000-0000A15A0000}"/>
    <cellStyle name="Normal 2 5 7 2 6 3 2" xfId="46576" xr:uid="{00000000-0005-0000-0000-0000A25A0000}"/>
    <cellStyle name="Normal 2 5 7 2 6 4" xfId="27506" xr:uid="{00000000-0005-0000-0000-0000A35A0000}"/>
    <cellStyle name="Normal 2 5 7 2 7" xfId="5826" xr:uid="{00000000-0005-0000-0000-0000A45A0000}"/>
    <cellStyle name="Normal 2 5 7 2 7 2" xfId="14653" xr:uid="{00000000-0005-0000-0000-0000A55A0000}"/>
    <cellStyle name="Normal 2 5 7 2 7 2 2" xfId="40208" xr:uid="{00000000-0005-0000-0000-0000A65A0000}"/>
    <cellStyle name="Normal 2 5 7 2 7 3" xfId="24904" xr:uid="{00000000-0005-0000-0000-0000A75A0000}"/>
    <cellStyle name="Normal 2 5 7 2 7 3 2" xfId="50457" xr:uid="{00000000-0005-0000-0000-0000A85A0000}"/>
    <cellStyle name="Normal 2 5 7 2 7 4" xfId="31387" xr:uid="{00000000-0005-0000-0000-0000A95A0000}"/>
    <cellStyle name="Normal 2 5 7 2 8" xfId="7270" xr:uid="{00000000-0005-0000-0000-0000AA5A0000}"/>
    <cellStyle name="Normal 2 5 7 2 8 2" xfId="19996" xr:uid="{00000000-0005-0000-0000-0000AB5A0000}"/>
    <cellStyle name="Normal 2 5 7 2 8 2 2" xfId="45549" xr:uid="{00000000-0005-0000-0000-0000AC5A0000}"/>
    <cellStyle name="Normal 2 5 7 2 8 3" xfId="32827" xr:uid="{00000000-0005-0000-0000-0000AD5A0000}"/>
    <cellStyle name="Normal 2 5 7 2 9" xfId="16016" xr:uid="{00000000-0005-0000-0000-0000AE5A0000}"/>
    <cellStyle name="Normal 2 5 7 2 9 2" xfId="41569" xr:uid="{00000000-0005-0000-0000-0000AF5A0000}"/>
    <cellStyle name="Normal 2 5 7 2_Degree data" xfId="3917" xr:uid="{00000000-0005-0000-0000-0000B05A0000}"/>
    <cellStyle name="Normal 2 5 7 3" xfId="345" xr:uid="{00000000-0005-0000-0000-0000B15A0000}"/>
    <cellStyle name="Normal 2 5 7 3 2" xfId="2831" xr:uid="{00000000-0005-0000-0000-0000B25A0000}"/>
    <cellStyle name="Normal 2 5 7 3 2 2" xfId="12119" xr:uid="{00000000-0005-0000-0000-0000B35A0000}"/>
    <cellStyle name="Normal 2 5 7 3 2 2 2" xfId="22192" xr:uid="{00000000-0005-0000-0000-0000B45A0000}"/>
    <cellStyle name="Normal 2 5 7 3 2 2 2 2" xfId="47745" xr:uid="{00000000-0005-0000-0000-0000B55A0000}"/>
    <cellStyle name="Normal 2 5 7 3 2 2 3" xfId="37674" xr:uid="{00000000-0005-0000-0000-0000B65A0000}"/>
    <cellStyle name="Normal 2 5 7 3 2 3" xfId="8409" xr:uid="{00000000-0005-0000-0000-0000B75A0000}"/>
    <cellStyle name="Normal 2 5 7 3 2 3 2" xfId="33966" xr:uid="{00000000-0005-0000-0000-0000B85A0000}"/>
    <cellStyle name="Normal 2 5 7 3 2 4" xfId="17185" xr:uid="{00000000-0005-0000-0000-0000B95A0000}"/>
    <cellStyle name="Normal 2 5 7 3 2 4 2" xfId="42738" xr:uid="{00000000-0005-0000-0000-0000BA5A0000}"/>
    <cellStyle name="Normal 2 5 7 3 2 5" xfId="28675" xr:uid="{00000000-0005-0000-0000-0000BB5A0000}"/>
    <cellStyle name="Normal 2 5 7 3 3" xfId="4590" xr:uid="{00000000-0005-0000-0000-0000BC5A0000}"/>
    <cellStyle name="Normal 2 5 7 3 3 2" xfId="13428" xr:uid="{00000000-0005-0000-0000-0000BD5A0000}"/>
    <cellStyle name="Normal 2 5 7 3 3 2 2" xfId="23679" xr:uid="{00000000-0005-0000-0000-0000BE5A0000}"/>
    <cellStyle name="Normal 2 5 7 3 3 2 2 2" xfId="49232" xr:uid="{00000000-0005-0000-0000-0000BF5A0000}"/>
    <cellStyle name="Normal 2 5 7 3 3 2 3" xfId="38983" xr:uid="{00000000-0005-0000-0000-0000C05A0000}"/>
    <cellStyle name="Normal 2 5 7 3 3 3" xfId="9849" xr:uid="{00000000-0005-0000-0000-0000C15A0000}"/>
    <cellStyle name="Normal 2 5 7 3 3 3 2" xfId="35406" xr:uid="{00000000-0005-0000-0000-0000C25A0000}"/>
    <cellStyle name="Normal 2 5 7 3 3 4" xfId="18672" xr:uid="{00000000-0005-0000-0000-0000C35A0000}"/>
    <cellStyle name="Normal 2 5 7 3 3 4 2" xfId="44225" xr:uid="{00000000-0005-0000-0000-0000C45A0000}"/>
    <cellStyle name="Normal 2 5 7 3 3 5" xfId="30162" xr:uid="{00000000-0005-0000-0000-0000C55A0000}"/>
    <cellStyle name="Normal 2 5 7 3 4" xfId="1940" xr:uid="{00000000-0005-0000-0000-0000C65A0000}"/>
    <cellStyle name="Normal 2 5 7 3 4 2" xfId="11305" xr:uid="{00000000-0005-0000-0000-0000C75A0000}"/>
    <cellStyle name="Normal 2 5 7 3 4 2 2" xfId="36860" xr:uid="{00000000-0005-0000-0000-0000C85A0000}"/>
    <cellStyle name="Normal 2 5 7 3 4 3" xfId="21309" xr:uid="{00000000-0005-0000-0000-0000C95A0000}"/>
    <cellStyle name="Normal 2 5 7 3 4 3 2" xfId="46862" xr:uid="{00000000-0005-0000-0000-0000CA5A0000}"/>
    <cellStyle name="Normal 2 5 7 3 4 4" xfId="27792" xr:uid="{00000000-0005-0000-0000-0000CB5A0000}"/>
    <cellStyle name="Normal 2 5 7 3 5" xfId="6046" xr:uid="{00000000-0005-0000-0000-0000CC5A0000}"/>
    <cellStyle name="Normal 2 5 7 3 5 2" xfId="14873" xr:uid="{00000000-0005-0000-0000-0000CD5A0000}"/>
    <cellStyle name="Normal 2 5 7 3 5 2 2" xfId="40428" xr:uid="{00000000-0005-0000-0000-0000CE5A0000}"/>
    <cellStyle name="Normal 2 5 7 3 5 3" xfId="25124" xr:uid="{00000000-0005-0000-0000-0000CF5A0000}"/>
    <cellStyle name="Normal 2 5 7 3 5 3 2" xfId="50677" xr:uid="{00000000-0005-0000-0000-0000D05A0000}"/>
    <cellStyle name="Normal 2 5 7 3 5 4" xfId="31607" xr:uid="{00000000-0005-0000-0000-0000D15A0000}"/>
    <cellStyle name="Normal 2 5 7 3 6" xfId="7490" xr:uid="{00000000-0005-0000-0000-0000D25A0000}"/>
    <cellStyle name="Normal 2 5 7 3 6 2" xfId="19791" xr:uid="{00000000-0005-0000-0000-0000D35A0000}"/>
    <cellStyle name="Normal 2 5 7 3 6 2 2" xfId="45344" xr:uid="{00000000-0005-0000-0000-0000D45A0000}"/>
    <cellStyle name="Normal 2 5 7 3 6 3" xfId="33047" xr:uid="{00000000-0005-0000-0000-0000D55A0000}"/>
    <cellStyle name="Normal 2 5 7 3 7" xfId="16302" xr:uid="{00000000-0005-0000-0000-0000D65A0000}"/>
    <cellStyle name="Normal 2 5 7 3 7 2" xfId="41855" xr:uid="{00000000-0005-0000-0000-0000D75A0000}"/>
    <cellStyle name="Normal 2 5 7 3 8" xfId="26274" xr:uid="{00000000-0005-0000-0000-0000D85A0000}"/>
    <cellStyle name="Normal 2 5 7 4" xfId="775" xr:uid="{00000000-0005-0000-0000-0000D95A0000}"/>
    <cellStyle name="Normal 2 5 7 4 2" xfId="3261" xr:uid="{00000000-0005-0000-0000-0000DA5A0000}"/>
    <cellStyle name="Normal 2 5 7 4 2 2" xfId="12403" xr:uid="{00000000-0005-0000-0000-0000DB5A0000}"/>
    <cellStyle name="Normal 2 5 7 4 2 2 2" xfId="22622" xr:uid="{00000000-0005-0000-0000-0000DC5A0000}"/>
    <cellStyle name="Normal 2 5 7 4 2 2 2 2" xfId="48175" xr:uid="{00000000-0005-0000-0000-0000DD5A0000}"/>
    <cellStyle name="Normal 2 5 7 4 2 2 3" xfId="37958" xr:uid="{00000000-0005-0000-0000-0000DE5A0000}"/>
    <cellStyle name="Normal 2 5 7 4 2 3" xfId="8825" xr:uid="{00000000-0005-0000-0000-0000DF5A0000}"/>
    <cellStyle name="Normal 2 5 7 4 2 3 2" xfId="34382" xr:uid="{00000000-0005-0000-0000-0000E05A0000}"/>
    <cellStyle name="Normal 2 5 7 4 2 4" xfId="17615" xr:uid="{00000000-0005-0000-0000-0000E15A0000}"/>
    <cellStyle name="Normal 2 5 7 4 2 4 2" xfId="43168" xr:uid="{00000000-0005-0000-0000-0000E25A0000}"/>
    <cellStyle name="Normal 2 5 7 4 2 5" xfId="29105" xr:uid="{00000000-0005-0000-0000-0000E35A0000}"/>
    <cellStyle name="Normal 2 5 7 4 3" xfId="4939" xr:uid="{00000000-0005-0000-0000-0000E45A0000}"/>
    <cellStyle name="Normal 2 5 7 4 3 2" xfId="13776" xr:uid="{00000000-0005-0000-0000-0000E55A0000}"/>
    <cellStyle name="Normal 2 5 7 4 3 2 2" xfId="24027" xr:uid="{00000000-0005-0000-0000-0000E65A0000}"/>
    <cellStyle name="Normal 2 5 7 4 3 2 2 2" xfId="49580" xr:uid="{00000000-0005-0000-0000-0000E75A0000}"/>
    <cellStyle name="Normal 2 5 7 4 3 2 3" xfId="39331" xr:uid="{00000000-0005-0000-0000-0000E85A0000}"/>
    <cellStyle name="Normal 2 5 7 4 3 3" xfId="10197" xr:uid="{00000000-0005-0000-0000-0000E95A0000}"/>
    <cellStyle name="Normal 2 5 7 4 3 3 2" xfId="35754" xr:uid="{00000000-0005-0000-0000-0000EA5A0000}"/>
    <cellStyle name="Normal 2 5 7 4 3 4" xfId="19020" xr:uid="{00000000-0005-0000-0000-0000EB5A0000}"/>
    <cellStyle name="Normal 2 5 7 4 3 4 2" xfId="44573" xr:uid="{00000000-0005-0000-0000-0000EC5A0000}"/>
    <cellStyle name="Normal 2 5 7 4 3 5" xfId="30510" xr:uid="{00000000-0005-0000-0000-0000ED5A0000}"/>
    <cellStyle name="Normal 2 5 7 4 4" xfId="2370" xr:uid="{00000000-0005-0000-0000-0000EE5A0000}"/>
    <cellStyle name="Normal 2 5 7 4 4 2" xfId="11735" xr:uid="{00000000-0005-0000-0000-0000EF5A0000}"/>
    <cellStyle name="Normal 2 5 7 4 4 2 2" xfId="37290" xr:uid="{00000000-0005-0000-0000-0000F05A0000}"/>
    <cellStyle name="Normal 2 5 7 4 4 3" xfId="21739" xr:uid="{00000000-0005-0000-0000-0000F15A0000}"/>
    <cellStyle name="Normal 2 5 7 4 4 3 2" xfId="47292" xr:uid="{00000000-0005-0000-0000-0000F25A0000}"/>
    <cellStyle name="Normal 2 5 7 4 4 4" xfId="28222" xr:uid="{00000000-0005-0000-0000-0000F35A0000}"/>
    <cellStyle name="Normal 2 5 7 4 5" xfId="6394" xr:uid="{00000000-0005-0000-0000-0000F45A0000}"/>
    <cellStyle name="Normal 2 5 7 4 5 2" xfId="15221" xr:uid="{00000000-0005-0000-0000-0000F55A0000}"/>
    <cellStyle name="Normal 2 5 7 4 5 2 2" xfId="40776" xr:uid="{00000000-0005-0000-0000-0000F65A0000}"/>
    <cellStyle name="Normal 2 5 7 4 5 3" xfId="25472" xr:uid="{00000000-0005-0000-0000-0000F75A0000}"/>
    <cellStyle name="Normal 2 5 7 4 5 3 2" xfId="51025" xr:uid="{00000000-0005-0000-0000-0000F85A0000}"/>
    <cellStyle name="Normal 2 5 7 4 5 4" xfId="31955" xr:uid="{00000000-0005-0000-0000-0000F95A0000}"/>
    <cellStyle name="Normal 2 5 7 4 6" xfId="7840" xr:uid="{00000000-0005-0000-0000-0000FA5A0000}"/>
    <cellStyle name="Normal 2 5 7 4 6 2" xfId="20221" xr:uid="{00000000-0005-0000-0000-0000FB5A0000}"/>
    <cellStyle name="Normal 2 5 7 4 6 2 2" xfId="45774" xr:uid="{00000000-0005-0000-0000-0000FC5A0000}"/>
    <cellStyle name="Normal 2 5 7 4 6 3" xfId="33397" xr:uid="{00000000-0005-0000-0000-0000FD5A0000}"/>
    <cellStyle name="Normal 2 5 7 4 7" xfId="16732" xr:uid="{00000000-0005-0000-0000-0000FE5A0000}"/>
    <cellStyle name="Normal 2 5 7 4 7 2" xfId="42285" xr:uid="{00000000-0005-0000-0000-0000FF5A0000}"/>
    <cellStyle name="Normal 2 5 7 4 8" xfId="26704" xr:uid="{00000000-0005-0000-0000-0000005B0000}"/>
    <cellStyle name="Normal 2 5 7 5" xfId="1117" xr:uid="{00000000-0005-0000-0000-0000015B0000}"/>
    <cellStyle name="Normal 2 5 7 5 2" xfId="3546" xr:uid="{00000000-0005-0000-0000-0000025B0000}"/>
    <cellStyle name="Normal 2 5 7 5 2 2" xfId="12682" xr:uid="{00000000-0005-0000-0000-0000035B0000}"/>
    <cellStyle name="Normal 2 5 7 5 2 2 2" xfId="22901" xr:uid="{00000000-0005-0000-0000-0000045B0000}"/>
    <cellStyle name="Normal 2 5 7 5 2 2 2 2" xfId="48454" xr:uid="{00000000-0005-0000-0000-0000055B0000}"/>
    <cellStyle name="Normal 2 5 7 5 2 2 3" xfId="38237" xr:uid="{00000000-0005-0000-0000-0000065B0000}"/>
    <cellStyle name="Normal 2 5 7 5 2 3" xfId="9103" xr:uid="{00000000-0005-0000-0000-0000075B0000}"/>
    <cellStyle name="Normal 2 5 7 5 2 3 2" xfId="34660" xr:uid="{00000000-0005-0000-0000-0000085B0000}"/>
    <cellStyle name="Normal 2 5 7 5 2 4" xfId="17894" xr:uid="{00000000-0005-0000-0000-0000095B0000}"/>
    <cellStyle name="Normal 2 5 7 5 2 4 2" xfId="43447" xr:uid="{00000000-0005-0000-0000-00000A5B0000}"/>
    <cellStyle name="Normal 2 5 7 5 2 5" xfId="29384" xr:uid="{00000000-0005-0000-0000-00000B5B0000}"/>
    <cellStyle name="Normal 2 5 7 5 3" xfId="5209" xr:uid="{00000000-0005-0000-0000-00000C5B0000}"/>
    <cellStyle name="Normal 2 5 7 5 3 2" xfId="14046" xr:uid="{00000000-0005-0000-0000-00000D5B0000}"/>
    <cellStyle name="Normal 2 5 7 5 3 2 2" xfId="24297" xr:uid="{00000000-0005-0000-0000-00000E5B0000}"/>
    <cellStyle name="Normal 2 5 7 5 3 2 2 2" xfId="49850" xr:uid="{00000000-0005-0000-0000-00000F5B0000}"/>
    <cellStyle name="Normal 2 5 7 5 3 2 3" xfId="39601" xr:uid="{00000000-0005-0000-0000-0000105B0000}"/>
    <cellStyle name="Normal 2 5 7 5 3 3" xfId="10467" xr:uid="{00000000-0005-0000-0000-0000115B0000}"/>
    <cellStyle name="Normal 2 5 7 5 3 3 2" xfId="36024" xr:uid="{00000000-0005-0000-0000-0000125B0000}"/>
    <cellStyle name="Normal 2 5 7 5 3 4" xfId="19290" xr:uid="{00000000-0005-0000-0000-0000135B0000}"/>
    <cellStyle name="Normal 2 5 7 5 3 4 2" xfId="44843" xr:uid="{00000000-0005-0000-0000-0000145B0000}"/>
    <cellStyle name="Normal 2 5 7 5 3 5" xfId="30780" xr:uid="{00000000-0005-0000-0000-0000155B0000}"/>
    <cellStyle name="Normal 2 5 7 5 4" xfId="1825" xr:uid="{00000000-0005-0000-0000-0000165B0000}"/>
    <cellStyle name="Normal 2 5 7 5 4 2" xfId="11193" xr:uid="{00000000-0005-0000-0000-0000175B0000}"/>
    <cellStyle name="Normal 2 5 7 5 4 2 2" xfId="36748" xr:uid="{00000000-0005-0000-0000-0000185B0000}"/>
    <cellStyle name="Normal 2 5 7 5 4 3" xfId="21197" xr:uid="{00000000-0005-0000-0000-0000195B0000}"/>
    <cellStyle name="Normal 2 5 7 5 4 3 2" xfId="46750" xr:uid="{00000000-0005-0000-0000-00001A5B0000}"/>
    <cellStyle name="Normal 2 5 7 5 4 4" xfId="27680" xr:uid="{00000000-0005-0000-0000-00001B5B0000}"/>
    <cellStyle name="Normal 2 5 7 5 5" xfId="6664" xr:uid="{00000000-0005-0000-0000-00001C5B0000}"/>
    <cellStyle name="Normal 2 5 7 5 5 2" xfId="15491" xr:uid="{00000000-0005-0000-0000-00001D5B0000}"/>
    <cellStyle name="Normal 2 5 7 5 5 2 2" xfId="41046" xr:uid="{00000000-0005-0000-0000-00001E5B0000}"/>
    <cellStyle name="Normal 2 5 7 5 5 3" xfId="25742" xr:uid="{00000000-0005-0000-0000-00001F5B0000}"/>
    <cellStyle name="Normal 2 5 7 5 5 3 2" xfId="51295" xr:uid="{00000000-0005-0000-0000-0000205B0000}"/>
    <cellStyle name="Normal 2 5 7 5 5 4" xfId="32225" xr:uid="{00000000-0005-0000-0000-0000215B0000}"/>
    <cellStyle name="Normal 2 5 7 5 6" xfId="8110" xr:uid="{00000000-0005-0000-0000-0000225B0000}"/>
    <cellStyle name="Normal 2 5 7 5 6 2" xfId="20500" xr:uid="{00000000-0005-0000-0000-0000235B0000}"/>
    <cellStyle name="Normal 2 5 7 5 6 2 2" xfId="46053" xr:uid="{00000000-0005-0000-0000-0000245B0000}"/>
    <cellStyle name="Normal 2 5 7 5 6 3" xfId="33667" xr:uid="{00000000-0005-0000-0000-0000255B0000}"/>
    <cellStyle name="Normal 2 5 7 5 7" xfId="16190" xr:uid="{00000000-0005-0000-0000-0000265B0000}"/>
    <cellStyle name="Normal 2 5 7 5 7 2" xfId="41743" xr:uid="{00000000-0005-0000-0000-0000275B0000}"/>
    <cellStyle name="Normal 2 5 7 5 8" xfId="26983" xr:uid="{00000000-0005-0000-0000-0000285B0000}"/>
    <cellStyle name="Normal 2 5 7 6" xfId="2719" xr:uid="{00000000-0005-0000-0000-0000295B0000}"/>
    <cellStyle name="Normal 2 5 7 6 2" xfId="12036" xr:uid="{00000000-0005-0000-0000-00002A5B0000}"/>
    <cellStyle name="Normal 2 5 7 6 2 2" xfId="22080" xr:uid="{00000000-0005-0000-0000-00002B5B0000}"/>
    <cellStyle name="Normal 2 5 7 6 2 2 2" xfId="47633" xr:uid="{00000000-0005-0000-0000-00002C5B0000}"/>
    <cellStyle name="Normal 2 5 7 6 2 3" xfId="37591" xr:uid="{00000000-0005-0000-0000-00002D5B0000}"/>
    <cellStyle name="Normal 2 5 7 6 3" xfId="8548" xr:uid="{00000000-0005-0000-0000-00002E5B0000}"/>
    <cellStyle name="Normal 2 5 7 6 3 2" xfId="34105" xr:uid="{00000000-0005-0000-0000-00002F5B0000}"/>
    <cellStyle name="Normal 2 5 7 6 4" xfId="17073" xr:uid="{00000000-0005-0000-0000-0000305B0000}"/>
    <cellStyle name="Normal 2 5 7 6 4 2" xfId="42626" xr:uid="{00000000-0005-0000-0000-0000315B0000}"/>
    <cellStyle name="Normal 2 5 7 6 5" xfId="28563" xr:uid="{00000000-0005-0000-0000-0000325B0000}"/>
    <cellStyle name="Normal 2 5 7 7" xfId="4165" xr:uid="{00000000-0005-0000-0000-0000335B0000}"/>
    <cellStyle name="Normal 2 5 7 7 2" xfId="13003" xr:uid="{00000000-0005-0000-0000-0000345B0000}"/>
    <cellStyle name="Normal 2 5 7 7 2 2" xfId="23254" xr:uid="{00000000-0005-0000-0000-0000355B0000}"/>
    <cellStyle name="Normal 2 5 7 7 2 2 2" xfId="48807" xr:uid="{00000000-0005-0000-0000-0000365B0000}"/>
    <cellStyle name="Normal 2 5 7 7 2 3" xfId="38558" xr:uid="{00000000-0005-0000-0000-0000375B0000}"/>
    <cellStyle name="Normal 2 5 7 7 3" xfId="9424" xr:uid="{00000000-0005-0000-0000-0000385B0000}"/>
    <cellStyle name="Normal 2 5 7 7 3 2" xfId="34981" xr:uid="{00000000-0005-0000-0000-0000395B0000}"/>
    <cellStyle name="Normal 2 5 7 7 4" xfId="18247" xr:uid="{00000000-0005-0000-0000-00003A5B0000}"/>
    <cellStyle name="Normal 2 5 7 7 4 2" xfId="43800" xr:uid="{00000000-0005-0000-0000-00003B5B0000}"/>
    <cellStyle name="Normal 2 5 7 7 5" xfId="29737" xr:uid="{00000000-0005-0000-0000-00003C5B0000}"/>
    <cellStyle name="Normal 2 5 7 8" xfId="1437" xr:uid="{00000000-0005-0000-0000-00003D5B0000}"/>
    <cellStyle name="Normal 2 5 7 8 2" xfId="10814" xr:uid="{00000000-0005-0000-0000-00003E5B0000}"/>
    <cellStyle name="Normal 2 5 7 8 2 2" xfId="36369" xr:uid="{00000000-0005-0000-0000-00003F5B0000}"/>
    <cellStyle name="Normal 2 5 7 8 3" xfId="20818" xr:uid="{00000000-0005-0000-0000-0000405B0000}"/>
    <cellStyle name="Normal 2 5 7 8 3 2" xfId="46371" xr:uid="{00000000-0005-0000-0000-0000415B0000}"/>
    <cellStyle name="Normal 2 5 7 8 4" xfId="27301" xr:uid="{00000000-0005-0000-0000-0000425B0000}"/>
    <cellStyle name="Normal 2 5 7 9" xfId="5621" xr:uid="{00000000-0005-0000-0000-0000435B0000}"/>
    <cellStyle name="Normal 2 5 7 9 2" xfId="14448" xr:uid="{00000000-0005-0000-0000-0000445B0000}"/>
    <cellStyle name="Normal 2 5 7 9 2 2" xfId="40003" xr:uid="{00000000-0005-0000-0000-0000455B0000}"/>
    <cellStyle name="Normal 2 5 7 9 3" xfId="24699" xr:uid="{00000000-0005-0000-0000-0000465B0000}"/>
    <cellStyle name="Normal 2 5 7 9 3 2" xfId="50252" xr:uid="{00000000-0005-0000-0000-0000475B0000}"/>
    <cellStyle name="Normal 2 5 7 9 4" xfId="31182" xr:uid="{00000000-0005-0000-0000-0000485B0000}"/>
    <cellStyle name="Normal 2 5 7_Degree data" xfId="3874" xr:uid="{00000000-0005-0000-0000-0000495B0000}"/>
    <cellStyle name="Normal 2 5 8" xfId="284" xr:uid="{00000000-0005-0000-0000-00004A5B0000}"/>
    <cellStyle name="Normal 2 5 8 10" xfId="16072" xr:uid="{00000000-0005-0000-0000-00004B5B0000}"/>
    <cellStyle name="Normal 2 5 8 10 2" xfId="41625" xr:uid="{00000000-0005-0000-0000-00004C5B0000}"/>
    <cellStyle name="Normal 2 5 8 11" xfId="26218" xr:uid="{00000000-0005-0000-0000-00004D5B0000}"/>
    <cellStyle name="Normal 2 5 8 2" xfId="606" xr:uid="{00000000-0005-0000-0000-00004E5B0000}"/>
    <cellStyle name="Normal 2 5 8 2 2" xfId="3092" xr:uid="{00000000-0005-0000-0000-00004F5B0000}"/>
    <cellStyle name="Normal 2 5 8 2 2 2" xfId="12235" xr:uid="{00000000-0005-0000-0000-0000505B0000}"/>
    <cellStyle name="Normal 2 5 8 2 2 2 2" xfId="22453" xr:uid="{00000000-0005-0000-0000-0000515B0000}"/>
    <cellStyle name="Normal 2 5 8 2 2 2 2 2" xfId="48006" xr:uid="{00000000-0005-0000-0000-0000525B0000}"/>
    <cellStyle name="Normal 2 5 8 2 2 2 3" xfId="37790" xr:uid="{00000000-0005-0000-0000-0000535B0000}"/>
    <cellStyle name="Normal 2 5 8 2 2 3" xfId="8657" xr:uid="{00000000-0005-0000-0000-0000545B0000}"/>
    <cellStyle name="Normal 2 5 8 2 2 3 2" xfId="34214" xr:uid="{00000000-0005-0000-0000-0000555B0000}"/>
    <cellStyle name="Normal 2 5 8 2 2 4" xfId="17446" xr:uid="{00000000-0005-0000-0000-0000565B0000}"/>
    <cellStyle name="Normal 2 5 8 2 2 4 2" xfId="42999" xr:uid="{00000000-0005-0000-0000-0000575B0000}"/>
    <cellStyle name="Normal 2 5 8 2 2 5" xfId="28936" xr:uid="{00000000-0005-0000-0000-0000585B0000}"/>
    <cellStyle name="Normal 2 5 8 2 3" xfId="4592" xr:uid="{00000000-0005-0000-0000-0000595B0000}"/>
    <cellStyle name="Normal 2 5 8 2 3 2" xfId="13430" xr:uid="{00000000-0005-0000-0000-00005A5B0000}"/>
    <cellStyle name="Normal 2 5 8 2 3 2 2" xfId="23681" xr:uid="{00000000-0005-0000-0000-00005B5B0000}"/>
    <cellStyle name="Normal 2 5 8 2 3 2 2 2" xfId="49234" xr:uid="{00000000-0005-0000-0000-00005C5B0000}"/>
    <cellStyle name="Normal 2 5 8 2 3 2 3" xfId="38985" xr:uid="{00000000-0005-0000-0000-00005D5B0000}"/>
    <cellStyle name="Normal 2 5 8 2 3 3" xfId="9851" xr:uid="{00000000-0005-0000-0000-00005E5B0000}"/>
    <cellStyle name="Normal 2 5 8 2 3 3 2" xfId="35408" xr:uid="{00000000-0005-0000-0000-00005F5B0000}"/>
    <cellStyle name="Normal 2 5 8 2 3 4" xfId="18674" xr:uid="{00000000-0005-0000-0000-0000605B0000}"/>
    <cellStyle name="Normal 2 5 8 2 3 4 2" xfId="44227" xr:uid="{00000000-0005-0000-0000-0000615B0000}"/>
    <cellStyle name="Normal 2 5 8 2 3 5" xfId="30164" xr:uid="{00000000-0005-0000-0000-0000625B0000}"/>
    <cellStyle name="Normal 2 5 8 2 4" xfId="2201" xr:uid="{00000000-0005-0000-0000-0000635B0000}"/>
    <cellStyle name="Normal 2 5 8 2 4 2" xfId="11566" xr:uid="{00000000-0005-0000-0000-0000645B0000}"/>
    <cellStyle name="Normal 2 5 8 2 4 2 2" xfId="37121" xr:uid="{00000000-0005-0000-0000-0000655B0000}"/>
    <cellStyle name="Normal 2 5 8 2 4 3" xfId="21570" xr:uid="{00000000-0005-0000-0000-0000665B0000}"/>
    <cellStyle name="Normal 2 5 8 2 4 3 2" xfId="47123" xr:uid="{00000000-0005-0000-0000-0000675B0000}"/>
    <cellStyle name="Normal 2 5 8 2 4 4" xfId="28053" xr:uid="{00000000-0005-0000-0000-0000685B0000}"/>
    <cellStyle name="Normal 2 5 8 2 5" xfId="6048" xr:uid="{00000000-0005-0000-0000-0000695B0000}"/>
    <cellStyle name="Normal 2 5 8 2 5 2" xfId="14875" xr:uid="{00000000-0005-0000-0000-00006A5B0000}"/>
    <cellStyle name="Normal 2 5 8 2 5 2 2" xfId="40430" xr:uid="{00000000-0005-0000-0000-00006B5B0000}"/>
    <cellStyle name="Normal 2 5 8 2 5 3" xfId="25126" xr:uid="{00000000-0005-0000-0000-00006C5B0000}"/>
    <cellStyle name="Normal 2 5 8 2 5 3 2" xfId="50679" xr:uid="{00000000-0005-0000-0000-00006D5B0000}"/>
    <cellStyle name="Normal 2 5 8 2 5 4" xfId="31609" xr:uid="{00000000-0005-0000-0000-00006E5B0000}"/>
    <cellStyle name="Normal 2 5 8 2 6" xfId="7492" xr:uid="{00000000-0005-0000-0000-00006F5B0000}"/>
    <cellStyle name="Normal 2 5 8 2 6 2" xfId="20052" xr:uid="{00000000-0005-0000-0000-0000705B0000}"/>
    <cellStyle name="Normal 2 5 8 2 6 2 2" xfId="45605" xr:uid="{00000000-0005-0000-0000-0000715B0000}"/>
    <cellStyle name="Normal 2 5 8 2 6 3" xfId="33049" xr:uid="{00000000-0005-0000-0000-0000725B0000}"/>
    <cellStyle name="Normal 2 5 8 2 7" xfId="16563" xr:uid="{00000000-0005-0000-0000-0000735B0000}"/>
    <cellStyle name="Normal 2 5 8 2 7 2" xfId="42116" xr:uid="{00000000-0005-0000-0000-0000745B0000}"/>
    <cellStyle name="Normal 2 5 8 2 8" xfId="26535" xr:uid="{00000000-0005-0000-0000-0000755B0000}"/>
    <cellStyle name="Normal 2 5 8 3" xfId="777" xr:uid="{00000000-0005-0000-0000-0000765B0000}"/>
    <cellStyle name="Normal 2 5 8 3 2" xfId="3263" xr:uid="{00000000-0005-0000-0000-0000775B0000}"/>
    <cellStyle name="Normal 2 5 8 3 2 2" xfId="12405" xr:uid="{00000000-0005-0000-0000-0000785B0000}"/>
    <cellStyle name="Normal 2 5 8 3 2 2 2" xfId="22624" xr:uid="{00000000-0005-0000-0000-0000795B0000}"/>
    <cellStyle name="Normal 2 5 8 3 2 2 2 2" xfId="48177" xr:uid="{00000000-0005-0000-0000-00007A5B0000}"/>
    <cellStyle name="Normal 2 5 8 3 2 2 3" xfId="37960" xr:uid="{00000000-0005-0000-0000-00007B5B0000}"/>
    <cellStyle name="Normal 2 5 8 3 2 3" xfId="8827" xr:uid="{00000000-0005-0000-0000-00007C5B0000}"/>
    <cellStyle name="Normal 2 5 8 3 2 3 2" xfId="34384" xr:uid="{00000000-0005-0000-0000-00007D5B0000}"/>
    <cellStyle name="Normal 2 5 8 3 2 4" xfId="17617" xr:uid="{00000000-0005-0000-0000-00007E5B0000}"/>
    <cellStyle name="Normal 2 5 8 3 2 4 2" xfId="43170" xr:uid="{00000000-0005-0000-0000-00007F5B0000}"/>
    <cellStyle name="Normal 2 5 8 3 2 5" xfId="29107" xr:uid="{00000000-0005-0000-0000-0000805B0000}"/>
    <cellStyle name="Normal 2 5 8 3 3" xfId="4941" xr:uid="{00000000-0005-0000-0000-0000815B0000}"/>
    <cellStyle name="Normal 2 5 8 3 3 2" xfId="13778" xr:uid="{00000000-0005-0000-0000-0000825B0000}"/>
    <cellStyle name="Normal 2 5 8 3 3 2 2" xfId="24029" xr:uid="{00000000-0005-0000-0000-0000835B0000}"/>
    <cellStyle name="Normal 2 5 8 3 3 2 2 2" xfId="49582" xr:uid="{00000000-0005-0000-0000-0000845B0000}"/>
    <cellStyle name="Normal 2 5 8 3 3 2 3" xfId="39333" xr:uid="{00000000-0005-0000-0000-0000855B0000}"/>
    <cellStyle name="Normal 2 5 8 3 3 3" xfId="10199" xr:uid="{00000000-0005-0000-0000-0000865B0000}"/>
    <cellStyle name="Normal 2 5 8 3 3 3 2" xfId="35756" xr:uid="{00000000-0005-0000-0000-0000875B0000}"/>
    <cellStyle name="Normal 2 5 8 3 3 4" xfId="19022" xr:uid="{00000000-0005-0000-0000-0000885B0000}"/>
    <cellStyle name="Normal 2 5 8 3 3 4 2" xfId="44575" xr:uid="{00000000-0005-0000-0000-0000895B0000}"/>
    <cellStyle name="Normal 2 5 8 3 3 5" xfId="30512" xr:uid="{00000000-0005-0000-0000-00008A5B0000}"/>
    <cellStyle name="Normal 2 5 8 3 4" xfId="2372" xr:uid="{00000000-0005-0000-0000-00008B5B0000}"/>
    <cellStyle name="Normal 2 5 8 3 4 2" xfId="11737" xr:uid="{00000000-0005-0000-0000-00008C5B0000}"/>
    <cellStyle name="Normal 2 5 8 3 4 2 2" xfId="37292" xr:uid="{00000000-0005-0000-0000-00008D5B0000}"/>
    <cellStyle name="Normal 2 5 8 3 4 3" xfId="21741" xr:uid="{00000000-0005-0000-0000-00008E5B0000}"/>
    <cellStyle name="Normal 2 5 8 3 4 3 2" xfId="47294" xr:uid="{00000000-0005-0000-0000-00008F5B0000}"/>
    <cellStyle name="Normal 2 5 8 3 4 4" xfId="28224" xr:uid="{00000000-0005-0000-0000-0000905B0000}"/>
    <cellStyle name="Normal 2 5 8 3 5" xfId="6396" xr:uid="{00000000-0005-0000-0000-0000915B0000}"/>
    <cellStyle name="Normal 2 5 8 3 5 2" xfId="15223" xr:uid="{00000000-0005-0000-0000-0000925B0000}"/>
    <cellStyle name="Normal 2 5 8 3 5 2 2" xfId="40778" xr:uid="{00000000-0005-0000-0000-0000935B0000}"/>
    <cellStyle name="Normal 2 5 8 3 5 3" xfId="25474" xr:uid="{00000000-0005-0000-0000-0000945B0000}"/>
    <cellStyle name="Normal 2 5 8 3 5 3 2" xfId="51027" xr:uid="{00000000-0005-0000-0000-0000955B0000}"/>
    <cellStyle name="Normal 2 5 8 3 5 4" xfId="31957" xr:uid="{00000000-0005-0000-0000-0000965B0000}"/>
    <cellStyle name="Normal 2 5 8 3 6" xfId="7842" xr:uid="{00000000-0005-0000-0000-0000975B0000}"/>
    <cellStyle name="Normal 2 5 8 3 6 2" xfId="20223" xr:uid="{00000000-0005-0000-0000-0000985B0000}"/>
    <cellStyle name="Normal 2 5 8 3 6 2 2" xfId="45776" xr:uid="{00000000-0005-0000-0000-0000995B0000}"/>
    <cellStyle name="Normal 2 5 8 3 6 3" xfId="33399" xr:uid="{00000000-0005-0000-0000-00009A5B0000}"/>
    <cellStyle name="Normal 2 5 8 3 7" xfId="16734" xr:uid="{00000000-0005-0000-0000-00009B5B0000}"/>
    <cellStyle name="Normal 2 5 8 3 7 2" xfId="42287" xr:uid="{00000000-0005-0000-0000-00009C5B0000}"/>
    <cellStyle name="Normal 2 5 8 3 8" xfId="26706" xr:uid="{00000000-0005-0000-0000-00009D5B0000}"/>
    <cellStyle name="Normal 2 5 8 4" xfId="1378" xr:uid="{00000000-0005-0000-0000-00009E5B0000}"/>
    <cellStyle name="Normal 2 5 8 4 2" xfId="3807" xr:uid="{00000000-0005-0000-0000-00009F5B0000}"/>
    <cellStyle name="Normal 2 5 8 4 2 2" xfId="12943" xr:uid="{00000000-0005-0000-0000-0000A05B0000}"/>
    <cellStyle name="Normal 2 5 8 4 2 2 2" xfId="23162" xr:uid="{00000000-0005-0000-0000-0000A15B0000}"/>
    <cellStyle name="Normal 2 5 8 4 2 2 2 2" xfId="48715" xr:uid="{00000000-0005-0000-0000-0000A25B0000}"/>
    <cellStyle name="Normal 2 5 8 4 2 2 3" xfId="38498" xr:uid="{00000000-0005-0000-0000-0000A35B0000}"/>
    <cellStyle name="Normal 2 5 8 4 2 3" xfId="9364" xr:uid="{00000000-0005-0000-0000-0000A45B0000}"/>
    <cellStyle name="Normal 2 5 8 4 2 3 2" xfId="34921" xr:uid="{00000000-0005-0000-0000-0000A55B0000}"/>
    <cellStyle name="Normal 2 5 8 4 2 4" xfId="18155" xr:uid="{00000000-0005-0000-0000-0000A65B0000}"/>
    <cellStyle name="Normal 2 5 8 4 2 4 2" xfId="43708" xr:uid="{00000000-0005-0000-0000-0000A75B0000}"/>
    <cellStyle name="Normal 2 5 8 4 2 5" xfId="29645" xr:uid="{00000000-0005-0000-0000-0000A85B0000}"/>
    <cellStyle name="Normal 2 5 8 4 3" xfId="5470" xr:uid="{00000000-0005-0000-0000-0000A95B0000}"/>
    <cellStyle name="Normal 2 5 8 4 3 2" xfId="14307" xr:uid="{00000000-0005-0000-0000-0000AA5B0000}"/>
    <cellStyle name="Normal 2 5 8 4 3 2 2" xfId="24558" xr:uid="{00000000-0005-0000-0000-0000AB5B0000}"/>
    <cellStyle name="Normal 2 5 8 4 3 2 2 2" xfId="50111" xr:uid="{00000000-0005-0000-0000-0000AC5B0000}"/>
    <cellStyle name="Normal 2 5 8 4 3 2 3" xfId="39862" xr:uid="{00000000-0005-0000-0000-0000AD5B0000}"/>
    <cellStyle name="Normal 2 5 8 4 3 3" xfId="10728" xr:uid="{00000000-0005-0000-0000-0000AE5B0000}"/>
    <cellStyle name="Normal 2 5 8 4 3 3 2" xfId="36285" xr:uid="{00000000-0005-0000-0000-0000AF5B0000}"/>
    <cellStyle name="Normal 2 5 8 4 3 4" xfId="19551" xr:uid="{00000000-0005-0000-0000-0000B05B0000}"/>
    <cellStyle name="Normal 2 5 8 4 3 4 2" xfId="45104" xr:uid="{00000000-0005-0000-0000-0000B15B0000}"/>
    <cellStyle name="Normal 2 5 8 4 3 5" xfId="31041" xr:uid="{00000000-0005-0000-0000-0000B25B0000}"/>
    <cellStyle name="Normal 2 5 8 4 4" xfId="1881" xr:uid="{00000000-0005-0000-0000-0000B35B0000}"/>
    <cellStyle name="Normal 2 5 8 4 4 2" xfId="11249" xr:uid="{00000000-0005-0000-0000-0000B45B0000}"/>
    <cellStyle name="Normal 2 5 8 4 4 2 2" xfId="36804" xr:uid="{00000000-0005-0000-0000-0000B55B0000}"/>
    <cellStyle name="Normal 2 5 8 4 4 3" xfId="21253" xr:uid="{00000000-0005-0000-0000-0000B65B0000}"/>
    <cellStyle name="Normal 2 5 8 4 4 3 2" xfId="46806" xr:uid="{00000000-0005-0000-0000-0000B75B0000}"/>
    <cellStyle name="Normal 2 5 8 4 4 4" xfId="27736" xr:uid="{00000000-0005-0000-0000-0000B85B0000}"/>
    <cellStyle name="Normal 2 5 8 4 5" xfId="6925" xr:uid="{00000000-0005-0000-0000-0000B95B0000}"/>
    <cellStyle name="Normal 2 5 8 4 5 2" xfId="15752" xr:uid="{00000000-0005-0000-0000-0000BA5B0000}"/>
    <cellStyle name="Normal 2 5 8 4 5 2 2" xfId="41307" xr:uid="{00000000-0005-0000-0000-0000BB5B0000}"/>
    <cellStyle name="Normal 2 5 8 4 5 3" xfId="26003" xr:uid="{00000000-0005-0000-0000-0000BC5B0000}"/>
    <cellStyle name="Normal 2 5 8 4 5 3 2" xfId="51556" xr:uid="{00000000-0005-0000-0000-0000BD5B0000}"/>
    <cellStyle name="Normal 2 5 8 4 5 4" xfId="32486" xr:uid="{00000000-0005-0000-0000-0000BE5B0000}"/>
    <cellStyle name="Normal 2 5 8 4 6" xfId="8371" xr:uid="{00000000-0005-0000-0000-0000BF5B0000}"/>
    <cellStyle name="Normal 2 5 8 4 6 2" xfId="20761" xr:uid="{00000000-0005-0000-0000-0000C05B0000}"/>
    <cellStyle name="Normal 2 5 8 4 6 2 2" xfId="46314" xr:uid="{00000000-0005-0000-0000-0000C15B0000}"/>
    <cellStyle name="Normal 2 5 8 4 6 3" xfId="33928" xr:uid="{00000000-0005-0000-0000-0000C25B0000}"/>
    <cellStyle name="Normal 2 5 8 4 7" xfId="16246" xr:uid="{00000000-0005-0000-0000-0000C35B0000}"/>
    <cellStyle name="Normal 2 5 8 4 7 2" xfId="41799" xr:uid="{00000000-0005-0000-0000-0000C45B0000}"/>
    <cellStyle name="Normal 2 5 8 4 8" xfId="27244" xr:uid="{00000000-0005-0000-0000-0000C55B0000}"/>
    <cellStyle name="Normal 2 5 8 5" xfId="2775" xr:uid="{00000000-0005-0000-0000-0000C65B0000}"/>
    <cellStyle name="Normal 2 5 8 5 2" xfId="12092" xr:uid="{00000000-0005-0000-0000-0000C75B0000}"/>
    <cellStyle name="Normal 2 5 8 5 2 2" xfId="22136" xr:uid="{00000000-0005-0000-0000-0000C85B0000}"/>
    <cellStyle name="Normal 2 5 8 5 2 2 2" xfId="47689" xr:uid="{00000000-0005-0000-0000-0000C95B0000}"/>
    <cellStyle name="Normal 2 5 8 5 2 3" xfId="37647" xr:uid="{00000000-0005-0000-0000-0000CA5B0000}"/>
    <cellStyle name="Normal 2 5 8 5 3" xfId="8619" xr:uid="{00000000-0005-0000-0000-0000CB5B0000}"/>
    <cellStyle name="Normal 2 5 8 5 3 2" xfId="34176" xr:uid="{00000000-0005-0000-0000-0000CC5B0000}"/>
    <cellStyle name="Normal 2 5 8 5 4" xfId="17129" xr:uid="{00000000-0005-0000-0000-0000CD5B0000}"/>
    <cellStyle name="Normal 2 5 8 5 4 2" xfId="42682" xr:uid="{00000000-0005-0000-0000-0000CE5B0000}"/>
    <cellStyle name="Normal 2 5 8 5 5" xfId="28619" xr:uid="{00000000-0005-0000-0000-0000CF5B0000}"/>
    <cellStyle name="Normal 2 5 8 6" xfId="4426" xr:uid="{00000000-0005-0000-0000-0000D05B0000}"/>
    <cellStyle name="Normal 2 5 8 6 2" xfId="13264" xr:uid="{00000000-0005-0000-0000-0000D15B0000}"/>
    <cellStyle name="Normal 2 5 8 6 2 2" xfId="23515" xr:uid="{00000000-0005-0000-0000-0000D25B0000}"/>
    <cellStyle name="Normal 2 5 8 6 2 2 2" xfId="49068" xr:uid="{00000000-0005-0000-0000-0000D35B0000}"/>
    <cellStyle name="Normal 2 5 8 6 2 3" xfId="38819" xr:uid="{00000000-0005-0000-0000-0000D45B0000}"/>
    <cellStyle name="Normal 2 5 8 6 3" xfId="9685" xr:uid="{00000000-0005-0000-0000-0000D55B0000}"/>
    <cellStyle name="Normal 2 5 8 6 3 2" xfId="35242" xr:uid="{00000000-0005-0000-0000-0000D65B0000}"/>
    <cellStyle name="Normal 2 5 8 6 4" xfId="18508" xr:uid="{00000000-0005-0000-0000-0000D75B0000}"/>
    <cellStyle name="Normal 2 5 8 6 4 2" xfId="44061" xr:uid="{00000000-0005-0000-0000-0000D85B0000}"/>
    <cellStyle name="Normal 2 5 8 6 5" xfId="29998" xr:uid="{00000000-0005-0000-0000-0000D95B0000}"/>
    <cellStyle name="Normal 2 5 8 7" xfId="1698" xr:uid="{00000000-0005-0000-0000-0000DA5B0000}"/>
    <cellStyle name="Normal 2 5 8 7 2" xfId="11075" xr:uid="{00000000-0005-0000-0000-0000DB5B0000}"/>
    <cellStyle name="Normal 2 5 8 7 2 2" xfId="36630" xr:uid="{00000000-0005-0000-0000-0000DC5B0000}"/>
    <cellStyle name="Normal 2 5 8 7 3" xfId="21079" xr:uid="{00000000-0005-0000-0000-0000DD5B0000}"/>
    <cellStyle name="Normal 2 5 8 7 3 2" xfId="46632" xr:uid="{00000000-0005-0000-0000-0000DE5B0000}"/>
    <cellStyle name="Normal 2 5 8 7 4" xfId="27562" xr:uid="{00000000-0005-0000-0000-0000DF5B0000}"/>
    <cellStyle name="Normal 2 5 8 8" xfId="5882" xr:uid="{00000000-0005-0000-0000-0000E05B0000}"/>
    <cellStyle name="Normal 2 5 8 8 2" xfId="14709" xr:uid="{00000000-0005-0000-0000-0000E15B0000}"/>
    <cellStyle name="Normal 2 5 8 8 2 2" xfId="40264" xr:uid="{00000000-0005-0000-0000-0000E25B0000}"/>
    <cellStyle name="Normal 2 5 8 8 3" xfId="24960" xr:uid="{00000000-0005-0000-0000-0000E35B0000}"/>
    <cellStyle name="Normal 2 5 8 8 3 2" xfId="50513" xr:uid="{00000000-0005-0000-0000-0000E45B0000}"/>
    <cellStyle name="Normal 2 5 8 8 4" xfId="31443" xr:uid="{00000000-0005-0000-0000-0000E55B0000}"/>
    <cellStyle name="Normal 2 5 8 9" xfId="7326" xr:uid="{00000000-0005-0000-0000-0000E65B0000}"/>
    <cellStyle name="Normal 2 5 8 9 2" xfId="19735" xr:uid="{00000000-0005-0000-0000-0000E75B0000}"/>
    <cellStyle name="Normal 2 5 8 9 2 2" xfId="45288" xr:uid="{00000000-0005-0000-0000-0000E85B0000}"/>
    <cellStyle name="Normal 2 5 8 9 3" xfId="32883" xr:uid="{00000000-0005-0000-0000-0000E95B0000}"/>
    <cellStyle name="Normal 2 5 8_Degree data" xfId="3460" xr:uid="{00000000-0005-0000-0000-0000EA5B0000}"/>
    <cellStyle name="Normal 2 5 9" xfId="445" xr:uid="{00000000-0005-0000-0000-0000EB5B0000}"/>
    <cellStyle name="Normal 2 5 9 10" xfId="26374" xr:uid="{00000000-0005-0000-0000-0000EC5B0000}"/>
    <cellStyle name="Normal 2 5 9 2" xfId="778" xr:uid="{00000000-0005-0000-0000-0000ED5B0000}"/>
    <cellStyle name="Normal 2 5 9 2 2" xfId="3264" xr:uid="{00000000-0005-0000-0000-0000EE5B0000}"/>
    <cellStyle name="Normal 2 5 9 2 2 2" xfId="12406" xr:uid="{00000000-0005-0000-0000-0000EF5B0000}"/>
    <cellStyle name="Normal 2 5 9 2 2 2 2" xfId="22625" xr:uid="{00000000-0005-0000-0000-0000F05B0000}"/>
    <cellStyle name="Normal 2 5 9 2 2 2 2 2" xfId="48178" xr:uid="{00000000-0005-0000-0000-0000F15B0000}"/>
    <cellStyle name="Normal 2 5 9 2 2 2 3" xfId="37961" xr:uid="{00000000-0005-0000-0000-0000F25B0000}"/>
    <cellStyle name="Normal 2 5 9 2 2 3" xfId="8828" xr:uid="{00000000-0005-0000-0000-0000F35B0000}"/>
    <cellStyle name="Normal 2 5 9 2 2 3 2" xfId="34385" xr:uid="{00000000-0005-0000-0000-0000F45B0000}"/>
    <cellStyle name="Normal 2 5 9 2 2 4" xfId="17618" xr:uid="{00000000-0005-0000-0000-0000F55B0000}"/>
    <cellStyle name="Normal 2 5 9 2 2 4 2" xfId="43171" xr:uid="{00000000-0005-0000-0000-0000F65B0000}"/>
    <cellStyle name="Normal 2 5 9 2 2 5" xfId="29108" xr:uid="{00000000-0005-0000-0000-0000F75B0000}"/>
    <cellStyle name="Normal 2 5 9 2 3" xfId="4593" xr:uid="{00000000-0005-0000-0000-0000F85B0000}"/>
    <cellStyle name="Normal 2 5 9 2 3 2" xfId="13431" xr:uid="{00000000-0005-0000-0000-0000F95B0000}"/>
    <cellStyle name="Normal 2 5 9 2 3 2 2" xfId="23682" xr:uid="{00000000-0005-0000-0000-0000FA5B0000}"/>
    <cellStyle name="Normal 2 5 9 2 3 2 2 2" xfId="49235" xr:uid="{00000000-0005-0000-0000-0000FB5B0000}"/>
    <cellStyle name="Normal 2 5 9 2 3 2 3" xfId="38986" xr:uid="{00000000-0005-0000-0000-0000FC5B0000}"/>
    <cellStyle name="Normal 2 5 9 2 3 3" xfId="9852" xr:uid="{00000000-0005-0000-0000-0000FD5B0000}"/>
    <cellStyle name="Normal 2 5 9 2 3 3 2" xfId="35409" xr:uid="{00000000-0005-0000-0000-0000FE5B0000}"/>
    <cellStyle name="Normal 2 5 9 2 3 4" xfId="18675" xr:uid="{00000000-0005-0000-0000-0000FF5B0000}"/>
    <cellStyle name="Normal 2 5 9 2 3 4 2" xfId="44228" xr:uid="{00000000-0005-0000-0000-0000005C0000}"/>
    <cellStyle name="Normal 2 5 9 2 3 5" xfId="30165" xr:uid="{00000000-0005-0000-0000-0000015C0000}"/>
    <cellStyle name="Normal 2 5 9 2 4" xfId="2373" xr:uid="{00000000-0005-0000-0000-0000025C0000}"/>
    <cellStyle name="Normal 2 5 9 2 4 2" xfId="11738" xr:uid="{00000000-0005-0000-0000-0000035C0000}"/>
    <cellStyle name="Normal 2 5 9 2 4 2 2" xfId="37293" xr:uid="{00000000-0005-0000-0000-0000045C0000}"/>
    <cellStyle name="Normal 2 5 9 2 4 3" xfId="21742" xr:uid="{00000000-0005-0000-0000-0000055C0000}"/>
    <cellStyle name="Normal 2 5 9 2 4 3 2" xfId="47295" xr:uid="{00000000-0005-0000-0000-0000065C0000}"/>
    <cellStyle name="Normal 2 5 9 2 4 4" xfId="28225" xr:uid="{00000000-0005-0000-0000-0000075C0000}"/>
    <cellStyle name="Normal 2 5 9 2 5" xfId="6049" xr:uid="{00000000-0005-0000-0000-0000085C0000}"/>
    <cellStyle name="Normal 2 5 9 2 5 2" xfId="14876" xr:uid="{00000000-0005-0000-0000-0000095C0000}"/>
    <cellStyle name="Normal 2 5 9 2 5 2 2" xfId="40431" xr:uid="{00000000-0005-0000-0000-00000A5C0000}"/>
    <cellStyle name="Normal 2 5 9 2 5 3" xfId="25127" xr:uid="{00000000-0005-0000-0000-00000B5C0000}"/>
    <cellStyle name="Normal 2 5 9 2 5 3 2" xfId="50680" xr:uid="{00000000-0005-0000-0000-00000C5C0000}"/>
    <cellStyle name="Normal 2 5 9 2 5 4" xfId="31610" xr:uid="{00000000-0005-0000-0000-00000D5C0000}"/>
    <cellStyle name="Normal 2 5 9 2 6" xfId="7493" xr:uid="{00000000-0005-0000-0000-00000E5C0000}"/>
    <cellStyle name="Normal 2 5 9 2 6 2" xfId="20224" xr:uid="{00000000-0005-0000-0000-00000F5C0000}"/>
    <cellStyle name="Normal 2 5 9 2 6 2 2" xfId="45777" xr:uid="{00000000-0005-0000-0000-0000105C0000}"/>
    <cellStyle name="Normal 2 5 9 2 6 3" xfId="33050" xr:uid="{00000000-0005-0000-0000-0000115C0000}"/>
    <cellStyle name="Normal 2 5 9 2 7" xfId="16735" xr:uid="{00000000-0005-0000-0000-0000125C0000}"/>
    <cellStyle name="Normal 2 5 9 2 7 2" xfId="42288" xr:uid="{00000000-0005-0000-0000-0000135C0000}"/>
    <cellStyle name="Normal 2 5 9 2 8" xfId="26707" xr:uid="{00000000-0005-0000-0000-0000145C0000}"/>
    <cellStyle name="Normal 2 5 9 3" xfId="1217" xr:uid="{00000000-0005-0000-0000-0000155C0000}"/>
    <cellStyle name="Normal 2 5 9 3 2" xfId="3646" xr:uid="{00000000-0005-0000-0000-0000165C0000}"/>
    <cellStyle name="Normal 2 5 9 3 2 2" xfId="12782" xr:uid="{00000000-0005-0000-0000-0000175C0000}"/>
    <cellStyle name="Normal 2 5 9 3 2 2 2" xfId="23001" xr:uid="{00000000-0005-0000-0000-0000185C0000}"/>
    <cellStyle name="Normal 2 5 9 3 2 2 2 2" xfId="48554" xr:uid="{00000000-0005-0000-0000-0000195C0000}"/>
    <cellStyle name="Normal 2 5 9 3 2 2 3" xfId="38337" xr:uid="{00000000-0005-0000-0000-00001A5C0000}"/>
    <cellStyle name="Normal 2 5 9 3 2 3" xfId="9203" xr:uid="{00000000-0005-0000-0000-00001B5C0000}"/>
    <cellStyle name="Normal 2 5 9 3 2 3 2" xfId="34760" xr:uid="{00000000-0005-0000-0000-00001C5C0000}"/>
    <cellStyle name="Normal 2 5 9 3 2 4" xfId="17994" xr:uid="{00000000-0005-0000-0000-00001D5C0000}"/>
    <cellStyle name="Normal 2 5 9 3 2 4 2" xfId="43547" xr:uid="{00000000-0005-0000-0000-00001E5C0000}"/>
    <cellStyle name="Normal 2 5 9 3 2 5" xfId="29484" xr:uid="{00000000-0005-0000-0000-00001F5C0000}"/>
    <cellStyle name="Normal 2 5 9 3 3" xfId="4942" xr:uid="{00000000-0005-0000-0000-0000205C0000}"/>
    <cellStyle name="Normal 2 5 9 3 3 2" xfId="13779" xr:uid="{00000000-0005-0000-0000-0000215C0000}"/>
    <cellStyle name="Normal 2 5 9 3 3 2 2" xfId="24030" xr:uid="{00000000-0005-0000-0000-0000225C0000}"/>
    <cellStyle name="Normal 2 5 9 3 3 2 2 2" xfId="49583" xr:uid="{00000000-0005-0000-0000-0000235C0000}"/>
    <cellStyle name="Normal 2 5 9 3 3 2 3" xfId="39334" xr:uid="{00000000-0005-0000-0000-0000245C0000}"/>
    <cellStyle name="Normal 2 5 9 3 3 3" xfId="10200" xr:uid="{00000000-0005-0000-0000-0000255C0000}"/>
    <cellStyle name="Normal 2 5 9 3 3 3 2" xfId="35757" xr:uid="{00000000-0005-0000-0000-0000265C0000}"/>
    <cellStyle name="Normal 2 5 9 3 3 4" xfId="19023" xr:uid="{00000000-0005-0000-0000-0000275C0000}"/>
    <cellStyle name="Normal 2 5 9 3 3 4 2" xfId="44576" xr:uid="{00000000-0005-0000-0000-0000285C0000}"/>
    <cellStyle name="Normal 2 5 9 3 3 5" xfId="30513" xr:uid="{00000000-0005-0000-0000-0000295C0000}"/>
    <cellStyle name="Normal 2 5 9 3 4" xfId="2040" xr:uid="{00000000-0005-0000-0000-00002A5C0000}"/>
    <cellStyle name="Normal 2 5 9 3 4 2" xfId="11405" xr:uid="{00000000-0005-0000-0000-00002B5C0000}"/>
    <cellStyle name="Normal 2 5 9 3 4 2 2" xfId="36960" xr:uid="{00000000-0005-0000-0000-00002C5C0000}"/>
    <cellStyle name="Normal 2 5 9 3 4 3" xfId="21409" xr:uid="{00000000-0005-0000-0000-00002D5C0000}"/>
    <cellStyle name="Normal 2 5 9 3 4 3 2" xfId="46962" xr:uid="{00000000-0005-0000-0000-00002E5C0000}"/>
    <cellStyle name="Normal 2 5 9 3 4 4" xfId="27892" xr:uid="{00000000-0005-0000-0000-00002F5C0000}"/>
    <cellStyle name="Normal 2 5 9 3 5" xfId="6397" xr:uid="{00000000-0005-0000-0000-0000305C0000}"/>
    <cellStyle name="Normal 2 5 9 3 5 2" xfId="15224" xr:uid="{00000000-0005-0000-0000-0000315C0000}"/>
    <cellStyle name="Normal 2 5 9 3 5 2 2" xfId="40779" xr:uid="{00000000-0005-0000-0000-0000325C0000}"/>
    <cellStyle name="Normal 2 5 9 3 5 3" xfId="25475" xr:uid="{00000000-0005-0000-0000-0000335C0000}"/>
    <cellStyle name="Normal 2 5 9 3 5 3 2" xfId="51028" xr:uid="{00000000-0005-0000-0000-0000345C0000}"/>
    <cellStyle name="Normal 2 5 9 3 5 4" xfId="31958" xr:uid="{00000000-0005-0000-0000-0000355C0000}"/>
    <cellStyle name="Normal 2 5 9 3 6" xfId="7843" xr:uid="{00000000-0005-0000-0000-0000365C0000}"/>
    <cellStyle name="Normal 2 5 9 3 6 2" xfId="20600" xr:uid="{00000000-0005-0000-0000-0000375C0000}"/>
    <cellStyle name="Normal 2 5 9 3 6 2 2" xfId="46153" xr:uid="{00000000-0005-0000-0000-0000385C0000}"/>
    <cellStyle name="Normal 2 5 9 3 6 3" xfId="33400" xr:uid="{00000000-0005-0000-0000-0000395C0000}"/>
    <cellStyle name="Normal 2 5 9 3 7" xfId="16402" xr:uid="{00000000-0005-0000-0000-00003A5C0000}"/>
    <cellStyle name="Normal 2 5 9 3 7 2" xfId="41955" xr:uid="{00000000-0005-0000-0000-00003B5C0000}"/>
    <cellStyle name="Normal 2 5 9 3 8" xfId="27083" xr:uid="{00000000-0005-0000-0000-00003C5C0000}"/>
    <cellStyle name="Normal 2 5 9 4" xfId="2931" xr:uid="{00000000-0005-0000-0000-00003D5C0000}"/>
    <cellStyle name="Normal 2 5 9 4 2" xfId="5309" xr:uid="{00000000-0005-0000-0000-00003E5C0000}"/>
    <cellStyle name="Normal 2 5 9 4 2 2" xfId="14146" xr:uid="{00000000-0005-0000-0000-00003F5C0000}"/>
    <cellStyle name="Normal 2 5 9 4 2 2 2" xfId="24397" xr:uid="{00000000-0005-0000-0000-0000405C0000}"/>
    <cellStyle name="Normal 2 5 9 4 2 2 2 2" xfId="49950" xr:uid="{00000000-0005-0000-0000-0000415C0000}"/>
    <cellStyle name="Normal 2 5 9 4 2 2 3" xfId="39701" xr:uid="{00000000-0005-0000-0000-0000425C0000}"/>
    <cellStyle name="Normal 2 5 9 4 2 3" xfId="10567" xr:uid="{00000000-0005-0000-0000-0000435C0000}"/>
    <cellStyle name="Normal 2 5 9 4 2 3 2" xfId="36124" xr:uid="{00000000-0005-0000-0000-0000445C0000}"/>
    <cellStyle name="Normal 2 5 9 4 2 4" xfId="19390" xr:uid="{00000000-0005-0000-0000-0000455C0000}"/>
    <cellStyle name="Normal 2 5 9 4 2 4 2" xfId="44943" xr:uid="{00000000-0005-0000-0000-0000465C0000}"/>
    <cellStyle name="Normal 2 5 9 4 2 5" xfId="30880" xr:uid="{00000000-0005-0000-0000-0000475C0000}"/>
    <cellStyle name="Normal 2 5 9 4 3" xfId="6764" xr:uid="{00000000-0005-0000-0000-0000485C0000}"/>
    <cellStyle name="Normal 2 5 9 4 3 2" xfId="15591" xr:uid="{00000000-0005-0000-0000-0000495C0000}"/>
    <cellStyle name="Normal 2 5 9 4 3 2 2" xfId="41146" xr:uid="{00000000-0005-0000-0000-00004A5C0000}"/>
    <cellStyle name="Normal 2 5 9 4 3 3" xfId="25842" xr:uid="{00000000-0005-0000-0000-00004B5C0000}"/>
    <cellStyle name="Normal 2 5 9 4 3 3 2" xfId="51395" xr:uid="{00000000-0005-0000-0000-00004C5C0000}"/>
    <cellStyle name="Normal 2 5 9 4 3 4" xfId="32325" xr:uid="{00000000-0005-0000-0000-00004D5C0000}"/>
    <cellStyle name="Normal 2 5 9 4 4" xfId="8210" xr:uid="{00000000-0005-0000-0000-00004E5C0000}"/>
    <cellStyle name="Normal 2 5 9 4 4 2" xfId="22292" xr:uid="{00000000-0005-0000-0000-00004F5C0000}"/>
    <cellStyle name="Normal 2 5 9 4 4 2 2" xfId="47845" xr:uid="{00000000-0005-0000-0000-0000505C0000}"/>
    <cellStyle name="Normal 2 5 9 4 4 3" xfId="33767" xr:uid="{00000000-0005-0000-0000-0000515C0000}"/>
    <cellStyle name="Normal 2 5 9 4 5" xfId="17285" xr:uid="{00000000-0005-0000-0000-0000525C0000}"/>
    <cellStyle name="Normal 2 5 9 4 5 2" xfId="42838" xr:uid="{00000000-0005-0000-0000-0000535C0000}"/>
    <cellStyle name="Normal 2 5 9 4 6" xfId="28775" xr:uid="{00000000-0005-0000-0000-0000545C0000}"/>
    <cellStyle name="Normal 2 5 9 5" xfId="4265" xr:uid="{00000000-0005-0000-0000-0000555C0000}"/>
    <cellStyle name="Normal 2 5 9 5 2" xfId="13103" xr:uid="{00000000-0005-0000-0000-0000565C0000}"/>
    <cellStyle name="Normal 2 5 9 5 2 2" xfId="23354" xr:uid="{00000000-0005-0000-0000-0000575C0000}"/>
    <cellStyle name="Normal 2 5 9 5 2 2 2" xfId="48907" xr:uid="{00000000-0005-0000-0000-0000585C0000}"/>
    <cellStyle name="Normal 2 5 9 5 2 3" xfId="38658" xr:uid="{00000000-0005-0000-0000-0000595C0000}"/>
    <cellStyle name="Normal 2 5 9 5 3" xfId="9524" xr:uid="{00000000-0005-0000-0000-00005A5C0000}"/>
    <cellStyle name="Normal 2 5 9 5 3 2" xfId="35081" xr:uid="{00000000-0005-0000-0000-00005B5C0000}"/>
    <cellStyle name="Normal 2 5 9 5 4" xfId="18347" xr:uid="{00000000-0005-0000-0000-00005C5C0000}"/>
    <cellStyle name="Normal 2 5 9 5 4 2" xfId="43900" xr:uid="{00000000-0005-0000-0000-00005D5C0000}"/>
    <cellStyle name="Normal 2 5 9 5 5" xfId="29837" xr:uid="{00000000-0005-0000-0000-00005E5C0000}"/>
    <cellStyle name="Normal 2 5 9 6" xfId="1537" xr:uid="{00000000-0005-0000-0000-00005F5C0000}"/>
    <cellStyle name="Normal 2 5 9 6 2" xfId="10914" xr:uid="{00000000-0005-0000-0000-0000605C0000}"/>
    <cellStyle name="Normal 2 5 9 6 2 2" xfId="36469" xr:uid="{00000000-0005-0000-0000-0000615C0000}"/>
    <cellStyle name="Normal 2 5 9 6 3" xfId="20918" xr:uid="{00000000-0005-0000-0000-0000625C0000}"/>
    <cellStyle name="Normal 2 5 9 6 3 2" xfId="46471" xr:uid="{00000000-0005-0000-0000-0000635C0000}"/>
    <cellStyle name="Normal 2 5 9 6 4" xfId="27401" xr:uid="{00000000-0005-0000-0000-0000645C0000}"/>
    <cellStyle name="Normal 2 5 9 7" xfId="5721" xr:uid="{00000000-0005-0000-0000-0000655C0000}"/>
    <cellStyle name="Normal 2 5 9 7 2" xfId="14548" xr:uid="{00000000-0005-0000-0000-0000665C0000}"/>
    <cellStyle name="Normal 2 5 9 7 2 2" xfId="40103" xr:uid="{00000000-0005-0000-0000-0000675C0000}"/>
    <cellStyle name="Normal 2 5 9 7 3" xfId="24799" xr:uid="{00000000-0005-0000-0000-0000685C0000}"/>
    <cellStyle name="Normal 2 5 9 7 3 2" xfId="50352" xr:uid="{00000000-0005-0000-0000-0000695C0000}"/>
    <cellStyle name="Normal 2 5 9 7 4" xfId="31282" xr:uid="{00000000-0005-0000-0000-00006A5C0000}"/>
    <cellStyle name="Normal 2 5 9 8" xfId="7165" xr:uid="{00000000-0005-0000-0000-00006B5C0000}"/>
    <cellStyle name="Normal 2 5 9 8 2" xfId="19891" xr:uid="{00000000-0005-0000-0000-00006C5C0000}"/>
    <cellStyle name="Normal 2 5 9 8 2 2" xfId="45444" xr:uid="{00000000-0005-0000-0000-00006D5C0000}"/>
    <cellStyle name="Normal 2 5 9 8 3" xfId="32722" xr:uid="{00000000-0005-0000-0000-00006E5C0000}"/>
    <cellStyle name="Normal 2 5 9 9" xfId="15911" xr:uid="{00000000-0005-0000-0000-00006F5C0000}"/>
    <cellStyle name="Normal 2 5 9 9 2" xfId="41464" xr:uid="{00000000-0005-0000-0000-0000705C0000}"/>
    <cellStyle name="Normal 2 5 9_Degree data" xfId="3825" xr:uid="{00000000-0005-0000-0000-0000715C0000}"/>
    <cellStyle name="Normal 2 5_Degree data" xfId="3924" xr:uid="{00000000-0005-0000-0000-0000725C0000}"/>
    <cellStyle name="Normal 2 6" xfId="288" xr:uid="{00000000-0005-0000-0000-0000735C0000}"/>
    <cellStyle name="Normal 2 6 2" xfId="779" xr:uid="{00000000-0005-0000-0000-0000745C0000}"/>
    <cellStyle name="Normal 2 6 3" xfId="1884" xr:uid="{00000000-0005-0000-0000-0000755C0000}"/>
    <cellStyle name="Normal 2 6_Degree data" xfId="3858" xr:uid="{00000000-0005-0000-0000-0000765C0000}"/>
    <cellStyle name="Normal 2 7" xfId="1021" xr:uid="{00000000-0005-0000-0000-0000775C0000}"/>
    <cellStyle name="Normal 20" xfId="98" xr:uid="{00000000-0005-0000-0000-0000785C0000}"/>
    <cellStyle name="Normal 200" xfId="26031" xr:uid="{00000000-0005-0000-0000-0000795C0000}"/>
    <cellStyle name="Normal 200 2" xfId="26037" xr:uid="{00000000-0005-0000-0000-00007A5C0000}"/>
    <cellStyle name="Normal 200 2 2" xfId="51590" xr:uid="{00000000-0005-0000-0000-00007B5C0000}"/>
    <cellStyle name="Normal 200 3" xfId="51584" xr:uid="{00000000-0005-0000-0000-00007C5C0000}"/>
    <cellStyle name="Normal 201" xfId="26032" xr:uid="{00000000-0005-0000-0000-00007D5C0000}"/>
    <cellStyle name="Normal 201 2" xfId="51585" xr:uid="{00000000-0005-0000-0000-00007E5C0000}"/>
    <cellStyle name="Normal 202" xfId="26033" xr:uid="{00000000-0005-0000-0000-00007F5C0000}"/>
    <cellStyle name="Normal 202 2" xfId="26036" xr:uid="{00000000-0005-0000-0000-0000805C0000}"/>
    <cellStyle name="Normal 202 2 2" xfId="51589" xr:uid="{00000000-0005-0000-0000-0000815C0000}"/>
    <cellStyle name="Normal 202 3" xfId="51586" xr:uid="{00000000-0005-0000-0000-0000825C0000}"/>
    <cellStyle name="Normal 203" xfId="26034" xr:uid="{00000000-0005-0000-0000-0000835C0000}"/>
    <cellStyle name="Normal 203 2" xfId="51587" xr:uid="{00000000-0005-0000-0000-0000845C0000}"/>
    <cellStyle name="Normal 21" xfId="99" xr:uid="{00000000-0005-0000-0000-0000855C0000}"/>
    <cellStyle name="Normal 22" xfId="100" xr:uid="{00000000-0005-0000-0000-0000865C0000}"/>
    <cellStyle name="Normal 23" xfId="101" xr:uid="{00000000-0005-0000-0000-0000875C0000}"/>
    <cellStyle name="Normal 24" xfId="12" xr:uid="{00000000-0005-0000-0000-0000885C0000}"/>
    <cellStyle name="Normal 25" xfId="87" xr:uid="{00000000-0005-0000-0000-0000895C0000}"/>
    <cellStyle name="Normal 26" xfId="88" xr:uid="{00000000-0005-0000-0000-00008A5C0000}"/>
    <cellStyle name="Normal 27" xfId="65" xr:uid="{00000000-0005-0000-0000-00008B5C0000}"/>
    <cellStyle name="Normal 28" xfId="66" xr:uid="{00000000-0005-0000-0000-00008C5C0000}"/>
    <cellStyle name="Normal 29" xfId="67" xr:uid="{00000000-0005-0000-0000-00008D5C0000}"/>
    <cellStyle name="Normal 3" xfId="1" xr:uid="{00000000-0005-0000-0000-00008E5C0000}"/>
    <cellStyle name="Normal 3 2" xfId="35" xr:uid="{00000000-0005-0000-0000-00008F5C0000}"/>
    <cellStyle name="Normal 3 2 2" xfId="291" xr:uid="{00000000-0005-0000-0000-0000905C0000}"/>
    <cellStyle name="Normal 3 2 2 10" xfId="16076" xr:uid="{00000000-0005-0000-0000-0000915C0000}"/>
    <cellStyle name="Normal 3 2 2 10 2" xfId="41629" xr:uid="{00000000-0005-0000-0000-0000925C0000}"/>
    <cellStyle name="Normal 3 2 2 11" xfId="26222" xr:uid="{00000000-0005-0000-0000-0000935C0000}"/>
    <cellStyle name="Normal 3 2 2 2" xfId="610" xr:uid="{00000000-0005-0000-0000-0000945C0000}"/>
    <cellStyle name="Normal 3 2 2 2 2" xfId="3096" xr:uid="{00000000-0005-0000-0000-0000955C0000}"/>
    <cellStyle name="Normal 3 2 2 2 2 2" xfId="12239" xr:uid="{00000000-0005-0000-0000-0000965C0000}"/>
    <cellStyle name="Normal 3 2 2 2 2 2 2" xfId="22457" xr:uid="{00000000-0005-0000-0000-0000975C0000}"/>
    <cellStyle name="Normal 3 2 2 2 2 2 2 2" xfId="48010" xr:uid="{00000000-0005-0000-0000-0000985C0000}"/>
    <cellStyle name="Normal 3 2 2 2 2 2 3" xfId="37794" xr:uid="{00000000-0005-0000-0000-0000995C0000}"/>
    <cellStyle name="Normal 3 2 2 2 2 3" xfId="8661" xr:uid="{00000000-0005-0000-0000-00009A5C0000}"/>
    <cellStyle name="Normal 3 2 2 2 2 3 2" xfId="34218" xr:uid="{00000000-0005-0000-0000-00009B5C0000}"/>
    <cellStyle name="Normal 3 2 2 2 2 4" xfId="17450" xr:uid="{00000000-0005-0000-0000-00009C5C0000}"/>
    <cellStyle name="Normal 3 2 2 2 2 4 2" xfId="43003" xr:uid="{00000000-0005-0000-0000-00009D5C0000}"/>
    <cellStyle name="Normal 3 2 2 2 2 5" xfId="28940" xr:uid="{00000000-0005-0000-0000-00009E5C0000}"/>
    <cellStyle name="Normal 3 2 2 2 3" xfId="4594" xr:uid="{00000000-0005-0000-0000-00009F5C0000}"/>
    <cellStyle name="Normal 3 2 2 2 3 2" xfId="13432" xr:uid="{00000000-0005-0000-0000-0000A05C0000}"/>
    <cellStyle name="Normal 3 2 2 2 3 2 2" xfId="23683" xr:uid="{00000000-0005-0000-0000-0000A15C0000}"/>
    <cellStyle name="Normal 3 2 2 2 3 2 2 2" xfId="49236" xr:uid="{00000000-0005-0000-0000-0000A25C0000}"/>
    <cellStyle name="Normal 3 2 2 2 3 2 3" xfId="38987" xr:uid="{00000000-0005-0000-0000-0000A35C0000}"/>
    <cellStyle name="Normal 3 2 2 2 3 3" xfId="9853" xr:uid="{00000000-0005-0000-0000-0000A45C0000}"/>
    <cellStyle name="Normal 3 2 2 2 3 3 2" xfId="35410" xr:uid="{00000000-0005-0000-0000-0000A55C0000}"/>
    <cellStyle name="Normal 3 2 2 2 3 4" xfId="18676" xr:uid="{00000000-0005-0000-0000-0000A65C0000}"/>
    <cellStyle name="Normal 3 2 2 2 3 4 2" xfId="44229" xr:uid="{00000000-0005-0000-0000-0000A75C0000}"/>
    <cellStyle name="Normal 3 2 2 2 3 5" xfId="30166" xr:uid="{00000000-0005-0000-0000-0000A85C0000}"/>
    <cellStyle name="Normal 3 2 2 2 4" xfId="2205" xr:uid="{00000000-0005-0000-0000-0000A95C0000}"/>
    <cellStyle name="Normal 3 2 2 2 4 2" xfId="11570" xr:uid="{00000000-0005-0000-0000-0000AA5C0000}"/>
    <cellStyle name="Normal 3 2 2 2 4 2 2" xfId="37125" xr:uid="{00000000-0005-0000-0000-0000AB5C0000}"/>
    <cellStyle name="Normal 3 2 2 2 4 3" xfId="21574" xr:uid="{00000000-0005-0000-0000-0000AC5C0000}"/>
    <cellStyle name="Normal 3 2 2 2 4 3 2" xfId="47127" xr:uid="{00000000-0005-0000-0000-0000AD5C0000}"/>
    <cellStyle name="Normal 3 2 2 2 4 4" xfId="28057" xr:uid="{00000000-0005-0000-0000-0000AE5C0000}"/>
    <cellStyle name="Normal 3 2 2 2 5" xfId="6050" xr:uid="{00000000-0005-0000-0000-0000AF5C0000}"/>
    <cellStyle name="Normal 3 2 2 2 5 2" xfId="14877" xr:uid="{00000000-0005-0000-0000-0000B05C0000}"/>
    <cellStyle name="Normal 3 2 2 2 5 2 2" xfId="40432" xr:uid="{00000000-0005-0000-0000-0000B15C0000}"/>
    <cellStyle name="Normal 3 2 2 2 5 3" xfId="25128" xr:uid="{00000000-0005-0000-0000-0000B25C0000}"/>
    <cellStyle name="Normal 3 2 2 2 5 3 2" xfId="50681" xr:uid="{00000000-0005-0000-0000-0000B35C0000}"/>
    <cellStyle name="Normal 3 2 2 2 5 4" xfId="31611" xr:uid="{00000000-0005-0000-0000-0000B45C0000}"/>
    <cellStyle name="Normal 3 2 2 2 6" xfId="7495" xr:uid="{00000000-0005-0000-0000-0000B55C0000}"/>
    <cellStyle name="Normal 3 2 2 2 6 2" xfId="20056" xr:uid="{00000000-0005-0000-0000-0000B65C0000}"/>
    <cellStyle name="Normal 3 2 2 2 6 2 2" xfId="45609" xr:uid="{00000000-0005-0000-0000-0000B75C0000}"/>
    <cellStyle name="Normal 3 2 2 2 6 3" xfId="33052" xr:uid="{00000000-0005-0000-0000-0000B85C0000}"/>
    <cellStyle name="Normal 3 2 2 2 7" xfId="16567" xr:uid="{00000000-0005-0000-0000-0000B95C0000}"/>
    <cellStyle name="Normal 3 2 2 2 7 2" xfId="42120" xr:uid="{00000000-0005-0000-0000-0000BA5C0000}"/>
    <cellStyle name="Normal 3 2 2 2 8" xfId="26539" xr:uid="{00000000-0005-0000-0000-0000BB5C0000}"/>
    <cellStyle name="Normal 3 2 2 3" xfId="780" xr:uid="{00000000-0005-0000-0000-0000BC5C0000}"/>
    <cellStyle name="Normal 3 2 2 3 2" xfId="3265" xr:uid="{00000000-0005-0000-0000-0000BD5C0000}"/>
    <cellStyle name="Normal 3 2 2 3 2 2" xfId="12407" xr:uid="{00000000-0005-0000-0000-0000BE5C0000}"/>
    <cellStyle name="Normal 3 2 2 3 2 2 2" xfId="22626" xr:uid="{00000000-0005-0000-0000-0000BF5C0000}"/>
    <cellStyle name="Normal 3 2 2 3 2 2 2 2" xfId="48179" xr:uid="{00000000-0005-0000-0000-0000C05C0000}"/>
    <cellStyle name="Normal 3 2 2 3 2 2 3" xfId="37962" xr:uid="{00000000-0005-0000-0000-0000C15C0000}"/>
    <cellStyle name="Normal 3 2 2 3 2 3" xfId="8829" xr:uid="{00000000-0005-0000-0000-0000C25C0000}"/>
    <cellStyle name="Normal 3 2 2 3 2 3 2" xfId="34386" xr:uid="{00000000-0005-0000-0000-0000C35C0000}"/>
    <cellStyle name="Normal 3 2 2 3 2 4" xfId="17619" xr:uid="{00000000-0005-0000-0000-0000C45C0000}"/>
    <cellStyle name="Normal 3 2 2 3 2 4 2" xfId="43172" xr:uid="{00000000-0005-0000-0000-0000C55C0000}"/>
    <cellStyle name="Normal 3 2 2 3 2 5" xfId="29109" xr:uid="{00000000-0005-0000-0000-0000C65C0000}"/>
    <cellStyle name="Normal 3 2 2 3 3" xfId="4943" xr:uid="{00000000-0005-0000-0000-0000C75C0000}"/>
    <cellStyle name="Normal 3 2 2 3 3 2" xfId="13780" xr:uid="{00000000-0005-0000-0000-0000C85C0000}"/>
    <cellStyle name="Normal 3 2 2 3 3 2 2" xfId="24031" xr:uid="{00000000-0005-0000-0000-0000C95C0000}"/>
    <cellStyle name="Normal 3 2 2 3 3 2 2 2" xfId="49584" xr:uid="{00000000-0005-0000-0000-0000CA5C0000}"/>
    <cellStyle name="Normal 3 2 2 3 3 2 3" xfId="39335" xr:uid="{00000000-0005-0000-0000-0000CB5C0000}"/>
    <cellStyle name="Normal 3 2 2 3 3 3" xfId="10201" xr:uid="{00000000-0005-0000-0000-0000CC5C0000}"/>
    <cellStyle name="Normal 3 2 2 3 3 3 2" xfId="35758" xr:uid="{00000000-0005-0000-0000-0000CD5C0000}"/>
    <cellStyle name="Normal 3 2 2 3 3 4" xfId="19024" xr:uid="{00000000-0005-0000-0000-0000CE5C0000}"/>
    <cellStyle name="Normal 3 2 2 3 3 4 2" xfId="44577" xr:uid="{00000000-0005-0000-0000-0000CF5C0000}"/>
    <cellStyle name="Normal 3 2 2 3 3 5" xfId="30514" xr:uid="{00000000-0005-0000-0000-0000D05C0000}"/>
    <cellStyle name="Normal 3 2 2 3 4" xfId="2374" xr:uid="{00000000-0005-0000-0000-0000D15C0000}"/>
    <cellStyle name="Normal 3 2 2 3 4 2" xfId="11739" xr:uid="{00000000-0005-0000-0000-0000D25C0000}"/>
    <cellStyle name="Normal 3 2 2 3 4 2 2" xfId="37294" xr:uid="{00000000-0005-0000-0000-0000D35C0000}"/>
    <cellStyle name="Normal 3 2 2 3 4 3" xfId="21743" xr:uid="{00000000-0005-0000-0000-0000D45C0000}"/>
    <cellStyle name="Normal 3 2 2 3 4 3 2" xfId="47296" xr:uid="{00000000-0005-0000-0000-0000D55C0000}"/>
    <cellStyle name="Normal 3 2 2 3 4 4" xfId="28226" xr:uid="{00000000-0005-0000-0000-0000D65C0000}"/>
    <cellStyle name="Normal 3 2 2 3 5" xfId="6398" xr:uid="{00000000-0005-0000-0000-0000D75C0000}"/>
    <cellStyle name="Normal 3 2 2 3 5 2" xfId="15225" xr:uid="{00000000-0005-0000-0000-0000D85C0000}"/>
    <cellStyle name="Normal 3 2 2 3 5 2 2" xfId="40780" xr:uid="{00000000-0005-0000-0000-0000D95C0000}"/>
    <cellStyle name="Normal 3 2 2 3 5 3" xfId="25476" xr:uid="{00000000-0005-0000-0000-0000DA5C0000}"/>
    <cellStyle name="Normal 3 2 2 3 5 3 2" xfId="51029" xr:uid="{00000000-0005-0000-0000-0000DB5C0000}"/>
    <cellStyle name="Normal 3 2 2 3 5 4" xfId="31959" xr:uid="{00000000-0005-0000-0000-0000DC5C0000}"/>
    <cellStyle name="Normal 3 2 2 3 6" xfId="7844" xr:uid="{00000000-0005-0000-0000-0000DD5C0000}"/>
    <cellStyle name="Normal 3 2 2 3 6 2" xfId="20225" xr:uid="{00000000-0005-0000-0000-0000DE5C0000}"/>
    <cellStyle name="Normal 3 2 2 3 6 2 2" xfId="45778" xr:uid="{00000000-0005-0000-0000-0000DF5C0000}"/>
    <cellStyle name="Normal 3 2 2 3 6 3" xfId="33401" xr:uid="{00000000-0005-0000-0000-0000E05C0000}"/>
    <cellStyle name="Normal 3 2 2 3 7" xfId="16736" xr:uid="{00000000-0005-0000-0000-0000E15C0000}"/>
    <cellStyle name="Normal 3 2 2 3 7 2" xfId="42289" xr:uid="{00000000-0005-0000-0000-0000E25C0000}"/>
    <cellStyle name="Normal 3 2 2 3 8" xfId="26708" xr:uid="{00000000-0005-0000-0000-0000E35C0000}"/>
    <cellStyle name="Normal 3 2 2 4" xfId="1382" xr:uid="{00000000-0005-0000-0000-0000E45C0000}"/>
    <cellStyle name="Normal 3 2 2 4 2" xfId="3811" xr:uid="{00000000-0005-0000-0000-0000E55C0000}"/>
    <cellStyle name="Normal 3 2 2 4 2 2" xfId="12947" xr:uid="{00000000-0005-0000-0000-0000E65C0000}"/>
    <cellStyle name="Normal 3 2 2 4 2 2 2" xfId="23166" xr:uid="{00000000-0005-0000-0000-0000E75C0000}"/>
    <cellStyle name="Normal 3 2 2 4 2 2 2 2" xfId="48719" xr:uid="{00000000-0005-0000-0000-0000E85C0000}"/>
    <cellStyle name="Normal 3 2 2 4 2 2 3" xfId="38502" xr:uid="{00000000-0005-0000-0000-0000E95C0000}"/>
    <cellStyle name="Normal 3 2 2 4 2 3" xfId="9368" xr:uid="{00000000-0005-0000-0000-0000EA5C0000}"/>
    <cellStyle name="Normal 3 2 2 4 2 3 2" xfId="34925" xr:uid="{00000000-0005-0000-0000-0000EB5C0000}"/>
    <cellStyle name="Normal 3 2 2 4 2 4" xfId="18159" xr:uid="{00000000-0005-0000-0000-0000EC5C0000}"/>
    <cellStyle name="Normal 3 2 2 4 2 4 2" xfId="43712" xr:uid="{00000000-0005-0000-0000-0000ED5C0000}"/>
    <cellStyle name="Normal 3 2 2 4 2 5" xfId="29649" xr:uid="{00000000-0005-0000-0000-0000EE5C0000}"/>
    <cellStyle name="Normal 3 2 2 4 3" xfId="5474" xr:uid="{00000000-0005-0000-0000-0000EF5C0000}"/>
    <cellStyle name="Normal 3 2 2 4 3 2" xfId="14311" xr:uid="{00000000-0005-0000-0000-0000F05C0000}"/>
    <cellStyle name="Normal 3 2 2 4 3 2 2" xfId="24562" xr:uid="{00000000-0005-0000-0000-0000F15C0000}"/>
    <cellStyle name="Normal 3 2 2 4 3 2 2 2" xfId="50115" xr:uid="{00000000-0005-0000-0000-0000F25C0000}"/>
    <cellStyle name="Normal 3 2 2 4 3 2 3" xfId="39866" xr:uid="{00000000-0005-0000-0000-0000F35C0000}"/>
    <cellStyle name="Normal 3 2 2 4 3 3" xfId="10732" xr:uid="{00000000-0005-0000-0000-0000F45C0000}"/>
    <cellStyle name="Normal 3 2 2 4 3 3 2" xfId="36289" xr:uid="{00000000-0005-0000-0000-0000F55C0000}"/>
    <cellStyle name="Normal 3 2 2 4 3 4" xfId="19555" xr:uid="{00000000-0005-0000-0000-0000F65C0000}"/>
    <cellStyle name="Normal 3 2 2 4 3 4 2" xfId="45108" xr:uid="{00000000-0005-0000-0000-0000F75C0000}"/>
    <cellStyle name="Normal 3 2 2 4 3 5" xfId="31045" xr:uid="{00000000-0005-0000-0000-0000F85C0000}"/>
    <cellStyle name="Normal 3 2 2 4 4" xfId="1886" xr:uid="{00000000-0005-0000-0000-0000F95C0000}"/>
    <cellStyle name="Normal 3 2 2 4 4 2" xfId="11253" xr:uid="{00000000-0005-0000-0000-0000FA5C0000}"/>
    <cellStyle name="Normal 3 2 2 4 4 2 2" xfId="36808" xr:uid="{00000000-0005-0000-0000-0000FB5C0000}"/>
    <cellStyle name="Normal 3 2 2 4 4 3" xfId="21257" xr:uid="{00000000-0005-0000-0000-0000FC5C0000}"/>
    <cellStyle name="Normal 3 2 2 4 4 3 2" xfId="46810" xr:uid="{00000000-0005-0000-0000-0000FD5C0000}"/>
    <cellStyle name="Normal 3 2 2 4 4 4" xfId="27740" xr:uid="{00000000-0005-0000-0000-0000FE5C0000}"/>
    <cellStyle name="Normal 3 2 2 4 5" xfId="6929" xr:uid="{00000000-0005-0000-0000-0000FF5C0000}"/>
    <cellStyle name="Normal 3 2 2 4 5 2" xfId="15756" xr:uid="{00000000-0005-0000-0000-0000005D0000}"/>
    <cellStyle name="Normal 3 2 2 4 5 2 2" xfId="41311" xr:uid="{00000000-0005-0000-0000-0000015D0000}"/>
    <cellStyle name="Normal 3 2 2 4 5 3" xfId="26007" xr:uid="{00000000-0005-0000-0000-0000025D0000}"/>
    <cellStyle name="Normal 3 2 2 4 5 3 2" xfId="51560" xr:uid="{00000000-0005-0000-0000-0000035D0000}"/>
    <cellStyle name="Normal 3 2 2 4 5 4" xfId="32490" xr:uid="{00000000-0005-0000-0000-0000045D0000}"/>
    <cellStyle name="Normal 3 2 2 4 6" xfId="8375" xr:uid="{00000000-0005-0000-0000-0000055D0000}"/>
    <cellStyle name="Normal 3 2 2 4 6 2" xfId="20765" xr:uid="{00000000-0005-0000-0000-0000065D0000}"/>
    <cellStyle name="Normal 3 2 2 4 6 2 2" xfId="46318" xr:uid="{00000000-0005-0000-0000-0000075D0000}"/>
    <cellStyle name="Normal 3 2 2 4 6 3" xfId="33932" xr:uid="{00000000-0005-0000-0000-0000085D0000}"/>
    <cellStyle name="Normal 3 2 2 4 7" xfId="16250" xr:uid="{00000000-0005-0000-0000-0000095D0000}"/>
    <cellStyle name="Normal 3 2 2 4 7 2" xfId="41803" xr:uid="{00000000-0005-0000-0000-00000A5D0000}"/>
    <cellStyle name="Normal 3 2 2 4 8" xfId="27248" xr:uid="{00000000-0005-0000-0000-00000B5D0000}"/>
    <cellStyle name="Normal 3 2 2 5" xfId="2779" xr:uid="{00000000-0005-0000-0000-00000C5D0000}"/>
    <cellStyle name="Normal 3 2 2 5 2" xfId="12096" xr:uid="{00000000-0005-0000-0000-00000D5D0000}"/>
    <cellStyle name="Normal 3 2 2 5 2 2" xfId="22140" xr:uid="{00000000-0005-0000-0000-00000E5D0000}"/>
    <cellStyle name="Normal 3 2 2 5 2 2 2" xfId="47693" xr:uid="{00000000-0005-0000-0000-00000F5D0000}"/>
    <cellStyle name="Normal 3 2 2 5 2 3" xfId="37651" xr:uid="{00000000-0005-0000-0000-0000105D0000}"/>
    <cellStyle name="Normal 3 2 2 5 3" xfId="8402" xr:uid="{00000000-0005-0000-0000-0000115D0000}"/>
    <cellStyle name="Normal 3 2 2 5 3 2" xfId="33959" xr:uid="{00000000-0005-0000-0000-0000125D0000}"/>
    <cellStyle name="Normal 3 2 2 5 4" xfId="17133" xr:uid="{00000000-0005-0000-0000-0000135D0000}"/>
    <cellStyle name="Normal 3 2 2 5 4 2" xfId="42686" xr:uid="{00000000-0005-0000-0000-0000145D0000}"/>
    <cellStyle name="Normal 3 2 2 5 5" xfId="28623" xr:uid="{00000000-0005-0000-0000-0000155D0000}"/>
    <cellStyle name="Normal 3 2 2 6" xfId="4430" xr:uid="{00000000-0005-0000-0000-0000165D0000}"/>
    <cellStyle name="Normal 3 2 2 6 2" xfId="13268" xr:uid="{00000000-0005-0000-0000-0000175D0000}"/>
    <cellStyle name="Normal 3 2 2 6 2 2" xfId="23519" xr:uid="{00000000-0005-0000-0000-0000185D0000}"/>
    <cellStyle name="Normal 3 2 2 6 2 2 2" xfId="49072" xr:uid="{00000000-0005-0000-0000-0000195D0000}"/>
    <cellStyle name="Normal 3 2 2 6 2 3" xfId="38823" xr:uid="{00000000-0005-0000-0000-00001A5D0000}"/>
    <cellStyle name="Normal 3 2 2 6 3" xfId="9689" xr:uid="{00000000-0005-0000-0000-00001B5D0000}"/>
    <cellStyle name="Normal 3 2 2 6 3 2" xfId="35246" xr:uid="{00000000-0005-0000-0000-00001C5D0000}"/>
    <cellStyle name="Normal 3 2 2 6 4" xfId="18512" xr:uid="{00000000-0005-0000-0000-00001D5D0000}"/>
    <cellStyle name="Normal 3 2 2 6 4 2" xfId="44065" xr:uid="{00000000-0005-0000-0000-00001E5D0000}"/>
    <cellStyle name="Normal 3 2 2 6 5" xfId="30002" xr:uid="{00000000-0005-0000-0000-00001F5D0000}"/>
    <cellStyle name="Normal 3 2 2 7" xfId="1702" xr:uid="{00000000-0005-0000-0000-0000205D0000}"/>
    <cellStyle name="Normal 3 2 2 7 2" xfId="11079" xr:uid="{00000000-0005-0000-0000-0000215D0000}"/>
    <cellStyle name="Normal 3 2 2 7 2 2" xfId="36634" xr:uid="{00000000-0005-0000-0000-0000225D0000}"/>
    <cellStyle name="Normal 3 2 2 7 3" xfId="21083" xr:uid="{00000000-0005-0000-0000-0000235D0000}"/>
    <cellStyle name="Normal 3 2 2 7 3 2" xfId="46636" xr:uid="{00000000-0005-0000-0000-0000245D0000}"/>
    <cellStyle name="Normal 3 2 2 7 4" xfId="27566" xr:uid="{00000000-0005-0000-0000-0000255D0000}"/>
    <cellStyle name="Normal 3 2 2 8" xfId="5886" xr:uid="{00000000-0005-0000-0000-0000265D0000}"/>
    <cellStyle name="Normal 3 2 2 8 2" xfId="14713" xr:uid="{00000000-0005-0000-0000-0000275D0000}"/>
    <cellStyle name="Normal 3 2 2 8 2 2" xfId="40268" xr:uid="{00000000-0005-0000-0000-0000285D0000}"/>
    <cellStyle name="Normal 3 2 2 8 3" xfId="24964" xr:uid="{00000000-0005-0000-0000-0000295D0000}"/>
    <cellStyle name="Normal 3 2 2 8 3 2" xfId="50517" xr:uid="{00000000-0005-0000-0000-00002A5D0000}"/>
    <cellStyle name="Normal 3 2 2 8 4" xfId="31447" xr:uid="{00000000-0005-0000-0000-00002B5D0000}"/>
    <cellStyle name="Normal 3 2 2 9" xfId="7330" xr:uid="{00000000-0005-0000-0000-00002C5D0000}"/>
    <cellStyle name="Normal 3 2 2 9 2" xfId="19739" xr:uid="{00000000-0005-0000-0000-00002D5D0000}"/>
    <cellStyle name="Normal 3 2 2 9 2 2" xfId="45292" xr:uid="{00000000-0005-0000-0000-00002E5D0000}"/>
    <cellStyle name="Normal 3 2 2 9 3" xfId="32887" xr:uid="{00000000-0005-0000-0000-00002F5D0000}"/>
    <cellStyle name="Normal 3 2 2_Degree data" xfId="2602" xr:uid="{00000000-0005-0000-0000-0000305D0000}"/>
    <cellStyle name="Normal 3 3" xfId="147" xr:uid="{00000000-0005-0000-0000-0000315D0000}"/>
    <cellStyle name="Normal 30" xfId="68" xr:uid="{00000000-0005-0000-0000-0000325D0000}"/>
    <cellStyle name="Normal 31" xfId="69" xr:uid="{00000000-0005-0000-0000-0000335D0000}"/>
    <cellStyle name="Normal 32" xfId="70" xr:uid="{00000000-0005-0000-0000-0000345D0000}"/>
    <cellStyle name="Normal 33" xfId="71" xr:uid="{00000000-0005-0000-0000-0000355D0000}"/>
    <cellStyle name="Normal 34" xfId="72" xr:uid="{00000000-0005-0000-0000-0000365D0000}"/>
    <cellStyle name="Normal 35" xfId="73" xr:uid="{00000000-0005-0000-0000-0000375D0000}"/>
    <cellStyle name="Normal 36" xfId="74" xr:uid="{00000000-0005-0000-0000-0000385D0000}"/>
    <cellStyle name="Normal 37" xfId="75" xr:uid="{00000000-0005-0000-0000-0000395D0000}"/>
    <cellStyle name="Normal 38" xfId="13" xr:uid="{00000000-0005-0000-0000-00003A5D0000}"/>
    <cellStyle name="Normal 39" xfId="76" xr:uid="{00000000-0005-0000-0000-00003B5D0000}"/>
    <cellStyle name="Normal 4" xfId="20" xr:uid="{00000000-0005-0000-0000-00003C5D0000}"/>
    <cellStyle name="Normal 4 2" xfId="107" xr:uid="{00000000-0005-0000-0000-00003D5D0000}"/>
    <cellStyle name="Normal 4 2 2" xfId="290" xr:uid="{00000000-0005-0000-0000-00003E5D0000}"/>
    <cellStyle name="Normal 4 3" xfId="21" xr:uid="{00000000-0005-0000-0000-00003F5D0000}"/>
    <cellStyle name="Normal 4 4" xfId="285" xr:uid="{00000000-0005-0000-0000-0000405D0000}"/>
    <cellStyle name="Normal 4 4 10" xfId="16073" xr:uid="{00000000-0005-0000-0000-0000415D0000}"/>
    <cellStyle name="Normal 4 4 10 2" xfId="41626" xr:uid="{00000000-0005-0000-0000-0000425D0000}"/>
    <cellStyle name="Normal 4 4 11" xfId="26219" xr:uid="{00000000-0005-0000-0000-0000435D0000}"/>
    <cellStyle name="Normal 4 4 2" xfId="607" xr:uid="{00000000-0005-0000-0000-0000445D0000}"/>
    <cellStyle name="Normal 4 4 2 2" xfId="3093" xr:uid="{00000000-0005-0000-0000-0000455D0000}"/>
    <cellStyle name="Normal 4 4 2 2 2" xfId="12236" xr:uid="{00000000-0005-0000-0000-0000465D0000}"/>
    <cellStyle name="Normal 4 4 2 2 2 2" xfId="22454" xr:uid="{00000000-0005-0000-0000-0000475D0000}"/>
    <cellStyle name="Normal 4 4 2 2 2 2 2" xfId="48007" xr:uid="{00000000-0005-0000-0000-0000485D0000}"/>
    <cellStyle name="Normal 4 4 2 2 2 3" xfId="37791" xr:uid="{00000000-0005-0000-0000-0000495D0000}"/>
    <cellStyle name="Normal 4 4 2 2 3" xfId="8658" xr:uid="{00000000-0005-0000-0000-00004A5D0000}"/>
    <cellStyle name="Normal 4 4 2 2 3 2" xfId="34215" xr:uid="{00000000-0005-0000-0000-00004B5D0000}"/>
    <cellStyle name="Normal 4 4 2 2 4" xfId="17447" xr:uid="{00000000-0005-0000-0000-00004C5D0000}"/>
    <cellStyle name="Normal 4 4 2 2 4 2" xfId="43000" xr:uid="{00000000-0005-0000-0000-00004D5D0000}"/>
    <cellStyle name="Normal 4 4 2 2 5" xfId="28937" xr:uid="{00000000-0005-0000-0000-00004E5D0000}"/>
    <cellStyle name="Normal 4 4 2 3" xfId="4595" xr:uid="{00000000-0005-0000-0000-00004F5D0000}"/>
    <cellStyle name="Normal 4 4 2 3 2" xfId="13433" xr:uid="{00000000-0005-0000-0000-0000505D0000}"/>
    <cellStyle name="Normal 4 4 2 3 2 2" xfId="23684" xr:uid="{00000000-0005-0000-0000-0000515D0000}"/>
    <cellStyle name="Normal 4 4 2 3 2 2 2" xfId="49237" xr:uid="{00000000-0005-0000-0000-0000525D0000}"/>
    <cellStyle name="Normal 4 4 2 3 2 3" xfId="38988" xr:uid="{00000000-0005-0000-0000-0000535D0000}"/>
    <cellStyle name="Normal 4 4 2 3 3" xfId="9854" xr:uid="{00000000-0005-0000-0000-0000545D0000}"/>
    <cellStyle name="Normal 4 4 2 3 3 2" xfId="35411" xr:uid="{00000000-0005-0000-0000-0000555D0000}"/>
    <cellStyle name="Normal 4 4 2 3 4" xfId="18677" xr:uid="{00000000-0005-0000-0000-0000565D0000}"/>
    <cellStyle name="Normal 4 4 2 3 4 2" xfId="44230" xr:uid="{00000000-0005-0000-0000-0000575D0000}"/>
    <cellStyle name="Normal 4 4 2 3 5" xfId="30167" xr:uid="{00000000-0005-0000-0000-0000585D0000}"/>
    <cellStyle name="Normal 4 4 2 4" xfId="2202" xr:uid="{00000000-0005-0000-0000-0000595D0000}"/>
    <cellStyle name="Normal 4 4 2 4 2" xfId="11567" xr:uid="{00000000-0005-0000-0000-00005A5D0000}"/>
    <cellStyle name="Normal 4 4 2 4 2 2" xfId="37122" xr:uid="{00000000-0005-0000-0000-00005B5D0000}"/>
    <cellStyle name="Normal 4 4 2 4 3" xfId="21571" xr:uid="{00000000-0005-0000-0000-00005C5D0000}"/>
    <cellStyle name="Normal 4 4 2 4 3 2" xfId="47124" xr:uid="{00000000-0005-0000-0000-00005D5D0000}"/>
    <cellStyle name="Normal 4 4 2 4 4" xfId="28054" xr:uid="{00000000-0005-0000-0000-00005E5D0000}"/>
    <cellStyle name="Normal 4 4 2 5" xfId="6051" xr:uid="{00000000-0005-0000-0000-00005F5D0000}"/>
    <cellStyle name="Normal 4 4 2 5 2" xfId="14878" xr:uid="{00000000-0005-0000-0000-0000605D0000}"/>
    <cellStyle name="Normal 4 4 2 5 2 2" xfId="40433" xr:uid="{00000000-0005-0000-0000-0000615D0000}"/>
    <cellStyle name="Normal 4 4 2 5 3" xfId="25129" xr:uid="{00000000-0005-0000-0000-0000625D0000}"/>
    <cellStyle name="Normal 4 4 2 5 3 2" xfId="50682" xr:uid="{00000000-0005-0000-0000-0000635D0000}"/>
    <cellStyle name="Normal 4 4 2 5 4" xfId="31612" xr:uid="{00000000-0005-0000-0000-0000645D0000}"/>
    <cellStyle name="Normal 4 4 2 6" xfId="7496" xr:uid="{00000000-0005-0000-0000-0000655D0000}"/>
    <cellStyle name="Normal 4 4 2 6 2" xfId="20053" xr:uid="{00000000-0005-0000-0000-0000665D0000}"/>
    <cellStyle name="Normal 4 4 2 6 2 2" xfId="45606" xr:uid="{00000000-0005-0000-0000-0000675D0000}"/>
    <cellStyle name="Normal 4 4 2 6 3" xfId="33053" xr:uid="{00000000-0005-0000-0000-0000685D0000}"/>
    <cellStyle name="Normal 4 4 2 7" xfId="16564" xr:uid="{00000000-0005-0000-0000-0000695D0000}"/>
    <cellStyle name="Normal 4 4 2 7 2" xfId="42117" xr:uid="{00000000-0005-0000-0000-00006A5D0000}"/>
    <cellStyle name="Normal 4 4 2 8" xfId="26536" xr:uid="{00000000-0005-0000-0000-00006B5D0000}"/>
    <cellStyle name="Normal 4 4 3" xfId="781" xr:uid="{00000000-0005-0000-0000-00006C5D0000}"/>
    <cellStyle name="Normal 4 4 3 2" xfId="3266" xr:uid="{00000000-0005-0000-0000-00006D5D0000}"/>
    <cellStyle name="Normal 4 4 3 2 2" xfId="12408" xr:uid="{00000000-0005-0000-0000-00006E5D0000}"/>
    <cellStyle name="Normal 4 4 3 2 2 2" xfId="22627" xr:uid="{00000000-0005-0000-0000-00006F5D0000}"/>
    <cellStyle name="Normal 4 4 3 2 2 2 2" xfId="48180" xr:uid="{00000000-0005-0000-0000-0000705D0000}"/>
    <cellStyle name="Normal 4 4 3 2 2 3" xfId="37963" xr:uid="{00000000-0005-0000-0000-0000715D0000}"/>
    <cellStyle name="Normal 4 4 3 2 3" xfId="8830" xr:uid="{00000000-0005-0000-0000-0000725D0000}"/>
    <cellStyle name="Normal 4 4 3 2 3 2" xfId="34387" xr:uid="{00000000-0005-0000-0000-0000735D0000}"/>
    <cellStyle name="Normal 4 4 3 2 4" xfId="17620" xr:uid="{00000000-0005-0000-0000-0000745D0000}"/>
    <cellStyle name="Normal 4 4 3 2 4 2" xfId="43173" xr:uid="{00000000-0005-0000-0000-0000755D0000}"/>
    <cellStyle name="Normal 4 4 3 2 5" xfId="29110" xr:uid="{00000000-0005-0000-0000-0000765D0000}"/>
    <cellStyle name="Normal 4 4 3 3" xfId="4944" xr:uid="{00000000-0005-0000-0000-0000775D0000}"/>
    <cellStyle name="Normal 4 4 3 3 2" xfId="13781" xr:uid="{00000000-0005-0000-0000-0000785D0000}"/>
    <cellStyle name="Normal 4 4 3 3 2 2" xfId="24032" xr:uid="{00000000-0005-0000-0000-0000795D0000}"/>
    <cellStyle name="Normal 4 4 3 3 2 2 2" xfId="49585" xr:uid="{00000000-0005-0000-0000-00007A5D0000}"/>
    <cellStyle name="Normal 4 4 3 3 2 3" xfId="39336" xr:uid="{00000000-0005-0000-0000-00007B5D0000}"/>
    <cellStyle name="Normal 4 4 3 3 3" xfId="10202" xr:uid="{00000000-0005-0000-0000-00007C5D0000}"/>
    <cellStyle name="Normal 4 4 3 3 3 2" xfId="35759" xr:uid="{00000000-0005-0000-0000-00007D5D0000}"/>
    <cellStyle name="Normal 4 4 3 3 4" xfId="19025" xr:uid="{00000000-0005-0000-0000-00007E5D0000}"/>
    <cellStyle name="Normal 4 4 3 3 4 2" xfId="44578" xr:uid="{00000000-0005-0000-0000-00007F5D0000}"/>
    <cellStyle name="Normal 4 4 3 3 5" xfId="30515" xr:uid="{00000000-0005-0000-0000-0000805D0000}"/>
    <cellStyle name="Normal 4 4 3 4" xfId="2375" xr:uid="{00000000-0005-0000-0000-0000815D0000}"/>
    <cellStyle name="Normal 4 4 3 4 2" xfId="11740" xr:uid="{00000000-0005-0000-0000-0000825D0000}"/>
    <cellStyle name="Normal 4 4 3 4 2 2" xfId="37295" xr:uid="{00000000-0005-0000-0000-0000835D0000}"/>
    <cellStyle name="Normal 4 4 3 4 3" xfId="21744" xr:uid="{00000000-0005-0000-0000-0000845D0000}"/>
    <cellStyle name="Normal 4 4 3 4 3 2" xfId="47297" xr:uid="{00000000-0005-0000-0000-0000855D0000}"/>
    <cellStyle name="Normal 4 4 3 4 4" xfId="28227" xr:uid="{00000000-0005-0000-0000-0000865D0000}"/>
    <cellStyle name="Normal 4 4 3 5" xfId="6399" xr:uid="{00000000-0005-0000-0000-0000875D0000}"/>
    <cellStyle name="Normal 4 4 3 5 2" xfId="15226" xr:uid="{00000000-0005-0000-0000-0000885D0000}"/>
    <cellStyle name="Normal 4 4 3 5 2 2" xfId="40781" xr:uid="{00000000-0005-0000-0000-0000895D0000}"/>
    <cellStyle name="Normal 4 4 3 5 3" xfId="25477" xr:uid="{00000000-0005-0000-0000-00008A5D0000}"/>
    <cellStyle name="Normal 4 4 3 5 3 2" xfId="51030" xr:uid="{00000000-0005-0000-0000-00008B5D0000}"/>
    <cellStyle name="Normal 4 4 3 5 4" xfId="31960" xr:uid="{00000000-0005-0000-0000-00008C5D0000}"/>
    <cellStyle name="Normal 4 4 3 6" xfId="7845" xr:uid="{00000000-0005-0000-0000-00008D5D0000}"/>
    <cellStyle name="Normal 4 4 3 6 2" xfId="20226" xr:uid="{00000000-0005-0000-0000-00008E5D0000}"/>
    <cellStyle name="Normal 4 4 3 6 2 2" xfId="45779" xr:uid="{00000000-0005-0000-0000-00008F5D0000}"/>
    <cellStyle name="Normal 4 4 3 6 3" xfId="33402" xr:uid="{00000000-0005-0000-0000-0000905D0000}"/>
    <cellStyle name="Normal 4 4 3 7" xfId="16737" xr:uid="{00000000-0005-0000-0000-0000915D0000}"/>
    <cellStyle name="Normal 4 4 3 7 2" xfId="42290" xr:uid="{00000000-0005-0000-0000-0000925D0000}"/>
    <cellStyle name="Normal 4 4 3 8" xfId="26709" xr:uid="{00000000-0005-0000-0000-0000935D0000}"/>
    <cellStyle name="Normal 4 4 4" xfId="1379" xr:uid="{00000000-0005-0000-0000-0000945D0000}"/>
    <cellStyle name="Normal 4 4 4 2" xfId="3808" xr:uid="{00000000-0005-0000-0000-0000955D0000}"/>
    <cellStyle name="Normal 4 4 4 2 2" xfId="12944" xr:uid="{00000000-0005-0000-0000-0000965D0000}"/>
    <cellStyle name="Normal 4 4 4 2 2 2" xfId="23163" xr:uid="{00000000-0005-0000-0000-0000975D0000}"/>
    <cellStyle name="Normal 4 4 4 2 2 2 2" xfId="48716" xr:uid="{00000000-0005-0000-0000-0000985D0000}"/>
    <cellStyle name="Normal 4 4 4 2 2 3" xfId="38499" xr:uid="{00000000-0005-0000-0000-0000995D0000}"/>
    <cellStyle name="Normal 4 4 4 2 3" xfId="9365" xr:uid="{00000000-0005-0000-0000-00009A5D0000}"/>
    <cellStyle name="Normal 4 4 4 2 3 2" xfId="34922" xr:uid="{00000000-0005-0000-0000-00009B5D0000}"/>
    <cellStyle name="Normal 4 4 4 2 4" xfId="18156" xr:uid="{00000000-0005-0000-0000-00009C5D0000}"/>
    <cellStyle name="Normal 4 4 4 2 4 2" xfId="43709" xr:uid="{00000000-0005-0000-0000-00009D5D0000}"/>
    <cellStyle name="Normal 4 4 4 2 5" xfId="29646" xr:uid="{00000000-0005-0000-0000-00009E5D0000}"/>
    <cellStyle name="Normal 4 4 4 3" xfId="5471" xr:uid="{00000000-0005-0000-0000-00009F5D0000}"/>
    <cellStyle name="Normal 4 4 4 3 2" xfId="14308" xr:uid="{00000000-0005-0000-0000-0000A05D0000}"/>
    <cellStyle name="Normal 4 4 4 3 2 2" xfId="24559" xr:uid="{00000000-0005-0000-0000-0000A15D0000}"/>
    <cellStyle name="Normal 4 4 4 3 2 2 2" xfId="50112" xr:uid="{00000000-0005-0000-0000-0000A25D0000}"/>
    <cellStyle name="Normal 4 4 4 3 2 3" xfId="39863" xr:uid="{00000000-0005-0000-0000-0000A35D0000}"/>
    <cellStyle name="Normal 4 4 4 3 3" xfId="10729" xr:uid="{00000000-0005-0000-0000-0000A45D0000}"/>
    <cellStyle name="Normal 4 4 4 3 3 2" xfId="36286" xr:uid="{00000000-0005-0000-0000-0000A55D0000}"/>
    <cellStyle name="Normal 4 4 4 3 4" xfId="19552" xr:uid="{00000000-0005-0000-0000-0000A65D0000}"/>
    <cellStyle name="Normal 4 4 4 3 4 2" xfId="45105" xr:uid="{00000000-0005-0000-0000-0000A75D0000}"/>
    <cellStyle name="Normal 4 4 4 3 5" xfId="31042" xr:uid="{00000000-0005-0000-0000-0000A85D0000}"/>
    <cellStyle name="Normal 4 4 4 4" xfId="1882" xr:uid="{00000000-0005-0000-0000-0000A95D0000}"/>
    <cellStyle name="Normal 4 4 4 4 2" xfId="11250" xr:uid="{00000000-0005-0000-0000-0000AA5D0000}"/>
    <cellStyle name="Normal 4 4 4 4 2 2" xfId="36805" xr:uid="{00000000-0005-0000-0000-0000AB5D0000}"/>
    <cellStyle name="Normal 4 4 4 4 3" xfId="21254" xr:uid="{00000000-0005-0000-0000-0000AC5D0000}"/>
    <cellStyle name="Normal 4 4 4 4 3 2" xfId="46807" xr:uid="{00000000-0005-0000-0000-0000AD5D0000}"/>
    <cellStyle name="Normal 4 4 4 4 4" xfId="27737" xr:uid="{00000000-0005-0000-0000-0000AE5D0000}"/>
    <cellStyle name="Normal 4 4 4 5" xfId="6926" xr:uid="{00000000-0005-0000-0000-0000AF5D0000}"/>
    <cellStyle name="Normal 4 4 4 5 2" xfId="15753" xr:uid="{00000000-0005-0000-0000-0000B05D0000}"/>
    <cellStyle name="Normal 4 4 4 5 2 2" xfId="41308" xr:uid="{00000000-0005-0000-0000-0000B15D0000}"/>
    <cellStyle name="Normal 4 4 4 5 3" xfId="26004" xr:uid="{00000000-0005-0000-0000-0000B25D0000}"/>
    <cellStyle name="Normal 4 4 4 5 3 2" xfId="51557" xr:uid="{00000000-0005-0000-0000-0000B35D0000}"/>
    <cellStyle name="Normal 4 4 4 5 4" xfId="32487" xr:uid="{00000000-0005-0000-0000-0000B45D0000}"/>
    <cellStyle name="Normal 4 4 4 6" xfId="8372" xr:uid="{00000000-0005-0000-0000-0000B55D0000}"/>
    <cellStyle name="Normal 4 4 4 6 2" xfId="20762" xr:uid="{00000000-0005-0000-0000-0000B65D0000}"/>
    <cellStyle name="Normal 4 4 4 6 2 2" xfId="46315" xr:uid="{00000000-0005-0000-0000-0000B75D0000}"/>
    <cellStyle name="Normal 4 4 4 6 3" xfId="33929" xr:uid="{00000000-0005-0000-0000-0000B85D0000}"/>
    <cellStyle name="Normal 4 4 4 7" xfId="16247" xr:uid="{00000000-0005-0000-0000-0000B95D0000}"/>
    <cellStyle name="Normal 4 4 4 7 2" xfId="41800" xr:uid="{00000000-0005-0000-0000-0000BA5D0000}"/>
    <cellStyle name="Normal 4 4 4 8" xfId="27245" xr:uid="{00000000-0005-0000-0000-0000BB5D0000}"/>
    <cellStyle name="Normal 4 4 5" xfId="2776" xr:uid="{00000000-0005-0000-0000-0000BC5D0000}"/>
    <cellStyle name="Normal 4 4 5 2" xfId="12093" xr:uid="{00000000-0005-0000-0000-0000BD5D0000}"/>
    <cellStyle name="Normal 4 4 5 2 2" xfId="22137" xr:uid="{00000000-0005-0000-0000-0000BE5D0000}"/>
    <cellStyle name="Normal 4 4 5 2 2 2" xfId="47690" xr:uid="{00000000-0005-0000-0000-0000BF5D0000}"/>
    <cellStyle name="Normal 4 4 5 2 3" xfId="37648" xr:uid="{00000000-0005-0000-0000-0000C05D0000}"/>
    <cellStyle name="Normal 4 4 5 3" xfId="8535" xr:uid="{00000000-0005-0000-0000-0000C15D0000}"/>
    <cellStyle name="Normal 4 4 5 3 2" xfId="34092" xr:uid="{00000000-0005-0000-0000-0000C25D0000}"/>
    <cellStyle name="Normal 4 4 5 4" xfId="17130" xr:uid="{00000000-0005-0000-0000-0000C35D0000}"/>
    <cellStyle name="Normal 4 4 5 4 2" xfId="42683" xr:uid="{00000000-0005-0000-0000-0000C45D0000}"/>
    <cellStyle name="Normal 4 4 5 5" xfId="28620" xr:uid="{00000000-0005-0000-0000-0000C55D0000}"/>
    <cellStyle name="Normal 4 4 6" xfId="4427" xr:uid="{00000000-0005-0000-0000-0000C65D0000}"/>
    <cellStyle name="Normal 4 4 6 2" xfId="13265" xr:uid="{00000000-0005-0000-0000-0000C75D0000}"/>
    <cellStyle name="Normal 4 4 6 2 2" xfId="23516" xr:uid="{00000000-0005-0000-0000-0000C85D0000}"/>
    <cellStyle name="Normal 4 4 6 2 2 2" xfId="49069" xr:uid="{00000000-0005-0000-0000-0000C95D0000}"/>
    <cellStyle name="Normal 4 4 6 2 3" xfId="38820" xr:uid="{00000000-0005-0000-0000-0000CA5D0000}"/>
    <cellStyle name="Normal 4 4 6 3" xfId="9686" xr:uid="{00000000-0005-0000-0000-0000CB5D0000}"/>
    <cellStyle name="Normal 4 4 6 3 2" xfId="35243" xr:uid="{00000000-0005-0000-0000-0000CC5D0000}"/>
    <cellStyle name="Normal 4 4 6 4" xfId="18509" xr:uid="{00000000-0005-0000-0000-0000CD5D0000}"/>
    <cellStyle name="Normal 4 4 6 4 2" xfId="44062" xr:uid="{00000000-0005-0000-0000-0000CE5D0000}"/>
    <cellStyle name="Normal 4 4 6 5" xfId="29999" xr:uid="{00000000-0005-0000-0000-0000CF5D0000}"/>
    <cellStyle name="Normal 4 4 7" xfId="1699" xr:uid="{00000000-0005-0000-0000-0000D05D0000}"/>
    <cellStyle name="Normal 4 4 7 2" xfId="11076" xr:uid="{00000000-0005-0000-0000-0000D15D0000}"/>
    <cellStyle name="Normal 4 4 7 2 2" xfId="36631" xr:uid="{00000000-0005-0000-0000-0000D25D0000}"/>
    <cellStyle name="Normal 4 4 7 3" xfId="21080" xr:uid="{00000000-0005-0000-0000-0000D35D0000}"/>
    <cellStyle name="Normal 4 4 7 3 2" xfId="46633" xr:uid="{00000000-0005-0000-0000-0000D45D0000}"/>
    <cellStyle name="Normal 4 4 7 4" xfId="27563" xr:uid="{00000000-0005-0000-0000-0000D55D0000}"/>
    <cellStyle name="Normal 4 4 8" xfId="5883" xr:uid="{00000000-0005-0000-0000-0000D65D0000}"/>
    <cellStyle name="Normal 4 4 8 2" xfId="14710" xr:uid="{00000000-0005-0000-0000-0000D75D0000}"/>
    <cellStyle name="Normal 4 4 8 2 2" xfId="40265" xr:uid="{00000000-0005-0000-0000-0000D85D0000}"/>
    <cellStyle name="Normal 4 4 8 3" xfId="24961" xr:uid="{00000000-0005-0000-0000-0000D95D0000}"/>
    <cellStyle name="Normal 4 4 8 3 2" xfId="50514" xr:uid="{00000000-0005-0000-0000-0000DA5D0000}"/>
    <cellStyle name="Normal 4 4 8 4" xfId="31444" xr:uid="{00000000-0005-0000-0000-0000DB5D0000}"/>
    <cellStyle name="Normal 4 4 9" xfId="7327" xr:uid="{00000000-0005-0000-0000-0000DC5D0000}"/>
    <cellStyle name="Normal 4 4 9 2" xfId="19736" xr:uid="{00000000-0005-0000-0000-0000DD5D0000}"/>
    <cellStyle name="Normal 4 4 9 2 2" xfId="45289" xr:uid="{00000000-0005-0000-0000-0000DE5D0000}"/>
    <cellStyle name="Normal 4 4 9 3" xfId="32884" xr:uid="{00000000-0005-0000-0000-0000DF5D0000}"/>
    <cellStyle name="Normal 4 4_Degree data" xfId="3916" xr:uid="{00000000-0005-0000-0000-0000E05D0000}"/>
    <cellStyle name="Normal 40" xfId="77" xr:uid="{00000000-0005-0000-0000-0000E15D0000}"/>
    <cellStyle name="Normal 41" xfId="78" xr:uid="{00000000-0005-0000-0000-0000E25D0000}"/>
    <cellStyle name="Normal 42" xfId="79" xr:uid="{00000000-0005-0000-0000-0000E35D0000}"/>
    <cellStyle name="Normal 43" xfId="80" xr:uid="{00000000-0005-0000-0000-0000E45D0000}"/>
    <cellStyle name="Normal 44" xfId="81" xr:uid="{00000000-0005-0000-0000-0000E55D0000}"/>
    <cellStyle name="Normal 45" xfId="82" xr:uid="{00000000-0005-0000-0000-0000E65D0000}"/>
    <cellStyle name="Normal 46" xfId="83" xr:uid="{00000000-0005-0000-0000-0000E75D0000}"/>
    <cellStyle name="Normal 47" xfId="84" xr:uid="{00000000-0005-0000-0000-0000E85D0000}"/>
    <cellStyle name="Normal 48" xfId="85" xr:uid="{00000000-0005-0000-0000-0000E95D0000}"/>
    <cellStyle name="Normal 49" xfId="89" xr:uid="{00000000-0005-0000-0000-0000EA5D0000}"/>
    <cellStyle name="Normal 5" xfId="2" xr:uid="{00000000-0005-0000-0000-0000EB5D0000}"/>
    <cellStyle name="Normal 5 10" xfId="1039" xr:uid="{00000000-0005-0000-0000-0000EC5D0000}"/>
    <cellStyle name="Normal 5 10 2" xfId="3468" xr:uid="{00000000-0005-0000-0000-0000ED5D0000}"/>
    <cellStyle name="Normal 5 10 2 2" xfId="12604" xr:uid="{00000000-0005-0000-0000-0000EE5D0000}"/>
    <cellStyle name="Normal 5 10 2 2 2" xfId="22823" xr:uid="{00000000-0005-0000-0000-0000EF5D0000}"/>
    <cellStyle name="Normal 5 10 2 2 2 2" xfId="48376" xr:uid="{00000000-0005-0000-0000-0000F05D0000}"/>
    <cellStyle name="Normal 5 10 2 2 3" xfId="38159" xr:uid="{00000000-0005-0000-0000-0000F15D0000}"/>
    <cellStyle name="Normal 5 10 2 3" xfId="9026" xr:uid="{00000000-0005-0000-0000-0000F25D0000}"/>
    <cellStyle name="Normal 5 10 2 3 2" xfId="34583" xr:uid="{00000000-0005-0000-0000-0000F35D0000}"/>
    <cellStyle name="Normal 5 10 2 4" xfId="17816" xr:uid="{00000000-0005-0000-0000-0000F45D0000}"/>
    <cellStyle name="Normal 5 10 2 4 2" xfId="43369" xr:uid="{00000000-0005-0000-0000-0000F55D0000}"/>
    <cellStyle name="Normal 5 10 2 5" xfId="29306" xr:uid="{00000000-0005-0000-0000-0000F65D0000}"/>
    <cellStyle name="Normal 5 10 3" xfId="4945" xr:uid="{00000000-0005-0000-0000-0000F75D0000}"/>
    <cellStyle name="Normal 5 10 3 2" xfId="13782" xr:uid="{00000000-0005-0000-0000-0000F85D0000}"/>
    <cellStyle name="Normal 5 10 3 2 2" xfId="24033" xr:uid="{00000000-0005-0000-0000-0000F95D0000}"/>
    <cellStyle name="Normal 5 10 3 2 2 2" xfId="49586" xr:uid="{00000000-0005-0000-0000-0000FA5D0000}"/>
    <cellStyle name="Normal 5 10 3 2 3" xfId="39337" xr:uid="{00000000-0005-0000-0000-0000FB5D0000}"/>
    <cellStyle name="Normal 5 10 3 3" xfId="10203" xr:uid="{00000000-0005-0000-0000-0000FC5D0000}"/>
    <cellStyle name="Normal 5 10 3 3 2" xfId="35760" xr:uid="{00000000-0005-0000-0000-0000FD5D0000}"/>
    <cellStyle name="Normal 5 10 3 4" xfId="19026" xr:uid="{00000000-0005-0000-0000-0000FE5D0000}"/>
    <cellStyle name="Normal 5 10 3 4 2" xfId="44579" xr:uid="{00000000-0005-0000-0000-0000FF5D0000}"/>
    <cellStyle name="Normal 5 10 3 5" xfId="30516" xr:uid="{00000000-0005-0000-0000-0000005E0000}"/>
    <cellStyle name="Normal 5 10 4" xfId="2575" xr:uid="{00000000-0005-0000-0000-0000015E0000}"/>
    <cellStyle name="Normal 5 10 4 2" xfId="11939" xr:uid="{00000000-0005-0000-0000-0000025E0000}"/>
    <cellStyle name="Normal 5 10 4 2 2" xfId="37494" xr:uid="{00000000-0005-0000-0000-0000035E0000}"/>
    <cellStyle name="Normal 5 10 4 3" xfId="21943" xr:uid="{00000000-0005-0000-0000-0000045E0000}"/>
    <cellStyle name="Normal 5 10 4 3 2" xfId="47496" xr:uid="{00000000-0005-0000-0000-0000055E0000}"/>
    <cellStyle name="Normal 5 10 4 4" xfId="28426" xr:uid="{00000000-0005-0000-0000-0000065E0000}"/>
    <cellStyle name="Normal 5 10 5" xfId="6400" xr:uid="{00000000-0005-0000-0000-0000075E0000}"/>
    <cellStyle name="Normal 5 10 5 2" xfId="15227" xr:uid="{00000000-0005-0000-0000-0000085E0000}"/>
    <cellStyle name="Normal 5 10 5 2 2" xfId="40782" xr:uid="{00000000-0005-0000-0000-0000095E0000}"/>
    <cellStyle name="Normal 5 10 5 3" xfId="25478" xr:uid="{00000000-0005-0000-0000-00000A5E0000}"/>
    <cellStyle name="Normal 5 10 5 3 2" xfId="51031" xr:uid="{00000000-0005-0000-0000-00000B5E0000}"/>
    <cellStyle name="Normal 5 10 5 4" xfId="31961" xr:uid="{00000000-0005-0000-0000-00000C5E0000}"/>
    <cellStyle name="Normal 5 10 6" xfId="7846" xr:uid="{00000000-0005-0000-0000-00000D5E0000}"/>
    <cellStyle name="Normal 5 10 6 2" xfId="20422" xr:uid="{00000000-0005-0000-0000-00000E5E0000}"/>
    <cellStyle name="Normal 5 10 6 2 2" xfId="45975" xr:uid="{00000000-0005-0000-0000-00000F5E0000}"/>
    <cellStyle name="Normal 5 10 6 3" xfId="33403" xr:uid="{00000000-0005-0000-0000-0000105E0000}"/>
    <cellStyle name="Normal 5 10 7" xfId="16936" xr:uid="{00000000-0005-0000-0000-0000115E0000}"/>
    <cellStyle name="Normal 5 10 7 2" xfId="42489" xr:uid="{00000000-0005-0000-0000-0000125E0000}"/>
    <cellStyle name="Normal 5 10 8" xfId="26905" xr:uid="{00000000-0005-0000-0000-0000135E0000}"/>
    <cellStyle name="Normal 5 11" xfId="3888" xr:uid="{00000000-0005-0000-0000-0000145E0000}"/>
    <cellStyle name="Normal 5 11 2" xfId="5131" xr:uid="{00000000-0005-0000-0000-0000155E0000}"/>
    <cellStyle name="Normal 5 11 2 2" xfId="13968" xr:uid="{00000000-0005-0000-0000-0000165E0000}"/>
    <cellStyle name="Normal 5 11 2 2 2" xfId="24219" xr:uid="{00000000-0005-0000-0000-0000175E0000}"/>
    <cellStyle name="Normal 5 11 2 2 2 2" xfId="49772" xr:uid="{00000000-0005-0000-0000-0000185E0000}"/>
    <cellStyle name="Normal 5 11 2 2 3" xfId="39523" xr:uid="{00000000-0005-0000-0000-0000195E0000}"/>
    <cellStyle name="Normal 5 11 2 3" xfId="10389" xr:uid="{00000000-0005-0000-0000-00001A5E0000}"/>
    <cellStyle name="Normal 5 11 2 3 2" xfId="35946" xr:uid="{00000000-0005-0000-0000-00001B5E0000}"/>
    <cellStyle name="Normal 5 11 2 4" xfId="19212" xr:uid="{00000000-0005-0000-0000-00001C5E0000}"/>
    <cellStyle name="Normal 5 11 2 4 2" xfId="44765" xr:uid="{00000000-0005-0000-0000-00001D5E0000}"/>
    <cellStyle name="Normal 5 11 2 5" xfId="30702" xr:uid="{00000000-0005-0000-0000-00001E5E0000}"/>
    <cellStyle name="Normal 5 11 3" xfId="6586" xr:uid="{00000000-0005-0000-0000-00001F5E0000}"/>
    <cellStyle name="Normal 5 11 3 2" xfId="15413" xr:uid="{00000000-0005-0000-0000-0000205E0000}"/>
    <cellStyle name="Normal 5 11 3 2 2" xfId="40968" xr:uid="{00000000-0005-0000-0000-0000215E0000}"/>
    <cellStyle name="Normal 5 11 3 3" xfId="25664" xr:uid="{00000000-0005-0000-0000-0000225E0000}"/>
    <cellStyle name="Normal 5 11 3 3 2" xfId="51217" xr:uid="{00000000-0005-0000-0000-0000235E0000}"/>
    <cellStyle name="Normal 5 11 3 4" xfId="32147" xr:uid="{00000000-0005-0000-0000-0000245E0000}"/>
    <cellStyle name="Normal 5 11 4" xfId="8032" xr:uid="{00000000-0005-0000-0000-0000255E0000}"/>
    <cellStyle name="Normal 5 11 4 2" xfId="23169" xr:uid="{00000000-0005-0000-0000-0000265E0000}"/>
    <cellStyle name="Normal 5 11 4 2 2" xfId="48722" xr:uid="{00000000-0005-0000-0000-0000275E0000}"/>
    <cellStyle name="Normal 5 11 4 3" xfId="33589" xr:uid="{00000000-0005-0000-0000-0000285E0000}"/>
    <cellStyle name="Normal 5 11 5" xfId="18162" xr:uid="{00000000-0005-0000-0000-0000295E0000}"/>
    <cellStyle name="Normal 5 11 5 2" xfId="43715" xr:uid="{00000000-0005-0000-0000-00002A5E0000}"/>
    <cellStyle name="Normal 5 11 6" xfId="29652" xr:uid="{00000000-0005-0000-0000-00002B5E0000}"/>
    <cellStyle name="Normal 5 12" xfId="4084" xr:uid="{00000000-0005-0000-0000-00002C5E0000}"/>
    <cellStyle name="Normal 5 12 2" xfId="5543" xr:uid="{00000000-0005-0000-0000-00002D5E0000}"/>
    <cellStyle name="Normal 5 12 2 2" xfId="14370" xr:uid="{00000000-0005-0000-0000-00002E5E0000}"/>
    <cellStyle name="Normal 5 12 2 2 2" xfId="39925" xr:uid="{00000000-0005-0000-0000-00002F5E0000}"/>
    <cellStyle name="Normal 5 12 2 3" xfId="24621" xr:uid="{00000000-0005-0000-0000-0000305E0000}"/>
    <cellStyle name="Normal 5 12 2 3 2" xfId="50174" xr:uid="{00000000-0005-0000-0000-0000315E0000}"/>
    <cellStyle name="Normal 5 12 2 4" xfId="31104" xr:uid="{00000000-0005-0000-0000-0000325E0000}"/>
    <cellStyle name="Normal 5 12 3" xfId="6987" xr:uid="{00000000-0005-0000-0000-0000335E0000}"/>
    <cellStyle name="Normal 5 12 3 2" xfId="23173" xr:uid="{00000000-0005-0000-0000-0000345E0000}"/>
    <cellStyle name="Normal 5 12 3 2 2" xfId="48726" xr:uid="{00000000-0005-0000-0000-0000355E0000}"/>
    <cellStyle name="Normal 5 12 3 3" xfId="32544" xr:uid="{00000000-0005-0000-0000-0000365E0000}"/>
    <cellStyle name="Normal 5 12 4" xfId="18166" xr:uid="{00000000-0005-0000-0000-0000375E0000}"/>
    <cellStyle name="Normal 5 12 4 2" xfId="43719" xr:uid="{00000000-0005-0000-0000-0000385E0000}"/>
    <cellStyle name="Normal 5 12 5" xfId="29656" xr:uid="{00000000-0005-0000-0000-0000395E0000}"/>
    <cellStyle name="Normal 5 13" xfId="1391" xr:uid="{00000000-0005-0000-0000-00003A5E0000}"/>
    <cellStyle name="Normal 5 13 2" xfId="10768" xr:uid="{00000000-0005-0000-0000-00003B5E0000}"/>
    <cellStyle name="Normal 5 13 2 2" xfId="36323" xr:uid="{00000000-0005-0000-0000-00003C5E0000}"/>
    <cellStyle name="Normal 5 13 3" xfId="20772" xr:uid="{00000000-0005-0000-0000-00003D5E0000}"/>
    <cellStyle name="Normal 5 13 3 2" xfId="46325" xr:uid="{00000000-0005-0000-0000-00003E5E0000}"/>
    <cellStyle name="Normal 5 13 4" xfId="27255" xr:uid="{00000000-0005-0000-0000-00003F5E0000}"/>
    <cellStyle name="Normal 5 14" xfId="5499" xr:uid="{00000000-0005-0000-0000-0000405E0000}"/>
    <cellStyle name="Normal 5 14 2" xfId="14326" xr:uid="{00000000-0005-0000-0000-0000415E0000}"/>
    <cellStyle name="Normal 5 14 2 2" xfId="39881" xr:uid="{00000000-0005-0000-0000-0000425E0000}"/>
    <cellStyle name="Normal 5 14 3" xfId="24577" xr:uid="{00000000-0005-0000-0000-0000435E0000}"/>
    <cellStyle name="Normal 5 14 3 2" xfId="50130" xr:uid="{00000000-0005-0000-0000-0000445E0000}"/>
    <cellStyle name="Normal 5 14 4" xfId="31060" xr:uid="{00000000-0005-0000-0000-0000455E0000}"/>
    <cellStyle name="Normal 5 15" xfId="6937" xr:uid="{00000000-0005-0000-0000-0000465E0000}"/>
    <cellStyle name="Normal 5 15 2" xfId="32495" xr:uid="{00000000-0005-0000-0000-0000475E0000}"/>
    <cellStyle name="Normal 5 16" xfId="15765" xr:uid="{00000000-0005-0000-0000-0000485E0000}"/>
    <cellStyle name="Normal 5 16 2" xfId="41318" xr:uid="{00000000-0005-0000-0000-0000495E0000}"/>
    <cellStyle name="Normal 5 2" xfId="105" xr:uid="{00000000-0005-0000-0000-00004A5E0000}"/>
    <cellStyle name="Normal 5 2 10" xfId="5503" xr:uid="{00000000-0005-0000-0000-00004B5E0000}"/>
    <cellStyle name="Normal 5 2 10 2" xfId="14330" xr:uid="{00000000-0005-0000-0000-00004C5E0000}"/>
    <cellStyle name="Normal 5 2 10 2 2" xfId="39885" xr:uid="{00000000-0005-0000-0000-00004D5E0000}"/>
    <cellStyle name="Normal 5 2 10 3" xfId="24581" xr:uid="{00000000-0005-0000-0000-00004E5E0000}"/>
    <cellStyle name="Normal 5 2 10 3 2" xfId="50134" xr:uid="{00000000-0005-0000-0000-00004F5E0000}"/>
    <cellStyle name="Normal 5 2 10 4" xfId="31064" xr:uid="{00000000-0005-0000-0000-0000505E0000}"/>
    <cellStyle name="Normal 5 2 11" xfId="6942" xr:uid="{00000000-0005-0000-0000-0000515E0000}"/>
    <cellStyle name="Normal 5 2 11 2" xfId="19580" xr:uid="{00000000-0005-0000-0000-0000525E0000}"/>
    <cellStyle name="Normal 5 2 11 2 2" xfId="45133" xr:uid="{00000000-0005-0000-0000-0000535E0000}"/>
    <cellStyle name="Normal 5 2 11 3" xfId="32500" xr:uid="{00000000-0005-0000-0000-0000545E0000}"/>
    <cellStyle name="Normal 5 2 12" xfId="26063" xr:uid="{00000000-0005-0000-0000-0000555E0000}"/>
    <cellStyle name="Normal 5 2 2" xfId="118" xr:uid="{00000000-0005-0000-0000-0000565E0000}"/>
    <cellStyle name="Normal 5 2 2 10" xfId="5534" xr:uid="{00000000-0005-0000-0000-0000575E0000}"/>
    <cellStyle name="Normal 5 2 2 10 2" xfId="14361" xr:uid="{00000000-0005-0000-0000-0000585E0000}"/>
    <cellStyle name="Normal 5 2 2 10 2 2" xfId="39916" xr:uid="{00000000-0005-0000-0000-0000595E0000}"/>
    <cellStyle name="Normal 5 2 2 10 3" xfId="24612" xr:uid="{00000000-0005-0000-0000-00005A5E0000}"/>
    <cellStyle name="Normal 5 2 2 10 3 2" xfId="50165" xr:uid="{00000000-0005-0000-0000-00005B5E0000}"/>
    <cellStyle name="Normal 5 2 2 10 4" xfId="31095" xr:uid="{00000000-0005-0000-0000-00005C5E0000}"/>
    <cellStyle name="Normal 5 2 2 11" xfId="6978" xr:uid="{00000000-0005-0000-0000-00005D5E0000}"/>
    <cellStyle name="Normal 5 2 2 11 2" xfId="32535" xr:uid="{00000000-0005-0000-0000-00005E5E0000}"/>
    <cellStyle name="Normal 5 2 2 12" xfId="15799" xr:uid="{00000000-0005-0000-0000-00005F5E0000}"/>
    <cellStyle name="Normal 5 2 2 12 2" xfId="41352" xr:uid="{00000000-0005-0000-0000-0000605E0000}"/>
    <cellStyle name="Normal 5 2 2 2" xfId="160" xr:uid="{00000000-0005-0000-0000-0000615E0000}"/>
    <cellStyle name="Normal 5 2 2 2 10" xfId="5492" xr:uid="{00000000-0005-0000-0000-0000625E0000}"/>
    <cellStyle name="Normal 5 2 2 2 11" xfId="10748" xr:uid="{00000000-0005-0000-0000-0000635E0000}"/>
    <cellStyle name="Normal 5 2 2 2 11 2" xfId="19619" xr:uid="{00000000-0005-0000-0000-0000645E0000}"/>
    <cellStyle name="Normal 5 2 2 2 11 2 2" xfId="45172" xr:uid="{00000000-0005-0000-0000-0000655E0000}"/>
    <cellStyle name="Normal 5 2 2 2 11 3" xfId="36304" xr:uid="{00000000-0005-0000-0000-0000665E0000}"/>
    <cellStyle name="Normal 5 2 2 2 12" xfId="26102" xr:uid="{00000000-0005-0000-0000-0000675E0000}"/>
    <cellStyle name="Normal 5 2 2 2 2" xfId="272" xr:uid="{00000000-0005-0000-0000-0000685E0000}"/>
    <cellStyle name="Normal 5 2 2 2 2 10" xfId="7110" xr:uid="{00000000-0005-0000-0000-0000695E0000}"/>
    <cellStyle name="Normal 5 2 2 2 2 10 2" xfId="19723" xr:uid="{00000000-0005-0000-0000-00006A5E0000}"/>
    <cellStyle name="Normal 5 2 2 2 2 10 2 2" xfId="45276" xr:uid="{00000000-0005-0000-0000-00006B5E0000}"/>
    <cellStyle name="Normal 5 2 2 2 2 10 3" xfId="32667" xr:uid="{00000000-0005-0000-0000-00006C5E0000}"/>
    <cellStyle name="Normal 5 2 2 2 2 11" xfId="15856" xr:uid="{00000000-0005-0000-0000-00006D5E0000}"/>
    <cellStyle name="Normal 5 2 2 2 2 11 2" xfId="41409" xr:uid="{00000000-0005-0000-0000-00006E5E0000}"/>
    <cellStyle name="Normal 5 2 2 2 2 12" xfId="26206" xr:uid="{00000000-0005-0000-0000-00006F5E0000}"/>
    <cellStyle name="Normal 5 2 2 2 2 2" xfId="594" xr:uid="{00000000-0005-0000-0000-0000705E0000}"/>
    <cellStyle name="Normal 5 2 2 2 2 2 10" xfId="26523" xr:uid="{00000000-0005-0000-0000-0000715E0000}"/>
    <cellStyle name="Normal 5 2 2 2 2 2 2" xfId="785" xr:uid="{00000000-0005-0000-0000-0000725E0000}"/>
    <cellStyle name="Normal 5 2 2 2 2 2 2 2" xfId="3270" xr:uid="{00000000-0005-0000-0000-0000735E0000}"/>
    <cellStyle name="Normal 5 2 2 2 2 2 2 2 2" xfId="12412" xr:uid="{00000000-0005-0000-0000-0000745E0000}"/>
    <cellStyle name="Normal 5 2 2 2 2 2 2 2 2 2" xfId="22631" xr:uid="{00000000-0005-0000-0000-0000755E0000}"/>
    <cellStyle name="Normal 5 2 2 2 2 2 2 2 2 2 2" xfId="48184" xr:uid="{00000000-0005-0000-0000-0000765E0000}"/>
    <cellStyle name="Normal 5 2 2 2 2 2 2 2 2 3" xfId="37967" xr:uid="{00000000-0005-0000-0000-0000775E0000}"/>
    <cellStyle name="Normal 5 2 2 2 2 2 2 2 3" xfId="8834" xr:uid="{00000000-0005-0000-0000-0000785E0000}"/>
    <cellStyle name="Normal 5 2 2 2 2 2 2 2 3 2" xfId="34391" xr:uid="{00000000-0005-0000-0000-0000795E0000}"/>
    <cellStyle name="Normal 5 2 2 2 2 2 2 2 4" xfId="17624" xr:uid="{00000000-0005-0000-0000-00007A5E0000}"/>
    <cellStyle name="Normal 5 2 2 2 2 2 2 2 4 2" xfId="43177" xr:uid="{00000000-0005-0000-0000-00007B5E0000}"/>
    <cellStyle name="Normal 5 2 2 2 2 2 2 2 5" xfId="29114" xr:uid="{00000000-0005-0000-0000-00007C5E0000}"/>
    <cellStyle name="Normal 5 2 2 2 2 2 2 3" xfId="4599" xr:uid="{00000000-0005-0000-0000-00007D5E0000}"/>
    <cellStyle name="Normal 5 2 2 2 2 2 2 3 2" xfId="13437" xr:uid="{00000000-0005-0000-0000-00007E5E0000}"/>
    <cellStyle name="Normal 5 2 2 2 2 2 2 3 2 2" xfId="23688" xr:uid="{00000000-0005-0000-0000-00007F5E0000}"/>
    <cellStyle name="Normal 5 2 2 2 2 2 2 3 2 2 2" xfId="49241" xr:uid="{00000000-0005-0000-0000-0000805E0000}"/>
    <cellStyle name="Normal 5 2 2 2 2 2 2 3 2 3" xfId="38992" xr:uid="{00000000-0005-0000-0000-0000815E0000}"/>
    <cellStyle name="Normal 5 2 2 2 2 2 2 3 3" xfId="9858" xr:uid="{00000000-0005-0000-0000-0000825E0000}"/>
    <cellStyle name="Normal 5 2 2 2 2 2 2 3 3 2" xfId="35415" xr:uid="{00000000-0005-0000-0000-0000835E0000}"/>
    <cellStyle name="Normal 5 2 2 2 2 2 2 3 4" xfId="18681" xr:uid="{00000000-0005-0000-0000-0000845E0000}"/>
    <cellStyle name="Normal 5 2 2 2 2 2 2 3 4 2" xfId="44234" xr:uid="{00000000-0005-0000-0000-0000855E0000}"/>
    <cellStyle name="Normal 5 2 2 2 2 2 2 3 5" xfId="30171" xr:uid="{00000000-0005-0000-0000-0000865E0000}"/>
    <cellStyle name="Normal 5 2 2 2 2 2 2 4" xfId="2379" xr:uid="{00000000-0005-0000-0000-0000875E0000}"/>
    <cellStyle name="Normal 5 2 2 2 2 2 2 4 2" xfId="11744" xr:uid="{00000000-0005-0000-0000-0000885E0000}"/>
    <cellStyle name="Normal 5 2 2 2 2 2 2 4 2 2" xfId="37299" xr:uid="{00000000-0005-0000-0000-0000895E0000}"/>
    <cellStyle name="Normal 5 2 2 2 2 2 2 4 3" xfId="21748" xr:uid="{00000000-0005-0000-0000-00008A5E0000}"/>
    <cellStyle name="Normal 5 2 2 2 2 2 2 4 3 2" xfId="47301" xr:uid="{00000000-0005-0000-0000-00008B5E0000}"/>
    <cellStyle name="Normal 5 2 2 2 2 2 2 4 4" xfId="28231" xr:uid="{00000000-0005-0000-0000-00008C5E0000}"/>
    <cellStyle name="Normal 5 2 2 2 2 2 2 5" xfId="6055" xr:uid="{00000000-0005-0000-0000-00008D5E0000}"/>
    <cellStyle name="Normal 5 2 2 2 2 2 2 5 2" xfId="14882" xr:uid="{00000000-0005-0000-0000-00008E5E0000}"/>
    <cellStyle name="Normal 5 2 2 2 2 2 2 5 2 2" xfId="40437" xr:uid="{00000000-0005-0000-0000-00008F5E0000}"/>
    <cellStyle name="Normal 5 2 2 2 2 2 2 5 3" xfId="25133" xr:uid="{00000000-0005-0000-0000-0000905E0000}"/>
    <cellStyle name="Normal 5 2 2 2 2 2 2 5 3 2" xfId="50686" xr:uid="{00000000-0005-0000-0000-0000915E0000}"/>
    <cellStyle name="Normal 5 2 2 2 2 2 2 5 4" xfId="31616" xr:uid="{00000000-0005-0000-0000-0000925E0000}"/>
    <cellStyle name="Normal 5 2 2 2 2 2 2 6" xfId="7500" xr:uid="{00000000-0005-0000-0000-0000935E0000}"/>
    <cellStyle name="Normal 5 2 2 2 2 2 2 6 2" xfId="20230" xr:uid="{00000000-0005-0000-0000-0000945E0000}"/>
    <cellStyle name="Normal 5 2 2 2 2 2 2 6 2 2" xfId="45783" xr:uid="{00000000-0005-0000-0000-0000955E0000}"/>
    <cellStyle name="Normal 5 2 2 2 2 2 2 6 3" xfId="33057" xr:uid="{00000000-0005-0000-0000-0000965E0000}"/>
    <cellStyle name="Normal 5 2 2 2 2 2 2 7" xfId="16741" xr:uid="{00000000-0005-0000-0000-0000975E0000}"/>
    <cellStyle name="Normal 5 2 2 2 2 2 2 7 2" xfId="42294" xr:uid="{00000000-0005-0000-0000-0000985E0000}"/>
    <cellStyle name="Normal 5 2 2 2 2 2 2 8" xfId="26713" xr:uid="{00000000-0005-0000-0000-0000995E0000}"/>
    <cellStyle name="Normal 5 2 2 2 2 2 3" xfId="1366" xr:uid="{00000000-0005-0000-0000-00009A5E0000}"/>
    <cellStyle name="Normal 5 2 2 2 2 2 3 2" xfId="3795" xr:uid="{00000000-0005-0000-0000-00009B5E0000}"/>
    <cellStyle name="Normal 5 2 2 2 2 2 3 2 2" xfId="12931" xr:uid="{00000000-0005-0000-0000-00009C5E0000}"/>
    <cellStyle name="Normal 5 2 2 2 2 2 3 2 2 2" xfId="23150" xr:uid="{00000000-0005-0000-0000-00009D5E0000}"/>
    <cellStyle name="Normal 5 2 2 2 2 2 3 2 2 2 2" xfId="48703" xr:uid="{00000000-0005-0000-0000-00009E5E0000}"/>
    <cellStyle name="Normal 5 2 2 2 2 2 3 2 2 3" xfId="38486" xr:uid="{00000000-0005-0000-0000-00009F5E0000}"/>
    <cellStyle name="Normal 5 2 2 2 2 2 3 2 3" xfId="9352" xr:uid="{00000000-0005-0000-0000-0000A05E0000}"/>
    <cellStyle name="Normal 5 2 2 2 2 2 3 2 3 2" xfId="34909" xr:uid="{00000000-0005-0000-0000-0000A15E0000}"/>
    <cellStyle name="Normal 5 2 2 2 2 2 3 2 4" xfId="18143" xr:uid="{00000000-0005-0000-0000-0000A25E0000}"/>
    <cellStyle name="Normal 5 2 2 2 2 2 3 2 4 2" xfId="43696" xr:uid="{00000000-0005-0000-0000-0000A35E0000}"/>
    <cellStyle name="Normal 5 2 2 2 2 2 3 2 5" xfId="29633" xr:uid="{00000000-0005-0000-0000-0000A45E0000}"/>
    <cellStyle name="Normal 5 2 2 2 2 2 3 3" xfId="4948" xr:uid="{00000000-0005-0000-0000-0000A55E0000}"/>
    <cellStyle name="Normal 5 2 2 2 2 2 3 3 2" xfId="13785" xr:uid="{00000000-0005-0000-0000-0000A65E0000}"/>
    <cellStyle name="Normal 5 2 2 2 2 2 3 3 2 2" xfId="24036" xr:uid="{00000000-0005-0000-0000-0000A75E0000}"/>
    <cellStyle name="Normal 5 2 2 2 2 2 3 3 2 2 2" xfId="49589" xr:uid="{00000000-0005-0000-0000-0000A85E0000}"/>
    <cellStyle name="Normal 5 2 2 2 2 2 3 3 2 3" xfId="39340" xr:uid="{00000000-0005-0000-0000-0000A95E0000}"/>
    <cellStyle name="Normal 5 2 2 2 2 2 3 3 3" xfId="10206" xr:uid="{00000000-0005-0000-0000-0000AA5E0000}"/>
    <cellStyle name="Normal 5 2 2 2 2 2 3 3 3 2" xfId="35763" xr:uid="{00000000-0005-0000-0000-0000AB5E0000}"/>
    <cellStyle name="Normal 5 2 2 2 2 2 3 3 4" xfId="19029" xr:uid="{00000000-0005-0000-0000-0000AC5E0000}"/>
    <cellStyle name="Normal 5 2 2 2 2 2 3 3 4 2" xfId="44582" xr:uid="{00000000-0005-0000-0000-0000AD5E0000}"/>
    <cellStyle name="Normal 5 2 2 2 2 2 3 3 5" xfId="30519" xr:uid="{00000000-0005-0000-0000-0000AE5E0000}"/>
    <cellStyle name="Normal 5 2 2 2 2 2 3 4" xfId="2189" xr:uid="{00000000-0005-0000-0000-0000AF5E0000}"/>
    <cellStyle name="Normal 5 2 2 2 2 2 3 4 2" xfId="11554" xr:uid="{00000000-0005-0000-0000-0000B05E0000}"/>
    <cellStyle name="Normal 5 2 2 2 2 2 3 4 2 2" xfId="37109" xr:uid="{00000000-0005-0000-0000-0000B15E0000}"/>
    <cellStyle name="Normal 5 2 2 2 2 2 3 4 3" xfId="21558" xr:uid="{00000000-0005-0000-0000-0000B25E0000}"/>
    <cellStyle name="Normal 5 2 2 2 2 2 3 4 3 2" xfId="47111" xr:uid="{00000000-0005-0000-0000-0000B35E0000}"/>
    <cellStyle name="Normal 5 2 2 2 2 2 3 4 4" xfId="28041" xr:uid="{00000000-0005-0000-0000-0000B45E0000}"/>
    <cellStyle name="Normal 5 2 2 2 2 2 3 5" xfId="6403" xr:uid="{00000000-0005-0000-0000-0000B55E0000}"/>
    <cellStyle name="Normal 5 2 2 2 2 2 3 5 2" xfId="15230" xr:uid="{00000000-0005-0000-0000-0000B65E0000}"/>
    <cellStyle name="Normal 5 2 2 2 2 2 3 5 2 2" xfId="40785" xr:uid="{00000000-0005-0000-0000-0000B75E0000}"/>
    <cellStyle name="Normal 5 2 2 2 2 2 3 5 3" xfId="25481" xr:uid="{00000000-0005-0000-0000-0000B85E0000}"/>
    <cellStyle name="Normal 5 2 2 2 2 2 3 5 3 2" xfId="51034" xr:uid="{00000000-0005-0000-0000-0000B95E0000}"/>
    <cellStyle name="Normal 5 2 2 2 2 2 3 5 4" xfId="31964" xr:uid="{00000000-0005-0000-0000-0000BA5E0000}"/>
    <cellStyle name="Normal 5 2 2 2 2 2 3 6" xfId="7849" xr:uid="{00000000-0005-0000-0000-0000BB5E0000}"/>
    <cellStyle name="Normal 5 2 2 2 2 2 3 6 2" xfId="20749" xr:uid="{00000000-0005-0000-0000-0000BC5E0000}"/>
    <cellStyle name="Normal 5 2 2 2 2 2 3 6 2 2" xfId="46302" xr:uid="{00000000-0005-0000-0000-0000BD5E0000}"/>
    <cellStyle name="Normal 5 2 2 2 2 2 3 6 3" xfId="33406" xr:uid="{00000000-0005-0000-0000-0000BE5E0000}"/>
    <cellStyle name="Normal 5 2 2 2 2 2 3 7" xfId="16551" xr:uid="{00000000-0005-0000-0000-0000BF5E0000}"/>
    <cellStyle name="Normal 5 2 2 2 2 2 3 7 2" xfId="42104" xr:uid="{00000000-0005-0000-0000-0000C05E0000}"/>
    <cellStyle name="Normal 5 2 2 2 2 2 3 8" xfId="27232" xr:uid="{00000000-0005-0000-0000-0000C15E0000}"/>
    <cellStyle name="Normal 5 2 2 2 2 2 4" xfId="3080" xr:uid="{00000000-0005-0000-0000-0000C25E0000}"/>
    <cellStyle name="Normal 5 2 2 2 2 2 4 2" xfId="5458" xr:uid="{00000000-0005-0000-0000-0000C35E0000}"/>
    <cellStyle name="Normal 5 2 2 2 2 2 4 2 2" xfId="14295" xr:uid="{00000000-0005-0000-0000-0000C45E0000}"/>
    <cellStyle name="Normal 5 2 2 2 2 2 4 2 2 2" xfId="24546" xr:uid="{00000000-0005-0000-0000-0000C55E0000}"/>
    <cellStyle name="Normal 5 2 2 2 2 2 4 2 2 2 2" xfId="50099" xr:uid="{00000000-0005-0000-0000-0000C65E0000}"/>
    <cellStyle name="Normal 5 2 2 2 2 2 4 2 2 3" xfId="39850" xr:uid="{00000000-0005-0000-0000-0000C75E0000}"/>
    <cellStyle name="Normal 5 2 2 2 2 2 4 2 3" xfId="10716" xr:uid="{00000000-0005-0000-0000-0000C85E0000}"/>
    <cellStyle name="Normal 5 2 2 2 2 2 4 2 3 2" xfId="36273" xr:uid="{00000000-0005-0000-0000-0000C95E0000}"/>
    <cellStyle name="Normal 5 2 2 2 2 2 4 2 4" xfId="19539" xr:uid="{00000000-0005-0000-0000-0000CA5E0000}"/>
    <cellStyle name="Normal 5 2 2 2 2 2 4 2 4 2" xfId="45092" xr:uid="{00000000-0005-0000-0000-0000CB5E0000}"/>
    <cellStyle name="Normal 5 2 2 2 2 2 4 2 5" xfId="31029" xr:uid="{00000000-0005-0000-0000-0000CC5E0000}"/>
    <cellStyle name="Normal 5 2 2 2 2 2 4 3" xfId="6913" xr:uid="{00000000-0005-0000-0000-0000CD5E0000}"/>
    <cellStyle name="Normal 5 2 2 2 2 2 4 3 2" xfId="15740" xr:uid="{00000000-0005-0000-0000-0000CE5E0000}"/>
    <cellStyle name="Normal 5 2 2 2 2 2 4 3 2 2" xfId="41295" xr:uid="{00000000-0005-0000-0000-0000CF5E0000}"/>
    <cellStyle name="Normal 5 2 2 2 2 2 4 3 3" xfId="25991" xr:uid="{00000000-0005-0000-0000-0000D05E0000}"/>
    <cellStyle name="Normal 5 2 2 2 2 2 4 3 3 2" xfId="51544" xr:uid="{00000000-0005-0000-0000-0000D15E0000}"/>
    <cellStyle name="Normal 5 2 2 2 2 2 4 3 4" xfId="32474" xr:uid="{00000000-0005-0000-0000-0000D25E0000}"/>
    <cellStyle name="Normal 5 2 2 2 2 2 4 4" xfId="8359" xr:uid="{00000000-0005-0000-0000-0000D35E0000}"/>
    <cellStyle name="Normal 5 2 2 2 2 2 4 4 2" xfId="22441" xr:uid="{00000000-0005-0000-0000-0000D45E0000}"/>
    <cellStyle name="Normal 5 2 2 2 2 2 4 4 2 2" xfId="47994" xr:uid="{00000000-0005-0000-0000-0000D55E0000}"/>
    <cellStyle name="Normal 5 2 2 2 2 2 4 4 3" xfId="33916" xr:uid="{00000000-0005-0000-0000-0000D65E0000}"/>
    <cellStyle name="Normal 5 2 2 2 2 2 4 5" xfId="17434" xr:uid="{00000000-0005-0000-0000-0000D75E0000}"/>
    <cellStyle name="Normal 5 2 2 2 2 2 4 5 2" xfId="42987" xr:uid="{00000000-0005-0000-0000-0000D85E0000}"/>
    <cellStyle name="Normal 5 2 2 2 2 2 4 6" xfId="28924" xr:uid="{00000000-0005-0000-0000-0000D95E0000}"/>
    <cellStyle name="Normal 5 2 2 2 2 2 5" xfId="4414" xr:uid="{00000000-0005-0000-0000-0000DA5E0000}"/>
    <cellStyle name="Normal 5 2 2 2 2 2 5 2" xfId="13252" xr:uid="{00000000-0005-0000-0000-0000DB5E0000}"/>
    <cellStyle name="Normal 5 2 2 2 2 2 5 2 2" xfId="23503" xr:uid="{00000000-0005-0000-0000-0000DC5E0000}"/>
    <cellStyle name="Normal 5 2 2 2 2 2 5 2 2 2" xfId="49056" xr:uid="{00000000-0005-0000-0000-0000DD5E0000}"/>
    <cellStyle name="Normal 5 2 2 2 2 2 5 2 3" xfId="38807" xr:uid="{00000000-0005-0000-0000-0000DE5E0000}"/>
    <cellStyle name="Normal 5 2 2 2 2 2 5 3" xfId="9673" xr:uid="{00000000-0005-0000-0000-0000DF5E0000}"/>
    <cellStyle name="Normal 5 2 2 2 2 2 5 3 2" xfId="35230" xr:uid="{00000000-0005-0000-0000-0000E05E0000}"/>
    <cellStyle name="Normal 5 2 2 2 2 2 5 4" xfId="18496" xr:uid="{00000000-0005-0000-0000-0000E15E0000}"/>
    <cellStyle name="Normal 5 2 2 2 2 2 5 4 2" xfId="44049" xr:uid="{00000000-0005-0000-0000-0000E25E0000}"/>
    <cellStyle name="Normal 5 2 2 2 2 2 5 5" xfId="29986" xr:uid="{00000000-0005-0000-0000-0000E35E0000}"/>
    <cellStyle name="Normal 5 2 2 2 2 2 6" xfId="1686" xr:uid="{00000000-0005-0000-0000-0000E45E0000}"/>
    <cellStyle name="Normal 5 2 2 2 2 2 6 2" xfId="11063" xr:uid="{00000000-0005-0000-0000-0000E55E0000}"/>
    <cellStyle name="Normal 5 2 2 2 2 2 6 2 2" xfId="36618" xr:uid="{00000000-0005-0000-0000-0000E65E0000}"/>
    <cellStyle name="Normal 5 2 2 2 2 2 6 3" xfId="21067" xr:uid="{00000000-0005-0000-0000-0000E75E0000}"/>
    <cellStyle name="Normal 5 2 2 2 2 2 6 3 2" xfId="46620" xr:uid="{00000000-0005-0000-0000-0000E85E0000}"/>
    <cellStyle name="Normal 5 2 2 2 2 2 6 4" xfId="27550" xr:uid="{00000000-0005-0000-0000-0000E95E0000}"/>
    <cellStyle name="Normal 5 2 2 2 2 2 7" xfId="5870" xr:uid="{00000000-0005-0000-0000-0000EA5E0000}"/>
    <cellStyle name="Normal 5 2 2 2 2 2 7 2" xfId="14697" xr:uid="{00000000-0005-0000-0000-0000EB5E0000}"/>
    <cellStyle name="Normal 5 2 2 2 2 2 7 2 2" xfId="40252" xr:uid="{00000000-0005-0000-0000-0000EC5E0000}"/>
    <cellStyle name="Normal 5 2 2 2 2 2 7 3" xfId="24948" xr:uid="{00000000-0005-0000-0000-0000ED5E0000}"/>
    <cellStyle name="Normal 5 2 2 2 2 2 7 3 2" xfId="50501" xr:uid="{00000000-0005-0000-0000-0000EE5E0000}"/>
    <cellStyle name="Normal 5 2 2 2 2 2 7 4" xfId="31431" xr:uid="{00000000-0005-0000-0000-0000EF5E0000}"/>
    <cellStyle name="Normal 5 2 2 2 2 2 8" xfId="7314" xr:uid="{00000000-0005-0000-0000-0000F05E0000}"/>
    <cellStyle name="Normal 5 2 2 2 2 2 8 2" xfId="20040" xr:uid="{00000000-0005-0000-0000-0000F15E0000}"/>
    <cellStyle name="Normal 5 2 2 2 2 2 8 2 2" xfId="45593" xr:uid="{00000000-0005-0000-0000-0000F25E0000}"/>
    <cellStyle name="Normal 5 2 2 2 2 2 8 3" xfId="32871" xr:uid="{00000000-0005-0000-0000-0000F35E0000}"/>
    <cellStyle name="Normal 5 2 2 2 2 2 9" xfId="16060" xr:uid="{00000000-0005-0000-0000-0000F45E0000}"/>
    <cellStyle name="Normal 5 2 2 2 2 2 9 2" xfId="41613" xr:uid="{00000000-0005-0000-0000-0000F55E0000}"/>
    <cellStyle name="Normal 5 2 2 2 2 2_Degree data" xfId="3835" xr:uid="{00000000-0005-0000-0000-0000F65E0000}"/>
    <cellStyle name="Normal 5 2 2 2 2 3" xfId="390" xr:uid="{00000000-0005-0000-0000-0000F75E0000}"/>
    <cellStyle name="Normal 5 2 2 2 2 3 2" xfId="2876" xr:uid="{00000000-0005-0000-0000-0000F85E0000}"/>
    <cellStyle name="Normal 5 2 2 2 2 3 2 2" xfId="12164" xr:uid="{00000000-0005-0000-0000-0000F95E0000}"/>
    <cellStyle name="Normal 5 2 2 2 2 3 2 2 2" xfId="22237" xr:uid="{00000000-0005-0000-0000-0000FA5E0000}"/>
    <cellStyle name="Normal 5 2 2 2 2 3 2 2 2 2" xfId="47790" xr:uid="{00000000-0005-0000-0000-0000FB5E0000}"/>
    <cellStyle name="Normal 5 2 2 2 2 3 2 2 3" xfId="37719" xr:uid="{00000000-0005-0000-0000-0000FC5E0000}"/>
    <cellStyle name="Normal 5 2 2 2 2 3 2 3" xfId="8616" xr:uid="{00000000-0005-0000-0000-0000FD5E0000}"/>
    <cellStyle name="Normal 5 2 2 2 2 3 2 3 2" xfId="34173" xr:uid="{00000000-0005-0000-0000-0000FE5E0000}"/>
    <cellStyle name="Normal 5 2 2 2 2 3 2 4" xfId="17230" xr:uid="{00000000-0005-0000-0000-0000FF5E0000}"/>
    <cellStyle name="Normal 5 2 2 2 2 3 2 4 2" xfId="42783" xr:uid="{00000000-0005-0000-0000-0000005F0000}"/>
    <cellStyle name="Normal 5 2 2 2 2 3 2 5" xfId="28720" xr:uid="{00000000-0005-0000-0000-0000015F0000}"/>
    <cellStyle name="Normal 5 2 2 2 2 3 3" xfId="4598" xr:uid="{00000000-0005-0000-0000-0000025F0000}"/>
    <cellStyle name="Normal 5 2 2 2 2 3 3 2" xfId="13436" xr:uid="{00000000-0005-0000-0000-0000035F0000}"/>
    <cellStyle name="Normal 5 2 2 2 2 3 3 2 2" xfId="23687" xr:uid="{00000000-0005-0000-0000-0000045F0000}"/>
    <cellStyle name="Normal 5 2 2 2 2 3 3 2 2 2" xfId="49240" xr:uid="{00000000-0005-0000-0000-0000055F0000}"/>
    <cellStyle name="Normal 5 2 2 2 2 3 3 2 3" xfId="38991" xr:uid="{00000000-0005-0000-0000-0000065F0000}"/>
    <cellStyle name="Normal 5 2 2 2 2 3 3 3" xfId="9857" xr:uid="{00000000-0005-0000-0000-0000075F0000}"/>
    <cellStyle name="Normal 5 2 2 2 2 3 3 3 2" xfId="35414" xr:uid="{00000000-0005-0000-0000-0000085F0000}"/>
    <cellStyle name="Normal 5 2 2 2 2 3 3 4" xfId="18680" xr:uid="{00000000-0005-0000-0000-0000095F0000}"/>
    <cellStyle name="Normal 5 2 2 2 2 3 3 4 2" xfId="44233" xr:uid="{00000000-0005-0000-0000-00000A5F0000}"/>
    <cellStyle name="Normal 5 2 2 2 2 3 3 5" xfId="30170" xr:uid="{00000000-0005-0000-0000-00000B5F0000}"/>
    <cellStyle name="Normal 5 2 2 2 2 3 4" xfId="1985" xr:uid="{00000000-0005-0000-0000-00000C5F0000}"/>
    <cellStyle name="Normal 5 2 2 2 2 3 4 2" xfId="11350" xr:uid="{00000000-0005-0000-0000-00000D5F0000}"/>
    <cellStyle name="Normal 5 2 2 2 2 3 4 2 2" xfId="36905" xr:uid="{00000000-0005-0000-0000-00000E5F0000}"/>
    <cellStyle name="Normal 5 2 2 2 2 3 4 3" xfId="21354" xr:uid="{00000000-0005-0000-0000-00000F5F0000}"/>
    <cellStyle name="Normal 5 2 2 2 2 3 4 3 2" xfId="46907" xr:uid="{00000000-0005-0000-0000-0000105F0000}"/>
    <cellStyle name="Normal 5 2 2 2 2 3 4 4" xfId="27837" xr:uid="{00000000-0005-0000-0000-0000115F0000}"/>
    <cellStyle name="Normal 5 2 2 2 2 3 5" xfId="6054" xr:uid="{00000000-0005-0000-0000-0000125F0000}"/>
    <cellStyle name="Normal 5 2 2 2 2 3 5 2" xfId="14881" xr:uid="{00000000-0005-0000-0000-0000135F0000}"/>
    <cellStyle name="Normal 5 2 2 2 2 3 5 2 2" xfId="40436" xr:uid="{00000000-0005-0000-0000-0000145F0000}"/>
    <cellStyle name="Normal 5 2 2 2 2 3 5 3" xfId="25132" xr:uid="{00000000-0005-0000-0000-0000155F0000}"/>
    <cellStyle name="Normal 5 2 2 2 2 3 5 3 2" xfId="50685" xr:uid="{00000000-0005-0000-0000-0000165F0000}"/>
    <cellStyle name="Normal 5 2 2 2 2 3 5 4" xfId="31615" xr:uid="{00000000-0005-0000-0000-0000175F0000}"/>
    <cellStyle name="Normal 5 2 2 2 2 3 6" xfId="7499" xr:uid="{00000000-0005-0000-0000-0000185F0000}"/>
    <cellStyle name="Normal 5 2 2 2 2 3 6 2" xfId="19836" xr:uid="{00000000-0005-0000-0000-0000195F0000}"/>
    <cellStyle name="Normal 5 2 2 2 2 3 6 2 2" xfId="45389" xr:uid="{00000000-0005-0000-0000-00001A5F0000}"/>
    <cellStyle name="Normal 5 2 2 2 2 3 6 3" xfId="33056" xr:uid="{00000000-0005-0000-0000-00001B5F0000}"/>
    <cellStyle name="Normal 5 2 2 2 2 3 7" xfId="16347" xr:uid="{00000000-0005-0000-0000-00001C5F0000}"/>
    <cellStyle name="Normal 5 2 2 2 2 3 7 2" xfId="41900" xr:uid="{00000000-0005-0000-0000-00001D5F0000}"/>
    <cellStyle name="Normal 5 2 2 2 2 3 8" xfId="26319" xr:uid="{00000000-0005-0000-0000-00001E5F0000}"/>
    <cellStyle name="Normal 5 2 2 2 2 4" xfId="784" xr:uid="{00000000-0005-0000-0000-00001F5F0000}"/>
    <cellStyle name="Normal 5 2 2 2 2 4 2" xfId="3269" xr:uid="{00000000-0005-0000-0000-0000205F0000}"/>
    <cellStyle name="Normal 5 2 2 2 2 4 2 2" xfId="12411" xr:uid="{00000000-0005-0000-0000-0000215F0000}"/>
    <cellStyle name="Normal 5 2 2 2 2 4 2 2 2" xfId="22630" xr:uid="{00000000-0005-0000-0000-0000225F0000}"/>
    <cellStyle name="Normal 5 2 2 2 2 4 2 2 2 2" xfId="48183" xr:uid="{00000000-0005-0000-0000-0000235F0000}"/>
    <cellStyle name="Normal 5 2 2 2 2 4 2 2 3" xfId="37966" xr:uid="{00000000-0005-0000-0000-0000245F0000}"/>
    <cellStyle name="Normal 5 2 2 2 2 4 2 3" xfId="8833" xr:uid="{00000000-0005-0000-0000-0000255F0000}"/>
    <cellStyle name="Normal 5 2 2 2 2 4 2 3 2" xfId="34390" xr:uid="{00000000-0005-0000-0000-0000265F0000}"/>
    <cellStyle name="Normal 5 2 2 2 2 4 2 4" xfId="17623" xr:uid="{00000000-0005-0000-0000-0000275F0000}"/>
    <cellStyle name="Normal 5 2 2 2 2 4 2 4 2" xfId="43176" xr:uid="{00000000-0005-0000-0000-0000285F0000}"/>
    <cellStyle name="Normal 5 2 2 2 2 4 2 5" xfId="29113" xr:uid="{00000000-0005-0000-0000-0000295F0000}"/>
    <cellStyle name="Normal 5 2 2 2 2 4 3" xfId="4947" xr:uid="{00000000-0005-0000-0000-00002A5F0000}"/>
    <cellStyle name="Normal 5 2 2 2 2 4 3 2" xfId="13784" xr:uid="{00000000-0005-0000-0000-00002B5F0000}"/>
    <cellStyle name="Normal 5 2 2 2 2 4 3 2 2" xfId="24035" xr:uid="{00000000-0005-0000-0000-00002C5F0000}"/>
    <cellStyle name="Normal 5 2 2 2 2 4 3 2 2 2" xfId="49588" xr:uid="{00000000-0005-0000-0000-00002D5F0000}"/>
    <cellStyle name="Normal 5 2 2 2 2 4 3 2 3" xfId="39339" xr:uid="{00000000-0005-0000-0000-00002E5F0000}"/>
    <cellStyle name="Normal 5 2 2 2 2 4 3 3" xfId="10205" xr:uid="{00000000-0005-0000-0000-00002F5F0000}"/>
    <cellStyle name="Normal 5 2 2 2 2 4 3 3 2" xfId="35762" xr:uid="{00000000-0005-0000-0000-0000305F0000}"/>
    <cellStyle name="Normal 5 2 2 2 2 4 3 4" xfId="19028" xr:uid="{00000000-0005-0000-0000-0000315F0000}"/>
    <cellStyle name="Normal 5 2 2 2 2 4 3 4 2" xfId="44581" xr:uid="{00000000-0005-0000-0000-0000325F0000}"/>
    <cellStyle name="Normal 5 2 2 2 2 4 3 5" xfId="30518" xr:uid="{00000000-0005-0000-0000-0000335F0000}"/>
    <cellStyle name="Normal 5 2 2 2 2 4 4" xfId="2378" xr:uid="{00000000-0005-0000-0000-0000345F0000}"/>
    <cellStyle name="Normal 5 2 2 2 2 4 4 2" xfId="11743" xr:uid="{00000000-0005-0000-0000-0000355F0000}"/>
    <cellStyle name="Normal 5 2 2 2 2 4 4 2 2" xfId="37298" xr:uid="{00000000-0005-0000-0000-0000365F0000}"/>
    <cellStyle name="Normal 5 2 2 2 2 4 4 3" xfId="21747" xr:uid="{00000000-0005-0000-0000-0000375F0000}"/>
    <cellStyle name="Normal 5 2 2 2 2 4 4 3 2" xfId="47300" xr:uid="{00000000-0005-0000-0000-0000385F0000}"/>
    <cellStyle name="Normal 5 2 2 2 2 4 4 4" xfId="28230" xr:uid="{00000000-0005-0000-0000-0000395F0000}"/>
    <cellStyle name="Normal 5 2 2 2 2 4 5" xfId="6402" xr:uid="{00000000-0005-0000-0000-00003A5F0000}"/>
    <cellStyle name="Normal 5 2 2 2 2 4 5 2" xfId="15229" xr:uid="{00000000-0005-0000-0000-00003B5F0000}"/>
    <cellStyle name="Normal 5 2 2 2 2 4 5 2 2" xfId="40784" xr:uid="{00000000-0005-0000-0000-00003C5F0000}"/>
    <cellStyle name="Normal 5 2 2 2 2 4 5 3" xfId="25480" xr:uid="{00000000-0005-0000-0000-00003D5F0000}"/>
    <cellStyle name="Normal 5 2 2 2 2 4 5 3 2" xfId="51033" xr:uid="{00000000-0005-0000-0000-00003E5F0000}"/>
    <cellStyle name="Normal 5 2 2 2 2 4 5 4" xfId="31963" xr:uid="{00000000-0005-0000-0000-00003F5F0000}"/>
    <cellStyle name="Normal 5 2 2 2 2 4 6" xfId="7848" xr:uid="{00000000-0005-0000-0000-0000405F0000}"/>
    <cellStyle name="Normal 5 2 2 2 2 4 6 2" xfId="20229" xr:uid="{00000000-0005-0000-0000-0000415F0000}"/>
    <cellStyle name="Normal 5 2 2 2 2 4 6 2 2" xfId="45782" xr:uid="{00000000-0005-0000-0000-0000425F0000}"/>
    <cellStyle name="Normal 5 2 2 2 2 4 6 3" xfId="33405" xr:uid="{00000000-0005-0000-0000-0000435F0000}"/>
    <cellStyle name="Normal 5 2 2 2 2 4 7" xfId="16740" xr:uid="{00000000-0005-0000-0000-0000445F0000}"/>
    <cellStyle name="Normal 5 2 2 2 2 4 7 2" xfId="42293" xr:uid="{00000000-0005-0000-0000-0000455F0000}"/>
    <cellStyle name="Normal 5 2 2 2 2 4 8" xfId="26712" xr:uid="{00000000-0005-0000-0000-0000465F0000}"/>
    <cellStyle name="Normal 5 2 2 2 2 5" xfId="1162" xr:uid="{00000000-0005-0000-0000-0000475F0000}"/>
    <cellStyle name="Normal 5 2 2 2 2 5 2" xfId="3591" xr:uid="{00000000-0005-0000-0000-0000485F0000}"/>
    <cellStyle name="Normal 5 2 2 2 2 5 2 2" xfId="12727" xr:uid="{00000000-0005-0000-0000-0000495F0000}"/>
    <cellStyle name="Normal 5 2 2 2 2 5 2 2 2" xfId="22946" xr:uid="{00000000-0005-0000-0000-00004A5F0000}"/>
    <cellStyle name="Normal 5 2 2 2 2 5 2 2 2 2" xfId="48499" xr:uid="{00000000-0005-0000-0000-00004B5F0000}"/>
    <cellStyle name="Normal 5 2 2 2 2 5 2 2 3" xfId="38282" xr:uid="{00000000-0005-0000-0000-00004C5F0000}"/>
    <cellStyle name="Normal 5 2 2 2 2 5 2 3" xfId="9148" xr:uid="{00000000-0005-0000-0000-00004D5F0000}"/>
    <cellStyle name="Normal 5 2 2 2 2 5 2 3 2" xfId="34705" xr:uid="{00000000-0005-0000-0000-00004E5F0000}"/>
    <cellStyle name="Normal 5 2 2 2 2 5 2 4" xfId="17939" xr:uid="{00000000-0005-0000-0000-00004F5F0000}"/>
    <cellStyle name="Normal 5 2 2 2 2 5 2 4 2" xfId="43492" xr:uid="{00000000-0005-0000-0000-0000505F0000}"/>
    <cellStyle name="Normal 5 2 2 2 2 5 2 5" xfId="29429" xr:uid="{00000000-0005-0000-0000-0000515F0000}"/>
    <cellStyle name="Normal 5 2 2 2 2 5 3" xfId="5254" xr:uid="{00000000-0005-0000-0000-0000525F0000}"/>
    <cellStyle name="Normal 5 2 2 2 2 5 3 2" xfId="14091" xr:uid="{00000000-0005-0000-0000-0000535F0000}"/>
    <cellStyle name="Normal 5 2 2 2 2 5 3 2 2" xfId="24342" xr:uid="{00000000-0005-0000-0000-0000545F0000}"/>
    <cellStyle name="Normal 5 2 2 2 2 5 3 2 2 2" xfId="49895" xr:uid="{00000000-0005-0000-0000-0000555F0000}"/>
    <cellStyle name="Normal 5 2 2 2 2 5 3 2 3" xfId="39646" xr:uid="{00000000-0005-0000-0000-0000565F0000}"/>
    <cellStyle name="Normal 5 2 2 2 2 5 3 3" xfId="10512" xr:uid="{00000000-0005-0000-0000-0000575F0000}"/>
    <cellStyle name="Normal 5 2 2 2 2 5 3 3 2" xfId="36069" xr:uid="{00000000-0005-0000-0000-0000585F0000}"/>
    <cellStyle name="Normal 5 2 2 2 2 5 3 4" xfId="19335" xr:uid="{00000000-0005-0000-0000-0000595F0000}"/>
    <cellStyle name="Normal 5 2 2 2 2 5 3 4 2" xfId="44888" xr:uid="{00000000-0005-0000-0000-00005A5F0000}"/>
    <cellStyle name="Normal 5 2 2 2 2 5 3 5" xfId="30825" xr:uid="{00000000-0005-0000-0000-00005B5F0000}"/>
    <cellStyle name="Normal 5 2 2 2 2 5 4" xfId="1869" xr:uid="{00000000-0005-0000-0000-00005C5F0000}"/>
    <cellStyle name="Normal 5 2 2 2 2 5 4 2" xfId="11237" xr:uid="{00000000-0005-0000-0000-00005D5F0000}"/>
    <cellStyle name="Normal 5 2 2 2 2 5 4 2 2" xfId="36792" xr:uid="{00000000-0005-0000-0000-00005E5F0000}"/>
    <cellStyle name="Normal 5 2 2 2 2 5 4 3" xfId="21241" xr:uid="{00000000-0005-0000-0000-00005F5F0000}"/>
    <cellStyle name="Normal 5 2 2 2 2 5 4 3 2" xfId="46794" xr:uid="{00000000-0005-0000-0000-0000605F0000}"/>
    <cellStyle name="Normal 5 2 2 2 2 5 4 4" xfId="27724" xr:uid="{00000000-0005-0000-0000-0000615F0000}"/>
    <cellStyle name="Normal 5 2 2 2 2 5 5" xfId="6709" xr:uid="{00000000-0005-0000-0000-0000625F0000}"/>
    <cellStyle name="Normal 5 2 2 2 2 5 5 2" xfId="15536" xr:uid="{00000000-0005-0000-0000-0000635F0000}"/>
    <cellStyle name="Normal 5 2 2 2 2 5 5 2 2" xfId="41091" xr:uid="{00000000-0005-0000-0000-0000645F0000}"/>
    <cellStyle name="Normal 5 2 2 2 2 5 5 3" xfId="25787" xr:uid="{00000000-0005-0000-0000-0000655F0000}"/>
    <cellStyle name="Normal 5 2 2 2 2 5 5 3 2" xfId="51340" xr:uid="{00000000-0005-0000-0000-0000665F0000}"/>
    <cellStyle name="Normal 5 2 2 2 2 5 5 4" xfId="32270" xr:uid="{00000000-0005-0000-0000-0000675F0000}"/>
    <cellStyle name="Normal 5 2 2 2 2 5 6" xfId="8155" xr:uid="{00000000-0005-0000-0000-0000685F0000}"/>
    <cellStyle name="Normal 5 2 2 2 2 5 6 2" xfId="20545" xr:uid="{00000000-0005-0000-0000-0000695F0000}"/>
    <cellStyle name="Normal 5 2 2 2 2 5 6 2 2" xfId="46098" xr:uid="{00000000-0005-0000-0000-00006A5F0000}"/>
    <cellStyle name="Normal 5 2 2 2 2 5 6 3" xfId="33712" xr:uid="{00000000-0005-0000-0000-00006B5F0000}"/>
    <cellStyle name="Normal 5 2 2 2 2 5 7" xfId="16234" xr:uid="{00000000-0005-0000-0000-00006C5F0000}"/>
    <cellStyle name="Normal 5 2 2 2 2 5 7 2" xfId="41787" xr:uid="{00000000-0005-0000-0000-00006D5F0000}"/>
    <cellStyle name="Normal 5 2 2 2 2 5 8" xfId="27028" xr:uid="{00000000-0005-0000-0000-00006E5F0000}"/>
    <cellStyle name="Normal 5 2 2 2 2 6" xfId="2763" xr:uid="{00000000-0005-0000-0000-00006F5F0000}"/>
    <cellStyle name="Normal 5 2 2 2 2 6 2" xfId="12080" xr:uid="{00000000-0005-0000-0000-0000705F0000}"/>
    <cellStyle name="Normal 5 2 2 2 2 6 2 2" xfId="22124" xr:uid="{00000000-0005-0000-0000-0000715F0000}"/>
    <cellStyle name="Normal 5 2 2 2 2 6 2 2 2" xfId="47677" xr:uid="{00000000-0005-0000-0000-0000725F0000}"/>
    <cellStyle name="Normal 5 2 2 2 2 6 2 3" xfId="37635" xr:uid="{00000000-0005-0000-0000-0000735F0000}"/>
    <cellStyle name="Normal 5 2 2 2 2 6 3" xfId="8441" xr:uid="{00000000-0005-0000-0000-0000745F0000}"/>
    <cellStyle name="Normal 5 2 2 2 2 6 3 2" xfId="33998" xr:uid="{00000000-0005-0000-0000-0000755F0000}"/>
    <cellStyle name="Normal 5 2 2 2 2 6 4" xfId="17117" xr:uid="{00000000-0005-0000-0000-0000765F0000}"/>
    <cellStyle name="Normal 5 2 2 2 2 6 4 2" xfId="42670" xr:uid="{00000000-0005-0000-0000-0000775F0000}"/>
    <cellStyle name="Normal 5 2 2 2 2 6 5" xfId="28607" xr:uid="{00000000-0005-0000-0000-0000785F0000}"/>
    <cellStyle name="Normal 5 2 2 2 2 7" xfId="4210" xr:uid="{00000000-0005-0000-0000-0000795F0000}"/>
    <cellStyle name="Normal 5 2 2 2 2 7 2" xfId="13048" xr:uid="{00000000-0005-0000-0000-00007A5F0000}"/>
    <cellStyle name="Normal 5 2 2 2 2 7 2 2" xfId="23299" xr:uid="{00000000-0005-0000-0000-00007B5F0000}"/>
    <cellStyle name="Normal 5 2 2 2 2 7 2 2 2" xfId="48852" xr:uid="{00000000-0005-0000-0000-00007C5F0000}"/>
    <cellStyle name="Normal 5 2 2 2 2 7 2 3" xfId="38603" xr:uid="{00000000-0005-0000-0000-00007D5F0000}"/>
    <cellStyle name="Normal 5 2 2 2 2 7 3" xfId="9469" xr:uid="{00000000-0005-0000-0000-00007E5F0000}"/>
    <cellStyle name="Normal 5 2 2 2 2 7 3 2" xfId="35026" xr:uid="{00000000-0005-0000-0000-00007F5F0000}"/>
    <cellStyle name="Normal 5 2 2 2 2 7 4" xfId="18292" xr:uid="{00000000-0005-0000-0000-0000805F0000}"/>
    <cellStyle name="Normal 5 2 2 2 2 7 4 2" xfId="43845" xr:uid="{00000000-0005-0000-0000-0000815F0000}"/>
    <cellStyle name="Normal 5 2 2 2 2 7 5" xfId="29782" xr:uid="{00000000-0005-0000-0000-0000825F0000}"/>
    <cellStyle name="Normal 5 2 2 2 2 8" xfId="1482" xr:uid="{00000000-0005-0000-0000-0000835F0000}"/>
    <cellStyle name="Normal 5 2 2 2 2 8 2" xfId="10859" xr:uid="{00000000-0005-0000-0000-0000845F0000}"/>
    <cellStyle name="Normal 5 2 2 2 2 8 2 2" xfId="36414" xr:uid="{00000000-0005-0000-0000-0000855F0000}"/>
    <cellStyle name="Normal 5 2 2 2 2 8 3" xfId="20863" xr:uid="{00000000-0005-0000-0000-0000865F0000}"/>
    <cellStyle name="Normal 5 2 2 2 2 8 3 2" xfId="46416" xr:uid="{00000000-0005-0000-0000-0000875F0000}"/>
    <cellStyle name="Normal 5 2 2 2 2 8 4" xfId="27346" xr:uid="{00000000-0005-0000-0000-0000885F0000}"/>
    <cellStyle name="Normal 5 2 2 2 2 9" xfId="5666" xr:uid="{00000000-0005-0000-0000-0000895F0000}"/>
    <cellStyle name="Normal 5 2 2 2 2 9 2" xfId="14493" xr:uid="{00000000-0005-0000-0000-00008A5F0000}"/>
    <cellStyle name="Normal 5 2 2 2 2 9 2 2" xfId="40048" xr:uid="{00000000-0005-0000-0000-00008B5F0000}"/>
    <cellStyle name="Normal 5 2 2 2 2 9 3" xfId="24744" xr:uid="{00000000-0005-0000-0000-00008C5F0000}"/>
    <cellStyle name="Normal 5 2 2 2 2 9 3 2" xfId="50297" xr:uid="{00000000-0005-0000-0000-00008D5F0000}"/>
    <cellStyle name="Normal 5 2 2 2 2 9 4" xfId="31227" xr:uid="{00000000-0005-0000-0000-00008E5F0000}"/>
    <cellStyle name="Normal 5 2 2 2 2_Degree data" xfId="3822" xr:uid="{00000000-0005-0000-0000-00008F5F0000}"/>
    <cellStyle name="Normal 5 2 2 2 3" xfId="215" xr:uid="{00000000-0005-0000-0000-0000905F0000}"/>
    <cellStyle name="Normal 5 2 2 2 4" xfId="490" xr:uid="{00000000-0005-0000-0000-0000915F0000}"/>
    <cellStyle name="Normal 5 2 2 2 4 10" xfId="26419" xr:uid="{00000000-0005-0000-0000-0000925F0000}"/>
    <cellStyle name="Normal 5 2 2 2 4 2" xfId="786" xr:uid="{00000000-0005-0000-0000-0000935F0000}"/>
    <cellStyle name="Normal 5 2 2 2 4 2 2" xfId="3271" xr:uid="{00000000-0005-0000-0000-0000945F0000}"/>
    <cellStyle name="Normal 5 2 2 2 4 2 2 2" xfId="12413" xr:uid="{00000000-0005-0000-0000-0000955F0000}"/>
    <cellStyle name="Normal 5 2 2 2 4 2 2 2 2" xfId="22632" xr:uid="{00000000-0005-0000-0000-0000965F0000}"/>
    <cellStyle name="Normal 5 2 2 2 4 2 2 2 2 2" xfId="48185" xr:uid="{00000000-0005-0000-0000-0000975F0000}"/>
    <cellStyle name="Normal 5 2 2 2 4 2 2 2 3" xfId="37968" xr:uid="{00000000-0005-0000-0000-0000985F0000}"/>
    <cellStyle name="Normal 5 2 2 2 4 2 2 3" xfId="8835" xr:uid="{00000000-0005-0000-0000-0000995F0000}"/>
    <cellStyle name="Normal 5 2 2 2 4 2 2 3 2" xfId="34392" xr:uid="{00000000-0005-0000-0000-00009A5F0000}"/>
    <cellStyle name="Normal 5 2 2 2 4 2 2 4" xfId="17625" xr:uid="{00000000-0005-0000-0000-00009B5F0000}"/>
    <cellStyle name="Normal 5 2 2 2 4 2 2 4 2" xfId="43178" xr:uid="{00000000-0005-0000-0000-00009C5F0000}"/>
    <cellStyle name="Normal 5 2 2 2 4 2 2 5" xfId="29115" xr:uid="{00000000-0005-0000-0000-00009D5F0000}"/>
    <cellStyle name="Normal 5 2 2 2 4 2 3" xfId="4600" xr:uid="{00000000-0005-0000-0000-00009E5F0000}"/>
    <cellStyle name="Normal 5 2 2 2 4 2 3 2" xfId="13438" xr:uid="{00000000-0005-0000-0000-00009F5F0000}"/>
    <cellStyle name="Normal 5 2 2 2 4 2 3 2 2" xfId="23689" xr:uid="{00000000-0005-0000-0000-0000A05F0000}"/>
    <cellStyle name="Normal 5 2 2 2 4 2 3 2 2 2" xfId="49242" xr:uid="{00000000-0005-0000-0000-0000A15F0000}"/>
    <cellStyle name="Normal 5 2 2 2 4 2 3 2 3" xfId="38993" xr:uid="{00000000-0005-0000-0000-0000A25F0000}"/>
    <cellStyle name="Normal 5 2 2 2 4 2 3 3" xfId="9859" xr:uid="{00000000-0005-0000-0000-0000A35F0000}"/>
    <cellStyle name="Normal 5 2 2 2 4 2 3 3 2" xfId="35416" xr:uid="{00000000-0005-0000-0000-0000A45F0000}"/>
    <cellStyle name="Normal 5 2 2 2 4 2 3 4" xfId="18682" xr:uid="{00000000-0005-0000-0000-0000A55F0000}"/>
    <cellStyle name="Normal 5 2 2 2 4 2 3 4 2" xfId="44235" xr:uid="{00000000-0005-0000-0000-0000A65F0000}"/>
    <cellStyle name="Normal 5 2 2 2 4 2 3 5" xfId="30172" xr:uid="{00000000-0005-0000-0000-0000A75F0000}"/>
    <cellStyle name="Normal 5 2 2 2 4 2 4" xfId="2380" xr:uid="{00000000-0005-0000-0000-0000A85F0000}"/>
    <cellStyle name="Normal 5 2 2 2 4 2 4 2" xfId="11745" xr:uid="{00000000-0005-0000-0000-0000A95F0000}"/>
    <cellStyle name="Normal 5 2 2 2 4 2 4 2 2" xfId="37300" xr:uid="{00000000-0005-0000-0000-0000AA5F0000}"/>
    <cellStyle name="Normal 5 2 2 2 4 2 4 3" xfId="21749" xr:uid="{00000000-0005-0000-0000-0000AB5F0000}"/>
    <cellStyle name="Normal 5 2 2 2 4 2 4 3 2" xfId="47302" xr:uid="{00000000-0005-0000-0000-0000AC5F0000}"/>
    <cellStyle name="Normal 5 2 2 2 4 2 4 4" xfId="28232" xr:uid="{00000000-0005-0000-0000-0000AD5F0000}"/>
    <cellStyle name="Normal 5 2 2 2 4 2 5" xfId="6056" xr:uid="{00000000-0005-0000-0000-0000AE5F0000}"/>
    <cellStyle name="Normal 5 2 2 2 4 2 5 2" xfId="14883" xr:uid="{00000000-0005-0000-0000-0000AF5F0000}"/>
    <cellStyle name="Normal 5 2 2 2 4 2 5 2 2" xfId="40438" xr:uid="{00000000-0005-0000-0000-0000B05F0000}"/>
    <cellStyle name="Normal 5 2 2 2 4 2 5 3" xfId="25134" xr:uid="{00000000-0005-0000-0000-0000B15F0000}"/>
    <cellStyle name="Normal 5 2 2 2 4 2 5 3 2" xfId="50687" xr:uid="{00000000-0005-0000-0000-0000B25F0000}"/>
    <cellStyle name="Normal 5 2 2 2 4 2 5 4" xfId="31617" xr:uid="{00000000-0005-0000-0000-0000B35F0000}"/>
    <cellStyle name="Normal 5 2 2 2 4 2 6" xfId="7501" xr:uid="{00000000-0005-0000-0000-0000B45F0000}"/>
    <cellStyle name="Normal 5 2 2 2 4 2 6 2" xfId="20231" xr:uid="{00000000-0005-0000-0000-0000B55F0000}"/>
    <cellStyle name="Normal 5 2 2 2 4 2 6 2 2" xfId="45784" xr:uid="{00000000-0005-0000-0000-0000B65F0000}"/>
    <cellStyle name="Normal 5 2 2 2 4 2 6 3" xfId="33058" xr:uid="{00000000-0005-0000-0000-0000B75F0000}"/>
    <cellStyle name="Normal 5 2 2 2 4 2 7" xfId="16742" xr:uid="{00000000-0005-0000-0000-0000B85F0000}"/>
    <cellStyle name="Normal 5 2 2 2 4 2 7 2" xfId="42295" xr:uid="{00000000-0005-0000-0000-0000B95F0000}"/>
    <cellStyle name="Normal 5 2 2 2 4 2 8" xfId="26714" xr:uid="{00000000-0005-0000-0000-0000BA5F0000}"/>
    <cellStyle name="Normal 5 2 2 2 4 3" xfId="1262" xr:uid="{00000000-0005-0000-0000-0000BB5F0000}"/>
    <cellStyle name="Normal 5 2 2 2 4 3 2" xfId="3691" xr:uid="{00000000-0005-0000-0000-0000BC5F0000}"/>
    <cellStyle name="Normal 5 2 2 2 4 3 2 2" xfId="12827" xr:uid="{00000000-0005-0000-0000-0000BD5F0000}"/>
    <cellStyle name="Normal 5 2 2 2 4 3 2 2 2" xfId="23046" xr:uid="{00000000-0005-0000-0000-0000BE5F0000}"/>
    <cellStyle name="Normal 5 2 2 2 4 3 2 2 2 2" xfId="48599" xr:uid="{00000000-0005-0000-0000-0000BF5F0000}"/>
    <cellStyle name="Normal 5 2 2 2 4 3 2 2 3" xfId="38382" xr:uid="{00000000-0005-0000-0000-0000C05F0000}"/>
    <cellStyle name="Normal 5 2 2 2 4 3 2 3" xfId="9248" xr:uid="{00000000-0005-0000-0000-0000C15F0000}"/>
    <cellStyle name="Normal 5 2 2 2 4 3 2 3 2" xfId="34805" xr:uid="{00000000-0005-0000-0000-0000C25F0000}"/>
    <cellStyle name="Normal 5 2 2 2 4 3 2 4" xfId="18039" xr:uid="{00000000-0005-0000-0000-0000C35F0000}"/>
    <cellStyle name="Normal 5 2 2 2 4 3 2 4 2" xfId="43592" xr:uid="{00000000-0005-0000-0000-0000C45F0000}"/>
    <cellStyle name="Normal 5 2 2 2 4 3 2 5" xfId="29529" xr:uid="{00000000-0005-0000-0000-0000C55F0000}"/>
    <cellStyle name="Normal 5 2 2 2 4 3 3" xfId="4949" xr:uid="{00000000-0005-0000-0000-0000C65F0000}"/>
    <cellStyle name="Normal 5 2 2 2 4 3 3 2" xfId="13786" xr:uid="{00000000-0005-0000-0000-0000C75F0000}"/>
    <cellStyle name="Normal 5 2 2 2 4 3 3 2 2" xfId="24037" xr:uid="{00000000-0005-0000-0000-0000C85F0000}"/>
    <cellStyle name="Normal 5 2 2 2 4 3 3 2 2 2" xfId="49590" xr:uid="{00000000-0005-0000-0000-0000C95F0000}"/>
    <cellStyle name="Normal 5 2 2 2 4 3 3 2 3" xfId="39341" xr:uid="{00000000-0005-0000-0000-0000CA5F0000}"/>
    <cellStyle name="Normal 5 2 2 2 4 3 3 3" xfId="10207" xr:uid="{00000000-0005-0000-0000-0000CB5F0000}"/>
    <cellStyle name="Normal 5 2 2 2 4 3 3 3 2" xfId="35764" xr:uid="{00000000-0005-0000-0000-0000CC5F0000}"/>
    <cellStyle name="Normal 5 2 2 2 4 3 3 4" xfId="19030" xr:uid="{00000000-0005-0000-0000-0000CD5F0000}"/>
    <cellStyle name="Normal 5 2 2 2 4 3 3 4 2" xfId="44583" xr:uid="{00000000-0005-0000-0000-0000CE5F0000}"/>
    <cellStyle name="Normal 5 2 2 2 4 3 3 5" xfId="30520" xr:uid="{00000000-0005-0000-0000-0000CF5F0000}"/>
    <cellStyle name="Normal 5 2 2 2 4 3 4" xfId="2085" xr:uid="{00000000-0005-0000-0000-0000D05F0000}"/>
    <cellStyle name="Normal 5 2 2 2 4 3 4 2" xfId="11450" xr:uid="{00000000-0005-0000-0000-0000D15F0000}"/>
    <cellStyle name="Normal 5 2 2 2 4 3 4 2 2" xfId="37005" xr:uid="{00000000-0005-0000-0000-0000D25F0000}"/>
    <cellStyle name="Normal 5 2 2 2 4 3 4 3" xfId="21454" xr:uid="{00000000-0005-0000-0000-0000D35F0000}"/>
    <cellStyle name="Normal 5 2 2 2 4 3 4 3 2" xfId="47007" xr:uid="{00000000-0005-0000-0000-0000D45F0000}"/>
    <cellStyle name="Normal 5 2 2 2 4 3 4 4" xfId="27937" xr:uid="{00000000-0005-0000-0000-0000D55F0000}"/>
    <cellStyle name="Normal 5 2 2 2 4 3 5" xfId="6404" xr:uid="{00000000-0005-0000-0000-0000D65F0000}"/>
    <cellStyle name="Normal 5 2 2 2 4 3 5 2" xfId="15231" xr:uid="{00000000-0005-0000-0000-0000D75F0000}"/>
    <cellStyle name="Normal 5 2 2 2 4 3 5 2 2" xfId="40786" xr:uid="{00000000-0005-0000-0000-0000D85F0000}"/>
    <cellStyle name="Normal 5 2 2 2 4 3 5 3" xfId="25482" xr:uid="{00000000-0005-0000-0000-0000D95F0000}"/>
    <cellStyle name="Normal 5 2 2 2 4 3 5 3 2" xfId="51035" xr:uid="{00000000-0005-0000-0000-0000DA5F0000}"/>
    <cellStyle name="Normal 5 2 2 2 4 3 5 4" xfId="31965" xr:uid="{00000000-0005-0000-0000-0000DB5F0000}"/>
    <cellStyle name="Normal 5 2 2 2 4 3 6" xfId="7850" xr:uid="{00000000-0005-0000-0000-0000DC5F0000}"/>
    <cellStyle name="Normal 5 2 2 2 4 3 6 2" xfId="20645" xr:uid="{00000000-0005-0000-0000-0000DD5F0000}"/>
    <cellStyle name="Normal 5 2 2 2 4 3 6 2 2" xfId="46198" xr:uid="{00000000-0005-0000-0000-0000DE5F0000}"/>
    <cellStyle name="Normal 5 2 2 2 4 3 6 3" xfId="33407" xr:uid="{00000000-0005-0000-0000-0000DF5F0000}"/>
    <cellStyle name="Normal 5 2 2 2 4 3 7" xfId="16447" xr:uid="{00000000-0005-0000-0000-0000E05F0000}"/>
    <cellStyle name="Normal 5 2 2 2 4 3 7 2" xfId="42000" xr:uid="{00000000-0005-0000-0000-0000E15F0000}"/>
    <cellStyle name="Normal 5 2 2 2 4 3 8" xfId="27128" xr:uid="{00000000-0005-0000-0000-0000E25F0000}"/>
    <cellStyle name="Normal 5 2 2 2 4 4" xfId="2976" xr:uid="{00000000-0005-0000-0000-0000E35F0000}"/>
    <cellStyle name="Normal 5 2 2 2 4 4 2" xfId="5354" xr:uid="{00000000-0005-0000-0000-0000E45F0000}"/>
    <cellStyle name="Normal 5 2 2 2 4 4 2 2" xfId="14191" xr:uid="{00000000-0005-0000-0000-0000E55F0000}"/>
    <cellStyle name="Normal 5 2 2 2 4 4 2 2 2" xfId="24442" xr:uid="{00000000-0005-0000-0000-0000E65F0000}"/>
    <cellStyle name="Normal 5 2 2 2 4 4 2 2 2 2" xfId="49995" xr:uid="{00000000-0005-0000-0000-0000E75F0000}"/>
    <cellStyle name="Normal 5 2 2 2 4 4 2 2 3" xfId="39746" xr:uid="{00000000-0005-0000-0000-0000E85F0000}"/>
    <cellStyle name="Normal 5 2 2 2 4 4 2 3" xfId="10612" xr:uid="{00000000-0005-0000-0000-0000E95F0000}"/>
    <cellStyle name="Normal 5 2 2 2 4 4 2 3 2" xfId="36169" xr:uid="{00000000-0005-0000-0000-0000EA5F0000}"/>
    <cellStyle name="Normal 5 2 2 2 4 4 2 4" xfId="19435" xr:uid="{00000000-0005-0000-0000-0000EB5F0000}"/>
    <cellStyle name="Normal 5 2 2 2 4 4 2 4 2" xfId="44988" xr:uid="{00000000-0005-0000-0000-0000EC5F0000}"/>
    <cellStyle name="Normal 5 2 2 2 4 4 2 5" xfId="30925" xr:uid="{00000000-0005-0000-0000-0000ED5F0000}"/>
    <cellStyle name="Normal 5 2 2 2 4 4 3" xfId="6809" xr:uid="{00000000-0005-0000-0000-0000EE5F0000}"/>
    <cellStyle name="Normal 5 2 2 2 4 4 3 2" xfId="15636" xr:uid="{00000000-0005-0000-0000-0000EF5F0000}"/>
    <cellStyle name="Normal 5 2 2 2 4 4 3 2 2" xfId="41191" xr:uid="{00000000-0005-0000-0000-0000F05F0000}"/>
    <cellStyle name="Normal 5 2 2 2 4 4 3 3" xfId="25887" xr:uid="{00000000-0005-0000-0000-0000F15F0000}"/>
    <cellStyle name="Normal 5 2 2 2 4 4 3 3 2" xfId="51440" xr:uid="{00000000-0005-0000-0000-0000F25F0000}"/>
    <cellStyle name="Normal 5 2 2 2 4 4 3 4" xfId="32370" xr:uid="{00000000-0005-0000-0000-0000F35F0000}"/>
    <cellStyle name="Normal 5 2 2 2 4 4 4" xfId="8255" xr:uid="{00000000-0005-0000-0000-0000F45F0000}"/>
    <cellStyle name="Normal 5 2 2 2 4 4 4 2" xfId="22337" xr:uid="{00000000-0005-0000-0000-0000F55F0000}"/>
    <cellStyle name="Normal 5 2 2 2 4 4 4 2 2" xfId="47890" xr:uid="{00000000-0005-0000-0000-0000F65F0000}"/>
    <cellStyle name="Normal 5 2 2 2 4 4 4 3" xfId="33812" xr:uid="{00000000-0005-0000-0000-0000F75F0000}"/>
    <cellStyle name="Normal 5 2 2 2 4 4 5" xfId="17330" xr:uid="{00000000-0005-0000-0000-0000F85F0000}"/>
    <cellStyle name="Normal 5 2 2 2 4 4 5 2" xfId="42883" xr:uid="{00000000-0005-0000-0000-0000F95F0000}"/>
    <cellStyle name="Normal 5 2 2 2 4 4 6" xfId="28820" xr:uid="{00000000-0005-0000-0000-0000FA5F0000}"/>
    <cellStyle name="Normal 5 2 2 2 4 5" xfId="4310" xr:uid="{00000000-0005-0000-0000-0000FB5F0000}"/>
    <cellStyle name="Normal 5 2 2 2 4 5 2" xfId="13148" xr:uid="{00000000-0005-0000-0000-0000FC5F0000}"/>
    <cellStyle name="Normal 5 2 2 2 4 5 2 2" xfId="23399" xr:uid="{00000000-0005-0000-0000-0000FD5F0000}"/>
    <cellStyle name="Normal 5 2 2 2 4 5 2 2 2" xfId="48952" xr:uid="{00000000-0005-0000-0000-0000FE5F0000}"/>
    <cellStyle name="Normal 5 2 2 2 4 5 2 3" xfId="38703" xr:uid="{00000000-0005-0000-0000-0000FF5F0000}"/>
    <cellStyle name="Normal 5 2 2 2 4 5 3" xfId="9569" xr:uid="{00000000-0005-0000-0000-000000600000}"/>
    <cellStyle name="Normal 5 2 2 2 4 5 3 2" xfId="35126" xr:uid="{00000000-0005-0000-0000-000001600000}"/>
    <cellStyle name="Normal 5 2 2 2 4 5 4" xfId="18392" xr:uid="{00000000-0005-0000-0000-000002600000}"/>
    <cellStyle name="Normal 5 2 2 2 4 5 4 2" xfId="43945" xr:uid="{00000000-0005-0000-0000-000003600000}"/>
    <cellStyle name="Normal 5 2 2 2 4 5 5" xfId="29882" xr:uid="{00000000-0005-0000-0000-000004600000}"/>
    <cellStyle name="Normal 5 2 2 2 4 6" xfId="1582" xr:uid="{00000000-0005-0000-0000-000005600000}"/>
    <cellStyle name="Normal 5 2 2 2 4 6 2" xfId="10959" xr:uid="{00000000-0005-0000-0000-000006600000}"/>
    <cellStyle name="Normal 5 2 2 2 4 6 2 2" xfId="36514" xr:uid="{00000000-0005-0000-0000-000007600000}"/>
    <cellStyle name="Normal 5 2 2 2 4 6 3" xfId="20963" xr:uid="{00000000-0005-0000-0000-000008600000}"/>
    <cellStyle name="Normal 5 2 2 2 4 6 3 2" xfId="46516" xr:uid="{00000000-0005-0000-0000-000009600000}"/>
    <cellStyle name="Normal 5 2 2 2 4 6 4" xfId="27446" xr:uid="{00000000-0005-0000-0000-00000A600000}"/>
    <cellStyle name="Normal 5 2 2 2 4 7" xfId="5766" xr:uid="{00000000-0005-0000-0000-00000B600000}"/>
    <cellStyle name="Normal 5 2 2 2 4 7 2" xfId="14593" xr:uid="{00000000-0005-0000-0000-00000C600000}"/>
    <cellStyle name="Normal 5 2 2 2 4 7 2 2" xfId="40148" xr:uid="{00000000-0005-0000-0000-00000D600000}"/>
    <cellStyle name="Normal 5 2 2 2 4 7 3" xfId="24844" xr:uid="{00000000-0005-0000-0000-00000E600000}"/>
    <cellStyle name="Normal 5 2 2 2 4 7 3 2" xfId="50397" xr:uid="{00000000-0005-0000-0000-00000F600000}"/>
    <cellStyle name="Normal 5 2 2 2 4 7 4" xfId="31327" xr:uid="{00000000-0005-0000-0000-000010600000}"/>
    <cellStyle name="Normal 5 2 2 2 4 8" xfId="7210" xr:uid="{00000000-0005-0000-0000-000011600000}"/>
    <cellStyle name="Normal 5 2 2 2 4 8 2" xfId="19936" xr:uid="{00000000-0005-0000-0000-000012600000}"/>
    <cellStyle name="Normal 5 2 2 2 4 8 2 2" xfId="45489" xr:uid="{00000000-0005-0000-0000-000013600000}"/>
    <cellStyle name="Normal 5 2 2 2 4 8 3" xfId="32767" xr:uid="{00000000-0005-0000-0000-000014600000}"/>
    <cellStyle name="Normal 5 2 2 2 4 9" xfId="15956" xr:uid="{00000000-0005-0000-0000-000015600000}"/>
    <cellStyle name="Normal 5 2 2 2 4 9 2" xfId="41509" xr:uid="{00000000-0005-0000-0000-000016600000}"/>
    <cellStyle name="Normal 5 2 2 2 4_Degree data" xfId="3850" xr:uid="{00000000-0005-0000-0000-000017600000}"/>
    <cellStyle name="Normal 5 2 2 2 5" xfId="1762" xr:uid="{00000000-0005-0000-0000-000018600000}"/>
    <cellStyle name="Normal 5 2 2 2 5 2" xfId="11133" xr:uid="{00000000-0005-0000-0000-000019600000}"/>
    <cellStyle name="Normal 5 2 2 2 5 2 2" xfId="21137" xr:uid="{00000000-0005-0000-0000-00001A600000}"/>
    <cellStyle name="Normal 5 2 2 2 5 2 2 2" xfId="46690" xr:uid="{00000000-0005-0000-0000-00001B600000}"/>
    <cellStyle name="Normal 5 2 2 2 5 2 3" xfId="36688" xr:uid="{00000000-0005-0000-0000-00001C600000}"/>
    <cellStyle name="Normal 5 2 2 2 5 3" xfId="8595" xr:uid="{00000000-0005-0000-0000-00001D600000}"/>
    <cellStyle name="Normal 5 2 2 2 5 3 2" xfId="34152" xr:uid="{00000000-0005-0000-0000-00001E600000}"/>
    <cellStyle name="Normal 5 2 2 2 5 4" xfId="16130" xr:uid="{00000000-0005-0000-0000-00001F600000}"/>
    <cellStyle name="Normal 5 2 2 2 5 4 2" xfId="41683" xr:uid="{00000000-0005-0000-0000-000020600000}"/>
    <cellStyle name="Normal 5 2 2 2 5 5" xfId="27620" xr:uid="{00000000-0005-0000-0000-000021600000}"/>
    <cellStyle name="Normal 5 2 2 2 6" xfId="2659" xr:uid="{00000000-0005-0000-0000-000022600000}"/>
    <cellStyle name="Normal 5 2 2 2 6 2" xfId="11977" xr:uid="{00000000-0005-0000-0000-000023600000}"/>
    <cellStyle name="Normal 5 2 2 2 6 2 2" xfId="22020" xr:uid="{00000000-0005-0000-0000-000024600000}"/>
    <cellStyle name="Normal 5 2 2 2 6 2 2 2" xfId="47573" xr:uid="{00000000-0005-0000-0000-000025600000}"/>
    <cellStyle name="Normal 5 2 2 2 6 2 3" xfId="37532" xr:uid="{00000000-0005-0000-0000-000026600000}"/>
    <cellStyle name="Normal 5 2 2 2 6 3" xfId="8500" xr:uid="{00000000-0005-0000-0000-000027600000}"/>
    <cellStyle name="Normal 5 2 2 2 6 3 2" xfId="34057" xr:uid="{00000000-0005-0000-0000-000028600000}"/>
    <cellStyle name="Normal 5 2 2 2 6 4" xfId="17013" xr:uid="{00000000-0005-0000-0000-000029600000}"/>
    <cellStyle name="Normal 5 2 2 2 6 4 2" xfId="42566" xr:uid="{00000000-0005-0000-0000-00002A600000}"/>
    <cellStyle name="Normal 5 2 2 2 6 5" xfId="28503" xr:uid="{00000000-0005-0000-0000-00002B600000}"/>
    <cellStyle name="Normal 5 2 2 2 7" xfId="1386" xr:uid="{00000000-0005-0000-0000-00002C600000}"/>
    <cellStyle name="Normal 5 2 2 2 8" xfId="5493" xr:uid="{00000000-0005-0000-0000-00002D600000}"/>
    <cellStyle name="Normal 5 2 2 2 9" xfId="5491" xr:uid="{00000000-0005-0000-0000-00002E600000}"/>
    <cellStyle name="Normal 5 2 2 3" xfId="207" xr:uid="{00000000-0005-0000-0000-00002F600000}"/>
    <cellStyle name="Normal 5 2 2 3 10" xfId="7153" xr:uid="{00000000-0005-0000-0000-000030600000}"/>
    <cellStyle name="Normal 5 2 2 3 10 2" xfId="19662" xr:uid="{00000000-0005-0000-0000-000031600000}"/>
    <cellStyle name="Normal 5 2 2 3 10 2 2" xfId="45215" xr:uid="{00000000-0005-0000-0000-000032600000}"/>
    <cellStyle name="Normal 5 2 2 3 10 3" xfId="32710" xr:uid="{00000000-0005-0000-0000-000033600000}"/>
    <cellStyle name="Normal 5 2 2 3 11" xfId="15899" xr:uid="{00000000-0005-0000-0000-000034600000}"/>
    <cellStyle name="Normal 5 2 2 3 11 2" xfId="41452" xr:uid="{00000000-0005-0000-0000-000035600000}"/>
    <cellStyle name="Normal 5 2 2 3 12" xfId="26145" xr:uid="{00000000-0005-0000-0000-000036600000}"/>
    <cellStyle name="Normal 5 2 2 3 2" xfId="533" xr:uid="{00000000-0005-0000-0000-000037600000}"/>
    <cellStyle name="Normal 5 2 2 3 2 10" xfId="26462" xr:uid="{00000000-0005-0000-0000-000038600000}"/>
    <cellStyle name="Normal 5 2 2 3 2 2" xfId="788" xr:uid="{00000000-0005-0000-0000-000039600000}"/>
    <cellStyle name="Normal 5 2 2 3 2 2 2" xfId="3273" xr:uid="{00000000-0005-0000-0000-00003A600000}"/>
    <cellStyle name="Normal 5 2 2 3 2 2 2 2" xfId="12415" xr:uid="{00000000-0005-0000-0000-00003B600000}"/>
    <cellStyle name="Normal 5 2 2 3 2 2 2 2 2" xfId="22634" xr:uid="{00000000-0005-0000-0000-00003C600000}"/>
    <cellStyle name="Normal 5 2 2 3 2 2 2 2 2 2" xfId="48187" xr:uid="{00000000-0005-0000-0000-00003D600000}"/>
    <cellStyle name="Normal 5 2 2 3 2 2 2 2 3" xfId="37970" xr:uid="{00000000-0005-0000-0000-00003E600000}"/>
    <cellStyle name="Normal 5 2 2 3 2 2 2 3" xfId="8837" xr:uid="{00000000-0005-0000-0000-00003F600000}"/>
    <cellStyle name="Normal 5 2 2 3 2 2 2 3 2" xfId="34394" xr:uid="{00000000-0005-0000-0000-000040600000}"/>
    <cellStyle name="Normal 5 2 2 3 2 2 2 4" xfId="17627" xr:uid="{00000000-0005-0000-0000-000041600000}"/>
    <cellStyle name="Normal 5 2 2 3 2 2 2 4 2" xfId="43180" xr:uid="{00000000-0005-0000-0000-000042600000}"/>
    <cellStyle name="Normal 5 2 2 3 2 2 2 5" xfId="29117" xr:uid="{00000000-0005-0000-0000-000043600000}"/>
    <cellStyle name="Normal 5 2 2 3 2 2 3" xfId="4602" xr:uid="{00000000-0005-0000-0000-000044600000}"/>
    <cellStyle name="Normal 5 2 2 3 2 2 3 2" xfId="13440" xr:uid="{00000000-0005-0000-0000-000045600000}"/>
    <cellStyle name="Normal 5 2 2 3 2 2 3 2 2" xfId="23691" xr:uid="{00000000-0005-0000-0000-000046600000}"/>
    <cellStyle name="Normal 5 2 2 3 2 2 3 2 2 2" xfId="49244" xr:uid="{00000000-0005-0000-0000-000047600000}"/>
    <cellStyle name="Normal 5 2 2 3 2 2 3 2 3" xfId="38995" xr:uid="{00000000-0005-0000-0000-000048600000}"/>
    <cellStyle name="Normal 5 2 2 3 2 2 3 3" xfId="9861" xr:uid="{00000000-0005-0000-0000-000049600000}"/>
    <cellStyle name="Normal 5 2 2 3 2 2 3 3 2" xfId="35418" xr:uid="{00000000-0005-0000-0000-00004A600000}"/>
    <cellStyle name="Normal 5 2 2 3 2 2 3 4" xfId="18684" xr:uid="{00000000-0005-0000-0000-00004B600000}"/>
    <cellStyle name="Normal 5 2 2 3 2 2 3 4 2" xfId="44237" xr:uid="{00000000-0005-0000-0000-00004C600000}"/>
    <cellStyle name="Normal 5 2 2 3 2 2 3 5" xfId="30174" xr:uid="{00000000-0005-0000-0000-00004D600000}"/>
    <cellStyle name="Normal 5 2 2 3 2 2 4" xfId="2382" xr:uid="{00000000-0005-0000-0000-00004E600000}"/>
    <cellStyle name="Normal 5 2 2 3 2 2 4 2" xfId="11747" xr:uid="{00000000-0005-0000-0000-00004F600000}"/>
    <cellStyle name="Normal 5 2 2 3 2 2 4 2 2" xfId="37302" xr:uid="{00000000-0005-0000-0000-000050600000}"/>
    <cellStyle name="Normal 5 2 2 3 2 2 4 3" xfId="21751" xr:uid="{00000000-0005-0000-0000-000051600000}"/>
    <cellStyle name="Normal 5 2 2 3 2 2 4 3 2" xfId="47304" xr:uid="{00000000-0005-0000-0000-000052600000}"/>
    <cellStyle name="Normal 5 2 2 3 2 2 4 4" xfId="28234" xr:uid="{00000000-0005-0000-0000-000053600000}"/>
    <cellStyle name="Normal 5 2 2 3 2 2 5" xfId="6058" xr:uid="{00000000-0005-0000-0000-000054600000}"/>
    <cellStyle name="Normal 5 2 2 3 2 2 5 2" xfId="14885" xr:uid="{00000000-0005-0000-0000-000055600000}"/>
    <cellStyle name="Normal 5 2 2 3 2 2 5 2 2" xfId="40440" xr:uid="{00000000-0005-0000-0000-000056600000}"/>
    <cellStyle name="Normal 5 2 2 3 2 2 5 3" xfId="25136" xr:uid="{00000000-0005-0000-0000-000057600000}"/>
    <cellStyle name="Normal 5 2 2 3 2 2 5 3 2" xfId="50689" xr:uid="{00000000-0005-0000-0000-000058600000}"/>
    <cellStyle name="Normal 5 2 2 3 2 2 5 4" xfId="31619" xr:uid="{00000000-0005-0000-0000-000059600000}"/>
    <cellStyle name="Normal 5 2 2 3 2 2 6" xfId="7503" xr:uid="{00000000-0005-0000-0000-00005A600000}"/>
    <cellStyle name="Normal 5 2 2 3 2 2 6 2" xfId="20233" xr:uid="{00000000-0005-0000-0000-00005B600000}"/>
    <cellStyle name="Normal 5 2 2 3 2 2 6 2 2" xfId="45786" xr:uid="{00000000-0005-0000-0000-00005C600000}"/>
    <cellStyle name="Normal 5 2 2 3 2 2 6 3" xfId="33060" xr:uid="{00000000-0005-0000-0000-00005D600000}"/>
    <cellStyle name="Normal 5 2 2 3 2 2 7" xfId="16744" xr:uid="{00000000-0005-0000-0000-00005E600000}"/>
    <cellStyle name="Normal 5 2 2 3 2 2 7 2" xfId="42297" xr:uid="{00000000-0005-0000-0000-00005F600000}"/>
    <cellStyle name="Normal 5 2 2 3 2 2 8" xfId="26716" xr:uid="{00000000-0005-0000-0000-000060600000}"/>
    <cellStyle name="Normal 5 2 2 3 2 3" xfId="1305" xr:uid="{00000000-0005-0000-0000-000061600000}"/>
    <cellStyle name="Normal 5 2 2 3 2 3 2" xfId="3734" xr:uid="{00000000-0005-0000-0000-000062600000}"/>
    <cellStyle name="Normal 5 2 2 3 2 3 2 2" xfId="12870" xr:uid="{00000000-0005-0000-0000-000063600000}"/>
    <cellStyle name="Normal 5 2 2 3 2 3 2 2 2" xfId="23089" xr:uid="{00000000-0005-0000-0000-000064600000}"/>
    <cellStyle name="Normal 5 2 2 3 2 3 2 2 2 2" xfId="48642" xr:uid="{00000000-0005-0000-0000-000065600000}"/>
    <cellStyle name="Normal 5 2 2 3 2 3 2 2 3" xfId="38425" xr:uid="{00000000-0005-0000-0000-000066600000}"/>
    <cellStyle name="Normal 5 2 2 3 2 3 2 3" xfId="9291" xr:uid="{00000000-0005-0000-0000-000067600000}"/>
    <cellStyle name="Normal 5 2 2 3 2 3 2 3 2" xfId="34848" xr:uid="{00000000-0005-0000-0000-000068600000}"/>
    <cellStyle name="Normal 5 2 2 3 2 3 2 4" xfId="18082" xr:uid="{00000000-0005-0000-0000-000069600000}"/>
    <cellStyle name="Normal 5 2 2 3 2 3 2 4 2" xfId="43635" xr:uid="{00000000-0005-0000-0000-00006A600000}"/>
    <cellStyle name="Normal 5 2 2 3 2 3 2 5" xfId="29572" xr:uid="{00000000-0005-0000-0000-00006B600000}"/>
    <cellStyle name="Normal 5 2 2 3 2 3 3" xfId="4951" xr:uid="{00000000-0005-0000-0000-00006C600000}"/>
    <cellStyle name="Normal 5 2 2 3 2 3 3 2" xfId="13788" xr:uid="{00000000-0005-0000-0000-00006D600000}"/>
    <cellStyle name="Normal 5 2 2 3 2 3 3 2 2" xfId="24039" xr:uid="{00000000-0005-0000-0000-00006E600000}"/>
    <cellStyle name="Normal 5 2 2 3 2 3 3 2 2 2" xfId="49592" xr:uid="{00000000-0005-0000-0000-00006F600000}"/>
    <cellStyle name="Normal 5 2 2 3 2 3 3 2 3" xfId="39343" xr:uid="{00000000-0005-0000-0000-000070600000}"/>
    <cellStyle name="Normal 5 2 2 3 2 3 3 3" xfId="10209" xr:uid="{00000000-0005-0000-0000-000071600000}"/>
    <cellStyle name="Normal 5 2 2 3 2 3 3 3 2" xfId="35766" xr:uid="{00000000-0005-0000-0000-000072600000}"/>
    <cellStyle name="Normal 5 2 2 3 2 3 3 4" xfId="19032" xr:uid="{00000000-0005-0000-0000-000073600000}"/>
    <cellStyle name="Normal 5 2 2 3 2 3 3 4 2" xfId="44585" xr:uid="{00000000-0005-0000-0000-000074600000}"/>
    <cellStyle name="Normal 5 2 2 3 2 3 3 5" xfId="30522" xr:uid="{00000000-0005-0000-0000-000075600000}"/>
    <cellStyle name="Normal 5 2 2 3 2 3 4" xfId="2128" xr:uid="{00000000-0005-0000-0000-000076600000}"/>
    <cellStyle name="Normal 5 2 2 3 2 3 4 2" xfId="11493" xr:uid="{00000000-0005-0000-0000-000077600000}"/>
    <cellStyle name="Normal 5 2 2 3 2 3 4 2 2" xfId="37048" xr:uid="{00000000-0005-0000-0000-000078600000}"/>
    <cellStyle name="Normal 5 2 2 3 2 3 4 3" xfId="21497" xr:uid="{00000000-0005-0000-0000-000079600000}"/>
    <cellStyle name="Normal 5 2 2 3 2 3 4 3 2" xfId="47050" xr:uid="{00000000-0005-0000-0000-00007A600000}"/>
    <cellStyle name="Normal 5 2 2 3 2 3 4 4" xfId="27980" xr:uid="{00000000-0005-0000-0000-00007B600000}"/>
    <cellStyle name="Normal 5 2 2 3 2 3 5" xfId="6406" xr:uid="{00000000-0005-0000-0000-00007C600000}"/>
    <cellStyle name="Normal 5 2 2 3 2 3 5 2" xfId="15233" xr:uid="{00000000-0005-0000-0000-00007D600000}"/>
    <cellStyle name="Normal 5 2 2 3 2 3 5 2 2" xfId="40788" xr:uid="{00000000-0005-0000-0000-00007E600000}"/>
    <cellStyle name="Normal 5 2 2 3 2 3 5 3" xfId="25484" xr:uid="{00000000-0005-0000-0000-00007F600000}"/>
    <cellStyle name="Normal 5 2 2 3 2 3 5 3 2" xfId="51037" xr:uid="{00000000-0005-0000-0000-000080600000}"/>
    <cellStyle name="Normal 5 2 2 3 2 3 5 4" xfId="31967" xr:uid="{00000000-0005-0000-0000-000081600000}"/>
    <cellStyle name="Normal 5 2 2 3 2 3 6" xfId="7852" xr:uid="{00000000-0005-0000-0000-000082600000}"/>
    <cellStyle name="Normal 5 2 2 3 2 3 6 2" xfId="20688" xr:uid="{00000000-0005-0000-0000-000083600000}"/>
    <cellStyle name="Normal 5 2 2 3 2 3 6 2 2" xfId="46241" xr:uid="{00000000-0005-0000-0000-000084600000}"/>
    <cellStyle name="Normal 5 2 2 3 2 3 6 3" xfId="33409" xr:uid="{00000000-0005-0000-0000-000085600000}"/>
    <cellStyle name="Normal 5 2 2 3 2 3 7" xfId="16490" xr:uid="{00000000-0005-0000-0000-000086600000}"/>
    <cellStyle name="Normal 5 2 2 3 2 3 7 2" xfId="42043" xr:uid="{00000000-0005-0000-0000-000087600000}"/>
    <cellStyle name="Normal 5 2 2 3 2 3 8" xfId="27171" xr:uid="{00000000-0005-0000-0000-000088600000}"/>
    <cellStyle name="Normal 5 2 2 3 2 4" xfId="3019" xr:uid="{00000000-0005-0000-0000-000089600000}"/>
    <cellStyle name="Normal 5 2 2 3 2 4 2" xfId="5397" xr:uid="{00000000-0005-0000-0000-00008A600000}"/>
    <cellStyle name="Normal 5 2 2 3 2 4 2 2" xfId="14234" xr:uid="{00000000-0005-0000-0000-00008B600000}"/>
    <cellStyle name="Normal 5 2 2 3 2 4 2 2 2" xfId="24485" xr:uid="{00000000-0005-0000-0000-00008C600000}"/>
    <cellStyle name="Normal 5 2 2 3 2 4 2 2 2 2" xfId="50038" xr:uid="{00000000-0005-0000-0000-00008D600000}"/>
    <cellStyle name="Normal 5 2 2 3 2 4 2 2 3" xfId="39789" xr:uid="{00000000-0005-0000-0000-00008E600000}"/>
    <cellStyle name="Normal 5 2 2 3 2 4 2 3" xfId="10655" xr:uid="{00000000-0005-0000-0000-00008F600000}"/>
    <cellStyle name="Normal 5 2 2 3 2 4 2 3 2" xfId="36212" xr:uid="{00000000-0005-0000-0000-000090600000}"/>
    <cellStyle name="Normal 5 2 2 3 2 4 2 4" xfId="19478" xr:uid="{00000000-0005-0000-0000-000091600000}"/>
    <cellStyle name="Normal 5 2 2 3 2 4 2 4 2" xfId="45031" xr:uid="{00000000-0005-0000-0000-000092600000}"/>
    <cellStyle name="Normal 5 2 2 3 2 4 2 5" xfId="30968" xr:uid="{00000000-0005-0000-0000-000093600000}"/>
    <cellStyle name="Normal 5 2 2 3 2 4 3" xfId="6852" xr:uid="{00000000-0005-0000-0000-000094600000}"/>
    <cellStyle name="Normal 5 2 2 3 2 4 3 2" xfId="15679" xr:uid="{00000000-0005-0000-0000-000095600000}"/>
    <cellStyle name="Normal 5 2 2 3 2 4 3 2 2" xfId="41234" xr:uid="{00000000-0005-0000-0000-000096600000}"/>
    <cellStyle name="Normal 5 2 2 3 2 4 3 3" xfId="25930" xr:uid="{00000000-0005-0000-0000-000097600000}"/>
    <cellStyle name="Normal 5 2 2 3 2 4 3 3 2" xfId="51483" xr:uid="{00000000-0005-0000-0000-000098600000}"/>
    <cellStyle name="Normal 5 2 2 3 2 4 3 4" xfId="32413" xr:uid="{00000000-0005-0000-0000-000099600000}"/>
    <cellStyle name="Normal 5 2 2 3 2 4 4" xfId="8298" xr:uid="{00000000-0005-0000-0000-00009A600000}"/>
    <cellStyle name="Normal 5 2 2 3 2 4 4 2" xfId="22380" xr:uid="{00000000-0005-0000-0000-00009B600000}"/>
    <cellStyle name="Normal 5 2 2 3 2 4 4 2 2" xfId="47933" xr:uid="{00000000-0005-0000-0000-00009C600000}"/>
    <cellStyle name="Normal 5 2 2 3 2 4 4 3" xfId="33855" xr:uid="{00000000-0005-0000-0000-00009D600000}"/>
    <cellStyle name="Normal 5 2 2 3 2 4 5" xfId="17373" xr:uid="{00000000-0005-0000-0000-00009E600000}"/>
    <cellStyle name="Normal 5 2 2 3 2 4 5 2" xfId="42926" xr:uid="{00000000-0005-0000-0000-00009F600000}"/>
    <cellStyle name="Normal 5 2 2 3 2 4 6" xfId="28863" xr:uid="{00000000-0005-0000-0000-0000A0600000}"/>
    <cellStyle name="Normal 5 2 2 3 2 5" xfId="4353" xr:uid="{00000000-0005-0000-0000-0000A1600000}"/>
    <cellStyle name="Normal 5 2 2 3 2 5 2" xfId="13191" xr:uid="{00000000-0005-0000-0000-0000A2600000}"/>
    <cellStyle name="Normal 5 2 2 3 2 5 2 2" xfId="23442" xr:uid="{00000000-0005-0000-0000-0000A3600000}"/>
    <cellStyle name="Normal 5 2 2 3 2 5 2 2 2" xfId="48995" xr:uid="{00000000-0005-0000-0000-0000A4600000}"/>
    <cellStyle name="Normal 5 2 2 3 2 5 2 3" xfId="38746" xr:uid="{00000000-0005-0000-0000-0000A5600000}"/>
    <cellStyle name="Normal 5 2 2 3 2 5 3" xfId="9612" xr:uid="{00000000-0005-0000-0000-0000A6600000}"/>
    <cellStyle name="Normal 5 2 2 3 2 5 3 2" xfId="35169" xr:uid="{00000000-0005-0000-0000-0000A7600000}"/>
    <cellStyle name="Normal 5 2 2 3 2 5 4" xfId="18435" xr:uid="{00000000-0005-0000-0000-0000A8600000}"/>
    <cellStyle name="Normal 5 2 2 3 2 5 4 2" xfId="43988" xr:uid="{00000000-0005-0000-0000-0000A9600000}"/>
    <cellStyle name="Normal 5 2 2 3 2 5 5" xfId="29925" xr:uid="{00000000-0005-0000-0000-0000AA600000}"/>
    <cellStyle name="Normal 5 2 2 3 2 6" xfId="1625" xr:uid="{00000000-0005-0000-0000-0000AB600000}"/>
    <cellStyle name="Normal 5 2 2 3 2 6 2" xfId="11002" xr:uid="{00000000-0005-0000-0000-0000AC600000}"/>
    <cellStyle name="Normal 5 2 2 3 2 6 2 2" xfId="36557" xr:uid="{00000000-0005-0000-0000-0000AD600000}"/>
    <cellStyle name="Normal 5 2 2 3 2 6 3" xfId="21006" xr:uid="{00000000-0005-0000-0000-0000AE600000}"/>
    <cellStyle name="Normal 5 2 2 3 2 6 3 2" xfId="46559" xr:uid="{00000000-0005-0000-0000-0000AF600000}"/>
    <cellStyle name="Normal 5 2 2 3 2 6 4" xfId="27489" xr:uid="{00000000-0005-0000-0000-0000B0600000}"/>
    <cellStyle name="Normal 5 2 2 3 2 7" xfId="5809" xr:uid="{00000000-0005-0000-0000-0000B1600000}"/>
    <cellStyle name="Normal 5 2 2 3 2 7 2" xfId="14636" xr:uid="{00000000-0005-0000-0000-0000B2600000}"/>
    <cellStyle name="Normal 5 2 2 3 2 7 2 2" xfId="40191" xr:uid="{00000000-0005-0000-0000-0000B3600000}"/>
    <cellStyle name="Normal 5 2 2 3 2 7 3" xfId="24887" xr:uid="{00000000-0005-0000-0000-0000B4600000}"/>
    <cellStyle name="Normal 5 2 2 3 2 7 3 2" xfId="50440" xr:uid="{00000000-0005-0000-0000-0000B5600000}"/>
    <cellStyle name="Normal 5 2 2 3 2 7 4" xfId="31370" xr:uid="{00000000-0005-0000-0000-0000B6600000}"/>
    <cellStyle name="Normal 5 2 2 3 2 8" xfId="7253" xr:uid="{00000000-0005-0000-0000-0000B7600000}"/>
    <cellStyle name="Normal 5 2 2 3 2 8 2" xfId="19979" xr:uid="{00000000-0005-0000-0000-0000B8600000}"/>
    <cellStyle name="Normal 5 2 2 3 2 8 2 2" xfId="45532" xr:uid="{00000000-0005-0000-0000-0000B9600000}"/>
    <cellStyle name="Normal 5 2 2 3 2 8 3" xfId="32810" xr:uid="{00000000-0005-0000-0000-0000BA600000}"/>
    <cellStyle name="Normal 5 2 2 3 2 9" xfId="15999" xr:uid="{00000000-0005-0000-0000-0000BB600000}"/>
    <cellStyle name="Normal 5 2 2 3 2 9 2" xfId="41552" xr:uid="{00000000-0005-0000-0000-0000BC600000}"/>
    <cellStyle name="Normal 5 2 2 3 2_Degree data" xfId="3927" xr:uid="{00000000-0005-0000-0000-0000BD600000}"/>
    <cellStyle name="Normal 5 2 2 3 3" xfId="433" xr:uid="{00000000-0005-0000-0000-0000BE600000}"/>
    <cellStyle name="Normal 5 2 2 3 3 2" xfId="2919" xr:uid="{00000000-0005-0000-0000-0000BF600000}"/>
    <cellStyle name="Normal 5 2 2 3 3 2 2" xfId="12207" xr:uid="{00000000-0005-0000-0000-0000C0600000}"/>
    <cellStyle name="Normal 5 2 2 3 3 2 2 2" xfId="22280" xr:uid="{00000000-0005-0000-0000-0000C1600000}"/>
    <cellStyle name="Normal 5 2 2 3 3 2 2 2 2" xfId="47833" xr:uid="{00000000-0005-0000-0000-0000C2600000}"/>
    <cellStyle name="Normal 5 2 2 3 3 2 2 3" xfId="37762" xr:uid="{00000000-0005-0000-0000-0000C3600000}"/>
    <cellStyle name="Normal 5 2 2 3 3 2 3" xfId="8614" xr:uid="{00000000-0005-0000-0000-0000C4600000}"/>
    <cellStyle name="Normal 5 2 2 3 3 2 3 2" xfId="34171" xr:uid="{00000000-0005-0000-0000-0000C5600000}"/>
    <cellStyle name="Normal 5 2 2 3 3 2 4" xfId="17273" xr:uid="{00000000-0005-0000-0000-0000C6600000}"/>
    <cellStyle name="Normal 5 2 2 3 3 2 4 2" xfId="42826" xr:uid="{00000000-0005-0000-0000-0000C7600000}"/>
    <cellStyle name="Normal 5 2 2 3 3 2 5" xfId="28763" xr:uid="{00000000-0005-0000-0000-0000C8600000}"/>
    <cellStyle name="Normal 5 2 2 3 3 3" xfId="4601" xr:uid="{00000000-0005-0000-0000-0000C9600000}"/>
    <cellStyle name="Normal 5 2 2 3 3 3 2" xfId="13439" xr:uid="{00000000-0005-0000-0000-0000CA600000}"/>
    <cellStyle name="Normal 5 2 2 3 3 3 2 2" xfId="23690" xr:uid="{00000000-0005-0000-0000-0000CB600000}"/>
    <cellStyle name="Normal 5 2 2 3 3 3 2 2 2" xfId="49243" xr:uid="{00000000-0005-0000-0000-0000CC600000}"/>
    <cellStyle name="Normal 5 2 2 3 3 3 2 3" xfId="38994" xr:uid="{00000000-0005-0000-0000-0000CD600000}"/>
    <cellStyle name="Normal 5 2 2 3 3 3 3" xfId="9860" xr:uid="{00000000-0005-0000-0000-0000CE600000}"/>
    <cellStyle name="Normal 5 2 2 3 3 3 3 2" xfId="35417" xr:uid="{00000000-0005-0000-0000-0000CF600000}"/>
    <cellStyle name="Normal 5 2 2 3 3 3 4" xfId="18683" xr:uid="{00000000-0005-0000-0000-0000D0600000}"/>
    <cellStyle name="Normal 5 2 2 3 3 3 4 2" xfId="44236" xr:uid="{00000000-0005-0000-0000-0000D1600000}"/>
    <cellStyle name="Normal 5 2 2 3 3 3 5" xfId="30173" xr:uid="{00000000-0005-0000-0000-0000D2600000}"/>
    <cellStyle name="Normal 5 2 2 3 3 4" xfId="2028" xr:uid="{00000000-0005-0000-0000-0000D3600000}"/>
    <cellStyle name="Normal 5 2 2 3 3 4 2" xfId="11393" xr:uid="{00000000-0005-0000-0000-0000D4600000}"/>
    <cellStyle name="Normal 5 2 2 3 3 4 2 2" xfId="36948" xr:uid="{00000000-0005-0000-0000-0000D5600000}"/>
    <cellStyle name="Normal 5 2 2 3 3 4 3" xfId="21397" xr:uid="{00000000-0005-0000-0000-0000D6600000}"/>
    <cellStyle name="Normal 5 2 2 3 3 4 3 2" xfId="46950" xr:uid="{00000000-0005-0000-0000-0000D7600000}"/>
    <cellStyle name="Normal 5 2 2 3 3 4 4" xfId="27880" xr:uid="{00000000-0005-0000-0000-0000D8600000}"/>
    <cellStyle name="Normal 5 2 2 3 3 5" xfId="6057" xr:uid="{00000000-0005-0000-0000-0000D9600000}"/>
    <cellStyle name="Normal 5 2 2 3 3 5 2" xfId="14884" xr:uid="{00000000-0005-0000-0000-0000DA600000}"/>
    <cellStyle name="Normal 5 2 2 3 3 5 2 2" xfId="40439" xr:uid="{00000000-0005-0000-0000-0000DB600000}"/>
    <cellStyle name="Normal 5 2 2 3 3 5 3" xfId="25135" xr:uid="{00000000-0005-0000-0000-0000DC600000}"/>
    <cellStyle name="Normal 5 2 2 3 3 5 3 2" xfId="50688" xr:uid="{00000000-0005-0000-0000-0000DD600000}"/>
    <cellStyle name="Normal 5 2 2 3 3 5 4" xfId="31618" xr:uid="{00000000-0005-0000-0000-0000DE600000}"/>
    <cellStyle name="Normal 5 2 2 3 3 6" xfId="7502" xr:uid="{00000000-0005-0000-0000-0000DF600000}"/>
    <cellStyle name="Normal 5 2 2 3 3 6 2" xfId="19879" xr:uid="{00000000-0005-0000-0000-0000E0600000}"/>
    <cellStyle name="Normal 5 2 2 3 3 6 2 2" xfId="45432" xr:uid="{00000000-0005-0000-0000-0000E1600000}"/>
    <cellStyle name="Normal 5 2 2 3 3 6 3" xfId="33059" xr:uid="{00000000-0005-0000-0000-0000E2600000}"/>
    <cellStyle name="Normal 5 2 2 3 3 7" xfId="16390" xr:uid="{00000000-0005-0000-0000-0000E3600000}"/>
    <cellStyle name="Normal 5 2 2 3 3 7 2" xfId="41943" xr:uid="{00000000-0005-0000-0000-0000E4600000}"/>
    <cellStyle name="Normal 5 2 2 3 3 8" xfId="26362" xr:uid="{00000000-0005-0000-0000-0000E5600000}"/>
    <cellStyle name="Normal 5 2 2 3 4" xfId="787" xr:uid="{00000000-0005-0000-0000-0000E6600000}"/>
    <cellStyle name="Normal 5 2 2 3 4 2" xfId="3272" xr:uid="{00000000-0005-0000-0000-0000E7600000}"/>
    <cellStyle name="Normal 5 2 2 3 4 2 2" xfId="12414" xr:uid="{00000000-0005-0000-0000-0000E8600000}"/>
    <cellStyle name="Normal 5 2 2 3 4 2 2 2" xfId="22633" xr:uid="{00000000-0005-0000-0000-0000E9600000}"/>
    <cellStyle name="Normal 5 2 2 3 4 2 2 2 2" xfId="48186" xr:uid="{00000000-0005-0000-0000-0000EA600000}"/>
    <cellStyle name="Normal 5 2 2 3 4 2 2 3" xfId="37969" xr:uid="{00000000-0005-0000-0000-0000EB600000}"/>
    <cellStyle name="Normal 5 2 2 3 4 2 3" xfId="8836" xr:uid="{00000000-0005-0000-0000-0000EC600000}"/>
    <cellStyle name="Normal 5 2 2 3 4 2 3 2" xfId="34393" xr:uid="{00000000-0005-0000-0000-0000ED600000}"/>
    <cellStyle name="Normal 5 2 2 3 4 2 4" xfId="17626" xr:uid="{00000000-0005-0000-0000-0000EE600000}"/>
    <cellStyle name="Normal 5 2 2 3 4 2 4 2" xfId="43179" xr:uid="{00000000-0005-0000-0000-0000EF600000}"/>
    <cellStyle name="Normal 5 2 2 3 4 2 5" xfId="29116" xr:uid="{00000000-0005-0000-0000-0000F0600000}"/>
    <cellStyle name="Normal 5 2 2 3 4 3" xfId="4950" xr:uid="{00000000-0005-0000-0000-0000F1600000}"/>
    <cellStyle name="Normal 5 2 2 3 4 3 2" xfId="13787" xr:uid="{00000000-0005-0000-0000-0000F2600000}"/>
    <cellStyle name="Normal 5 2 2 3 4 3 2 2" xfId="24038" xr:uid="{00000000-0005-0000-0000-0000F3600000}"/>
    <cellStyle name="Normal 5 2 2 3 4 3 2 2 2" xfId="49591" xr:uid="{00000000-0005-0000-0000-0000F4600000}"/>
    <cellStyle name="Normal 5 2 2 3 4 3 2 3" xfId="39342" xr:uid="{00000000-0005-0000-0000-0000F5600000}"/>
    <cellStyle name="Normal 5 2 2 3 4 3 3" xfId="10208" xr:uid="{00000000-0005-0000-0000-0000F6600000}"/>
    <cellStyle name="Normal 5 2 2 3 4 3 3 2" xfId="35765" xr:uid="{00000000-0005-0000-0000-0000F7600000}"/>
    <cellStyle name="Normal 5 2 2 3 4 3 4" xfId="19031" xr:uid="{00000000-0005-0000-0000-0000F8600000}"/>
    <cellStyle name="Normal 5 2 2 3 4 3 4 2" xfId="44584" xr:uid="{00000000-0005-0000-0000-0000F9600000}"/>
    <cellStyle name="Normal 5 2 2 3 4 3 5" xfId="30521" xr:uid="{00000000-0005-0000-0000-0000FA600000}"/>
    <cellStyle name="Normal 5 2 2 3 4 4" xfId="2381" xr:uid="{00000000-0005-0000-0000-0000FB600000}"/>
    <cellStyle name="Normal 5 2 2 3 4 4 2" xfId="11746" xr:uid="{00000000-0005-0000-0000-0000FC600000}"/>
    <cellStyle name="Normal 5 2 2 3 4 4 2 2" xfId="37301" xr:uid="{00000000-0005-0000-0000-0000FD600000}"/>
    <cellStyle name="Normal 5 2 2 3 4 4 3" xfId="21750" xr:uid="{00000000-0005-0000-0000-0000FE600000}"/>
    <cellStyle name="Normal 5 2 2 3 4 4 3 2" xfId="47303" xr:uid="{00000000-0005-0000-0000-0000FF600000}"/>
    <cellStyle name="Normal 5 2 2 3 4 4 4" xfId="28233" xr:uid="{00000000-0005-0000-0000-000000610000}"/>
    <cellStyle name="Normal 5 2 2 3 4 5" xfId="6405" xr:uid="{00000000-0005-0000-0000-000001610000}"/>
    <cellStyle name="Normal 5 2 2 3 4 5 2" xfId="15232" xr:uid="{00000000-0005-0000-0000-000002610000}"/>
    <cellStyle name="Normal 5 2 2 3 4 5 2 2" xfId="40787" xr:uid="{00000000-0005-0000-0000-000003610000}"/>
    <cellStyle name="Normal 5 2 2 3 4 5 3" xfId="25483" xr:uid="{00000000-0005-0000-0000-000004610000}"/>
    <cellStyle name="Normal 5 2 2 3 4 5 3 2" xfId="51036" xr:uid="{00000000-0005-0000-0000-000005610000}"/>
    <cellStyle name="Normal 5 2 2 3 4 5 4" xfId="31966" xr:uid="{00000000-0005-0000-0000-000006610000}"/>
    <cellStyle name="Normal 5 2 2 3 4 6" xfId="7851" xr:uid="{00000000-0005-0000-0000-000007610000}"/>
    <cellStyle name="Normal 5 2 2 3 4 6 2" xfId="20232" xr:uid="{00000000-0005-0000-0000-000008610000}"/>
    <cellStyle name="Normal 5 2 2 3 4 6 2 2" xfId="45785" xr:uid="{00000000-0005-0000-0000-000009610000}"/>
    <cellStyle name="Normal 5 2 2 3 4 6 3" xfId="33408" xr:uid="{00000000-0005-0000-0000-00000A610000}"/>
    <cellStyle name="Normal 5 2 2 3 4 7" xfId="16743" xr:uid="{00000000-0005-0000-0000-00000B610000}"/>
    <cellStyle name="Normal 5 2 2 3 4 7 2" xfId="42296" xr:uid="{00000000-0005-0000-0000-00000C610000}"/>
    <cellStyle name="Normal 5 2 2 3 4 8" xfId="26715" xr:uid="{00000000-0005-0000-0000-00000D610000}"/>
    <cellStyle name="Normal 5 2 2 3 5" xfId="1205" xr:uid="{00000000-0005-0000-0000-00000E610000}"/>
    <cellStyle name="Normal 5 2 2 3 5 2" xfId="3634" xr:uid="{00000000-0005-0000-0000-00000F610000}"/>
    <cellStyle name="Normal 5 2 2 3 5 2 2" xfId="12770" xr:uid="{00000000-0005-0000-0000-000010610000}"/>
    <cellStyle name="Normal 5 2 2 3 5 2 2 2" xfId="22989" xr:uid="{00000000-0005-0000-0000-000011610000}"/>
    <cellStyle name="Normal 5 2 2 3 5 2 2 2 2" xfId="48542" xr:uid="{00000000-0005-0000-0000-000012610000}"/>
    <cellStyle name="Normal 5 2 2 3 5 2 2 3" xfId="38325" xr:uid="{00000000-0005-0000-0000-000013610000}"/>
    <cellStyle name="Normal 5 2 2 3 5 2 3" xfId="9191" xr:uid="{00000000-0005-0000-0000-000014610000}"/>
    <cellStyle name="Normal 5 2 2 3 5 2 3 2" xfId="34748" xr:uid="{00000000-0005-0000-0000-000015610000}"/>
    <cellStyle name="Normal 5 2 2 3 5 2 4" xfId="17982" xr:uid="{00000000-0005-0000-0000-000016610000}"/>
    <cellStyle name="Normal 5 2 2 3 5 2 4 2" xfId="43535" xr:uid="{00000000-0005-0000-0000-000017610000}"/>
    <cellStyle name="Normal 5 2 2 3 5 2 5" xfId="29472" xr:uid="{00000000-0005-0000-0000-000018610000}"/>
    <cellStyle name="Normal 5 2 2 3 5 3" xfId="5297" xr:uid="{00000000-0005-0000-0000-000019610000}"/>
    <cellStyle name="Normal 5 2 2 3 5 3 2" xfId="14134" xr:uid="{00000000-0005-0000-0000-00001A610000}"/>
    <cellStyle name="Normal 5 2 2 3 5 3 2 2" xfId="24385" xr:uid="{00000000-0005-0000-0000-00001B610000}"/>
    <cellStyle name="Normal 5 2 2 3 5 3 2 2 2" xfId="49938" xr:uid="{00000000-0005-0000-0000-00001C610000}"/>
    <cellStyle name="Normal 5 2 2 3 5 3 2 3" xfId="39689" xr:uid="{00000000-0005-0000-0000-00001D610000}"/>
    <cellStyle name="Normal 5 2 2 3 5 3 3" xfId="10555" xr:uid="{00000000-0005-0000-0000-00001E610000}"/>
    <cellStyle name="Normal 5 2 2 3 5 3 3 2" xfId="36112" xr:uid="{00000000-0005-0000-0000-00001F610000}"/>
    <cellStyle name="Normal 5 2 2 3 5 3 4" xfId="19378" xr:uid="{00000000-0005-0000-0000-000020610000}"/>
    <cellStyle name="Normal 5 2 2 3 5 3 4 2" xfId="44931" xr:uid="{00000000-0005-0000-0000-000021610000}"/>
    <cellStyle name="Normal 5 2 2 3 5 3 5" xfId="30868" xr:uid="{00000000-0005-0000-0000-000022610000}"/>
    <cellStyle name="Normal 5 2 2 3 5 4" xfId="1808" xr:uid="{00000000-0005-0000-0000-000023610000}"/>
    <cellStyle name="Normal 5 2 2 3 5 4 2" xfId="11176" xr:uid="{00000000-0005-0000-0000-000024610000}"/>
    <cellStyle name="Normal 5 2 2 3 5 4 2 2" xfId="36731" xr:uid="{00000000-0005-0000-0000-000025610000}"/>
    <cellStyle name="Normal 5 2 2 3 5 4 3" xfId="21180" xr:uid="{00000000-0005-0000-0000-000026610000}"/>
    <cellStyle name="Normal 5 2 2 3 5 4 3 2" xfId="46733" xr:uid="{00000000-0005-0000-0000-000027610000}"/>
    <cellStyle name="Normal 5 2 2 3 5 4 4" xfId="27663" xr:uid="{00000000-0005-0000-0000-000028610000}"/>
    <cellStyle name="Normal 5 2 2 3 5 5" xfId="6752" xr:uid="{00000000-0005-0000-0000-000029610000}"/>
    <cellStyle name="Normal 5 2 2 3 5 5 2" xfId="15579" xr:uid="{00000000-0005-0000-0000-00002A610000}"/>
    <cellStyle name="Normal 5 2 2 3 5 5 2 2" xfId="41134" xr:uid="{00000000-0005-0000-0000-00002B610000}"/>
    <cellStyle name="Normal 5 2 2 3 5 5 3" xfId="25830" xr:uid="{00000000-0005-0000-0000-00002C610000}"/>
    <cellStyle name="Normal 5 2 2 3 5 5 3 2" xfId="51383" xr:uid="{00000000-0005-0000-0000-00002D610000}"/>
    <cellStyle name="Normal 5 2 2 3 5 5 4" xfId="32313" xr:uid="{00000000-0005-0000-0000-00002E610000}"/>
    <cellStyle name="Normal 5 2 2 3 5 6" xfId="8198" xr:uid="{00000000-0005-0000-0000-00002F610000}"/>
    <cellStyle name="Normal 5 2 2 3 5 6 2" xfId="20588" xr:uid="{00000000-0005-0000-0000-000030610000}"/>
    <cellStyle name="Normal 5 2 2 3 5 6 2 2" xfId="46141" xr:uid="{00000000-0005-0000-0000-000031610000}"/>
    <cellStyle name="Normal 5 2 2 3 5 6 3" xfId="33755" xr:uid="{00000000-0005-0000-0000-000032610000}"/>
    <cellStyle name="Normal 5 2 2 3 5 7" xfId="16173" xr:uid="{00000000-0005-0000-0000-000033610000}"/>
    <cellStyle name="Normal 5 2 2 3 5 7 2" xfId="41726" xr:uid="{00000000-0005-0000-0000-000034610000}"/>
    <cellStyle name="Normal 5 2 2 3 5 8" xfId="27071" xr:uid="{00000000-0005-0000-0000-000035610000}"/>
    <cellStyle name="Normal 5 2 2 3 6" xfId="2702" xr:uid="{00000000-0005-0000-0000-000036610000}"/>
    <cellStyle name="Normal 5 2 2 3 6 2" xfId="12019" xr:uid="{00000000-0005-0000-0000-000037610000}"/>
    <cellStyle name="Normal 5 2 2 3 6 2 2" xfId="22063" xr:uid="{00000000-0005-0000-0000-000038610000}"/>
    <cellStyle name="Normal 5 2 2 3 6 2 2 2" xfId="47616" xr:uid="{00000000-0005-0000-0000-000039610000}"/>
    <cellStyle name="Normal 5 2 2 3 6 2 3" xfId="37574" xr:uid="{00000000-0005-0000-0000-00003A610000}"/>
    <cellStyle name="Normal 5 2 2 3 6 3" xfId="6967" xr:uid="{00000000-0005-0000-0000-00003B610000}"/>
    <cellStyle name="Normal 5 2 2 3 6 3 2" xfId="32525" xr:uid="{00000000-0005-0000-0000-00003C610000}"/>
    <cellStyle name="Normal 5 2 2 3 6 4" xfId="17056" xr:uid="{00000000-0005-0000-0000-00003D610000}"/>
    <cellStyle name="Normal 5 2 2 3 6 4 2" xfId="42609" xr:uid="{00000000-0005-0000-0000-00003E610000}"/>
    <cellStyle name="Normal 5 2 2 3 6 5" xfId="28546" xr:uid="{00000000-0005-0000-0000-00003F610000}"/>
    <cellStyle name="Normal 5 2 2 3 7" xfId="4253" xr:uid="{00000000-0005-0000-0000-000040610000}"/>
    <cellStyle name="Normal 5 2 2 3 7 2" xfId="13091" xr:uid="{00000000-0005-0000-0000-000041610000}"/>
    <cellStyle name="Normal 5 2 2 3 7 2 2" xfId="23342" xr:uid="{00000000-0005-0000-0000-000042610000}"/>
    <cellStyle name="Normal 5 2 2 3 7 2 2 2" xfId="48895" xr:uid="{00000000-0005-0000-0000-000043610000}"/>
    <cellStyle name="Normal 5 2 2 3 7 2 3" xfId="38646" xr:uid="{00000000-0005-0000-0000-000044610000}"/>
    <cellStyle name="Normal 5 2 2 3 7 3" xfId="9512" xr:uid="{00000000-0005-0000-0000-000045610000}"/>
    <cellStyle name="Normal 5 2 2 3 7 3 2" xfId="35069" xr:uid="{00000000-0005-0000-0000-000046610000}"/>
    <cellStyle name="Normal 5 2 2 3 7 4" xfId="18335" xr:uid="{00000000-0005-0000-0000-000047610000}"/>
    <cellStyle name="Normal 5 2 2 3 7 4 2" xfId="43888" xr:uid="{00000000-0005-0000-0000-000048610000}"/>
    <cellStyle name="Normal 5 2 2 3 7 5" xfId="29825" xr:uid="{00000000-0005-0000-0000-000049610000}"/>
    <cellStyle name="Normal 5 2 2 3 8" xfId="1525" xr:uid="{00000000-0005-0000-0000-00004A610000}"/>
    <cellStyle name="Normal 5 2 2 3 8 2" xfId="10902" xr:uid="{00000000-0005-0000-0000-00004B610000}"/>
    <cellStyle name="Normal 5 2 2 3 8 2 2" xfId="36457" xr:uid="{00000000-0005-0000-0000-00004C610000}"/>
    <cellStyle name="Normal 5 2 2 3 8 3" xfId="20906" xr:uid="{00000000-0005-0000-0000-00004D610000}"/>
    <cellStyle name="Normal 5 2 2 3 8 3 2" xfId="46459" xr:uid="{00000000-0005-0000-0000-00004E610000}"/>
    <cellStyle name="Normal 5 2 2 3 8 4" xfId="27389" xr:uid="{00000000-0005-0000-0000-00004F610000}"/>
    <cellStyle name="Normal 5 2 2 3 9" xfId="5709" xr:uid="{00000000-0005-0000-0000-000050610000}"/>
    <cellStyle name="Normal 5 2 2 3 9 2" xfId="14536" xr:uid="{00000000-0005-0000-0000-000051610000}"/>
    <cellStyle name="Normal 5 2 2 3 9 2 2" xfId="40091" xr:uid="{00000000-0005-0000-0000-000052610000}"/>
    <cellStyle name="Normal 5 2 2 3 9 3" xfId="24787" xr:uid="{00000000-0005-0000-0000-000053610000}"/>
    <cellStyle name="Normal 5 2 2 3 9 3 2" xfId="50340" xr:uid="{00000000-0005-0000-0000-000054610000}"/>
    <cellStyle name="Normal 5 2 2 3 9 4" xfId="31270" xr:uid="{00000000-0005-0000-0000-000055610000}"/>
    <cellStyle name="Normal 5 2 2 3_Degree data" xfId="3928" xr:uid="{00000000-0005-0000-0000-000056610000}"/>
    <cellStyle name="Normal 5 2 2 4" xfId="333" xr:uid="{00000000-0005-0000-0000-000057610000}"/>
    <cellStyle name="Normal 5 2 2 4 10" xfId="26262" xr:uid="{00000000-0005-0000-0000-000058610000}"/>
    <cellStyle name="Normal 5 2 2 4 2" xfId="789" xr:uid="{00000000-0005-0000-0000-000059610000}"/>
    <cellStyle name="Normal 5 2 2 4 2 2" xfId="3274" xr:uid="{00000000-0005-0000-0000-00005A610000}"/>
    <cellStyle name="Normal 5 2 2 4 2 2 2" xfId="12416" xr:uid="{00000000-0005-0000-0000-00005B610000}"/>
    <cellStyle name="Normal 5 2 2 4 2 2 2 2" xfId="22635" xr:uid="{00000000-0005-0000-0000-00005C610000}"/>
    <cellStyle name="Normal 5 2 2 4 2 2 2 2 2" xfId="48188" xr:uid="{00000000-0005-0000-0000-00005D610000}"/>
    <cellStyle name="Normal 5 2 2 4 2 2 2 3" xfId="37971" xr:uid="{00000000-0005-0000-0000-00005E610000}"/>
    <cellStyle name="Normal 5 2 2 4 2 2 3" xfId="8838" xr:uid="{00000000-0005-0000-0000-00005F610000}"/>
    <cellStyle name="Normal 5 2 2 4 2 2 3 2" xfId="34395" xr:uid="{00000000-0005-0000-0000-000060610000}"/>
    <cellStyle name="Normal 5 2 2 4 2 2 4" xfId="17628" xr:uid="{00000000-0005-0000-0000-000061610000}"/>
    <cellStyle name="Normal 5 2 2 4 2 2 4 2" xfId="43181" xr:uid="{00000000-0005-0000-0000-000062610000}"/>
    <cellStyle name="Normal 5 2 2 4 2 2 5" xfId="29118" xr:uid="{00000000-0005-0000-0000-000063610000}"/>
    <cellStyle name="Normal 5 2 2 4 2 3" xfId="4603" xr:uid="{00000000-0005-0000-0000-000064610000}"/>
    <cellStyle name="Normal 5 2 2 4 2 3 2" xfId="13441" xr:uid="{00000000-0005-0000-0000-000065610000}"/>
    <cellStyle name="Normal 5 2 2 4 2 3 2 2" xfId="23692" xr:uid="{00000000-0005-0000-0000-000066610000}"/>
    <cellStyle name="Normal 5 2 2 4 2 3 2 2 2" xfId="49245" xr:uid="{00000000-0005-0000-0000-000067610000}"/>
    <cellStyle name="Normal 5 2 2 4 2 3 2 3" xfId="38996" xr:uid="{00000000-0005-0000-0000-000068610000}"/>
    <cellStyle name="Normal 5 2 2 4 2 3 3" xfId="9862" xr:uid="{00000000-0005-0000-0000-000069610000}"/>
    <cellStyle name="Normal 5 2 2 4 2 3 3 2" xfId="35419" xr:uid="{00000000-0005-0000-0000-00006A610000}"/>
    <cellStyle name="Normal 5 2 2 4 2 3 4" xfId="18685" xr:uid="{00000000-0005-0000-0000-00006B610000}"/>
    <cellStyle name="Normal 5 2 2 4 2 3 4 2" xfId="44238" xr:uid="{00000000-0005-0000-0000-00006C610000}"/>
    <cellStyle name="Normal 5 2 2 4 2 3 5" xfId="30175" xr:uid="{00000000-0005-0000-0000-00006D610000}"/>
    <cellStyle name="Normal 5 2 2 4 2 4" xfId="2383" xr:uid="{00000000-0005-0000-0000-00006E610000}"/>
    <cellStyle name="Normal 5 2 2 4 2 4 2" xfId="11748" xr:uid="{00000000-0005-0000-0000-00006F610000}"/>
    <cellStyle name="Normal 5 2 2 4 2 4 2 2" xfId="37303" xr:uid="{00000000-0005-0000-0000-000070610000}"/>
    <cellStyle name="Normal 5 2 2 4 2 4 3" xfId="21752" xr:uid="{00000000-0005-0000-0000-000071610000}"/>
    <cellStyle name="Normal 5 2 2 4 2 4 3 2" xfId="47305" xr:uid="{00000000-0005-0000-0000-000072610000}"/>
    <cellStyle name="Normal 5 2 2 4 2 4 4" xfId="28235" xr:uid="{00000000-0005-0000-0000-000073610000}"/>
    <cellStyle name="Normal 5 2 2 4 2 5" xfId="6059" xr:uid="{00000000-0005-0000-0000-000074610000}"/>
    <cellStyle name="Normal 5 2 2 4 2 5 2" xfId="14886" xr:uid="{00000000-0005-0000-0000-000075610000}"/>
    <cellStyle name="Normal 5 2 2 4 2 5 2 2" xfId="40441" xr:uid="{00000000-0005-0000-0000-000076610000}"/>
    <cellStyle name="Normal 5 2 2 4 2 5 3" xfId="25137" xr:uid="{00000000-0005-0000-0000-000077610000}"/>
    <cellStyle name="Normal 5 2 2 4 2 5 3 2" xfId="50690" xr:uid="{00000000-0005-0000-0000-000078610000}"/>
    <cellStyle name="Normal 5 2 2 4 2 5 4" xfId="31620" xr:uid="{00000000-0005-0000-0000-000079610000}"/>
    <cellStyle name="Normal 5 2 2 4 2 6" xfId="7504" xr:uid="{00000000-0005-0000-0000-00007A610000}"/>
    <cellStyle name="Normal 5 2 2 4 2 6 2" xfId="20234" xr:uid="{00000000-0005-0000-0000-00007B610000}"/>
    <cellStyle name="Normal 5 2 2 4 2 6 2 2" xfId="45787" xr:uid="{00000000-0005-0000-0000-00007C610000}"/>
    <cellStyle name="Normal 5 2 2 4 2 6 3" xfId="33061" xr:uid="{00000000-0005-0000-0000-00007D610000}"/>
    <cellStyle name="Normal 5 2 2 4 2 7" xfId="16745" xr:uid="{00000000-0005-0000-0000-00007E610000}"/>
    <cellStyle name="Normal 5 2 2 4 2 7 2" xfId="42298" xr:uid="{00000000-0005-0000-0000-00007F610000}"/>
    <cellStyle name="Normal 5 2 2 4 2 8" xfId="26717" xr:uid="{00000000-0005-0000-0000-000080610000}"/>
    <cellStyle name="Normal 5 2 2 4 3" xfId="1105" xr:uid="{00000000-0005-0000-0000-000081610000}"/>
    <cellStyle name="Normal 5 2 2 4 3 2" xfId="3534" xr:uid="{00000000-0005-0000-0000-000082610000}"/>
    <cellStyle name="Normal 5 2 2 4 3 2 2" xfId="12670" xr:uid="{00000000-0005-0000-0000-000083610000}"/>
    <cellStyle name="Normal 5 2 2 4 3 2 2 2" xfId="22889" xr:uid="{00000000-0005-0000-0000-000084610000}"/>
    <cellStyle name="Normal 5 2 2 4 3 2 2 2 2" xfId="48442" xr:uid="{00000000-0005-0000-0000-000085610000}"/>
    <cellStyle name="Normal 5 2 2 4 3 2 2 3" xfId="38225" xr:uid="{00000000-0005-0000-0000-000086610000}"/>
    <cellStyle name="Normal 5 2 2 4 3 2 3" xfId="9091" xr:uid="{00000000-0005-0000-0000-000087610000}"/>
    <cellStyle name="Normal 5 2 2 4 3 2 3 2" xfId="34648" xr:uid="{00000000-0005-0000-0000-000088610000}"/>
    <cellStyle name="Normal 5 2 2 4 3 2 4" xfId="17882" xr:uid="{00000000-0005-0000-0000-000089610000}"/>
    <cellStyle name="Normal 5 2 2 4 3 2 4 2" xfId="43435" xr:uid="{00000000-0005-0000-0000-00008A610000}"/>
    <cellStyle name="Normal 5 2 2 4 3 2 5" xfId="29372" xr:uid="{00000000-0005-0000-0000-00008B610000}"/>
    <cellStyle name="Normal 5 2 2 4 3 3" xfId="4952" xr:uid="{00000000-0005-0000-0000-00008C610000}"/>
    <cellStyle name="Normal 5 2 2 4 3 3 2" xfId="13789" xr:uid="{00000000-0005-0000-0000-00008D610000}"/>
    <cellStyle name="Normal 5 2 2 4 3 3 2 2" xfId="24040" xr:uid="{00000000-0005-0000-0000-00008E610000}"/>
    <cellStyle name="Normal 5 2 2 4 3 3 2 2 2" xfId="49593" xr:uid="{00000000-0005-0000-0000-00008F610000}"/>
    <cellStyle name="Normal 5 2 2 4 3 3 2 3" xfId="39344" xr:uid="{00000000-0005-0000-0000-000090610000}"/>
    <cellStyle name="Normal 5 2 2 4 3 3 3" xfId="10210" xr:uid="{00000000-0005-0000-0000-000091610000}"/>
    <cellStyle name="Normal 5 2 2 4 3 3 3 2" xfId="35767" xr:uid="{00000000-0005-0000-0000-000092610000}"/>
    <cellStyle name="Normal 5 2 2 4 3 3 4" xfId="19033" xr:uid="{00000000-0005-0000-0000-000093610000}"/>
    <cellStyle name="Normal 5 2 2 4 3 3 4 2" xfId="44586" xr:uid="{00000000-0005-0000-0000-000094610000}"/>
    <cellStyle name="Normal 5 2 2 4 3 3 5" xfId="30523" xr:uid="{00000000-0005-0000-0000-000095610000}"/>
    <cellStyle name="Normal 5 2 2 4 3 4" xfId="2577" xr:uid="{00000000-0005-0000-0000-000096610000}"/>
    <cellStyle name="Normal 5 2 2 4 3 4 2" xfId="11941" xr:uid="{00000000-0005-0000-0000-000097610000}"/>
    <cellStyle name="Normal 5 2 2 4 3 4 2 2" xfId="37496" xr:uid="{00000000-0005-0000-0000-000098610000}"/>
    <cellStyle name="Normal 5 2 2 4 3 4 3" xfId="21945" xr:uid="{00000000-0005-0000-0000-000099610000}"/>
    <cellStyle name="Normal 5 2 2 4 3 4 3 2" xfId="47498" xr:uid="{00000000-0005-0000-0000-00009A610000}"/>
    <cellStyle name="Normal 5 2 2 4 3 4 4" xfId="28428" xr:uid="{00000000-0005-0000-0000-00009B610000}"/>
    <cellStyle name="Normal 5 2 2 4 3 5" xfId="6407" xr:uid="{00000000-0005-0000-0000-00009C610000}"/>
    <cellStyle name="Normal 5 2 2 4 3 5 2" xfId="15234" xr:uid="{00000000-0005-0000-0000-00009D610000}"/>
    <cellStyle name="Normal 5 2 2 4 3 5 2 2" xfId="40789" xr:uid="{00000000-0005-0000-0000-00009E610000}"/>
    <cellStyle name="Normal 5 2 2 4 3 5 3" xfId="25485" xr:uid="{00000000-0005-0000-0000-00009F610000}"/>
    <cellStyle name="Normal 5 2 2 4 3 5 3 2" xfId="51038" xr:uid="{00000000-0005-0000-0000-0000A0610000}"/>
    <cellStyle name="Normal 5 2 2 4 3 5 4" xfId="31968" xr:uid="{00000000-0005-0000-0000-0000A1610000}"/>
    <cellStyle name="Normal 5 2 2 4 3 6" xfId="7853" xr:uid="{00000000-0005-0000-0000-0000A2610000}"/>
    <cellStyle name="Normal 5 2 2 4 3 6 2" xfId="20488" xr:uid="{00000000-0005-0000-0000-0000A3610000}"/>
    <cellStyle name="Normal 5 2 2 4 3 6 2 2" xfId="46041" xr:uid="{00000000-0005-0000-0000-0000A4610000}"/>
    <cellStyle name="Normal 5 2 2 4 3 6 3" xfId="33410" xr:uid="{00000000-0005-0000-0000-0000A5610000}"/>
    <cellStyle name="Normal 5 2 2 4 3 7" xfId="16938" xr:uid="{00000000-0005-0000-0000-0000A6610000}"/>
    <cellStyle name="Normal 5 2 2 4 3 7 2" xfId="42491" xr:uid="{00000000-0005-0000-0000-0000A7610000}"/>
    <cellStyle name="Normal 5 2 2 4 3 8" xfId="26971" xr:uid="{00000000-0005-0000-0000-0000A8610000}"/>
    <cellStyle name="Normal 5 2 2 4 4" xfId="2819" xr:uid="{00000000-0005-0000-0000-0000A9610000}"/>
    <cellStyle name="Normal 5 2 2 4 4 2" xfId="5197" xr:uid="{00000000-0005-0000-0000-0000AA610000}"/>
    <cellStyle name="Normal 5 2 2 4 4 2 2" xfId="14034" xr:uid="{00000000-0005-0000-0000-0000AB610000}"/>
    <cellStyle name="Normal 5 2 2 4 4 2 2 2" xfId="24285" xr:uid="{00000000-0005-0000-0000-0000AC610000}"/>
    <cellStyle name="Normal 5 2 2 4 4 2 2 2 2" xfId="49838" xr:uid="{00000000-0005-0000-0000-0000AD610000}"/>
    <cellStyle name="Normal 5 2 2 4 4 2 2 3" xfId="39589" xr:uid="{00000000-0005-0000-0000-0000AE610000}"/>
    <cellStyle name="Normal 5 2 2 4 4 2 3" xfId="10455" xr:uid="{00000000-0005-0000-0000-0000AF610000}"/>
    <cellStyle name="Normal 5 2 2 4 4 2 3 2" xfId="36012" xr:uid="{00000000-0005-0000-0000-0000B0610000}"/>
    <cellStyle name="Normal 5 2 2 4 4 2 4" xfId="19278" xr:uid="{00000000-0005-0000-0000-0000B1610000}"/>
    <cellStyle name="Normal 5 2 2 4 4 2 4 2" xfId="44831" xr:uid="{00000000-0005-0000-0000-0000B2610000}"/>
    <cellStyle name="Normal 5 2 2 4 4 2 5" xfId="30768" xr:uid="{00000000-0005-0000-0000-0000B3610000}"/>
    <cellStyle name="Normal 5 2 2 4 4 3" xfId="6652" xr:uid="{00000000-0005-0000-0000-0000B4610000}"/>
    <cellStyle name="Normal 5 2 2 4 4 3 2" xfId="15479" xr:uid="{00000000-0005-0000-0000-0000B5610000}"/>
    <cellStyle name="Normal 5 2 2 4 4 3 2 2" xfId="41034" xr:uid="{00000000-0005-0000-0000-0000B6610000}"/>
    <cellStyle name="Normal 5 2 2 4 4 3 3" xfId="25730" xr:uid="{00000000-0005-0000-0000-0000B7610000}"/>
    <cellStyle name="Normal 5 2 2 4 4 3 3 2" xfId="51283" xr:uid="{00000000-0005-0000-0000-0000B8610000}"/>
    <cellStyle name="Normal 5 2 2 4 4 3 4" xfId="32213" xr:uid="{00000000-0005-0000-0000-0000B9610000}"/>
    <cellStyle name="Normal 5 2 2 4 4 4" xfId="8098" xr:uid="{00000000-0005-0000-0000-0000BA610000}"/>
    <cellStyle name="Normal 5 2 2 4 4 4 2" xfId="22180" xr:uid="{00000000-0005-0000-0000-0000BB610000}"/>
    <cellStyle name="Normal 5 2 2 4 4 4 2 2" xfId="47733" xr:uid="{00000000-0005-0000-0000-0000BC610000}"/>
    <cellStyle name="Normal 5 2 2 4 4 4 3" xfId="33655" xr:uid="{00000000-0005-0000-0000-0000BD610000}"/>
    <cellStyle name="Normal 5 2 2 4 4 5" xfId="17173" xr:uid="{00000000-0005-0000-0000-0000BE610000}"/>
    <cellStyle name="Normal 5 2 2 4 4 5 2" xfId="42726" xr:uid="{00000000-0005-0000-0000-0000BF610000}"/>
    <cellStyle name="Normal 5 2 2 4 4 6" xfId="28663" xr:uid="{00000000-0005-0000-0000-0000C0610000}"/>
    <cellStyle name="Normal 5 2 2 4 5" xfId="4151" xr:uid="{00000000-0005-0000-0000-0000C1610000}"/>
    <cellStyle name="Normal 5 2 2 4 5 2" xfId="12989" xr:uid="{00000000-0005-0000-0000-0000C2610000}"/>
    <cellStyle name="Normal 5 2 2 4 5 2 2" xfId="23240" xr:uid="{00000000-0005-0000-0000-0000C3610000}"/>
    <cellStyle name="Normal 5 2 2 4 5 2 2 2" xfId="48793" xr:uid="{00000000-0005-0000-0000-0000C4610000}"/>
    <cellStyle name="Normal 5 2 2 4 5 2 3" xfId="38544" xr:uid="{00000000-0005-0000-0000-0000C5610000}"/>
    <cellStyle name="Normal 5 2 2 4 5 3" xfId="9410" xr:uid="{00000000-0005-0000-0000-0000C6610000}"/>
    <cellStyle name="Normal 5 2 2 4 5 3 2" xfId="34967" xr:uid="{00000000-0005-0000-0000-0000C7610000}"/>
    <cellStyle name="Normal 5 2 2 4 5 4" xfId="18233" xr:uid="{00000000-0005-0000-0000-0000C8610000}"/>
    <cellStyle name="Normal 5 2 2 4 5 4 2" xfId="43786" xr:uid="{00000000-0005-0000-0000-0000C9610000}"/>
    <cellStyle name="Normal 5 2 2 4 5 5" xfId="29723" xr:uid="{00000000-0005-0000-0000-0000CA610000}"/>
    <cellStyle name="Normal 5 2 2 4 6" xfId="1928" xr:uid="{00000000-0005-0000-0000-0000CB610000}"/>
    <cellStyle name="Normal 5 2 2 4 6 2" xfId="11293" xr:uid="{00000000-0005-0000-0000-0000CC610000}"/>
    <cellStyle name="Normal 5 2 2 4 6 2 2" xfId="36848" xr:uid="{00000000-0005-0000-0000-0000CD610000}"/>
    <cellStyle name="Normal 5 2 2 4 6 3" xfId="21297" xr:uid="{00000000-0005-0000-0000-0000CE610000}"/>
    <cellStyle name="Normal 5 2 2 4 6 3 2" xfId="46850" xr:uid="{00000000-0005-0000-0000-0000CF610000}"/>
    <cellStyle name="Normal 5 2 2 4 6 4" xfId="27780" xr:uid="{00000000-0005-0000-0000-0000D0610000}"/>
    <cellStyle name="Normal 5 2 2 4 7" xfId="5609" xr:uid="{00000000-0005-0000-0000-0000D1610000}"/>
    <cellStyle name="Normal 5 2 2 4 7 2" xfId="14436" xr:uid="{00000000-0005-0000-0000-0000D2610000}"/>
    <cellStyle name="Normal 5 2 2 4 7 2 2" xfId="39991" xr:uid="{00000000-0005-0000-0000-0000D3610000}"/>
    <cellStyle name="Normal 5 2 2 4 7 3" xfId="24687" xr:uid="{00000000-0005-0000-0000-0000D4610000}"/>
    <cellStyle name="Normal 5 2 2 4 7 3 2" xfId="50240" xr:uid="{00000000-0005-0000-0000-0000D5610000}"/>
    <cellStyle name="Normal 5 2 2 4 7 4" xfId="31170" xr:uid="{00000000-0005-0000-0000-0000D6610000}"/>
    <cellStyle name="Normal 5 2 2 4 8" xfId="7053" xr:uid="{00000000-0005-0000-0000-0000D7610000}"/>
    <cellStyle name="Normal 5 2 2 4 8 2" xfId="19779" xr:uid="{00000000-0005-0000-0000-0000D8610000}"/>
    <cellStyle name="Normal 5 2 2 4 8 2 2" xfId="45332" xr:uid="{00000000-0005-0000-0000-0000D9610000}"/>
    <cellStyle name="Normal 5 2 2 4 8 3" xfId="32610" xr:uid="{00000000-0005-0000-0000-0000DA610000}"/>
    <cellStyle name="Normal 5 2 2 4 9" xfId="16290" xr:uid="{00000000-0005-0000-0000-0000DB610000}"/>
    <cellStyle name="Normal 5 2 2 4 9 2" xfId="41843" xr:uid="{00000000-0005-0000-0000-0000DC610000}"/>
    <cellStyle name="Normal 5 2 2 4_Degree data" xfId="3881" xr:uid="{00000000-0005-0000-0000-0000DD610000}"/>
    <cellStyle name="Normal 5 2 2 5" xfId="783" xr:uid="{00000000-0005-0000-0000-0000DE610000}"/>
    <cellStyle name="Normal 5 2 2 5 2" xfId="3268" xr:uid="{00000000-0005-0000-0000-0000DF610000}"/>
    <cellStyle name="Normal 5 2 2 5 2 2" xfId="12410" xr:uid="{00000000-0005-0000-0000-0000E0610000}"/>
    <cellStyle name="Normal 5 2 2 5 2 2 2" xfId="22629" xr:uid="{00000000-0005-0000-0000-0000E1610000}"/>
    <cellStyle name="Normal 5 2 2 5 2 2 2 2" xfId="48182" xr:uid="{00000000-0005-0000-0000-0000E2610000}"/>
    <cellStyle name="Normal 5 2 2 5 2 2 3" xfId="37965" xr:uid="{00000000-0005-0000-0000-0000E3610000}"/>
    <cellStyle name="Normal 5 2 2 5 2 3" xfId="8832" xr:uid="{00000000-0005-0000-0000-0000E4610000}"/>
    <cellStyle name="Normal 5 2 2 5 2 3 2" xfId="34389" xr:uid="{00000000-0005-0000-0000-0000E5610000}"/>
    <cellStyle name="Normal 5 2 2 5 2 4" xfId="17622" xr:uid="{00000000-0005-0000-0000-0000E6610000}"/>
    <cellStyle name="Normal 5 2 2 5 2 4 2" xfId="43175" xr:uid="{00000000-0005-0000-0000-0000E7610000}"/>
    <cellStyle name="Normal 5 2 2 5 2 5" xfId="29112" xr:uid="{00000000-0005-0000-0000-0000E8610000}"/>
    <cellStyle name="Normal 5 2 2 5 3" xfId="4597" xr:uid="{00000000-0005-0000-0000-0000E9610000}"/>
    <cellStyle name="Normal 5 2 2 5 3 2" xfId="13435" xr:uid="{00000000-0005-0000-0000-0000EA610000}"/>
    <cellStyle name="Normal 5 2 2 5 3 2 2" xfId="23686" xr:uid="{00000000-0005-0000-0000-0000EB610000}"/>
    <cellStyle name="Normal 5 2 2 5 3 2 2 2" xfId="49239" xr:uid="{00000000-0005-0000-0000-0000EC610000}"/>
    <cellStyle name="Normal 5 2 2 5 3 2 3" xfId="38990" xr:uid="{00000000-0005-0000-0000-0000ED610000}"/>
    <cellStyle name="Normal 5 2 2 5 3 3" xfId="9856" xr:uid="{00000000-0005-0000-0000-0000EE610000}"/>
    <cellStyle name="Normal 5 2 2 5 3 3 2" xfId="35413" xr:uid="{00000000-0005-0000-0000-0000EF610000}"/>
    <cellStyle name="Normal 5 2 2 5 3 4" xfId="18679" xr:uid="{00000000-0005-0000-0000-0000F0610000}"/>
    <cellStyle name="Normal 5 2 2 5 3 4 2" xfId="44232" xr:uid="{00000000-0005-0000-0000-0000F1610000}"/>
    <cellStyle name="Normal 5 2 2 5 3 5" xfId="30169" xr:uid="{00000000-0005-0000-0000-0000F2610000}"/>
    <cellStyle name="Normal 5 2 2 5 4" xfId="2377" xr:uid="{00000000-0005-0000-0000-0000F3610000}"/>
    <cellStyle name="Normal 5 2 2 5 4 2" xfId="11742" xr:uid="{00000000-0005-0000-0000-0000F4610000}"/>
    <cellStyle name="Normal 5 2 2 5 4 2 2" xfId="37297" xr:uid="{00000000-0005-0000-0000-0000F5610000}"/>
    <cellStyle name="Normal 5 2 2 5 4 3" xfId="21746" xr:uid="{00000000-0005-0000-0000-0000F6610000}"/>
    <cellStyle name="Normal 5 2 2 5 4 3 2" xfId="47299" xr:uid="{00000000-0005-0000-0000-0000F7610000}"/>
    <cellStyle name="Normal 5 2 2 5 4 4" xfId="28229" xr:uid="{00000000-0005-0000-0000-0000F8610000}"/>
    <cellStyle name="Normal 5 2 2 5 5" xfId="6053" xr:uid="{00000000-0005-0000-0000-0000F9610000}"/>
    <cellStyle name="Normal 5 2 2 5 5 2" xfId="14880" xr:uid="{00000000-0005-0000-0000-0000FA610000}"/>
    <cellStyle name="Normal 5 2 2 5 5 2 2" xfId="40435" xr:uid="{00000000-0005-0000-0000-0000FB610000}"/>
    <cellStyle name="Normal 5 2 2 5 5 3" xfId="25131" xr:uid="{00000000-0005-0000-0000-0000FC610000}"/>
    <cellStyle name="Normal 5 2 2 5 5 3 2" xfId="50684" xr:uid="{00000000-0005-0000-0000-0000FD610000}"/>
    <cellStyle name="Normal 5 2 2 5 5 4" xfId="31614" xr:uid="{00000000-0005-0000-0000-0000FE610000}"/>
    <cellStyle name="Normal 5 2 2 5 6" xfId="7498" xr:uid="{00000000-0005-0000-0000-0000FF610000}"/>
    <cellStyle name="Normal 5 2 2 5 6 2" xfId="20228" xr:uid="{00000000-0005-0000-0000-000000620000}"/>
    <cellStyle name="Normal 5 2 2 5 6 2 2" xfId="45781" xr:uid="{00000000-0005-0000-0000-000001620000}"/>
    <cellStyle name="Normal 5 2 2 5 6 3" xfId="33055" xr:uid="{00000000-0005-0000-0000-000002620000}"/>
    <cellStyle name="Normal 5 2 2 5 7" xfId="16739" xr:uid="{00000000-0005-0000-0000-000003620000}"/>
    <cellStyle name="Normal 5 2 2 5 7 2" xfId="42292" xr:uid="{00000000-0005-0000-0000-000004620000}"/>
    <cellStyle name="Normal 5 2 2 5 8" xfId="26711" xr:uid="{00000000-0005-0000-0000-000005620000}"/>
    <cellStyle name="Normal 5 2 2 6" xfId="1060" xr:uid="{00000000-0005-0000-0000-000006620000}"/>
    <cellStyle name="Normal 5 2 2 6 2" xfId="3489" xr:uid="{00000000-0005-0000-0000-000007620000}"/>
    <cellStyle name="Normal 5 2 2 6 2 2" xfId="12625" xr:uid="{00000000-0005-0000-0000-000008620000}"/>
    <cellStyle name="Normal 5 2 2 6 2 2 2" xfId="22844" xr:uid="{00000000-0005-0000-0000-000009620000}"/>
    <cellStyle name="Normal 5 2 2 6 2 2 2 2" xfId="48397" xr:uid="{00000000-0005-0000-0000-00000A620000}"/>
    <cellStyle name="Normal 5 2 2 6 2 2 3" xfId="38180" xr:uid="{00000000-0005-0000-0000-00000B620000}"/>
    <cellStyle name="Normal 5 2 2 6 2 3" xfId="9047" xr:uid="{00000000-0005-0000-0000-00000C620000}"/>
    <cellStyle name="Normal 5 2 2 6 2 3 2" xfId="34604" xr:uid="{00000000-0005-0000-0000-00000D620000}"/>
    <cellStyle name="Normal 5 2 2 6 2 4" xfId="17837" xr:uid="{00000000-0005-0000-0000-00000E620000}"/>
    <cellStyle name="Normal 5 2 2 6 2 4 2" xfId="43390" xr:uid="{00000000-0005-0000-0000-00000F620000}"/>
    <cellStyle name="Normal 5 2 2 6 2 5" xfId="29327" xr:uid="{00000000-0005-0000-0000-000010620000}"/>
    <cellStyle name="Normal 5 2 2 6 3" xfId="4946" xr:uid="{00000000-0005-0000-0000-000011620000}"/>
    <cellStyle name="Normal 5 2 2 6 3 2" xfId="13783" xr:uid="{00000000-0005-0000-0000-000012620000}"/>
    <cellStyle name="Normal 5 2 2 6 3 2 2" xfId="24034" xr:uid="{00000000-0005-0000-0000-000013620000}"/>
    <cellStyle name="Normal 5 2 2 6 3 2 2 2" xfId="49587" xr:uid="{00000000-0005-0000-0000-000014620000}"/>
    <cellStyle name="Normal 5 2 2 6 3 2 3" xfId="39338" xr:uid="{00000000-0005-0000-0000-000015620000}"/>
    <cellStyle name="Normal 5 2 2 6 3 3" xfId="10204" xr:uid="{00000000-0005-0000-0000-000016620000}"/>
    <cellStyle name="Normal 5 2 2 6 3 3 2" xfId="35761" xr:uid="{00000000-0005-0000-0000-000017620000}"/>
    <cellStyle name="Normal 5 2 2 6 3 4" xfId="19027" xr:uid="{00000000-0005-0000-0000-000018620000}"/>
    <cellStyle name="Normal 5 2 2 6 3 4 2" xfId="44580" xr:uid="{00000000-0005-0000-0000-000019620000}"/>
    <cellStyle name="Normal 5 2 2 6 3 5" xfId="30517" xr:uid="{00000000-0005-0000-0000-00001A620000}"/>
    <cellStyle name="Normal 5 2 2 6 4" xfId="2585" xr:uid="{00000000-0005-0000-0000-00001B620000}"/>
    <cellStyle name="Normal 5 2 2 6 4 2" xfId="11949" xr:uid="{00000000-0005-0000-0000-00001C620000}"/>
    <cellStyle name="Normal 5 2 2 6 4 2 2" xfId="37504" xr:uid="{00000000-0005-0000-0000-00001D620000}"/>
    <cellStyle name="Normal 5 2 2 6 4 3" xfId="21953" xr:uid="{00000000-0005-0000-0000-00001E620000}"/>
    <cellStyle name="Normal 5 2 2 6 4 3 2" xfId="47506" xr:uid="{00000000-0005-0000-0000-00001F620000}"/>
    <cellStyle name="Normal 5 2 2 6 4 4" xfId="28436" xr:uid="{00000000-0005-0000-0000-000020620000}"/>
    <cellStyle name="Normal 5 2 2 6 5" xfId="6401" xr:uid="{00000000-0005-0000-0000-000021620000}"/>
    <cellStyle name="Normal 5 2 2 6 5 2" xfId="15228" xr:uid="{00000000-0005-0000-0000-000022620000}"/>
    <cellStyle name="Normal 5 2 2 6 5 2 2" xfId="40783" xr:uid="{00000000-0005-0000-0000-000023620000}"/>
    <cellStyle name="Normal 5 2 2 6 5 3" xfId="25479" xr:uid="{00000000-0005-0000-0000-000024620000}"/>
    <cellStyle name="Normal 5 2 2 6 5 3 2" xfId="51032" xr:uid="{00000000-0005-0000-0000-000025620000}"/>
    <cellStyle name="Normal 5 2 2 6 5 4" xfId="31962" xr:uid="{00000000-0005-0000-0000-000026620000}"/>
    <cellStyle name="Normal 5 2 2 6 6" xfId="7847" xr:uid="{00000000-0005-0000-0000-000027620000}"/>
    <cellStyle name="Normal 5 2 2 6 6 2" xfId="20443" xr:uid="{00000000-0005-0000-0000-000028620000}"/>
    <cellStyle name="Normal 5 2 2 6 6 2 2" xfId="45996" xr:uid="{00000000-0005-0000-0000-000029620000}"/>
    <cellStyle name="Normal 5 2 2 6 6 3" xfId="33404" xr:uid="{00000000-0005-0000-0000-00002A620000}"/>
    <cellStyle name="Normal 5 2 2 6 7" xfId="16946" xr:uid="{00000000-0005-0000-0000-00002B620000}"/>
    <cellStyle name="Normal 5 2 2 6 7 2" xfId="42499" xr:uid="{00000000-0005-0000-0000-00002C620000}"/>
    <cellStyle name="Normal 5 2 2 6 8" xfId="26926" xr:uid="{00000000-0005-0000-0000-00002D620000}"/>
    <cellStyle name="Normal 5 2 2 7" xfId="2627" xr:uid="{00000000-0005-0000-0000-00002E620000}"/>
    <cellStyle name="Normal 5 2 2 7 2" xfId="5152" xr:uid="{00000000-0005-0000-0000-00002F620000}"/>
    <cellStyle name="Normal 5 2 2 7 2 2" xfId="13989" xr:uid="{00000000-0005-0000-0000-000030620000}"/>
    <cellStyle name="Normal 5 2 2 7 2 2 2" xfId="24240" xr:uid="{00000000-0005-0000-0000-000031620000}"/>
    <cellStyle name="Normal 5 2 2 7 2 2 2 2" xfId="49793" xr:uid="{00000000-0005-0000-0000-000032620000}"/>
    <cellStyle name="Normal 5 2 2 7 2 2 3" xfId="39544" xr:uid="{00000000-0005-0000-0000-000033620000}"/>
    <cellStyle name="Normal 5 2 2 7 2 3" xfId="10410" xr:uid="{00000000-0005-0000-0000-000034620000}"/>
    <cellStyle name="Normal 5 2 2 7 2 3 2" xfId="35967" xr:uid="{00000000-0005-0000-0000-000035620000}"/>
    <cellStyle name="Normal 5 2 2 7 2 4" xfId="19233" xr:uid="{00000000-0005-0000-0000-000036620000}"/>
    <cellStyle name="Normal 5 2 2 7 2 4 2" xfId="44786" xr:uid="{00000000-0005-0000-0000-000037620000}"/>
    <cellStyle name="Normal 5 2 2 7 2 5" xfId="30723" xr:uid="{00000000-0005-0000-0000-000038620000}"/>
    <cellStyle name="Normal 5 2 2 7 3" xfId="6607" xr:uid="{00000000-0005-0000-0000-000039620000}"/>
    <cellStyle name="Normal 5 2 2 7 3 2" xfId="15434" xr:uid="{00000000-0005-0000-0000-00003A620000}"/>
    <cellStyle name="Normal 5 2 2 7 3 2 2" xfId="40989" xr:uid="{00000000-0005-0000-0000-00003B620000}"/>
    <cellStyle name="Normal 5 2 2 7 3 3" xfId="25685" xr:uid="{00000000-0005-0000-0000-00003C620000}"/>
    <cellStyle name="Normal 5 2 2 7 3 3 2" xfId="51238" xr:uid="{00000000-0005-0000-0000-00003D620000}"/>
    <cellStyle name="Normal 5 2 2 7 3 4" xfId="32168" xr:uid="{00000000-0005-0000-0000-00003E620000}"/>
    <cellStyle name="Normal 5 2 2 7 4" xfId="8053" xr:uid="{00000000-0005-0000-0000-00003F620000}"/>
    <cellStyle name="Normal 5 2 2 7 4 2" xfId="21989" xr:uid="{00000000-0005-0000-0000-000040620000}"/>
    <cellStyle name="Normal 5 2 2 7 4 2 2" xfId="47542" xr:uid="{00000000-0005-0000-0000-000041620000}"/>
    <cellStyle name="Normal 5 2 2 7 4 3" xfId="33610" xr:uid="{00000000-0005-0000-0000-000042620000}"/>
    <cellStyle name="Normal 5 2 2 7 5" xfId="16982" xr:uid="{00000000-0005-0000-0000-000043620000}"/>
    <cellStyle name="Normal 5 2 2 7 5 2" xfId="42535" xr:uid="{00000000-0005-0000-0000-000044620000}"/>
    <cellStyle name="Normal 5 2 2 7 6" xfId="28472" xr:uid="{00000000-0005-0000-0000-000045620000}"/>
    <cellStyle name="Normal 5 2 2 8" xfId="4106" xr:uid="{00000000-0005-0000-0000-000046620000}"/>
    <cellStyle name="Normal 5 2 2 8 2" xfId="5564" xr:uid="{00000000-0005-0000-0000-000047620000}"/>
    <cellStyle name="Normal 5 2 2 8 2 2" xfId="14391" xr:uid="{00000000-0005-0000-0000-000048620000}"/>
    <cellStyle name="Normal 5 2 2 8 2 2 2" xfId="39946" xr:uid="{00000000-0005-0000-0000-000049620000}"/>
    <cellStyle name="Normal 5 2 2 8 2 3" xfId="24642" xr:uid="{00000000-0005-0000-0000-00004A620000}"/>
    <cellStyle name="Normal 5 2 2 8 2 3 2" xfId="50195" xr:uid="{00000000-0005-0000-0000-00004B620000}"/>
    <cellStyle name="Normal 5 2 2 8 2 4" xfId="31125" xr:uid="{00000000-0005-0000-0000-00004C620000}"/>
    <cellStyle name="Normal 5 2 2 8 3" xfId="7008" xr:uid="{00000000-0005-0000-0000-00004D620000}"/>
    <cellStyle name="Normal 5 2 2 8 3 2" xfId="23195" xr:uid="{00000000-0005-0000-0000-00004E620000}"/>
    <cellStyle name="Normal 5 2 2 8 3 2 2" xfId="48748" xr:uid="{00000000-0005-0000-0000-00004F620000}"/>
    <cellStyle name="Normal 5 2 2 8 3 3" xfId="32565" xr:uid="{00000000-0005-0000-0000-000050620000}"/>
    <cellStyle name="Normal 5 2 2 8 4" xfId="18188" xr:uid="{00000000-0005-0000-0000-000051620000}"/>
    <cellStyle name="Normal 5 2 2 8 4 2" xfId="43741" xr:uid="{00000000-0005-0000-0000-000052620000}"/>
    <cellStyle name="Normal 5 2 2 8 5" xfId="29678" xr:uid="{00000000-0005-0000-0000-000053620000}"/>
    <cellStyle name="Normal 5 2 2 9" xfId="1425" xr:uid="{00000000-0005-0000-0000-000054620000}"/>
    <cellStyle name="Normal 5 2 2 9 2" xfId="10802" xr:uid="{00000000-0005-0000-0000-000055620000}"/>
    <cellStyle name="Normal 5 2 2 9 2 2" xfId="36357" xr:uid="{00000000-0005-0000-0000-000056620000}"/>
    <cellStyle name="Normal 5 2 2 9 3" xfId="20806" xr:uid="{00000000-0005-0000-0000-000057620000}"/>
    <cellStyle name="Normal 5 2 2 9 3 2" xfId="46359" xr:uid="{00000000-0005-0000-0000-000058620000}"/>
    <cellStyle name="Normal 5 2 2 9 4" xfId="27289" xr:uid="{00000000-0005-0000-0000-000059620000}"/>
    <cellStyle name="Normal 5 2 2_Degree data" xfId="3840" xr:uid="{00000000-0005-0000-0000-00005A620000}"/>
    <cellStyle name="Normal 5 2 3" xfId="197" xr:uid="{00000000-0005-0000-0000-00005B620000}"/>
    <cellStyle name="Normal 5 2 4" xfId="178" xr:uid="{00000000-0005-0000-0000-00005C620000}"/>
    <cellStyle name="Normal 5 2 4 10" xfId="7126" xr:uid="{00000000-0005-0000-0000-00005D620000}"/>
    <cellStyle name="Normal 5 2 4 10 2" xfId="19635" xr:uid="{00000000-0005-0000-0000-00005E620000}"/>
    <cellStyle name="Normal 5 2 4 10 2 2" xfId="45188" xr:uid="{00000000-0005-0000-0000-00005F620000}"/>
    <cellStyle name="Normal 5 2 4 10 3" xfId="32683" xr:uid="{00000000-0005-0000-0000-000060620000}"/>
    <cellStyle name="Normal 5 2 4 11" xfId="15872" xr:uid="{00000000-0005-0000-0000-000061620000}"/>
    <cellStyle name="Normal 5 2 4 11 2" xfId="41425" xr:uid="{00000000-0005-0000-0000-000062620000}"/>
    <cellStyle name="Normal 5 2 4 12" xfId="26118" xr:uid="{00000000-0005-0000-0000-000063620000}"/>
    <cellStyle name="Normal 5 2 4 2" xfId="506" xr:uid="{00000000-0005-0000-0000-000064620000}"/>
    <cellStyle name="Normal 5 2 4 2 10" xfId="26435" xr:uid="{00000000-0005-0000-0000-000065620000}"/>
    <cellStyle name="Normal 5 2 4 2 2" xfId="791" xr:uid="{00000000-0005-0000-0000-000066620000}"/>
    <cellStyle name="Normal 5 2 4 2 2 2" xfId="3276" xr:uid="{00000000-0005-0000-0000-000067620000}"/>
    <cellStyle name="Normal 5 2 4 2 2 2 2" xfId="12418" xr:uid="{00000000-0005-0000-0000-000068620000}"/>
    <cellStyle name="Normal 5 2 4 2 2 2 2 2" xfId="22637" xr:uid="{00000000-0005-0000-0000-000069620000}"/>
    <cellStyle name="Normal 5 2 4 2 2 2 2 2 2" xfId="48190" xr:uid="{00000000-0005-0000-0000-00006A620000}"/>
    <cellStyle name="Normal 5 2 4 2 2 2 2 3" xfId="37973" xr:uid="{00000000-0005-0000-0000-00006B620000}"/>
    <cellStyle name="Normal 5 2 4 2 2 2 3" xfId="8840" xr:uid="{00000000-0005-0000-0000-00006C620000}"/>
    <cellStyle name="Normal 5 2 4 2 2 2 3 2" xfId="34397" xr:uid="{00000000-0005-0000-0000-00006D620000}"/>
    <cellStyle name="Normal 5 2 4 2 2 2 4" xfId="17630" xr:uid="{00000000-0005-0000-0000-00006E620000}"/>
    <cellStyle name="Normal 5 2 4 2 2 2 4 2" xfId="43183" xr:uid="{00000000-0005-0000-0000-00006F620000}"/>
    <cellStyle name="Normal 5 2 4 2 2 2 5" xfId="29120" xr:uid="{00000000-0005-0000-0000-000070620000}"/>
    <cellStyle name="Normal 5 2 4 2 2 3" xfId="4605" xr:uid="{00000000-0005-0000-0000-000071620000}"/>
    <cellStyle name="Normal 5 2 4 2 2 3 2" xfId="13443" xr:uid="{00000000-0005-0000-0000-000072620000}"/>
    <cellStyle name="Normal 5 2 4 2 2 3 2 2" xfId="23694" xr:uid="{00000000-0005-0000-0000-000073620000}"/>
    <cellStyle name="Normal 5 2 4 2 2 3 2 2 2" xfId="49247" xr:uid="{00000000-0005-0000-0000-000074620000}"/>
    <cellStyle name="Normal 5 2 4 2 2 3 2 3" xfId="38998" xr:uid="{00000000-0005-0000-0000-000075620000}"/>
    <cellStyle name="Normal 5 2 4 2 2 3 3" xfId="9864" xr:uid="{00000000-0005-0000-0000-000076620000}"/>
    <cellStyle name="Normal 5 2 4 2 2 3 3 2" xfId="35421" xr:uid="{00000000-0005-0000-0000-000077620000}"/>
    <cellStyle name="Normal 5 2 4 2 2 3 4" xfId="18687" xr:uid="{00000000-0005-0000-0000-000078620000}"/>
    <cellStyle name="Normal 5 2 4 2 2 3 4 2" xfId="44240" xr:uid="{00000000-0005-0000-0000-000079620000}"/>
    <cellStyle name="Normal 5 2 4 2 2 3 5" xfId="30177" xr:uid="{00000000-0005-0000-0000-00007A620000}"/>
    <cellStyle name="Normal 5 2 4 2 2 4" xfId="2385" xr:uid="{00000000-0005-0000-0000-00007B620000}"/>
    <cellStyle name="Normal 5 2 4 2 2 4 2" xfId="11750" xr:uid="{00000000-0005-0000-0000-00007C620000}"/>
    <cellStyle name="Normal 5 2 4 2 2 4 2 2" xfId="37305" xr:uid="{00000000-0005-0000-0000-00007D620000}"/>
    <cellStyle name="Normal 5 2 4 2 2 4 3" xfId="21754" xr:uid="{00000000-0005-0000-0000-00007E620000}"/>
    <cellStyle name="Normal 5 2 4 2 2 4 3 2" xfId="47307" xr:uid="{00000000-0005-0000-0000-00007F620000}"/>
    <cellStyle name="Normal 5 2 4 2 2 4 4" xfId="28237" xr:uid="{00000000-0005-0000-0000-000080620000}"/>
    <cellStyle name="Normal 5 2 4 2 2 5" xfId="6061" xr:uid="{00000000-0005-0000-0000-000081620000}"/>
    <cellStyle name="Normal 5 2 4 2 2 5 2" xfId="14888" xr:uid="{00000000-0005-0000-0000-000082620000}"/>
    <cellStyle name="Normal 5 2 4 2 2 5 2 2" xfId="40443" xr:uid="{00000000-0005-0000-0000-000083620000}"/>
    <cellStyle name="Normal 5 2 4 2 2 5 3" xfId="25139" xr:uid="{00000000-0005-0000-0000-000084620000}"/>
    <cellStyle name="Normal 5 2 4 2 2 5 3 2" xfId="50692" xr:uid="{00000000-0005-0000-0000-000085620000}"/>
    <cellStyle name="Normal 5 2 4 2 2 5 4" xfId="31622" xr:uid="{00000000-0005-0000-0000-000086620000}"/>
    <cellStyle name="Normal 5 2 4 2 2 6" xfId="7506" xr:uid="{00000000-0005-0000-0000-000087620000}"/>
    <cellStyle name="Normal 5 2 4 2 2 6 2" xfId="20236" xr:uid="{00000000-0005-0000-0000-000088620000}"/>
    <cellStyle name="Normal 5 2 4 2 2 6 2 2" xfId="45789" xr:uid="{00000000-0005-0000-0000-000089620000}"/>
    <cellStyle name="Normal 5 2 4 2 2 6 3" xfId="33063" xr:uid="{00000000-0005-0000-0000-00008A620000}"/>
    <cellStyle name="Normal 5 2 4 2 2 7" xfId="16747" xr:uid="{00000000-0005-0000-0000-00008B620000}"/>
    <cellStyle name="Normal 5 2 4 2 2 7 2" xfId="42300" xr:uid="{00000000-0005-0000-0000-00008C620000}"/>
    <cellStyle name="Normal 5 2 4 2 2 8" xfId="26719" xr:uid="{00000000-0005-0000-0000-00008D620000}"/>
    <cellStyle name="Normal 5 2 4 2 3" xfId="1278" xr:uid="{00000000-0005-0000-0000-00008E620000}"/>
    <cellStyle name="Normal 5 2 4 2 3 2" xfId="3707" xr:uid="{00000000-0005-0000-0000-00008F620000}"/>
    <cellStyle name="Normal 5 2 4 2 3 2 2" xfId="12843" xr:uid="{00000000-0005-0000-0000-000090620000}"/>
    <cellStyle name="Normal 5 2 4 2 3 2 2 2" xfId="23062" xr:uid="{00000000-0005-0000-0000-000091620000}"/>
    <cellStyle name="Normal 5 2 4 2 3 2 2 2 2" xfId="48615" xr:uid="{00000000-0005-0000-0000-000092620000}"/>
    <cellStyle name="Normal 5 2 4 2 3 2 2 3" xfId="38398" xr:uid="{00000000-0005-0000-0000-000093620000}"/>
    <cellStyle name="Normal 5 2 4 2 3 2 3" xfId="9264" xr:uid="{00000000-0005-0000-0000-000094620000}"/>
    <cellStyle name="Normal 5 2 4 2 3 2 3 2" xfId="34821" xr:uid="{00000000-0005-0000-0000-000095620000}"/>
    <cellStyle name="Normal 5 2 4 2 3 2 4" xfId="18055" xr:uid="{00000000-0005-0000-0000-000096620000}"/>
    <cellStyle name="Normal 5 2 4 2 3 2 4 2" xfId="43608" xr:uid="{00000000-0005-0000-0000-000097620000}"/>
    <cellStyle name="Normal 5 2 4 2 3 2 5" xfId="29545" xr:uid="{00000000-0005-0000-0000-000098620000}"/>
    <cellStyle name="Normal 5 2 4 2 3 3" xfId="4954" xr:uid="{00000000-0005-0000-0000-000099620000}"/>
    <cellStyle name="Normal 5 2 4 2 3 3 2" xfId="13791" xr:uid="{00000000-0005-0000-0000-00009A620000}"/>
    <cellStyle name="Normal 5 2 4 2 3 3 2 2" xfId="24042" xr:uid="{00000000-0005-0000-0000-00009B620000}"/>
    <cellStyle name="Normal 5 2 4 2 3 3 2 2 2" xfId="49595" xr:uid="{00000000-0005-0000-0000-00009C620000}"/>
    <cellStyle name="Normal 5 2 4 2 3 3 2 3" xfId="39346" xr:uid="{00000000-0005-0000-0000-00009D620000}"/>
    <cellStyle name="Normal 5 2 4 2 3 3 3" xfId="10212" xr:uid="{00000000-0005-0000-0000-00009E620000}"/>
    <cellStyle name="Normal 5 2 4 2 3 3 3 2" xfId="35769" xr:uid="{00000000-0005-0000-0000-00009F620000}"/>
    <cellStyle name="Normal 5 2 4 2 3 3 4" xfId="19035" xr:uid="{00000000-0005-0000-0000-0000A0620000}"/>
    <cellStyle name="Normal 5 2 4 2 3 3 4 2" xfId="44588" xr:uid="{00000000-0005-0000-0000-0000A1620000}"/>
    <cellStyle name="Normal 5 2 4 2 3 3 5" xfId="30525" xr:uid="{00000000-0005-0000-0000-0000A2620000}"/>
    <cellStyle name="Normal 5 2 4 2 3 4" xfId="2101" xr:uid="{00000000-0005-0000-0000-0000A3620000}"/>
    <cellStyle name="Normal 5 2 4 2 3 4 2" xfId="11466" xr:uid="{00000000-0005-0000-0000-0000A4620000}"/>
    <cellStyle name="Normal 5 2 4 2 3 4 2 2" xfId="37021" xr:uid="{00000000-0005-0000-0000-0000A5620000}"/>
    <cellStyle name="Normal 5 2 4 2 3 4 3" xfId="21470" xr:uid="{00000000-0005-0000-0000-0000A6620000}"/>
    <cellStyle name="Normal 5 2 4 2 3 4 3 2" xfId="47023" xr:uid="{00000000-0005-0000-0000-0000A7620000}"/>
    <cellStyle name="Normal 5 2 4 2 3 4 4" xfId="27953" xr:uid="{00000000-0005-0000-0000-0000A8620000}"/>
    <cellStyle name="Normal 5 2 4 2 3 5" xfId="6409" xr:uid="{00000000-0005-0000-0000-0000A9620000}"/>
    <cellStyle name="Normal 5 2 4 2 3 5 2" xfId="15236" xr:uid="{00000000-0005-0000-0000-0000AA620000}"/>
    <cellStyle name="Normal 5 2 4 2 3 5 2 2" xfId="40791" xr:uid="{00000000-0005-0000-0000-0000AB620000}"/>
    <cellStyle name="Normal 5 2 4 2 3 5 3" xfId="25487" xr:uid="{00000000-0005-0000-0000-0000AC620000}"/>
    <cellStyle name="Normal 5 2 4 2 3 5 3 2" xfId="51040" xr:uid="{00000000-0005-0000-0000-0000AD620000}"/>
    <cellStyle name="Normal 5 2 4 2 3 5 4" xfId="31970" xr:uid="{00000000-0005-0000-0000-0000AE620000}"/>
    <cellStyle name="Normal 5 2 4 2 3 6" xfId="7855" xr:uid="{00000000-0005-0000-0000-0000AF620000}"/>
    <cellStyle name="Normal 5 2 4 2 3 6 2" xfId="20661" xr:uid="{00000000-0005-0000-0000-0000B0620000}"/>
    <cellStyle name="Normal 5 2 4 2 3 6 2 2" xfId="46214" xr:uid="{00000000-0005-0000-0000-0000B1620000}"/>
    <cellStyle name="Normal 5 2 4 2 3 6 3" xfId="33412" xr:uid="{00000000-0005-0000-0000-0000B2620000}"/>
    <cellStyle name="Normal 5 2 4 2 3 7" xfId="16463" xr:uid="{00000000-0005-0000-0000-0000B3620000}"/>
    <cellStyle name="Normal 5 2 4 2 3 7 2" xfId="42016" xr:uid="{00000000-0005-0000-0000-0000B4620000}"/>
    <cellStyle name="Normal 5 2 4 2 3 8" xfId="27144" xr:uid="{00000000-0005-0000-0000-0000B5620000}"/>
    <cellStyle name="Normal 5 2 4 2 4" xfId="2992" xr:uid="{00000000-0005-0000-0000-0000B6620000}"/>
    <cellStyle name="Normal 5 2 4 2 4 2" xfId="5370" xr:uid="{00000000-0005-0000-0000-0000B7620000}"/>
    <cellStyle name="Normal 5 2 4 2 4 2 2" xfId="14207" xr:uid="{00000000-0005-0000-0000-0000B8620000}"/>
    <cellStyle name="Normal 5 2 4 2 4 2 2 2" xfId="24458" xr:uid="{00000000-0005-0000-0000-0000B9620000}"/>
    <cellStyle name="Normal 5 2 4 2 4 2 2 2 2" xfId="50011" xr:uid="{00000000-0005-0000-0000-0000BA620000}"/>
    <cellStyle name="Normal 5 2 4 2 4 2 2 3" xfId="39762" xr:uid="{00000000-0005-0000-0000-0000BB620000}"/>
    <cellStyle name="Normal 5 2 4 2 4 2 3" xfId="10628" xr:uid="{00000000-0005-0000-0000-0000BC620000}"/>
    <cellStyle name="Normal 5 2 4 2 4 2 3 2" xfId="36185" xr:uid="{00000000-0005-0000-0000-0000BD620000}"/>
    <cellStyle name="Normal 5 2 4 2 4 2 4" xfId="19451" xr:uid="{00000000-0005-0000-0000-0000BE620000}"/>
    <cellStyle name="Normal 5 2 4 2 4 2 4 2" xfId="45004" xr:uid="{00000000-0005-0000-0000-0000BF620000}"/>
    <cellStyle name="Normal 5 2 4 2 4 2 5" xfId="30941" xr:uid="{00000000-0005-0000-0000-0000C0620000}"/>
    <cellStyle name="Normal 5 2 4 2 4 3" xfId="6825" xr:uid="{00000000-0005-0000-0000-0000C1620000}"/>
    <cellStyle name="Normal 5 2 4 2 4 3 2" xfId="15652" xr:uid="{00000000-0005-0000-0000-0000C2620000}"/>
    <cellStyle name="Normal 5 2 4 2 4 3 2 2" xfId="41207" xr:uid="{00000000-0005-0000-0000-0000C3620000}"/>
    <cellStyle name="Normal 5 2 4 2 4 3 3" xfId="25903" xr:uid="{00000000-0005-0000-0000-0000C4620000}"/>
    <cellStyle name="Normal 5 2 4 2 4 3 3 2" xfId="51456" xr:uid="{00000000-0005-0000-0000-0000C5620000}"/>
    <cellStyle name="Normal 5 2 4 2 4 3 4" xfId="32386" xr:uid="{00000000-0005-0000-0000-0000C6620000}"/>
    <cellStyle name="Normal 5 2 4 2 4 4" xfId="8271" xr:uid="{00000000-0005-0000-0000-0000C7620000}"/>
    <cellStyle name="Normal 5 2 4 2 4 4 2" xfId="22353" xr:uid="{00000000-0005-0000-0000-0000C8620000}"/>
    <cellStyle name="Normal 5 2 4 2 4 4 2 2" xfId="47906" xr:uid="{00000000-0005-0000-0000-0000C9620000}"/>
    <cellStyle name="Normal 5 2 4 2 4 4 3" xfId="33828" xr:uid="{00000000-0005-0000-0000-0000CA620000}"/>
    <cellStyle name="Normal 5 2 4 2 4 5" xfId="17346" xr:uid="{00000000-0005-0000-0000-0000CB620000}"/>
    <cellStyle name="Normal 5 2 4 2 4 5 2" xfId="42899" xr:uid="{00000000-0005-0000-0000-0000CC620000}"/>
    <cellStyle name="Normal 5 2 4 2 4 6" xfId="28836" xr:uid="{00000000-0005-0000-0000-0000CD620000}"/>
    <cellStyle name="Normal 5 2 4 2 5" xfId="4326" xr:uid="{00000000-0005-0000-0000-0000CE620000}"/>
    <cellStyle name="Normal 5 2 4 2 5 2" xfId="13164" xr:uid="{00000000-0005-0000-0000-0000CF620000}"/>
    <cellStyle name="Normal 5 2 4 2 5 2 2" xfId="23415" xr:uid="{00000000-0005-0000-0000-0000D0620000}"/>
    <cellStyle name="Normal 5 2 4 2 5 2 2 2" xfId="48968" xr:uid="{00000000-0005-0000-0000-0000D1620000}"/>
    <cellStyle name="Normal 5 2 4 2 5 2 3" xfId="38719" xr:uid="{00000000-0005-0000-0000-0000D2620000}"/>
    <cellStyle name="Normal 5 2 4 2 5 3" xfId="9585" xr:uid="{00000000-0005-0000-0000-0000D3620000}"/>
    <cellStyle name="Normal 5 2 4 2 5 3 2" xfId="35142" xr:uid="{00000000-0005-0000-0000-0000D4620000}"/>
    <cellStyle name="Normal 5 2 4 2 5 4" xfId="18408" xr:uid="{00000000-0005-0000-0000-0000D5620000}"/>
    <cellStyle name="Normal 5 2 4 2 5 4 2" xfId="43961" xr:uid="{00000000-0005-0000-0000-0000D6620000}"/>
    <cellStyle name="Normal 5 2 4 2 5 5" xfId="29898" xr:uid="{00000000-0005-0000-0000-0000D7620000}"/>
    <cellStyle name="Normal 5 2 4 2 6" xfId="1598" xr:uid="{00000000-0005-0000-0000-0000D8620000}"/>
    <cellStyle name="Normal 5 2 4 2 6 2" xfId="10975" xr:uid="{00000000-0005-0000-0000-0000D9620000}"/>
    <cellStyle name="Normal 5 2 4 2 6 2 2" xfId="36530" xr:uid="{00000000-0005-0000-0000-0000DA620000}"/>
    <cellStyle name="Normal 5 2 4 2 6 3" xfId="20979" xr:uid="{00000000-0005-0000-0000-0000DB620000}"/>
    <cellStyle name="Normal 5 2 4 2 6 3 2" xfId="46532" xr:uid="{00000000-0005-0000-0000-0000DC620000}"/>
    <cellStyle name="Normal 5 2 4 2 6 4" xfId="27462" xr:uid="{00000000-0005-0000-0000-0000DD620000}"/>
    <cellStyle name="Normal 5 2 4 2 7" xfId="5782" xr:uid="{00000000-0005-0000-0000-0000DE620000}"/>
    <cellStyle name="Normal 5 2 4 2 7 2" xfId="14609" xr:uid="{00000000-0005-0000-0000-0000DF620000}"/>
    <cellStyle name="Normal 5 2 4 2 7 2 2" xfId="40164" xr:uid="{00000000-0005-0000-0000-0000E0620000}"/>
    <cellStyle name="Normal 5 2 4 2 7 3" xfId="24860" xr:uid="{00000000-0005-0000-0000-0000E1620000}"/>
    <cellStyle name="Normal 5 2 4 2 7 3 2" xfId="50413" xr:uid="{00000000-0005-0000-0000-0000E2620000}"/>
    <cellStyle name="Normal 5 2 4 2 7 4" xfId="31343" xr:uid="{00000000-0005-0000-0000-0000E3620000}"/>
    <cellStyle name="Normal 5 2 4 2 8" xfId="7226" xr:uid="{00000000-0005-0000-0000-0000E4620000}"/>
    <cellStyle name="Normal 5 2 4 2 8 2" xfId="19952" xr:uid="{00000000-0005-0000-0000-0000E5620000}"/>
    <cellStyle name="Normal 5 2 4 2 8 2 2" xfId="45505" xr:uid="{00000000-0005-0000-0000-0000E6620000}"/>
    <cellStyle name="Normal 5 2 4 2 8 3" xfId="32783" xr:uid="{00000000-0005-0000-0000-0000E7620000}"/>
    <cellStyle name="Normal 5 2 4 2 9" xfId="15972" xr:uid="{00000000-0005-0000-0000-0000E8620000}"/>
    <cellStyle name="Normal 5 2 4 2 9 2" xfId="41525" xr:uid="{00000000-0005-0000-0000-0000E9620000}"/>
    <cellStyle name="Normal 5 2 4 2_Degree data" xfId="3832" xr:uid="{00000000-0005-0000-0000-0000EA620000}"/>
    <cellStyle name="Normal 5 2 4 3" xfId="406" xr:uid="{00000000-0005-0000-0000-0000EB620000}"/>
    <cellStyle name="Normal 5 2 4 3 2" xfId="2892" xr:uid="{00000000-0005-0000-0000-0000EC620000}"/>
    <cellStyle name="Normal 5 2 4 3 2 2" xfId="12180" xr:uid="{00000000-0005-0000-0000-0000ED620000}"/>
    <cellStyle name="Normal 5 2 4 3 2 2 2" xfId="22253" xr:uid="{00000000-0005-0000-0000-0000EE620000}"/>
    <cellStyle name="Normal 5 2 4 3 2 2 2 2" xfId="47806" xr:uid="{00000000-0005-0000-0000-0000EF620000}"/>
    <cellStyle name="Normal 5 2 4 3 2 2 3" xfId="37735" xr:uid="{00000000-0005-0000-0000-0000F0620000}"/>
    <cellStyle name="Normal 5 2 4 3 2 3" xfId="8514" xr:uid="{00000000-0005-0000-0000-0000F1620000}"/>
    <cellStyle name="Normal 5 2 4 3 2 3 2" xfId="34071" xr:uid="{00000000-0005-0000-0000-0000F2620000}"/>
    <cellStyle name="Normal 5 2 4 3 2 4" xfId="17246" xr:uid="{00000000-0005-0000-0000-0000F3620000}"/>
    <cellStyle name="Normal 5 2 4 3 2 4 2" xfId="42799" xr:uid="{00000000-0005-0000-0000-0000F4620000}"/>
    <cellStyle name="Normal 5 2 4 3 2 5" xfId="28736" xr:uid="{00000000-0005-0000-0000-0000F5620000}"/>
    <cellStyle name="Normal 5 2 4 3 3" xfId="4604" xr:uid="{00000000-0005-0000-0000-0000F6620000}"/>
    <cellStyle name="Normal 5 2 4 3 3 2" xfId="13442" xr:uid="{00000000-0005-0000-0000-0000F7620000}"/>
    <cellStyle name="Normal 5 2 4 3 3 2 2" xfId="23693" xr:uid="{00000000-0005-0000-0000-0000F8620000}"/>
    <cellStyle name="Normal 5 2 4 3 3 2 2 2" xfId="49246" xr:uid="{00000000-0005-0000-0000-0000F9620000}"/>
    <cellStyle name="Normal 5 2 4 3 3 2 3" xfId="38997" xr:uid="{00000000-0005-0000-0000-0000FA620000}"/>
    <cellStyle name="Normal 5 2 4 3 3 3" xfId="9863" xr:uid="{00000000-0005-0000-0000-0000FB620000}"/>
    <cellStyle name="Normal 5 2 4 3 3 3 2" xfId="35420" xr:uid="{00000000-0005-0000-0000-0000FC620000}"/>
    <cellStyle name="Normal 5 2 4 3 3 4" xfId="18686" xr:uid="{00000000-0005-0000-0000-0000FD620000}"/>
    <cellStyle name="Normal 5 2 4 3 3 4 2" xfId="44239" xr:uid="{00000000-0005-0000-0000-0000FE620000}"/>
    <cellStyle name="Normal 5 2 4 3 3 5" xfId="30176" xr:uid="{00000000-0005-0000-0000-0000FF620000}"/>
    <cellStyle name="Normal 5 2 4 3 4" xfId="2001" xr:uid="{00000000-0005-0000-0000-000000630000}"/>
    <cellStyle name="Normal 5 2 4 3 4 2" xfId="11366" xr:uid="{00000000-0005-0000-0000-000001630000}"/>
    <cellStyle name="Normal 5 2 4 3 4 2 2" xfId="36921" xr:uid="{00000000-0005-0000-0000-000002630000}"/>
    <cellStyle name="Normal 5 2 4 3 4 3" xfId="21370" xr:uid="{00000000-0005-0000-0000-000003630000}"/>
    <cellStyle name="Normal 5 2 4 3 4 3 2" xfId="46923" xr:uid="{00000000-0005-0000-0000-000004630000}"/>
    <cellStyle name="Normal 5 2 4 3 4 4" xfId="27853" xr:uid="{00000000-0005-0000-0000-000005630000}"/>
    <cellStyle name="Normal 5 2 4 3 5" xfId="6060" xr:uid="{00000000-0005-0000-0000-000006630000}"/>
    <cellStyle name="Normal 5 2 4 3 5 2" xfId="14887" xr:uid="{00000000-0005-0000-0000-000007630000}"/>
    <cellStyle name="Normal 5 2 4 3 5 2 2" xfId="40442" xr:uid="{00000000-0005-0000-0000-000008630000}"/>
    <cellStyle name="Normal 5 2 4 3 5 3" xfId="25138" xr:uid="{00000000-0005-0000-0000-000009630000}"/>
    <cellStyle name="Normal 5 2 4 3 5 3 2" xfId="50691" xr:uid="{00000000-0005-0000-0000-00000A630000}"/>
    <cellStyle name="Normal 5 2 4 3 5 4" xfId="31621" xr:uid="{00000000-0005-0000-0000-00000B630000}"/>
    <cellStyle name="Normal 5 2 4 3 6" xfId="7505" xr:uid="{00000000-0005-0000-0000-00000C630000}"/>
    <cellStyle name="Normal 5 2 4 3 6 2" xfId="19852" xr:uid="{00000000-0005-0000-0000-00000D630000}"/>
    <cellStyle name="Normal 5 2 4 3 6 2 2" xfId="45405" xr:uid="{00000000-0005-0000-0000-00000E630000}"/>
    <cellStyle name="Normal 5 2 4 3 6 3" xfId="33062" xr:uid="{00000000-0005-0000-0000-00000F630000}"/>
    <cellStyle name="Normal 5 2 4 3 7" xfId="16363" xr:uid="{00000000-0005-0000-0000-000010630000}"/>
    <cellStyle name="Normal 5 2 4 3 7 2" xfId="41916" xr:uid="{00000000-0005-0000-0000-000011630000}"/>
    <cellStyle name="Normal 5 2 4 3 8" xfId="26335" xr:uid="{00000000-0005-0000-0000-000012630000}"/>
    <cellStyle name="Normal 5 2 4 4" xfId="790" xr:uid="{00000000-0005-0000-0000-000013630000}"/>
    <cellStyle name="Normal 5 2 4 4 2" xfId="3275" xr:uid="{00000000-0005-0000-0000-000014630000}"/>
    <cellStyle name="Normal 5 2 4 4 2 2" xfId="12417" xr:uid="{00000000-0005-0000-0000-000015630000}"/>
    <cellStyle name="Normal 5 2 4 4 2 2 2" xfId="22636" xr:uid="{00000000-0005-0000-0000-000016630000}"/>
    <cellStyle name="Normal 5 2 4 4 2 2 2 2" xfId="48189" xr:uid="{00000000-0005-0000-0000-000017630000}"/>
    <cellStyle name="Normal 5 2 4 4 2 2 3" xfId="37972" xr:uid="{00000000-0005-0000-0000-000018630000}"/>
    <cellStyle name="Normal 5 2 4 4 2 3" xfId="8839" xr:uid="{00000000-0005-0000-0000-000019630000}"/>
    <cellStyle name="Normal 5 2 4 4 2 3 2" xfId="34396" xr:uid="{00000000-0005-0000-0000-00001A630000}"/>
    <cellStyle name="Normal 5 2 4 4 2 4" xfId="17629" xr:uid="{00000000-0005-0000-0000-00001B630000}"/>
    <cellStyle name="Normal 5 2 4 4 2 4 2" xfId="43182" xr:uid="{00000000-0005-0000-0000-00001C630000}"/>
    <cellStyle name="Normal 5 2 4 4 2 5" xfId="29119" xr:uid="{00000000-0005-0000-0000-00001D630000}"/>
    <cellStyle name="Normal 5 2 4 4 3" xfId="4953" xr:uid="{00000000-0005-0000-0000-00001E630000}"/>
    <cellStyle name="Normal 5 2 4 4 3 2" xfId="13790" xr:uid="{00000000-0005-0000-0000-00001F630000}"/>
    <cellStyle name="Normal 5 2 4 4 3 2 2" xfId="24041" xr:uid="{00000000-0005-0000-0000-000020630000}"/>
    <cellStyle name="Normal 5 2 4 4 3 2 2 2" xfId="49594" xr:uid="{00000000-0005-0000-0000-000021630000}"/>
    <cellStyle name="Normal 5 2 4 4 3 2 3" xfId="39345" xr:uid="{00000000-0005-0000-0000-000022630000}"/>
    <cellStyle name="Normal 5 2 4 4 3 3" xfId="10211" xr:uid="{00000000-0005-0000-0000-000023630000}"/>
    <cellStyle name="Normal 5 2 4 4 3 3 2" xfId="35768" xr:uid="{00000000-0005-0000-0000-000024630000}"/>
    <cellStyle name="Normal 5 2 4 4 3 4" xfId="19034" xr:uid="{00000000-0005-0000-0000-000025630000}"/>
    <cellStyle name="Normal 5 2 4 4 3 4 2" xfId="44587" xr:uid="{00000000-0005-0000-0000-000026630000}"/>
    <cellStyle name="Normal 5 2 4 4 3 5" xfId="30524" xr:uid="{00000000-0005-0000-0000-000027630000}"/>
    <cellStyle name="Normal 5 2 4 4 4" xfId="2384" xr:uid="{00000000-0005-0000-0000-000028630000}"/>
    <cellStyle name="Normal 5 2 4 4 4 2" xfId="11749" xr:uid="{00000000-0005-0000-0000-000029630000}"/>
    <cellStyle name="Normal 5 2 4 4 4 2 2" xfId="37304" xr:uid="{00000000-0005-0000-0000-00002A630000}"/>
    <cellStyle name="Normal 5 2 4 4 4 3" xfId="21753" xr:uid="{00000000-0005-0000-0000-00002B630000}"/>
    <cellStyle name="Normal 5 2 4 4 4 3 2" xfId="47306" xr:uid="{00000000-0005-0000-0000-00002C630000}"/>
    <cellStyle name="Normal 5 2 4 4 4 4" xfId="28236" xr:uid="{00000000-0005-0000-0000-00002D630000}"/>
    <cellStyle name="Normal 5 2 4 4 5" xfId="6408" xr:uid="{00000000-0005-0000-0000-00002E630000}"/>
    <cellStyle name="Normal 5 2 4 4 5 2" xfId="15235" xr:uid="{00000000-0005-0000-0000-00002F630000}"/>
    <cellStyle name="Normal 5 2 4 4 5 2 2" xfId="40790" xr:uid="{00000000-0005-0000-0000-000030630000}"/>
    <cellStyle name="Normal 5 2 4 4 5 3" xfId="25486" xr:uid="{00000000-0005-0000-0000-000031630000}"/>
    <cellStyle name="Normal 5 2 4 4 5 3 2" xfId="51039" xr:uid="{00000000-0005-0000-0000-000032630000}"/>
    <cellStyle name="Normal 5 2 4 4 5 4" xfId="31969" xr:uid="{00000000-0005-0000-0000-000033630000}"/>
    <cellStyle name="Normal 5 2 4 4 6" xfId="7854" xr:uid="{00000000-0005-0000-0000-000034630000}"/>
    <cellStyle name="Normal 5 2 4 4 6 2" xfId="20235" xr:uid="{00000000-0005-0000-0000-000035630000}"/>
    <cellStyle name="Normal 5 2 4 4 6 2 2" xfId="45788" xr:uid="{00000000-0005-0000-0000-000036630000}"/>
    <cellStyle name="Normal 5 2 4 4 6 3" xfId="33411" xr:uid="{00000000-0005-0000-0000-000037630000}"/>
    <cellStyle name="Normal 5 2 4 4 7" xfId="16746" xr:uid="{00000000-0005-0000-0000-000038630000}"/>
    <cellStyle name="Normal 5 2 4 4 7 2" xfId="42299" xr:uid="{00000000-0005-0000-0000-000039630000}"/>
    <cellStyle name="Normal 5 2 4 4 8" xfId="26718" xr:uid="{00000000-0005-0000-0000-00003A630000}"/>
    <cellStyle name="Normal 5 2 4 5" xfId="1178" xr:uid="{00000000-0005-0000-0000-00003B630000}"/>
    <cellStyle name="Normal 5 2 4 5 2" xfId="3607" xr:uid="{00000000-0005-0000-0000-00003C630000}"/>
    <cellStyle name="Normal 5 2 4 5 2 2" xfId="12743" xr:uid="{00000000-0005-0000-0000-00003D630000}"/>
    <cellStyle name="Normal 5 2 4 5 2 2 2" xfId="22962" xr:uid="{00000000-0005-0000-0000-00003E630000}"/>
    <cellStyle name="Normal 5 2 4 5 2 2 2 2" xfId="48515" xr:uid="{00000000-0005-0000-0000-00003F630000}"/>
    <cellStyle name="Normal 5 2 4 5 2 2 3" xfId="38298" xr:uid="{00000000-0005-0000-0000-000040630000}"/>
    <cellStyle name="Normal 5 2 4 5 2 3" xfId="9164" xr:uid="{00000000-0005-0000-0000-000041630000}"/>
    <cellStyle name="Normal 5 2 4 5 2 3 2" xfId="34721" xr:uid="{00000000-0005-0000-0000-000042630000}"/>
    <cellStyle name="Normal 5 2 4 5 2 4" xfId="17955" xr:uid="{00000000-0005-0000-0000-000043630000}"/>
    <cellStyle name="Normal 5 2 4 5 2 4 2" xfId="43508" xr:uid="{00000000-0005-0000-0000-000044630000}"/>
    <cellStyle name="Normal 5 2 4 5 2 5" xfId="29445" xr:uid="{00000000-0005-0000-0000-000045630000}"/>
    <cellStyle name="Normal 5 2 4 5 3" xfId="5270" xr:uid="{00000000-0005-0000-0000-000046630000}"/>
    <cellStyle name="Normal 5 2 4 5 3 2" xfId="14107" xr:uid="{00000000-0005-0000-0000-000047630000}"/>
    <cellStyle name="Normal 5 2 4 5 3 2 2" xfId="24358" xr:uid="{00000000-0005-0000-0000-000048630000}"/>
    <cellStyle name="Normal 5 2 4 5 3 2 2 2" xfId="49911" xr:uid="{00000000-0005-0000-0000-000049630000}"/>
    <cellStyle name="Normal 5 2 4 5 3 2 3" xfId="39662" xr:uid="{00000000-0005-0000-0000-00004A630000}"/>
    <cellStyle name="Normal 5 2 4 5 3 3" xfId="10528" xr:uid="{00000000-0005-0000-0000-00004B630000}"/>
    <cellStyle name="Normal 5 2 4 5 3 3 2" xfId="36085" xr:uid="{00000000-0005-0000-0000-00004C630000}"/>
    <cellStyle name="Normal 5 2 4 5 3 4" xfId="19351" xr:uid="{00000000-0005-0000-0000-00004D630000}"/>
    <cellStyle name="Normal 5 2 4 5 3 4 2" xfId="44904" xr:uid="{00000000-0005-0000-0000-00004E630000}"/>
    <cellStyle name="Normal 5 2 4 5 3 5" xfId="30841" xr:uid="{00000000-0005-0000-0000-00004F630000}"/>
    <cellStyle name="Normal 5 2 4 5 4" xfId="1780" xr:uid="{00000000-0005-0000-0000-000050630000}"/>
    <cellStyle name="Normal 5 2 4 5 4 2" xfId="11149" xr:uid="{00000000-0005-0000-0000-000051630000}"/>
    <cellStyle name="Normal 5 2 4 5 4 2 2" xfId="36704" xr:uid="{00000000-0005-0000-0000-000052630000}"/>
    <cellStyle name="Normal 5 2 4 5 4 3" xfId="21153" xr:uid="{00000000-0005-0000-0000-000053630000}"/>
    <cellStyle name="Normal 5 2 4 5 4 3 2" xfId="46706" xr:uid="{00000000-0005-0000-0000-000054630000}"/>
    <cellStyle name="Normal 5 2 4 5 4 4" xfId="27636" xr:uid="{00000000-0005-0000-0000-000055630000}"/>
    <cellStyle name="Normal 5 2 4 5 5" xfId="6725" xr:uid="{00000000-0005-0000-0000-000056630000}"/>
    <cellStyle name="Normal 5 2 4 5 5 2" xfId="15552" xr:uid="{00000000-0005-0000-0000-000057630000}"/>
    <cellStyle name="Normal 5 2 4 5 5 2 2" xfId="41107" xr:uid="{00000000-0005-0000-0000-000058630000}"/>
    <cellStyle name="Normal 5 2 4 5 5 3" xfId="25803" xr:uid="{00000000-0005-0000-0000-000059630000}"/>
    <cellStyle name="Normal 5 2 4 5 5 3 2" xfId="51356" xr:uid="{00000000-0005-0000-0000-00005A630000}"/>
    <cellStyle name="Normal 5 2 4 5 5 4" xfId="32286" xr:uid="{00000000-0005-0000-0000-00005B630000}"/>
    <cellStyle name="Normal 5 2 4 5 6" xfId="8171" xr:uid="{00000000-0005-0000-0000-00005C630000}"/>
    <cellStyle name="Normal 5 2 4 5 6 2" xfId="20561" xr:uid="{00000000-0005-0000-0000-00005D630000}"/>
    <cellStyle name="Normal 5 2 4 5 6 2 2" xfId="46114" xr:uid="{00000000-0005-0000-0000-00005E630000}"/>
    <cellStyle name="Normal 5 2 4 5 6 3" xfId="33728" xr:uid="{00000000-0005-0000-0000-00005F630000}"/>
    <cellStyle name="Normal 5 2 4 5 7" xfId="16146" xr:uid="{00000000-0005-0000-0000-000060630000}"/>
    <cellStyle name="Normal 5 2 4 5 7 2" xfId="41699" xr:uid="{00000000-0005-0000-0000-000061630000}"/>
    <cellStyle name="Normal 5 2 4 5 8" xfId="27044" xr:uid="{00000000-0005-0000-0000-000062630000}"/>
    <cellStyle name="Normal 5 2 4 6" xfId="2675" xr:uid="{00000000-0005-0000-0000-000063630000}"/>
    <cellStyle name="Normal 5 2 4 6 2" xfId="11992" xr:uid="{00000000-0005-0000-0000-000064630000}"/>
    <cellStyle name="Normal 5 2 4 6 2 2" xfId="22036" xr:uid="{00000000-0005-0000-0000-000065630000}"/>
    <cellStyle name="Normal 5 2 4 6 2 2 2" xfId="47589" xr:uid="{00000000-0005-0000-0000-000066630000}"/>
    <cellStyle name="Normal 5 2 4 6 2 3" xfId="37547" xr:uid="{00000000-0005-0000-0000-000067630000}"/>
    <cellStyle name="Normal 5 2 4 6 3" xfId="8552" xr:uid="{00000000-0005-0000-0000-000068630000}"/>
    <cellStyle name="Normal 5 2 4 6 3 2" xfId="34109" xr:uid="{00000000-0005-0000-0000-000069630000}"/>
    <cellStyle name="Normal 5 2 4 6 4" xfId="17029" xr:uid="{00000000-0005-0000-0000-00006A630000}"/>
    <cellStyle name="Normal 5 2 4 6 4 2" xfId="42582" xr:uid="{00000000-0005-0000-0000-00006B630000}"/>
    <cellStyle name="Normal 5 2 4 6 5" xfId="28519" xr:uid="{00000000-0005-0000-0000-00006C630000}"/>
    <cellStyle name="Normal 5 2 4 7" xfId="4226" xr:uid="{00000000-0005-0000-0000-00006D630000}"/>
    <cellStyle name="Normal 5 2 4 7 2" xfId="13064" xr:uid="{00000000-0005-0000-0000-00006E630000}"/>
    <cellStyle name="Normal 5 2 4 7 2 2" xfId="23315" xr:uid="{00000000-0005-0000-0000-00006F630000}"/>
    <cellStyle name="Normal 5 2 4 7 2 2 2" xfId="48868" xr:uid="{00000000-0005-0000-0000-000070630000}"/>
    <cellStyle name="Normal 5 2 4 7 2 3" xfId="38619" xr:uid="{00000000-0005-0000-0000-000071630000}"/>
    <cellStyle name="Normal 5 2 4 7 3" xfId="9485" xr:uid="{00000000-0005-0000-0000-000072630000}"/>
    <cellStyle name="Normal 5 2 4 7 3 2" xfId="35042" xr:uid="{00000000-0005-0000-0000-000073630000}"/>
    <cellStyle name="Normal 5 2 4 7 4" xfId="18308" xr:uid="{00000000-0005-0000-0000-000074630000}"/>
    <cellStyle name="Normal 5 2 4 7 4 2" xfId="43861" xr:uid="{00000000-0005-0000-0000-000075630000}"/>
    <cellStyle name="Normal 5 2 4 7 5" xfId="29798" xr:uid="{00000000-0005-0000-0000-000076630000}"/>
    <cellStyle name="Normal 5 2 4 8" xfId="1498" xr:uid="{00000000-0005-0000-0000-000077630000}"/>
    <cellStyle name="Normal 5 2 4 8 2" xfId="10875" xr:uid="{00000000-0005-0000-0000-000078630000}"/>
    <cellStyle name="Normal 5 2 4 8 2 2" xfId="36430" xr:uid="{00000000-0005-0000-0000-000079630000}"/>
    <cellStyle name="Normal 5 2 4 8 3" xfId="20879" xr:uid="{00000000-0005-0000-0000-00007A630000}"/>
    <cellStyle name="Normal 5 2 4 8 3 2" xfId="46432" xr:uid="{00000000-0005-0000-0000-00007B630000}"/>
    <cellStyle name="Normal 5 2 4 8 4" xfId="27362" xr:uid="{00000000-0005-0000-0000-00007C630000}"/>
    <cellStyle name="Normal 5 2 4 9" xfId="5682" xr:uid="{00000000-0005-0000-0000-00007D630000}"/>
    <cellStyle name="Normal 5 2 4 9 2" xfId="14509" xr:uid="{00000000-0005-0000-0000-00007E630000}"/>
    <cellStyle name="Normal 5 2 4 9 2 2" xfId="40064" xr:uid="{00000000-0005-0000-0000-00007F630000}"/>
    <cellStyle name="Normal 5 2 4 9 3" xfId="24760" xr:uid="{00000000-0005-0000-0000-000080630000}"/>
    <cellStyle name="Normal 5 2 4 9 3 2" xfId="50313" xr:uid="{00000000-0005-0000-0000-000081630000}"/>
    <cellStyle name="Normal 5 2 4 9 4" xfId="31243" xr:uid="{00000000-0005-0000-0000-000082630000}"/>
    <cellStyle name="Normal 5 2 4_Degree data" xfId="3872" xr:uid="{00000000-0005-0000-0000-000083630000}"/>
    <cellStyle name="Normal 5 2 5" xfId="233" xr:uid="{00000000-0005-0000-0000-000084630000}"/>
    <cellStyle name="Normal 5 2 5 10" xfId="7071" xr:uid="{00000000-0005-0000-0000-000085630000}"/>
    <cellStyle name="Normal 5 2 5 10 2" xfId="19685" xr:uid="{00000000-0005-0000-0000-000086630000}"/>
    <cellStyle name="Normal 5 2 5 10 2 2" xfId="45238" xr:uid="{00000000-0005-0000-0000-000087630000}"/>
    <cellStyle name="Normal 5 2 5 10 3" xfId="32628" xr:uid="{00000000-0005-0000-0000-000088630000}"/>
    <cellStyle name="Normal 5 2 5 11" xfId="15817" xr:uid="{00000000-0005-0000-0000-000089630000}"/>
    <cellStyle name="Normal 5 2 5 11 2" xfId="41370" xr:uid="{00000000-0005-0000-0000-00008A630000}"/>
    <cellStyle name="Normal 5 2 5 12" xfId="26168" xr:uid="{00000000-0005-0000-0000-00008B630000}"/>
    <cellStyle name="Normal 5 2 5 2" xfId="556" xr:uid="{00000000-0005-0000-0000-00008C630000}"/>
    <cellStyle name="Normal 5 2 5 2 10" xfId="26485" xr:uid="{00000000-0005-0000-0000-00008D630000}"/>
    <cellStyle name="Normal 5 2 5 2 2" xfId="793" xr:uid="{00000000-0005-0000-0000-00008E630000}"/>
    <cellStyle name="Normal 5 2 5 2 2 2" xfId="3278" xr:uid="{00000000-0005-0000-0000-00008F630000}"/>
    <cellStyle name="Normal 5 2 5 2 2 2 2" xfId="12420" xr:uid="{00000000-0005-0000-0000-000090630000}"/>
    <cellStyle name="Normal 5 2 5 2 2 2 2 2" xfId="22639" xr:uid="{00000000-0005-0000-0000-000091630000}"/>
    <cellStyle name="Normal 5 2 5 2 2 2 2 2 2" xfId="48192" xr:uid="{00000000-0005-0000-0000-000092630000}"/>
    <cellStyle name="Normal 5 2 5 2 2 2 2 3" xfId="37975" xr:uid="{00000000-0005-0000-0000-000093630000}"/>
    <cellStyle name="Normal 5 2 5 2 2 2 3" xfId="8842" xr:uid="{00000000-0005-0000-0000-000094630000}"/>
    <cellStyle name="Normal 5 2 5 2 2 2 3 2" xfId="34399" xr:uid="{00000000-0005-0000-0000-000095630000}"/>
    <cellStyle name="Normal 5 2 5 2 2 2 4" xfId="17632" xr:uid="{00000000-0005-0000-0000-000096630000}"/>
    <cellStyle name="Normal 5 2 5 2 2 2 4 2" xfId="43185" xr:uid="{00000000-0005-0000-0000-000097630000}"/>
    <cellStyle name="Normal 5 2 5 2 2 2 5" xfId="29122" xr:uid="{00000000-0005-0000-0000-000098630000}"/>
    <cellStyle name="Normal 5 2 5 2 2 3" xfId="4607" xr:uid="{00000000-0005-0000-0000-000099630000}"/>
    <cellStyle name="Normal 5 2 5 2 2 3 2" xfId="13445" xr:uid="{00000000-0005-0000-0000-00009A630000}"/>
    <cellStyle name="Normal 5 2 5 2 2 3 2 2" xfId="23696" xr:uid="{00000000-0005-0000-0000-00009B630000}"/>
    <cellStyle name="Normal 5 2 5 2 2 3 2 2 2" xfId="49249" xr:uid="{00000000-0005-0000-0000-00009C630000}"/>
    <cellStyle name="Normal 5 2 5 2 2 3 2 3" xfId="39000" xr:uid="{00000000-0005-0000-0000-00009D630000}"/>
    <cellStyle name="Normal 5 2 5 2 2 3 3" xfId="9866" xr:uid="{00000000-0005-0000-0000-00009E630000}"/>
    <cellStyle name="Normal 5 2 5 2 2 3 3 2" xfId="35423" xr:uid="{00000000-0005-0000-0000-00009F630000}"/>
    <cellStyle name="Normal 5 2 5 2 2 3 4" xfId="18689" xr:uid="{00000000-0005-0000-0000-0000A0630000}"/>
    <cellStyle name="Normal 5 2 5 2 2 3 4 2" xfId="44242" xr:uid="{00000000-0005-0000-0000-0000A1630000}"/>
    <cellStyle name="Normal 5 2 5 2 2 3 5" xfId="30179" xr:uid="{00000000-0005-0000-0000-0000A2630000}"/>
    <cellStyle name="Normal 5 2 5 2 2 4" xfId="2387" xr:uid="{00000000-0005-0000-0000-0000A3630000}"/>
    <cellStyle name="Normal 5 2 5 2 2 4 2" xfId="11752" xr:uid="{00000000-0005-0000-0000-0000A4630000}"/>
    <cellStyle name="Normal 5 2 5 2 2 4 2 2" xfId="37307" xr:uid="{00000000-0005-0000-0000-0000A5630000}"/>
    <cellStyle name="Normal 5 2 5 2 2 4 3" xfId="21756" xr:uid="{00000000-0005-0000-0000-0000A6630000}"/>
    <cellStyle name="Normal 5 2 5 2 2 4 3 2" xfId="47309" xr:uid="{00000000-0005-0000-0000-0000A7630000}"/>
    <cellStyle name="Normal 5 2 5 2 2 4 4" xfId="28239" xr:uid="{00000000-0005-0000-0000-0000A8630000}"/>
    <cellStyle name="Normal 5 2 5 2 2 5" xfId="6063" xr:uid="{00000000-0005-0000-0000-0000A9630000}"/>
    <cellStyle name="Normal 5 2 5 2 2 5 2" xfId="14890" xr:uid="{00000000-0005-0000-0000-0000AA630000}"/>
    <cellStyle name="Normal 5 2 5 2 2 5 2 2" xfId="40445" xr:uid="{00000000-0005-0000-0000-0000AB630000}"/>
    <cellStyle name="Normal 5 2 5 2 2 5 3" xfId="25141" xr:uid="{00000000-0005-0000-0000-0000AC630000}"/>
    <cellStyle name="Normal 5 2 5 2 2 5 3 2" xfId="50694" xr:uid="{00000000-0005-0000-0000-0000AD630000}"/>
    <cellStyle name="Normal 5 2 5 2 2 5 4" xfId="31624" xr:uid="{00000000-0005-0000-0000-0000AE630000}"/>
    <cellStyle name="Normal 5 2 5 2 2 6" xfId="7508" xr:uid="{00000000-0005-0000-0000-0000AF630000}"/>
    <cellStyle name="Normal 5 2 5 2 2 6 2" xfId="20238" xr:uid="{00000000-0005-0000-0000-0000B0630000}"/>
    <cellStyle name="Normal 5 2 5 2 2 6 2 2" xfId="45791" xr:uid="{00000000-0005-0000-0000-0000B1630000}"/>
    <cellStyle name="Normal 5 2 5 2 2 6 3" xfId="33065" xr:uid="{00000000-0005-0000-0000-0000B2630000}"/>
    <cellStyle name="Normal 5 2 5 2 2 7" xfId="16749" xr:uid="{00000000-0005-0000-0000-0000B3630000}"/>
    <cellStyle name="Normal 5 2 5 2 2 7 2" xfId="42302" xr:uid="{00000000-0005-0000-0000-0000B4630000}"/>
    <cellStyle name="Normal 5 2 5 2 2 8" xfId="26721" xr:uid="{00000000-0005-0000-0000-0000B5630000}"/>
    <cellStyle name="Normal 5 2 5 2 3" xfId="1328" xr:uid="{00000000-0005-0000-0000-0000B6630000}"/>
    <cellStyle name="Normal 5 2 5 2 3 2" xfId="3757" xr:uid="{00000000-0005-0000-0000-0000B7630000}"/>
    <cellStyle name="Normal 5 2 5 2 3 2 2" xfId="12893" xr:uid="{00000000-0005-0000-0000-0000B8630000}"/>
    <cellStyle name="Normal 5 2 5 2 3 2 2 2" xfId="23112" xr:uid="{00000000-0005-0000-0000-0000B9630000}"/>
    <cellStyle name="Normal 5 2 5 2 3 2 2 2 2" xfId="48665" xr:uid="{00000000-0005-0000-0000-0000BA630000}"/>
    <cellStyle name="Normal 5 2 5 2 3 2 2 3" xfId="38448" xr:uid="{00000000-0005-0000-0000-0000BB630000}"/>
    <cellStyle name="Normal 5 2 5 2 3 2 3" xfId="9314" xr:uid="{00000000-0005-0000-0000-0000BC630000}"/>
    <cellStyle name="Normal 5 2 5 2 3 2 3 2" xfId="34871" xr:uid="{00000000-0005-0000-0000-0000BD630000}"/>
    <cellStyle name="Normal 5 2 5 2 3 2 4" xfId="18105" xr:uid="{00000000-0005-0000-0000-0000BE630000}"/>
    <cellStyle name="Normal 5 2 5 2 3 2 4 2" xfId="43658" xr:uid="{00000000-0005-0000-0000-0000BF630000}"/>
    <cellStyle name="Normal 5 2 5 2 3 2 5" xfId="29595" xr:uid="{00000000-0005-0000-0000-0000C0630000}"/>
    <cellStyle name="Normal 5 2 5 2 3 3" xfId="4956" xr:uid="{00000000-0005-0000-0000-0000C1630000}"/>
    <cellStyle name="Normal 5 2 5 2 3 3 2" xfId="13793" xr:uid="{00000000-0005-0000-0000-0000C2630000}"/>
    <cellStyle name="Normal 5 2 5 2 3 3 2 2" xfId="24044" xr:uid="{00000000-0005-0000-0000-0000C3630000}"/>
    <cellStyle name="Normal 5 2 5 2 3 3 2 2 2" xfId="49597" xr:uid="{00000000-0005-0000-0000-0000C4630000}"/>
    <cellStyle name="Normal 5 2 5 2 3 3 2 3" xfId="39348" xr:uid="{00000000-0005-0000-0000-0000C5630000}"/>
    <cellStyle name="Normal 5 2 5 2 3 3 3" xfId="10214" xr:uid="{00000000-0005-0000-0000-0000C6630000}"/>
    <cellStyle name="Normal 5 2 5 2 3 3 3 2" xfId="35771" xr:uid="{00000000-0005-0000-0000-0000C7630000}"/>
    <cellStyle name="Normal 5 2 5 2 3 3 4" xfId="19037" xr:uid="{00000000-0005-0000-0000-0000C8630000}"/>
    <cellStyle name="Normal 5 2 5 2 3 3 4 2" xfId="44590" xr:uid="{00000000-0005-0000-0000-0000C9630000}"/>
    <cellStyle name="Normal 5 2 5 2 3 3 5" xfId="30527" xr:uid="{00000000-0005-0000-0000-0000CA630000}"/>
    <cellStyle name="Normal 5 2 5 2 3 4" xfId="2151" xr:uid="{00000000-0005-0000-0000-0000CB630000}"/>
    <cellStyle name="Normal 5 2 5 2 3 4 2" xfId="11516" xr:uid="{00000000-0005-0000-0000-0000CC630000}"/>
    <cellStyle name="Normal 5 2 5 2 3 4 2 2" xfId="37071" xr:uid="{00000000-0005-0000-0000-0000CD630000}"/>
    <cellStyle name="Normal 5 2 5 2 3 4 3" xfId="21520" xr:uid="{00000000-0005-0000-0000-0000CE630000}"/>
    <cellStyle name="Normal 5 2 5 2 3 4 3 2" xfId="47073" xr:uid="{00000000-0005-0000-0000-0000CF630000}"/>
    <cellStyle name="Normal 5 2 5 2 3 4 4" xfId="28003" xr:uid="{00000000-0005-0000-0000-0000D0630000}"/>
    <cellStyle name="Normal 5 2 5 2 3 5" xfId="6411" xr:uid="{00000000-0005-0000-0000-0000D1630000}"/>
    <cellStyle name="Normal 5 2 5 2 3 5 2" xfId="15238" xr:uid="{00000000-0005-0000-0000-0000D2630000}"/>
    <cellStyle name="Normal 5 2 5 2 3 5 2 2" xfId="40793" xr:uid="{00000000-0005-0000-0000-0000D3630000}"/>
    <cellStyle name="Normal 5 2 5 2 3 5 3" xfId="25489" xr:uid="{00000000-0005-0000-0000-0000D4630000}"/>
    <cellStyle name="Normal 5 2 5 2 3 5 3 2" xfId="51042" xr:uid="{00000000-0005-0000-0000-0000D5630000}"/>
    <cellStyle name="Normal 5 2 5 2 3 5 4" xfId="31972" xr:uid="{00000000-0005-0000-0000-0000D6630000}"/>
    <cellStyle name="Normal 5 2 5 2 3 6" xfId="7857" xr:uid="{00000000-0005-0000-0000-0000D7630000}"/>
    <cellStyle name="Normal 5 2 5 2 3 6 2" xfId="20711" xr:uid="{00000000-0005-0000-0000-0000D8630000}"/>
    <cellStyle name="Normal 5 2 5 2 3 6 2 2" xfId="46264" xr:uid="{00000000-0005-0000-0000-0000D9630000}"/>
    <cellStyle name="Normal 5 2 5 2 3 6 3" xfId="33414" xr:uid="{00000000-0005-0000-0000-0000DA630000}"/>
    <cellStyle name="Normal 5 2 5 2 3 7" xfId="16513" xr:uid="{00000000-0005-0000-0000-0000DB630000}"/>
    <cellStyle name="Normal 5 2 5 2 3 7 2" xfId="42066" xr:uid="{00000000-0005-0000-0000-0000DC630000}"/>
    <cellStyle name="Normal 5 2 5 2 3 8" xfId="27194" xr:uid="{00000000-0005-0000-0000-0000DD630000}"/>
    <cellStyle name="Normal 5 2 5 2 4" xfId="3042" xr:uid="{00000000-0005-0000-0000-0000DE630000}"/>
    <cellStyle name="Normal 5 2 5 2 4 2" xfId="5420" xr:uid="{00000000-0005-0000-0000-0000DF630000}"/>
    <cellStyle name="Normal 5 2 5 2 4 2 2" xfId="14257" xr:uid="{00000000-0005-0000-0000-0000E0630000}"/>
    <cellStyle name="Normal 5 2 5 2 4 2 2 2" xfId="24508" xr:uid="{00000000-0005-0000-0000-0000E1630000}"/>
    <cellStyle name="Normal 5 2 5 2 4 2 2 2 2" xfId="50061" xr:uid="{00000000-0005-0000-0000-0000E2630000}"/>
    <cellStyle name="Normal 5 2 5 2 4 2 2 3" xfId="39812" xr:uid="{00000000-0005-0000-0000-0000E3630000}"/>
    <cellStyle name="Normal 5 2 5 2 4 2 3" xfId="10678" xr:uid="{00000000-0005-0000-0000-0000E4630000}"/>
    <cellStyle name="Normal 5 2 5 2 4 2 3 2" xfId="36235" xr:uid="{00000000-0005-0000-0000-0000E5630000}"/>
    <cellStyle name="Normal 5 2 5 2 4 2 4" xfId="19501" xr:uid="{00000000-0005-0000-0000-0000E6630000}"/>
    <cellStyle name="Normal 5 2 5 2 4 2 4 2" xfId="45054" xr:uid="{00000000-0005-0000-0000-0000E7630000}"/>
    <cellStyle name="Normal 5 2 5 2 4 2 5" xfId="30991" xr:uid="{00000000-0005-0000-0000-0000E8630000}"/>
    <cellStyle name="Normal 5 2 5 2 4 3" xfId="6875" xr:uid="{00000000-0005-0000-0000-0000E9630000}"/>
    <cellStyle name="Normal 5 2 5 2 4 3 2" xfId="15702" xr:uid="{00000000-0005-0000-0000-0000EA630000}"/>
    <cellStyle name="Normal 5 2 5 2 4 3 2 2" xfId="41257" xr:uid="{00000000-0005-0000-0000-0000EB630000}"/>
    <cellStyle name="Normal 5 2 5 2 4 3 3" xfId="25953" xr:uid="{00000000-0005-0000-0000-0000EC630000}"/>
    <cellStyle name="Normal 5 2 5 2 4 3 3 2" xfId="51506" xr:uid="{00000000-0005-0000-0000-0000ED630000}"/>
    <cellStyle name="Normal 5 2 5 2 4 3 4" xfId="32436" xr:uid="{00000000-0005-0000-0000-0000EE630000}"/>
    <cellStyle name="Normal 5 2 5 2 4 4" xfId="8321" xr:uid="{00000000-0005-0000-0000-0000EF630000}"/>
    <cellStyle name="Normal 5 2 5 2 4 4 2" xfId="22403" xr:uid="{00000000-0005-0000-0000-0000F0630000}"/>
    <cellStyle name="Normal 5 2 5 2 4 4 2 2" xfId="47956" xr:uid="{00000000-0005-0000-0000-0000F1630000}"/>
    <cellStyle name="Normal 5 2 5 2 4 4 3" xfId="33878" xr:uid="{00000000-0005-0000-0000-0000F2630000}"/>
    <cellStyle name="Normal 5 2 5 2 4 5" xfId="17396" xr:uid="{00000000-0005-0000-0000-0000F3630000}"/>
    <cellStyle name="Normal 5 2 5 2 4 5 2" xfId="42949" xr:uid="{00000000-0005-0000-0000-0000F4630000}"/>
    <cellStyle name="Normal 5 2 5 2 4 6" xfId="28886" xr:uid="{00000000-0005-0000-0000-0000F5630000}"/>
    <cellStyle name="Normal 5 2 5 2 5" xfId="4376" xr:uid="{00000000-0005-0000-0000-0000F6630000}"/>
    <cellStyle name="Normal 5 2 5 2 5 2" xfId="13214" xr:uid="{00000000-0005-0000-0000-0000F7630000}"/>
    <cellStyle name="Normal 5 2 5 2 5 2 2" xfId="23465" xr:uid="{00000000-0005-0000-0000-0000F8630000}"/>
    <cellStyle name="Normal 5 2 5 2 5 2 2 2" xfId="49018" xr:uid="{00000000-0005-0000-0000-0000F9630000}"/>
    <cellStyle name="Normal 5 2 5 2 5 2 3" xfId="38769" xr:uid="{00000000-0005-0000-0000-0000FA630000}"/>
    <cellStyle name="Normal 5 2 5 2 5 3" xfId="9635" xr:uid="{00000000-0005-0000-0000-0000FB630000}"/>
    <cellStyle name="Normal 5 2 5 2 5 3 2" xfId="35192" xr:uid="{00000000-0005-0000-0000-0000FC630000}"/>
    <cellStyle name="Normal 5 2 5 2 5 4" xfId="18458" xr:uid="{00000000-0005-0000-0000-0000FD630000}"/>
    <cellStyle name="Normal 5 2 5 2 5 4 2" xfId="44011" xr:uid="{00000000-0005-0000-0000-0000FE630000}"/>
    <cellStyle name="Normal 5 2 5 2 5 5" xfId="29948" xr:uid="{00000000-0005-0000-0000-0000FF630000}"/>
    <cellStyle name="Normal 5 2 5 2 6" xfId="1648" xr:uid="{00000000-0005-0000-0000-000000640000}"/>
    <cellStyle name="Normal 5 2 5 2 6 2" xfId="11025" xr:uid="{00000000-0005-0000-0000-000001640000}"/>
    <cellStyle name="Normal 5 2 5 2 6 2 2" xfId="36580" xr:uid="{00000000-0005-0000-0000-000002640000}"/>
    <cellStyle name="Normal 5 2 5 2 6 3" xfId="21029" xr:uid="{00000000-0005-0000-0000-000003640000}"/>
    <cellStyle name="Normal 5 2 5 2 6 3 2" xfId="46582" xr:uid="{00000000-0005-0000-0000-000004640000}"/>
    <cellStyle name="Normal 5 2 5 2 6 4" xfId="27512" xr:uid="{00000000-0005-0000-0000-000005640000}"/>
    <cellStyle name="Normal 5 2 5 2 7" xfId="5832" xr:uid="{00000000-0005-0000-0000-000006640000}"/>
    <cellStyle name="Normal 5 2 5 2 7 2" xfId="14659" xr:uid="{00000000-0005-0000-0000-000007640000}"/>
    <cellStyle name="Normal 5 2 5 2 7 2 2" xfId="40214" xr:uid="{00000000-0005-0000-0000-000008640000}"/>
    <cellStyle name="Normal 5 2 5 2 7 3" xfId="24910" xr:uid="{00000000-0005-0000-0000-000009640000}"/>
    <cellStyle name="Normal 5 2 5 2 7 3 2" xfId="50463" xr:uid="{00000000-0005-0000-0000-00000A640000}"/>
    <cellStyle name="Normal 5 2 5 2 7 4" xfId="31393" xr:uid="{00000000-0005-0000-0000-00000B640000}"/>
    <cellStyle name="Normal 5 2 5 2 8" xfId="7276" xr:uid="{00000000-0005-0000-0000-00000C640000}"/>
    <cellStyle name="Normal 5 2 5 2 8 2" xfId="20002" xr:uid="{00000000-0005-0000-0000-00000D640000}"/>
    <cellStyle name="Normal 5 2 5 2 8 2 2" xfId="45555" xr:uid="{00000000-0005-0000-0000-00000E640000}"/>
    <cellStyle name="Normal 5 2 5 2 8 3" xfId="32833" xr:uid="{00000000-0005-0000-0000-00000F640000}"/>
    <cellStyle name="Normal 5 2 5 2 9" xfId="16022" xr:uid="{00000000-0005-0000-0000-000010640000}"/>
    <cellStyle name="Normal 5 2 5 2 9 2" xfId="41575" xr:uid="{00000000-0005-0000-0000-000011640000}"/>
    <cellStyle name="Normal 5 2 5 2_Degree data" xfId="3844" xr:uid="{00000000-0005-0000-0000-000012640000}"/>
    <cellStyle name="Normal 5 2 5 3" xfId="351" xr:uid="{00000000-0005-0000-0000-000013640000}"/>
    <cellStyle name="Normal 5 2 5 3 2" xfId="2837" xr:uid="{00000000-0005-0000-0000-000014640000}"/>
    <cellStyle name="Normal 5 2 5 3 2 2" xfId="12125" xr:uid="{00000000-0005-0000-0000-000015640000}"/>
    <cellStyle name="Normal 5 2 5 3 2 2 2" xfId="22198" xr:uid="{00000000-0005-0000-0000-000016640000}"/>
    <cellStyle name="Normal 5 2 5 3 2 2 2 2" xfId="47751" xr:uid="{00000000-0005-0000-0000-000017640000}"/>
    <cellStyle name="Normal 5 2 5 3 2 2 3" xfId="37680" xr:uid="{00000000-0005-0000-0000-000018640000}"/>
    <cellStyle name="Normal 5 2 5 3 2 3" xfId="8466" xr:uid="{00000000-0005-0000-0000-000019640000}"/>
    <cellStyle name="Normal 5 2 5 3 2 3 2" xfId="34023" xr:uid="{00000000-0005-0000-0000-00001A640000}"/>
    <cellStyle name="Normal 5 2 5 3 2 4" xfId="17191" xr:uid="{00000000-0005-0000-0000-00001B640000}"/>
    <cellStyle name="Normal 5 2 5 3 2 4 2" xfId="42744" xr:uid="{00000000-0005-0000-0000-00001C640000}"/>
    <cellStyle name="Normal 5 2 5 3 2 5" xfId="28681" xr:uid="{00000000-0005-0000-0000-00001D640000}"/>
    <cellStyle name="Normal 5 2 5 3 3" xfId="4606" xr:uid="{00000000-0005-0000-0000-00001E640000}"/>
    <cellStyle name="Normal 5 2 5 3 3 2" xfId="13444" xr:uid="{00000000-0005-0000-0000-00001F640000}"/>
    <cellStyle name="Normal 5 2 5 3 3 2 2" xfId="23695" xr:uid="{00000000-0005-0000-0000-000020640000}"/>
    <cellStyle name="Normal 5 2 5 3 3 2 2 2" xfId="49248" xr:uid="{00000000-0005-0000-0000-000021640000}"/>
    <cellStyle name="Normal 5 2 5 3 3 2 3" xfId="38999" xr:uid="{00000000-0005-0000-0000-000022640000}"/>
    <cellStyle name="Normal 5 2 5 3 3 3" xfId="9865" xr:uid="{00000000-0005-0000-0000-000023640000}"/>
    <cellStyle name="Normal 5 2 5 3 3 3 2" xfId="35422" xr:uid="{00000000-0005-0000-0000-000024640000}"/>
    <cellStyle name="Normal 5 2 5 3 3 4" xfId="18688" xr:uid="{00000000-0005-0000-0000-000025640000}"/>
    <cellStyle name="Normal 5 2 5 3 3 4 2" xfId="44241" xr:uid="{00000000-0005-0000-0000-000026640000}"/>
    <cellStyle name="Normal 5 2 5 3 3 5" xfId="30178" xr:uid="{00000000-0005-0000-0000-000027640000}"/>
    <cellStyle name="Normal 5 2 5 3 4" xfId="1946" xr:uid="{00000000-0005-0000-0000-000028640000}"/>
    <cellStyle name="Normal 5 2 5 3 4 2" xfId="11311" xr:uid="{00000000-0005-0000-0000-000029640000}"/>
    <cellStyle name="Normal 5 2 5 3 4 2 2" xfId="36866" xr:uid="{00000000-0005-0000-0000-00002A640000}"/>
    <cellStyle name="Normal 5 2 5 3 4 3" xfId="21315" xr:uid="{00000000-0005-0000-0000-00002B640000}"/>
    <cellStyle name="Normal 5 2 5 3 4 3 2" xfId="46868" xr:uid="{00000000-0005-0000-0000-00002C640000}"/>
    <cellStyle name="Normal 5 2 5 3 4 4" xfId="27798" xr:uid="{00000000-0005-0000-0000-00002D640000}"/>
    <cellStyle name="Normal 5 2 5 3 5" xfId="6062" xr:uid="{00000000-0005-0000-0000-00002E640000}"/>
    <cellStyle name="Normal 5 2 5 3 5 2" xfId="14889" xr:uid="{00000000-0005-0000-0000-00002F640000}"/>
    <cellStyle name="Normal 5 2 5 3 5 2 2" xfId="40444" xr:uid="{00000000-0005-0000-0000-000030640000}"/>
    <cellStyle name="Normal 5 2 5 3 5 3" xfId="25140" xr:uid="{00000000-0005-0000-0000-000031640000}"/>
    <cellStyle name="Normal 5 2 5 3 5 3 2" xfId="50693" xr:uid="{00000000-0005-0000-0000-000032640000}"/>
    <cellStyle name="Normal 5 2 5 3 5 4" xfId="31623" xr:uid="{00000000-0005-0000-0000-000033640000}"/>
    <cellStyle name="Normal 5 2 5 3 6" xfId="7507" xr:uid="{00000000-0005-0000-0000-000034640000}"/>
    <cellStyle name="Normal 5 2 5 3 6 2" xfId="19797" xr:uid="{00000000-0005-0000-0000-000035640000}"/>
    <cellStyle name="Normal 5 2 5 3 6 2 2" xfId="45350" xr:uid="{00000000-0005-0000-0000-000036640000}"/>
    <cellStyle name="Normal 5 2 5 3 6 3" xfId="33064" xr:uid="{00000000-0005-0000-0000-000037640000}"/>
    <cellStyle name="Normal 5 2 5 3 7" xfId="16308" xr:uid="{00000000-0005-0000-0000-000038640000}"/>
    <cellStyle name="Normal 5 2 5 3 7 2" xfId="41861" xr:uid="{00000000-0005-0000-0000-000039640000}"/>
    <cellStyle name="Normal 5 2 5 3 8" xfId="26280" xr:uid="{00000000-0005-0000-0000-00003A640000}"/>
    <cellStyle name="Normal 5 2 5 4" xfId="792" xr:uid="{00000000-0005-0000-0000-00003B640000}"/>
    <cellStyle name="Normal 5 2 5 4 2" xfId="3277" xr:uid="{00000000-0005-0000-0000-00003C640000}"/>
    <cellStyle name="Normal 5 2 5 4 2 2" xfId="12419" xr:uid="{00000000-0005-0000-0000-00003D640000}"/>
    <cellStyle name="Normal 5 2 5 4 2 2 2" xfId="22638" xr:uid="{00000000-0005-0000-0000-00003E640000}"/>
    <cellStyle name="Normal 5 2 5 4 2 2 2 2" xfId="48191" xr:uid="{00000000-0005-0000-0000-00003F640000}"/>
    <cellStyle name="Normal 5 2 5 4 2 2 3" xfId="37974" xr:uid="{00000000-0005-0000-0000-000040640000}"/>
    <cellStyle name="Normal 5 2 5 4 2 3" xfId="8841" xr:uid="{00000000-0005-0000-0000-000041640000}"/>
    <cellStyle name="Normal 5 2 5 4 2 3 2" xfId="34398" xr:uid="{00000000-0005-0000-0000-000042640000}"/>
    <cellStyle name="Normal 5 2 5 4 2 4" xfId="17631" xr:uid="{00000000-0005-0000-0000-000043640000}"/>
    <cellStyle name="Normal 5 2 5 4 2 4 2" xfId="43184" xr:uid="{00000000-0005-0000-0000-000044640000}"/>
    <cellStyle name="Normal 5 2 5 4 2 5" xfId="29121" xr:uid="{00000000-0005-0000-0000-000045640000}"/>
    <cellStyle name="Normal 5 2 5 4 3" xfId="4955" xr:uid="{00000000-0005-0000-0000-000046640000}"/>
    <cellStyle name="Normal 5 2 5 4 3 2" xfId="13792" xr:uid="{00000000-0005-0000-0000-000047640000}"/>
    <cellStyle name="Normal 5 2 5 4 3 2 2" xfId="24043" xr:uid="{00000000-0005-0000-0000-000048640000}"/>
    <cellStyle name="Normal 5 2 5 4 3 2 2 2" xfId="49596" xr:uid="{00000000-0005-0000-0000-000049640000}"/>
    <cellStyle name="Normal 5 2 5 4 3 2 3" xfId="39347" xr:uid="{00000000-0005-0000-0000-00004A640000}"/>
    <cellStyle name="Normal 5 2 5 4 3 3" xfId="10213" xr:uid="{00000000-0005-0000-0000-00004B640000}"/>
    <cellStyle name="Normal 5 2 5 4 3 3 2" xfId="35770" xr:uid="{00000000-0005-0000-0000-00004C640000}"/>
    <cellStyle name="Normal 5 2 5 4 3 4" xfId="19036" xr:uid="{00000000-0005-0000-0000-00004D640000}"/>
    <cellStyle name="Normal 5 2 5 4 3 4 2" xfId="44589" xr:uid="{00000000-0005-0000-0000-00004E640000}"/>
    <cellStyle name="Normal 5 2 5 4 3 5" xfId="30526" xr:uid="{00000000-0005-0000-0000-00004F640000}"/>
    <cellStyle name="Normal 5 2 5 4 4" xfId="2386" xr:uid="{00000000-0005-0000-0000-000050640000}"/>
    <cellStyle name="Normal 5 2 5 4 4 2" xfId="11751" xr:uid="{00000000-0005-0000-0000-000051640000}"/>
    <cellStyle name="Normal 5 2 5 4 4 2 2" xfId="37306" xr:uid="{00000000-0005-0000-0000-000052640000}"/>
    <cellStyle name="Normal 5 2 5 4 4 3" xfId="21755" xr:uid="{00000000-0005-0000-0000-000053640000}"/>
    <cellStyle name="Normal 5 2 5 4 4 3 2" xfId="47308" xr:uid="{00000000-0005-0000-0000-000054640000}"/>
    <cellStyle name="Normal 5 2 5 4 4 4" xfId="28238" xr:uid="{00000000-0005-0000-0000-000055640000}"/>
    <cellStyle name="Normal 5 2 5 4 5" xfId="6410" xr:uid="{00000000-0005-0000-0000-000056640000}"/>
    <cellStyle name="Normal 5 2 5 4 5 2" xfId="15237" xr:uid="{00000000-0005-0000-0000-000057640000}"/>
    <cellStyle name="Normal 5 2 5 4 5 2 2" xfId="40792" xr:uid="{00000000-0005-0000-0000-000058640000}"/>
    <cellStyle name="Normal 5 2 5 4 5 3" xfId="25488" xr:uid="{00000000-0005-0000-0000-000059640000}"/>
    <cellStyle name="Normal 5 2 5 4 5 3 2" xfId="51041" xr:uid="{00000000-0005-0000-0000-00005A640000}"/>
    <cellStyle name="Normal 5 2 5 4 5 4" xfId="31971" xr:uid="{00000000-0005-0000-0000-00005B640000}"/>
    <cellStyle name="Normal 5 2 5 4 6" xfId="7856" xr:uid="{00000000-0005-0000-0000-00005C640000}"/>
    <cellStyle name="Normal 5 2 5 4 6 2" xfId="20237" xr:uid="{00000000-0005-0000-0000-00005D640000}"/>
    <cellStyle name="Normal 5 2 5 4 6 2 2" xfId="45790" xr:uid="{00000000-0005-0000-0000-00005E640000}"/>
    <cellStyle name="Normal 5 2 5 4 6 3" xfId="33413" xr:uid="{00000000-0005-0000-0000-00005F640000}"/>
    <cellStyle name="Normal 5 2 5 4 7" xfId="16748" xr:uid="{00000000-0005-0000-0000-000060640000}"/>
    <cellStyle name="Normal 5 2 5 4 7 2" xfId="42301" xr:uid="{00000000-0005-0000-0000-000061640000}"/>
    <cellStyle name="Normal 5 2 5 4 8" xfId="26720" xr:uid="{00000000-0005-0000-0000-000062640000}"/>
    <cellStyle name="Normal 5 2 5 5" xfId="1123" xr:uid="{00000000-0005-0000-0000-000063640000}"/>
    <cellStyle name="Normal 5 2 5 5 2" xfId="3552" xr:uid="{00000000-0005-0000-0000-000064640000}"/>
    <cellStyle name="Normal 5 2 5 5 2 2" xfId="12688" xr:uid="{00000000-0005-0000-0000-000065640000}"/>
    <cellStyle name="Normal 5 2 5 5 2 2 2" xfId="22907" xr:uid="{00000000-0005-0000-0000-000066640000}"/>
    <cellStyle name="Normal 5 2 5 5 2 2 2 2" xfId="48460" xr:uid="{00000000-0005-0000-0000-000067640000}"/>
    <cellStyle name="Normal 5 2 5 5 2 2 3" xfId="38243" xr:uid="{00000000-0005-0000-0000-000068640000}"/>
    <cellStyle name="Normal 5 2 5 5 2 3" xfId="9109" xr:uid="{00000000-0005-0000-0000-000069640000}"/>
    <cellStyle name="Normal 5 2 5 5 2 3 2" xfId="34666" xr:uid="{00000000-0005-0000-0000-00006A640000}"/>
    <cellStyle name="Normal 5 2 5 5 2 4" xfId="17900" xr:uid="{00000000-0005-0000-0000-00006B640000}"/>
    <cellStyle name="Normal 5 2 5 5 2 4 2" xfId="43453" xr:uid="{00000000-0005-0000-0000-00006C640000}"/>
    <cellStyle name="Normal 5 2 5 5 2 5" xfId="29390" xr:uid="{00000000-0005-0000-0000-00006D640000}"/>
    <cellStyle name="Normal 5 2 5 5 3" xfId="5215" xr:uid="{00000000-0005-0000-0000-00006E640000}"/>
    <cellStyle name="Normal 5 2 5 5 3 2" xfId="14052" xr:uid="{00000000-0005-0000-0000-00006F640000}"/>
    <cellStyle name="Normal 5 2 5 5 3 2 2" xfId="24303" xr:uid="{00000000-0005-0000-0000-000070640000}"/>
    <cellStyle name="Normal 5 2 5 5 3 2 2 2" xfId="49856" xr:uid="{00000000-0005-0000-0000-000071640000}"/>
    <cellStyle name="Normal 5 2 5 5 3 2 3" xfId="39607" xr:uid="{00000000-0005-0000-0000-000072640000}"/>
    <cellStyle name="Normal 5 2 5 5 3 3" xfId="10473" xr:uid="{00000000-0005-0000-0000-000073640000}"/>
    <cellStyle name="Normal 5 2 5 5 3 3 2" xfId="36030" xr:uid="{00000000-0005-0000-0000-000074640000}"/>
    <cellStyle name="Normal 5 2 5 5 3 4" xfId="19296" xr:uid="{00000000-0005-0000-0000-000075640000}"/>
    <cellStyle name="Normal 5 2 5 5 3 4 2" xfId="44849" xr:uid="{00000000-0005-0000-0000-000076640000}"/>
    <cellStyle name="Normal 5 2 5 5 3 5" xfId="30786" xr:uid="{00000000-0005-0000-0000-000077640000}"/>
    <cellStyle name="Normal 5 2 5 5 4" xfId="1831" xr:uid="{00000000-0005-0000-0000-000078640000}"/>
    <cellStyle name="Normal 5 2 5 5 4 2" xfId="11199" xr:uid="{00000000-0005-0000-0000-000079640000}"/>
    <cellStyle name="Normal 5 2 5 5 4 2 2" xfId="36754" xr:uid="{00000000-0005-0000-0000-00007A640000}"/>
    <cellStyle name="Normal 5 2 5 5 4 3" xfId="21203" xr:uid="{00000000-0005-0000-0000-00007B640000}"/>
    <cellStyle name="Normal 5 2 5 5 4 3 2" xfId="46756" xr:uid="{00000000-0005-0000-0000-00007C640000}"/>
    <cellStyle name="Normal 5 2 5 5 4 4" xfId="27686" xr:uid="{00000000-0005-0000-0000-00007D640000}"/>
    <cellStyle name="Normal 5 2 5 5 5" xfId="6670" xr:uid="{00000000-0005-0000-0000-00007E640000}"/>
    <cellStyle name="Normal 5 2 5 5 5 2" xfId="15497" xr:uid="{00000000-0005-0000-0000-00007F640000}"/>
    <cellStyle name="Normal 5 2 5 5 5 2 2" xfId="41052" xr:uid="{00000000-0005-0000-0000-000080640000}"/>
    <cellStyle name="Normal 5 2 5 5 5 3" xfId="25748" xr:uid="{00000000-0005-0000-0000-000081640000}"/>
    <cellStyle name="Normal 5 2 5 5 5 3 2" xfId="51301" xr:uid="{00000000-0005-0000-0000-000082640000}"/>
    <cellStyle name="Normal 5 2 5 5 5 4" xfId="32231" xr:uid="{00000000-0005-0000-0000-000083640000}"/>
    <cellStyle name="Normal 5 2 5 5 6" xfId="8116" xr:uid="{00000000-0005-0000-0000-000084640000}"/>
    <cellStyle name="Normal 5 2 5 5 6 2" xfId="20506" xr:uid="{00000000-0005-0000-0000-000085640000}"/>
    <cellStyle name="Normal 5 2 5 5 6 2 2" xfId="46059" xr:uid="{00000000-0005-0000-0000-000086640000}"/>
    <cellStyle name="Normal 5 2 5 5 6 3" xfId="33673" xr:uid="{00000000-0005-0000-0000-000087640000}"/>
    <cellStyle name="Normal 5 2 5 5 7" xfId="16196" xr:uid="{00000000-0005-0000-0000-000088640000}"/>
    <cellStyle name="Normal 5 2 5 5 7 2" xfId="41749" xr:uid="{00000000-0005-0000-0000-000089640000}"/>
    <cellStyle name="Normal 5 2 5 5 8" xfId="26989" xr:uid="{00000000-0005-0000-0000-00008A640000}"/>
    <cellStyle name="Normal 5 2 5 6" xfId="2725" xr:uid="{00000000-0005-0000-0000-00008B640000}"/>
    <cellStyle name="Normal 5 2 5 6 2" xfId="12042" xr:uid="{00000000-0005-0000-0000-00008C640000}"/>
    <cellStyle name="Normal 5 2 5 6 2 2" xfId="22086" xr:uid="{00000000-0005-0000-0000-00008D640000}"/>
    <cellStyle name="Normal 5 2 5 6 2 2 2" xfId="47639" xr:uid="{00000000-0005-0000-0000-00008E640000}"/>
    <cellStyle name="Normal 5 2 5 6 2 3" xfId="37597" xr:uid="{00000000-0005-0000-0000-00008F640000}"/>
    <cellStyle name="Normal 5 2 5 6 3" xfId="8395" xr:uid="{00000000-0005-0000-0000-000090640000}"/>
    <cellStyle name="Normal 5 2 5 6 3 2" xfId="33952" xr:uid="{00000000-0005-0000-0000-000091640000}"/>
    <cellStyle name="Normal 5 2 5 6 4" xfId="17079" xr:uid="{00000000-0005-0000-0000-000092640000}"/>
    <cellStyle name="Normal 5 2 5 6 4 2" xfId="42632" xr:uid="{00000000-0005-0000-0000-000093640000}"/>
    <cellStyle name="Normal 5 2 5 6 5" xfId="28569" xr:uid="{00000000-0005-0000-0000-000094640000}"/>
    <cellStyle name="Normal 5 2 5 7" xfId="4171" xr:uid="{00000000-0005-0000-0000-000095640000}"/>
    <cellStyle name="Normal 5 2 5 7 2" xfId="13009" xr:uid="{00000000-0005-0000-0000-000096640000}"/>
    <cellStyle name="Normal 5 2 5 7 2 2" xfId="23260" xr:uid="{00000000-0005-0000-0000-000097640000}"/>
    <cellStyle name="Normal 5 2 5 7 2 2 2" xfId="48813" xr:uid="{00000000-0005-0000-0000-000098640000}"/>
    <cellStyle name="Normal 5 2 5 7 2 3" xfId="38564" xr:uid="{00000000-0005-0000-0000-000099640000}"/>
    <cellStyle name="Normal 5 2 5 7 3" xfId="9430" xr:uid="{00000000-0005-0000-0000-00009A640000}"/>
    <cellStyle name="Normal 5 2 5 7 3 2" xfId="34987" xr:uid="{00000000-0005-0000-0000-00009B640000}"/>
    <cellStyle name="Normal 5 2 5 7 4" xfId="18253" xr:uid="{00000000-0005-0000-0000-00009C640000}"/>
    <cellStyle name="Normal 5 2 5 7 4 2" xfId="43806" xr:uid="{00000000-0005-0000-0000-00009D640000}"/>
    <cellStyle name="Normal 5 2 5 7 5" xfId="29743" xr:uid="{00000000-0005-0000-0000-00009E640000}"/>
    <cellStyle name="Normal 5 2 5 8" xfId="1443" xr:uid="{00000000-0005-0000-0000-00009F640000}"/>
    <cellStyle name="Normal 5 2 5 8 2" xfId="10820" xr:uid="{00000000-0005-0000-0000-0000A0640000}"/>
    <cellStyle name="Normal 5 2 5 8 2 2" xfId="36375" xr:uid="{00000000-0005-0000-0000-0000A1640000}"/>
    <cellStyle name="Normal 5 2 5 8 3" xfId="20824" xr:uid="{00000000-0005-0000-0000-0000A2640000}"/>
    <cellStyle name="Normal 5 2 5 8 3 2" xfId="46377" xr:uid="{00000000-0005-0000-0000-0000A3640000}"/>
    <cellStyle name="Normal 5 2 5 8 4" xfId="27307" xr:uid="{00000000-0005-0000-0000-0000A4640000}"/>
    <cellStyle name="Normal 5 2 5 9" xfId="5627" xr:uid="{00000000-0005-0000-0000-0000A5640000}"/>
    <cellStyle name="Normal 5 2 5 9 2" xfId="14454" xr:uid="{00000000-0005-0000-0000-0000A6640000}"/>
    <cellStyle name="Normal 5 2 5 9 2 2" xfId="40009" xr:uid="{00000000-0005-0000-0000-0000A7640000}"/>
    <cellStyle name="Normal 5 2 5 9 3" xfId="24705" xr:uid="{00000000-0005-0000-0000-0000A8640000}"/>
    <cellStyle name="Normal 5 2 5 9 3 2" xfId="50258" xr:uid="{00000000-0005-0000-0000-0000A9640000}"/>
    <cellStyle name="Normal 5 2 5 9 4" xfId="31188" xr:uid="{00000000-0005-0000-0000-0000AA640000}"/>
    <cellStyle name="Normal 5 2 5_Degree data" xfId="3869" xr:uid="{00000000-0005-0000-0000-0000AB640000}"/>
    <cellStyle name="Normal 5 2 6" xfId="292" xr:uid="{00000000-0005-0000-0000-0000AC640000}"/>
    <cellStyle name="Normal 5 2 6 10" xfId="16077" xr:uid="{00000000-0005-0000-0000-0000AD640000}"/>
    <cellStyle name="Normal 5 2 6 10 2" xfId="41630" xr:uid="{00000000-0005-0000-0000-0000AE640000}"/>
    <cellStyle name="Normal 5 2 6 11" xfId="26223" xr:uid="{00000000-0005-0000-0000-0000AF640000}"/>
    <cellStyle name="Normal 5 2 6 2" xfId="611" xr:uid="{00000000-0005-0000-0000-0000B0640000}"/>
    <cellStyle name="Normal 5 2 6 2 2" xfId="3097" xr:uid="{00000000-0005-0000-0000-0000B1640000}"/>
    <cellStyle name="Normal 5 2 6 2 2 2" xfId="12240" xr:uid="{00000000-0005-0000-0000-0000B2640000}"/>
    <cellStyle name="Normal 5 2 6 2 2 2 2" xfId="22458" xr:uid="{00000000-0005-0000-0000-0000B3640000}"/>
    <cellStyle name="Normal 5 2 6 2 2 2 2 2" xfId="48011" xr:uid="{00000000-0005-0000-0000-0000B4640000}"/>
    <cellStyle name="Normal 5 2 6 2 2 2 3" xfId="37795" xr:uid="{00000000-0005-0000-0000-0000B5640000}"/>
    <cellStyle name="Normal 5 2 6 2 2 3" xfId="8662" xr:uid="{00000000-0005-0000-0000-0000B6640000}"/>
    <cellStyle name="Normal 5 2 6 2 2 3 2" xfId="34219" xr:uid="{00000000-0005-0000-0000-0000B7640000}"/>
    <cellStyle name="Normal 5 2 6 2 2 4" xfId="17451" xr:uid="{00000000-0005-0000-0000-0000B8640000}"/>
    <cellStyle name="Normal 5 2 6 2 2 4 2" xfId="43004" xr:uid="{00000000-0005-0000-0000-0000B9640000}"/>
    <cellStyle name="Normal 5 2 6 2 2 5" xfId="28941" xr:uid="{00000000-0005-0000-0000-0000BA640000}"/>
    <cellStyle name="Normal 5 2 6 2 3" xfId="4608" xr:uid="{00000000-0005-0000-0000-0000BB640000}"/>
    <cellStyle name="Normal 5 2 6 2 3 2" xfId="13446" xr:uid="{00000000-0005-0000-0000-0000BC640000}"/>
    <cellStyle name="Normal 5 2 6 2 3 2 2" xfId="23697" xr:uid="{00000000-0005-0000-0000-0000BD640000}"/>
    <cellStyle name="Normal 5 2 6 2 3 2 2 2" xfId="49250" xr:uid="{00000000-0005-0000-0000-0000BE640000}"/>
    <cellStyle name="Normal 5 2 6 2 3 2 3" xfId="39001" xr:uid="{00000000-0005-0000-0000-0000BF640000}"/>
    <cellStyle name="Normal 5 2 6 2 3 3" xfId="9867" xr:uid="{00000000-0005-0000-0000-0000C0640000}"/>
    <cellStyle name="Normal 5 2 6 2 3 3 2" xfId="35424" xr:uid="{00000000-0005-0000-0000-0000C1640000}"/>
    <cellStyle name="Normal 5 2 6 2 3 4" xfId="18690" xr:uid="{00000000-0005-0000-0000-0000C2640000}"/>
    <cellStyle name="Normal 5 2 6 2 3 4 2" xfId="44243" xr:uid="{00000000-0005-0000-0000-0000C3640000}"/>
    <cellStyle name="Normal 5 2 6 2 3 5" xfId="30180" xr:uid="{00000000-0005-0000-0000-0000C4640000}"/>
    <cellStyle name="Normal 5 2 6 2 4" xfId="2206" xr:uid="{00000000-0005-0000-0000-0000C5640000}"/>
    <cellStyle name="Normal 5 2 6 2 4 2" xfId="11571" xr:uid="{00000000-0005-0000-0000-0000C6640000}"/>
    <cellStyle name="Normal 5 2 6 2 4 2 2" xfId="37126" xr:uid="{00000000-0005-0000-0000-0000C7640000}"/>
    <cellStyle name="Normal 5 2 6 2 4 3" xfId="21575" xr:uid="{00000000-0005-0000-0000-0000C8640000}"/>
    <cellStyle name="Normal 5 2 6 2 4 3 2" xfId="47128" xr:uid="{00000000-0005-0000-0000-0000C9640000}"/>
    <cellStyle name="Normal 5 2 6 2 4 4" xfId="28058" xr:uid="{00000000-0005-0000-0000-0000CA640000}"/>
    <cellStyle name="Normal 5 2 6 2 5" xfId="6064" xr:uid="{00000000-0005-0000-0000-0000CB640000}"/>
    <cellStyle name="Normal 5 2 6 2 5 2" xfId="14891" xr:uid="{00000000-0005-0000-0000-0000CC640000}"/>
    <cellStyle name="Normal 5 2 6 2 5 2 2" xfId="40446" xr:uid="{00000000-0005-0000-0000-0000CD640000}"/>
    <cellStyle name="Normal 5 2 6 2 5 3" xfId="25142" xr:uid="{00000000-0005-0000-0000-0000CE640000}"/>
    <cellStyle name="Normal 5 2 6 2 5 3 2" xfId="50695" xr:uid="{00000000-0005-0000-0000-0000CF640000}"/>
    <cellStyle name="Normal 5 2 6 2 5 4" xfId="31625" xr:uid="{00000000-0005-0000-0000-0000D0640000}"/>
    <cellStyle name="Normal 5 2 6 2 6" xfId="7509" xr:uid="{00000000-0005-0000-0000-0000D1640000}"/>
    <cellStyle name="Normal 5 2 6 2 6 2" xfId="20057" xr:uid="{00000000-0005-0000-0000-0000D2640000}"/>
    <cellStyle name="Normal 5 2 6 2 6 2 2" xfId="45610" xr:uid="{00000000-0005-0000-0000-0000D3640000}"/>
    <cellStyle name="Normal 5 2 6 2 6 3" xfId="33066" xr:uid="{00000000-0005-0000-0000-0000D4640000}"/>
    <cellStyle name="Normal 5 2 6 2 7" xfId="16568" xr:uid="{00000000-0005-0000-0000-0000D5640000}"/>
    <cellStyle name="Normal 5 2 6 2 7 2" xfId="42121" xr:uid="{00000000-0005-0000-0000-0000D6640000}"/>
    <cellStyle name="Normal 5 2 6 2 8" xfId="26540" xr:uid="{00000000-0005-0000-0000-0000D7640000}"/>
    <cellStyle name="Normal 5 2 6 3" xfId="794" xr:uid="{00000000-0005-0000-0000-0000D8640000}"/>
    <cellStyle name="Normal 5 2 6 3 2" xfId="3279" xr:uid="{00000000-0005-0000-0000-0000D9640000}"/>
    <cellStyle name="Normal 5 2 6 3 2 2" xfId="12421" xr:uid="{00000000-0005-0000-0000-0000DA640000}"/>
    <cellStyle name="Normal 5 2 6 3 2 2 2" xfId="22640" xr:uid="{00000000-0005-0000-0000-0000DB640000}"/>
    <cellStyle name="Normal 5 2 6 3 2 2 2 2" xfId="48193" xr:uid="{00000000-0005-0000-0000-0000DC640000}"/>
    <cellStyle name="Normal 5 2 6 3 2 2 3" xfId="37976" xr:uid="{00000000-0005-0000-0000-0000DD640000}"/>
    <cellStyle name="Normal 5 2 6 3 2 3" xfId="8843" xr:uid="{00000000-0005-0000-0000-0000DE640000}"/>
    <cellStyle name="Normal 5 2 6 3 2 3 2" xfId="34400" xr:uid="{00000000-0005-0000-0000-0000DF640000}"/>
    <cellStyle name="Normal 5 2 6 3 2 4" xfId="17633" xr:uid="{00000000-0005-0000-0000-0000E0640000}"/>
    <cellStyle name="Normal 5 2 6 3 2 4 2" xfId="43186" xr:uid="{00000000-0005-0000-0000-0000E1640000}"/>
    <cellStyle name="Normal 5 2 6 3 2 5" xfId="29123" xr:uid="{00000000-0005-0000-0000-0000E2640000}"/>
    <cellStyle name="Normal 5 2 6 3 3" xfId="4957" xr:uid="{00000000-0005-0000-0000-0000E3640000}"/>
    <cellStyle name="Normal 5 2 6 3 3 2" xfId="13794" xr:uid="{00000000-0005-0000-0000-0000E4640000}"/>
    <cellStyle name="Normal 5 2 6 3 3 2 2" xfId="24045" xr:uid="{00000000-0005-0000-0000-0000E5640000}"/>
    <cellStyle name="Normal 5 2 6 3 3 2 2 2" xfId="49598" xr:uid="{00000000-0005-0000-0000-0000E6640000}"/>
    <cellStyle name="Normal 5 2 6 3 3 2 3" xfId="39349" xr:uid="{00000000-0005-0000-0000-0000E7640000}"/>
    <cellStyle name="Normal 5 2 6 3 3 3" xfId="10215" xr:uid="{00000000-0005-0000-0000-0000E8640000}"/>
    <cellStyle name="Normal 5 2 6 3 3 3 2" xfId="35772" xr:uid="{00000000-0005-0000-0000-0000E9640000}"/>
    <cellStyle name="Normal 5 2 6 3 3 4" xfId="19038" xr:uid="{00000000-0005-0000-0000-0000EA640000}"/>
    <cellStyle name="Normal 5 2 6 3 3 4 2" xfId="44591" xr:uid="{00000000-0005-0000-0000-0000EB640000}"/>
    <cellStyle name="Normal 5 2 6 3 3 5" xfId="30528" xr:uid="{00000000-0005-0000-0000-0000EC640000}"/>
    <cellStyle name="Normal 5 2 6 3 4" xfId="2388" xr:uid="{00000000-0005-0000-0000-0000ED640000}"/>
    <cellStyle name="Normal 5 2 6 3 4 2" xfId="11753" xr:uid="{00000000-0005-0000-0000-0000EE640000}"/>
    <cellStyle name="Normal 5 2 6 3 4 2 2" xfId="37308" xr:uid="{00000000-0005-0000-0000-0000EF640000}"/>
    <cellStyle name="Normal 5 2 6 3 4 3" xfId="21757" xr:uid="{00000000-0005-0000-0000-0000F0640000}"/>
    <cellStyle name="Normal 5 2 6 3 4 3 2" xfId="47310" xr:uid="{00000000-0005-0000-0000-0000F1640000}"/>
    <cellStyle name="Normal 5 2 6 3 4 4" xfId="28240" xr:uid="{00000000-0005-0000-0000-0000F2640000}"/>
    <cellStyle name="Normal 5 2 6 3 5" xfId="6412" xr:uid="{00000000-0005-0000-0000-0000F3640000}"/>
    <cellStyle name="Normal 5 2 6 3 5 2" xfId="15239" xr:uid="{00000000-0005-0000-0000-0000F4640000}"/>
    <cellStyle name="Normal 5 2 6 3 5 2 2" xfId="40794" xr:uid="{00000000-0005-0000-0000-0000F5640000}"/>
    <cellStyle name="Normal 5 2 6 3 5 3" xfId="25490" xr:uid="{00000000-0005-0000-0000-0000F6640000}"/>
    <cellStyle name="Normal 5 2 6 3 5 3 2" xfId="51043" xr:uid="{00000000-0005-0000-0000-0000F7640000}"/>
    <cellStyle name="Normal 5 2 6 3 5 4" xfId="31973" xr:uid="{00000000-0005-0000-0000-0000F8640000}"/>
    <cellStyle name="Normal 5 2 6 3 6" xfId="7858" xr:uid="{00000000-0005-0000-0000-0000F9640000}"/>
    <cellStyle name="Normal 5 2 6 3 6 2" xfId="20239" xr:uid="{00000000-0005-0000-0000-0000FA640000}"/>
    <cellStyle name="Normal 5 2 6 3 6 2 2" xfId="45792" xr:uid="{00000000-0005-0000-0000-0000FB640000}"/>
    <cellStyle name="Normal 5 2 6 3 6 3" xfId="33415" xr:uid="{00000000-0005-0000-0000-0000FC640000}"/>
    <cellStyle name="Normal 5 2 6 3 7" xfId="16750" xr:uid="{00000000-0005-0000-0000-0000FD640000}"/>
    <cellStyle name="Normal 5 2 6 3 7 2" xfId="42303" xr:uid="{00000000-0005-0000-0000-0000FE640000}"/>
    <cellStyle name="Normal 5 2 6 3 8" xfId="26722" xr:uid="{00000000-0005-0000-0000-0000FF640000}"/>
    <cellStyle name="Normal 5 2 6 4" xfId="1383" xr:uid="{00000000-0005-0000-0000-000000650000}"/>
    <cellStyle name="Normal 5 2 6 4 2" xfId="3812" xr:uid="{00000000-0005-0000-0000-000001650000}"/>
    <cellStyle name="Normal 5 2 6 4 2 2" xfId="12948" xr:uid="{00000000-0005-0000-0000-000002650000}"/>
    <cellStyle name="Normal 5 2 6 4 2 2 2" xfId="23167" xr:uid="{00000000-0005-0000-0000-000003650000}"/>
    <cellStyle name="Normal 5 2 6 4 2 2 2 2" xfId="48720" xr:uid="{00000000-0005-0000-0000-000004650000}"/>
    <cellStyle name="Normal 5 2 6 4 2 2 3" xfId="38503" xr:uid="{00000000-0005-0000-0000-000005650000}"/>
    <cellStyle name="Normal 5 2 6 4 2 3" xfId="9369" xr:uid="{00000000-0005-0000-0000-000006650000}"/>
    <cellStyle name="Normal 5 2 6 4 2 3 2" xfId="34926" xr:uid="{00000000-0005-0000-0000-000007650000}"/>
    <cellStyle name="Normal 5 2 6 4 2 4" xfId="18160" xr:uid="{00000000-0005-0000-0000-000008650000}"/>
    <cellStyle name="Normal 5 2 6 4 2 4 2" xfId="43713" xr:uid="{00000000-0005-0000-0000-000009650000}"/>
    <cellStyle name="Normal 5 2 6 4 2 5" xfId="29650" xr:uid="{00000000-0005-0000-0000-00000A650000}"/>
    <cellStyle name="Normal 5 2 6 4 3" xfId="5475" xr:uid="{00000000-0005-0000-0000-00000B650000}"/>
    <cellStyle name="Normal 5 2 6 4 3 2" xfId="14312" xr:uid="{00000000-0005-0000-0000-00000C650000}"/>
    <cellStyle name="Normal 5 2 6 4 3 2 2" xfId="24563" xr:uid="{00000000-0005-0000-0000-00000D650000}"/>
    <cellStyle name="Normal 5 2 6 4 3 2 2 2" xfId="50116" xr:uid="{00000000-0005-0000-0000-00000E650000}"/>
    <cellStyle name="Normal 5 2 6 4 3 2 3" xfId="39867" xr:uid="{00000000-0005-0000-0000-00000F650000}"/>
    <cellStyle name="Normal 5 2 6 4 3 3" xfId="10733" xr:uid="{00000000-0005-0000-0000-000010650000}"/>
    <cellStyle name="Normal 5 2 6 4 3 3 2" xfId="36290" xr:uid="{00000000-0005-0000-0000-000011650000}"/>
    <cellStyle name="Normal 5 2 6 4 3 4" xfId="19556" xr:uid="{00000000-0005-0000-0000-000012650000}"/>
    <cellStyle name="Normal 5 2 6 4 3 4 2" xfId="45109" xr:uid="{00000000-0005-0000-0000-000013650000}"/>
    <cellStyle name="Normal 5 2 6 4 3 5" xfId="31046" xr:uid="{00000000-0005-0000-0000-000014650000}"/>
    <cellStyle name="Normal 5 2 6 4 4" xfId="1887" xr:uid="{00000000-0005-0000-0000-000015650000}"/>
    <cellStyle name="Normal 5 2 6 4 4 2" xfId="11254" xr:uid="{00000000-0005-0000-0000-000016650000}"/>
    <cellStyle name="Normal 5 2 6 4 4 2 2" xfId="36809" xr:uid="{00000000-0005-0000-0000-000017650000}"/>
    <cellStyle name="Normal 5 2 6 4 4 3" xfId="21258" xr:uid="{00000000-0005-0000-0000-000018650000}"/>
    <cellStyle name="Normal 5 2 6 4 4 3 2" xfId="46811" xr:uid="{00000000-0005-0000-0000-000019650000}"/>
    <cellStyle name="Normal 5 2 6 4 4 4" xfId="27741" xr:uid="{00000000-0005-0000-0000-00001A650000}"/>
    <cellStyle name="Normal 5 2 6 4 5" xfId="6930" xr:uid="{00000000-0005-0000-0000-00001B650000}"/>
    <cellStyle name="Normal 5 2 6 4 5 2" xfId="15757" xr:uid="{00000000-0005-0000-0000-00001C650000}"/>
    <cellStyle name="Normal 5 2 6 4 5 2 2" xfId="41312" xr:uid="{00000000-0005-0000-0000-00001D650000}"/>
    <cellStyle name="Normal 5 2 6 4 5 3" xfId="26008" xr:uid="{00000000-0005-0000-0000-00001E650000}"/>
    <cellStyle name="Normal 5 2 6 4 5 3 2" xfId="51561" xr:uid="{00000000-0005-0000-0000-00001F650000}"/>
    <cellStyle name="Normal 5 2 6 4 5 4" xfId="32491" xr:uid="{00000000-0005-0000-0000-000020650000}"/>
    <cellStyle name="Normal 5 2 6 4 6" xfId="8376" xr:uid="{00000000-0005-0000-0000-000021650000}"/>
    <cellStyle name="Normal 5 2 6 4 6 2" xfId="20766" xr:uid="{00000000-0005-0000-0000-000022650000}"/>
    <cellStyle name="Normal 5 2 6 4 6 2 2" xfId="46319" xr:uid="{00000000-0005-0000-0000-000023650000}"/>
    <cellStyle name="Normal 5 2 6 4 6 3" xfId="33933" xr:uid="{00000000-0005-0000-0000-000024650000}"/>
    <cellStyle name="Normal 5 2 6 4 7" xfId="16251" xr:uid="{00000000-0005-0000-0000-000025650000}"/>
    <cellStyle name="Normal 5 2 6 4 7 2" xfId="41804" xr:uid="{00000000-0005-0000-0000-000026650000}"/>
    <cellStyle name="Normal 5 2 6 4 8" xfId="27249" xr:uid="{00000000-0005-0000-0000-000027650000}"/>
    <cellStyle name="Normal 5 2 6 5" xfId="2780" xr:uid="{00000000-0005-0000-0000-000028650000}"/>
    <cellStyle name="Normal 5 2 6 5 2" xfId="12097" xr:uid="{00000000-0005-0000-0000-000029650000}"/>
    <cellStyle name="Normal 5 2 6 5 2 2" xfId="22141" xr:uid="{00000000-0005-0000-0000-00002A650000}"/>
    <cellStyle name="Normal 5 2 6 5 2 2 2" xfId="47694" xr:uid="{00000000-0005-0000-0000-00002B650000}"/>
    <cellStyle name="Normal 5 2 6 5 2 3" xfId="37652" xr:uid="{00000000-0005-0000-0000-00002C650000}"/>
    <cellStyle name="Normal 5 2 6 5 3" xfId="8385" xr:uid="{00000000-0005-0000-0000-00002D650000}"/>
    <cellStyle name="Normal 5 2 6 5 3 2" xfId="33942" xr:uid="{00000000-0005-0000-0000-00002E650000}"/>
    <cellStyle name="Normal 5 2 6 5 4" xfId="17134" xr:uid="{00000000-0005-0000-0000-00002F650000}"/>
    <cellStyle name="Normal 5 2 6 5 4 2" xfId="42687" xr:uid="{00000000-0005-0000-0000-000030650000}"/>
    <cellStyle name="Normal 5 2 6 5 5" xfId="28624" xr:uid="{00000000-0005-0000-0000-000031650000}"/>
    <cellStyle name="Normal 5 2 6 6" xfId="4431" xr:uid="{00000000-0005-0000-0000-000032650000}"/>
    <cellStyle name="Normal 5 2 6 6 2" xfId="13269" xr:uid="{00000000-0005-0000-0000-000033650000}"/>
    <cellStyle name="Normal 5 2 6 6 2 2" xfId="23520" xr:uid="{00000000-0005-0000-0000-000034650000}"/>
    <cellStyle name="Normal 5 2 6 6 2 2 2" xfId="49073" xr:uid="{00000000-0005-0000-0000-000035650000}"/>
    <cellStyle name="Normal 5 2 6 6 2 3" xfId="38824" xr:uid="{00000000-0005-0000-0000-000036650000}"/>
    <cellStyle name="Normal 5 2 6 6 3" xfId="9690" xr:uid="{00000000-0005-0000-0000-000037650000}"/>
    <cellStyle name="Normal 5 2 6 6 3 2" xfId="35247" xr:uid="{00000000-0005-0000-0000-000038650000}"/>
    <cellStyle name="Normal 5 2 6 6 4" xfId="18513" xr:uid="{00000000-0005-0000-0000-000039650000}"/>
    <cellStyle name="Normal 5 2 6 6 4 2" xfId="44066" xr:uid="{00000000-0005-0000-0000-00003A650000}"/>
    <cellStyle name="Normal 5 2 6 6 5" xfId="30003" xr:uid="{00000000-0005-0000-0000-00003B650000}"/>
    <cellStyle name="Normal 5 2 6 7" xfId="1703" xr:uid="{00000000-0005-0000-0000-00003C650000}"/>
    <cellStyle name="Normal 5 2 6 7 2" xfId="11080" xr:uid="{00000000-0005-0000-0000-00003D650000}"/>
    <cellStyle name="Normal 5 2 6 7 2 2" xfId="36635" xr:uid="{00000000-0005-0000-0000-00003E650000}"/>
    <cellStyle name="Normal 5 2 6 7 3" xfId="21084" xr:uid="{00000000-0005-0000-0000-00003F650000}"/>
    <cellStyle name="Normal 5 2 6 7 3 2" xfId="46637" xr:uid="{00000000-0005-0000-0000-000040650000}"/>
    <cellStyle name="Normal 5 2 6 7 4" xfId="27567" xr:uid="{00000000-0005-0000-0000-000041650000}"/>
    <cellStyle name="Normal 5 2 6 8" xfId="5887" xr:uid="{00000000-0005-0000-0000-000042650000}"/>
    <cellStyle name="Normal 5 2 6 8 2" xfId="14714" xr:uid="{00000000-0005-0000-0000-000043650000}"/>
    <cellStyle name="Normal 5 2 6 8 2 2" xfId="40269" xr:uid="{00000000-0005-0000-0000-000044650000}"/>
    <cellStyle name="Normal 5 2 6 8 3" xfId="24965" xr:uid="{00000000-0005-0000-0000-000045650000}"/>
    <cellStyle name="Normal 5 2 6 8 3 2" xfId="50518" xr:uid="{00000000-0005-0000-0000-000046650000}"/>
    <cellStyle name="Normal 5 2 6 8 4" xfId="31448" xr:uid="{00000000-0005-0000-0000-000047650000}"/>
    <cellStyle name="Normal 5 2 6 9" xfId="7331" xr:uid="{00000000-0005-0000-0000-000048650000}"/>
    <cellStyle name="Normal 5 2 6 9 2" xfId="19740" xr:uid="{00000000-0005-0000-0000-000049650000}"/>
    <cellStyle name="Normal 5 2 6 9 2 2" xfId="45293" xr:uid="{00000000-0005-0000-0000-00004A650000}"/>
    <cellStyle name="Normal 5 2 6 9 3" xfId="32888" xr:uid="{00000000-0005-0000-0000-00004B650000}"/>
    <cellStyle name="Normal 5 2 6_Degree data" xfId="3915" xr:uid="{00000000-0005-0000-0000-00004C650000}"/>
    <cellStyle name="Normal 5 2 7" xfId="451" xr:uid="{00000000-0005-0000-0000-00004D650000}"/>
    <cellStyle name="Normal 5 2 7 10" xfId="26380" xr:uid="{00000000-0005-0000-0000-00004E650000}"/>
    <cellStyle name="Normal 5 2 7 2" xfId="795" xr:uid="{00000000-0005-0000-0000-00004F650000}"/>
    <cellStyle name="Normal 5 2 7 2 2" xfId="3280" xr:uid="{00000000-0005-0000-0000-000050650000}"/>
    <cellStyle name="Normal 5 2 7 2 2 2" xfId="12422" xr:uid="{00000000-0005-0000-0000-000051650000}"/>
    <cellStyle name="Normal 5 2 7 2 2 2 2" xfId="22641" xr:uid="{00000000-0005-0000-0000-000052650000}"/>
    <cellStyle name="Normal 5 2 7 2 2 2 2 2" xfId="48194" xr:uid="{00000000-0005-0000-0000-000053650000}"/>
    <cellStyle name="Normal 5 2 7 2 2 2 3" xfId="37977" xr:uid="{00000000-0005-0000-0000-000054650000}"/>
    <cellStyle name="Normal 5 2 7 2 2 3" xfId="8844" xr:uid="{00000000-0005-0000-0000-000055650000}"/>
    <cellStyle name="Normal 5 2 7 2 2 3 2" xfId="34401" xr:uid="{00000000-0005-0000-0000-000056650000}"/>
    <cellStyle name="Normal 5 2 7 2 2 4" xfId="17634" xr:uid="{00000000-0005-0000-0000-000057650000}"/>
    <cellStyle name="Normal 5 2 7 2 2 4 2" xfId="43187" xr:uid="{00000000-0005-0000-0000-000058650000}"/>
    <cellStyle name="Normal 5 2 7 2 2 5" xfId="29124" xr:uid="{00000000-0005-0000-0000-000059650000}"/>
    <cellStyle name="Normal 5 2 7 2 3" xfId="4609" xr:uid="{00000000-0005-0000-0000-00005A650000}"/>
    <cellStyle name="Normal 5 2 7 2 3 2" xfId="13447" xr:uid="{00000000-0005-0000-0000-00005B650000}"/>
    <cellStyle name="Normal 5 2 7 2 3 2 2" xfId="23698" xr:uid="{00000000-0005-0000-0000-00005C650000}"/>
    <cellStyle name="Normal 5 2 7 2 3 2 2 2" xfId="49251" xr:uid="{00000000-0005-0000-0000-00005D650000}"/>
    <cellStyle name="Normal 5 2 7 2 3 2 3" xfId="39002" xr:uid="{00000000-0005-0000-0000-00005E650000}"/>
    <cellStyle name="Normal 5 2 7 2 3 3" xfId="9868" xr:uid="{00000000-0005-0000-0000-00005F650000}"/>
    <cellStyle name="Normal 5 2 7 2 3 3 2" xfId="35425" xr:uid="{00000000-0005-0000-0000-000060650000}"/>
    <cellStyle name="Normal 5 2 7 2 3 4" xfId="18691" xr:uid="{00000000-0005-0000-0000-000061650000}"/>
    <cellStyle name="Normal 5 2 7 2 3 4 2" xfId="44244" xr:uid="{00000000-0005-0000-0000-000062650000}"/>
    <cellStyle name="Normal 5 2 7 2 3 5" xfId="30181" xr:uid="{00000000-0005-0000-0000-000063650000}"/>
    <cellStyle name="Normal 5 2 7 2 4" xfId="2389" xr:uid="{00000000-0005-0000-0000-000064650000}"/>
    <cellStyle name="Normal 5 2 7 2 4 2" xfId="11754" xr:uid="{00000000-0005-0000-0000-000065650000}"/>
    <cellStyle name="Normal 5 2 7 2 4 2 2" xfId="37309" xr:uid="{00000000-0005-0000-0000-000066650000}"/>
    <cellStyle name="Normal 5 2 7 2 4 3" xfId="21758" xr:uid="{00000000-0005-0000-0000-000067650000}"/>
    <cellStyle name="Normal 5 2 7 2 4 3 2" xfId="47311" xr:uid="{00000000-0005-0000-0000-000068650000}"/>
    <cellStyle name="Normal 5 2 7 2 4 4" xfId="28241" xr:uid="{00000000-0005-0000-0000-000069650000}"/>
    <cellStyle name="Normal 5 2 7 2 5" xfId="6065" xr:uid="{00000000-0005-0000-0000-00006A650000}"/>
    <cellStyle name="Normal 5 2 7 2 5 2" xfId="14892" xr:uid="{00000000-0005-0000-0000-00006B650000}"/>
    <cellStyle name="Normal 5 2 7 2 5 2 2" xfId="40447" xr:uid="{00000000-0005-0000-0000-00006C650000}"/>
    <cellStyle name="Normal 5 2 7 2 5 3" xfId="25143" xr:uid="{00000000-0005-0000-0000-00006D650000}"/>
    <cellStyle name="Normal 5 2 7 2 5 3 2" xfId="50696" xr:uid="{00000000-0005-0000-0000-00006E650000}"/>
    <cellStyle name="Normal 5 2 7 2 5 4" xfId="31626" xr:uid="{00000000-0005-0000-0000-00006F650000}"/>
    <cellStyle name="Normal 5 2 7 2 6" xfId="7510" xr:uid="{00000000-0005-0000-0000-000070650000}"/>
    <cellStyle name="Normal 5 2 7 2 6 2" xfId="20240" xr:uid="{00000000-0005-0000-0000-000071650000}"/>
    <cellStyle name="Normal 5 2 7 2 6 2 2" xfId="45793" xr:uid="{00000000-0005-0000-0000-000072650000}"/>
    <cellStyle name="Normal 5 2 7 2 6 3" xfId="33067" xr:uid="{00000000-0005-0000-0000-000073650000}"/>
    <cellStyle name="Normal 5 2 7 2 7" xfId="16751" xr:uid="{00000000-0005-0000-0000-000074650000}"/>
    <cellStyle name="Normal 5 2 7 2 7 2" xfId="42304" xr:uid="{00000000-0005-0000-0000-000075650000}"/>
    <cellStyle name="Normal 5 2 7 2 8" xfId="26723" xr:uid="{00000000-0005-0000-0000-000076650000}"/>
    <cellStyle name="Normal 5 2 7 3" xfId="1223" xr:uid="{00000000-0005-0000-0000-000077650000}"/>
    <cellStyle name="Normal 5 2 7 3 2" xfId="3652" xr:uid="{00000000-0005-0000-0000-000078650000}"/>
    <cellStyle name="Normal 5 2 7 3 2 2" xfId="12788" xr:uid="{00000000-0005-0000-0000-000079650000}"/>
    <cellStyle name="Normal 5 2 7 3 2 2 2" xfId="23007" xr:uid="{00000000-0005-0000-0000-00007A650000}"/>
    <cellStyle name="Normal 5 2 7 3 2 2 2 2" xfId="48560" xr:uid="{00000000-0005-0000-0000-00007B650000}"/>
    <cellStyle name="Normal 5 2 7 3 2 2 3" xfId="38343" xr:uid="{00000000-0005-0000-0000-00007C650000}"/>
    <cellStyle name="Normal 5 2 7 3 2 3" xfId="9209" xr:uid="{00000000-0005-0000-0000-00007D650000}"/>
    <cellStyle name="Normal 5 2 7 3 2 3 2" xfId="34766" xr:uid="{00000000-0005-0000-0000-00007E650000}"/>
    <cellStyle name="Normal 5 2 7 3 2 4" xfId="18000" xr:uid="{00000000-0005-0000-0000-00007F650000}"/>
    <cellStyle name="Normal 5 2 7 3 2 4 2" xfId="43553" xr:uid="{00000000-0005-0000-0000-000080650000}"/>
    <cellStyle name="Normal 5 2 7 3 2 5" xfId="29490" xr:uid="{00000000-0005-0000-0000-000081650000}"/>
    <cellStyle name="Normal 5 2 7 3 3" xfId="4958" xr:uid="{00000000-0005-0000-0000-000082650000}"/>
    <cellStyle name="Normal 5 2 7 3 3 2" xfId="13795" xr:uid="{00000000-0005-0000-0000-000083650000}"/>
    <cellStyle name="Normal 5 2 7 3 3 2 2" xfId="24046" xr:uid="{00000000-0005-0000-0000-000084650000}"/>
    <cellStyle name="Normal 5 2 7 3 3 2 2 2" xfId="49599" xr:uid="{00000000-0005-0000-0000-000085650000}"/>
    <cellStyle name="Normal 5 2 7 3 3 2 3" xfId="39350" xr:uid="{00000000-0005-0000-0000-000086650000}"/>
    <cellStyle name="Normal 5 2 7 3 3 3" xfId="10216" xr:uid="{00000000-0005-0000-0000-000087650000}"/>
    <cellStyle name="Normal 5 2 7 3 3 3 2" xfId="35773" xr:uid="{00000000-0005-0000-0000-000088650000}"/>
    <cellStyle name="Normal 5 2 7 3 3 4" xfId="19039" xr:uid="{00000000-0005-0000-0000-000089650000}"/>
    <cellStyle name="Normal 5 2 7 3 3 4 2" xfId="44592" xr:uid="{00000000-0005-0000-0000-00008A650000}"/>
    <cellStyle name="Normal 5 2 7 3 3 5" xfId="30529" xr:uid="{00000000-0005-0000-0000-00008B650000}"/>
    <cellStyle name="Normal 5 2 7 3 4" xfId="2046" xr:uid="{00000000-0005-0000-0000-00008C650000}"/>
    <cellStyle name="Normal 5 2 7 3 4 2" xfId="11411" xr:uid="{00000000-0005-0000-0000-00008D650000}"/>
    <cellStyle name="Normal 5 2 7 3 4 2 2" xfId="36966" xr:uid="{00000000-0005-0000-0000-00008E650000}"/>
    <cellStyle name="Normal 5 2 7 3 4 3" xfId="21415" xr:uid="{00000000-0005-0000-0000-00008F650000}"/>
    <cellStyle name="Normal 5 2 7 3 4 3 2" xfId="46968" xr:uid="{00000000-0005-0000-0000-000090650000}"/>
    <cellStyle name="Normal 5 2 7 3 4 4" xfId="27898" xr:uid="{00000000-0005-0000-0000-000091650000}"/>
    <cellStyle name="Normal 5 2 7 3 5" xfId="6413" xr:uid="{00000000-0005-0000-0000-000092650000}"/>
    <cellStyle name="Normal 5 2 7 3 5 2" xfId="15240" xr:uid="{00000000-0005-0000-0000-000093650000}"/>
    <cellStyle name="Normal 5 2 7 3 5 2 2" xfId="40795" xr:uid="{00000000-0005-0000-0000-000094650000}"/>
    <cellStyle name="Normal 5 2 7 3 5 3" xfId="25491" xr:uid="{00000000-0005-0000-0000-000095650000}"/>
    <cellStyle name="Normal 5 2 7 3 5 3 2" xfId="51044" xr:uid="{00000000-0005-0000-0000-000096650000}"/>
    <cellStyle name="Normal 5 2 7 3 5 4" xfId="31974" xr:uid="{00000000-0005-0000-0000-000097650000}"/>
    <cellStyle name="Normal 5 2 7 3 6" xfId="7859" xr:uid="{00000000-0005-0000-0000-000098650000}"/>
    <cellStyle name="Normal 5 2 7 3 6 2" xfId="20606" xr:uid="{00000000-0005-0000-0000-000099650000}"/>
    <cellStyle name="Normal 5 2 7 3 6 2 2" xfId="46159" xr:uid="{00000000-0005-0000-0000-00009A650000}"/>
    <cellStyle name="Normal 5 2 7 3 6 3" xfId="33416" xr:uid="{00000000-0005-0000-0000-00009B650000}"/>
    <cellStyle name="Normal 5 2 7 3 7" xfId="16408" xr:uid="{00000000-0005-0000-0000-00009C650000}"/>
    <cellStyle name="Normal 5 2 7 3 7 2" xfId="41961" xr:uid="{00000000-0005-0000-0000-00009D650000}"/>
    <cellStyle name="Normal 5 2 7 3 8" xfId="27089" xr:uid="{00000000-0005-0000-0000-00009E650000}"/>
    <cellStyle name="Normal 5 2 7 4" xfId="2937" xr:uid="{00000000-0005-0000-0000-00009F650000}"/>
    <cellStyle name="Normal 5 2 7 4 2" xfId="5315" xr:uid="{00000000-0005-0000-0000-0000A0650000}"/>
    <cellStyle name="Normal 5 2 7 4 2 2" xfId="14152" xr:uid="{00000000-0005-0000-0000-0000A1650000}"/>
    <cellStyle name="Normal 5 2 7 4 2 2 2" xfId="24403" xr:uid="{00000000-0005-0000-0000-0000A2650000}"/>
    <cellStyle name="Normal 5 2 7 4 2 2 2 2" xfId="49956" xr:uid="{00000000-0005-0000-0000-0000A3650000}"/>
    <cellStyle name="Normal 5 2 7 4 2 2 3" xfId="39707" xr:uid="{00000000-0005-0000-0000-0000A4650000}"/>
    <cellStyle name="Normal 5 2 7 4 2 3" xfId="10573" xr:uid="{00000000-0005-0000-0000-0000A5650000}"/>
    <cellStyle name="Normal 5 2 7 4 2 3 2" xfId="36130" xr:uid="{00000000-0005-0000-0000-0000A6650000}"/>
    <cellStyle name="Normal 5 2 7 4 2 4" xfId="19396" xr:uid="{00000000-0005-0000-0000-0000A7650000}"/>
    <cellStyle name="Normal 5 2 7 4 2 4 2" xfId="44949" xr:uid="{00000000-0005-0000-0000-0000A8650000}"/>
    <cellStyle name="Normal 5 2 7 4 2 5" xfId="30886" xr:uid="{00000000-0005-0000-0000-0000A9650000}"/>
    <cellStyle name="Normal 5 2 7 4 3" xfId="6770" xr:uid="{00000000-0005-0000-0000-0000AA650000}"/>
    <cellStyle name="Normal 5 2 7 4 3 2" xfId="15597" xr:uid="{00000000-0005-0000-0000-0000AB650000}"/>
    <cellStyle name="Normal 5 2 7 4 3 2 2" xfId="41152" xr:uid="{00000000-0005-0000-0000-0000AC650000}"/>
    <cellStyle name="Normal 5 2 7 4 3 3" xfId="25848" xr:uid="{00000000-0005-0000-0000-0000AD650000}"/>
    <cellStyle name="Normal 5 2 7 4 3 3 2" xfId="51401" xr:uid="{00000000-0005-0000-0000-0000AE650000}"/>
    <cellStyle name="Normal 5 2 7 4 3 4" xfId="32331" xr:uid="{00000000-0005-0000-0000-0000AF650000}"/>
    <cellStyle name="Normal 5 2 7 4 4" xfId="8216" xr:uid="{00000000-0005-0000-0000-0000B0650000}"/>
    <cellStyle name="Normal 5 2 7 4 4 2" xfId="22298" xr:uid="{00000000-0005-0000-0000-0000B1650000}"/>
    <cellStyle name="Normal 5 2 7 4 4 2 2" xfId="47851" xr:uid="{00000000-0005-0000-0000-0000B2650000}"/>
    <cellStyle name="Normal 5 2 7 4 4 3" xfId="33773" xr:uid="{00000000-0005-0000-0000-0000B3650000}"/>
    <cellStyle name="Normal 5 2 7 4 5" xfId="17291" xr:uid="{00000000-0005-0000-0000-0000B4650000}"/>
    <cellStyle name="Normal 5 2 7 4 5 2" xfId="42844" xr:uid="{00000000-0005-0000-0000-0000B5650000}"/>
    <cellStyle name="Normal 5 2 7 4 6" xfId="28781" xr:uid="{00000000-0005-0000-0000-0000B6650000}"/>
    <cellStyle name="Normal 5 2 7 5" xfId="4271" xr:uid="{00000000-0005-0000-0000-0000B7650000}"/>
    <cellStyle name="Normal 5 2 7 5 2" xfId="13109" xr:uid="{00000000-0005-0000-0000-0000B8650000}"/>
    <cellStyle name="Normal 5 2 7 5 2 2" xfId="23360" xr:uid="{00000000-0005-0000-0000-0000B9650000}"/>
    <cellStyle name="Normal 5 2 7 5 2 2 2" xfId="48913" xr:uid="{00000000-0005-0000-0000-0000BA650000}"/>
    <cellStyle name="Normal 5 2 7 5 2 3" xfId="38664" xr:uid="{00000000-0005-0000-0000-0000BB650000}"/>
    <cellStyle name="Normal 5 2 7 5 3" xfId="9530" xr:uid="{00000000-0005-0000-0000-0000BC650000}"/>
    <cellStyle name="Normal 5 2 7 5 3 2" xfId="35087" xr:uid="{00000000-0005-0000-0000-0000BD650000}"/>
    <cellStyle name="Normal 5 2 7 5 4" xfId="18353" xr:uid="{00000000-0005-0000-0000-0000BE650000}"/>
    <cellStyle name="Normal 5 2 7 5 4 2" xfId="43906" xr:uid="{00000000-0005-0000-0000-0000BF650000}"/>
    <cellStyle name="Normal 5 2 7 5 5" xfId="29843" xr:uid="{00000000-0005-0000-0000-0000C0650000}"/>
    <cellStyle name="Normal 5 2 7 6" xfId="1543" xr:uid="{00000000-0005-0000-0000-0000C1650000}"/>
    <cellStyle name="Normal 5 2 7 6 2" xfId="10920" xr:uid="{00000000-0005-0000-0000-0000C2650000}"/>
    <cellStyle name="Normal 5 2 7 6 2 2" xfId="36475" xr:uid="{00000000-0005-0000-0000-0000C3650000}"/>
    <cellStyle name="Normal 5 2 7 6 3" xfId="20924" xr:uid="{00000000-0005-0000-0000-0000C4650000}"/>
    <cellStyle name="Normal 5 2 7 6 3 2" xfId="46477" xr:uid="{00000000-0005-0000-0000-0000C5650000}"/>
    <cellStyle name="Normal 5 2 7 6 4" xfId="27407" xr:uid="{00000000-0005-0000-0000-0000C6650000}"/>
    <cellStyle name="Normal 5 2 7 7" xfId="5727" xr:uid="{00000000-0005-0000-0000-0000C7650000}"/>
    <cellStyle name="Normal 5 2 7 7 2" xfId="14554" xr:uid="{00000000-0005-0000-0000-0000C8650000}"/>
    <cellStyle name="Normal 5 2 7 7 2 2" xfId="40109" xr:uid="{00000000-0005-0000-0000-0000C9650000}"/>
    <cellStyle name="Normal 5 2 7 7 3" xfId="24805" xr:uid="{00000000-0005-0000-0000-0000CA650000}"/>
    <cellStyle name="Normal 5 2 7 7 3 2" xfId="50358" xr:uid="{00000000-0005-0000-0000-0000CB650000}"/>
    <cellStyle name="Normal 5 2 7 7 4" xfId="31288" xr:uid="{00000000-0005-0000-0000-0000CC650000}"/>
    <cellStyle name="Normal 5 2 7 8" xfId="7171" xr:uid="{00000000-0005-0000-0000-0000CD650000}"/>
    <cellStyle name="Normal 5 2 7 8 2" xfId="19897" xr:uid="{00000000-0005-0000-0000-0000CE650000}"/>
    <cellStyle name="Normal 5 2 7 8 2 2" xfId="45450" xr:uid="{00000000-0005-0000-0000-0000CF650000}"/>
    <cellStyle name="Normal 5 2 7 8 3" xfId="32728" xr:uid="{00000000-0005-0000-0000-0000D0650000}"/>
    <cellStyle name="Normal 5 2 7 9" xfId="15917" xr:uid="{00000000-0005-0000-0000-0000D1650000}"/>
    <cellStyle name="Normal 5 2 7 9 2" xfId="41470" xr:uid="{00000000-0005-0000-0000-0000D2650000}"/>
    <cellStyle name="Normal 5 2 7_Degree data" xfId="3817" xr:uid="{00000000-0005-0000-0000-0000D3650000}"/>
    <cellStyle name="Normal 5 2 8" xfId="1719" xr:uid="{00000000-0005-0000-0000-0000D4650000}"/>
    <cellStyle name="Normal 5 2 8 2" xfId="11093" xr:uid="{00000000-0005-0000-0000-0000D5650000}"/>
    <cellStyle name="Normal 5 2 8 2 2" xfId="21097" xr:uid="{00000000-0005-0000-0000-0000D6650000}"/>
    <cellStyle name="Normal 5 2 8 2 2 2" xfId="46650" xr:uid="{00000000-0005-0000-0000-0000D7650000}"/>
    <cellStyle name="Normal 5 2 8 2 3" xfId="36648" xr:uid="{00000000-0005-0000-0000-0000D8650000}"/>
    <cellStyle name="Normal 5 2 8 3" xfId="8436" xr:uid="{00000000-0005-0000-0000-0000D9650000}"/>
    <cellStyle name="Normal 5 2 8 3 2" xfId="33993" xr:uid="{00000000-0005-0000-0000-0000DA650000}"/>
    <cellStyle name="Normal 5 2 8 4" xfId="16090" xr:uid="{00000000-0005-0000-0000-0000DB650000}"/>
    <cellStyle name="Normal 5 2 8 4 2" xfId="41643" xr:uid="{00000000-0005-0000-0000-0000DC650000}"/>
    <cellStyle name="Normal 5 2 8 5" xfId="27580" xr:uid="{00000000-0005-0000-0000-0000DD650000}"/>
    <cellStyle name="Normal 5 2 9" xfId="2617" xr:uid="{00000000-0005-0000-0000-0000DE650000}"/>
    <cellStyle name="Normal 5 2 9 2" xfId="11966" xr:uid="{00000000-0005-0000-0000-0000DF650000}"/>
    <cellStyle name="Normal 5 2 9 2 2" xfId="21980" xr:uid="{00000000-0005-0000-0000-0000E0650000}"/>
    <cellStyle name="Normal 5 2 9 2 2 2" xfId="47533" xr:uid="{00000000-0005-0000-0000-0000E1650000}"/>
    <cellStyle name="Normal 5 2 9 2 3" xfId="37521" xr:uid="{00000000-0005-0000-0000-0000E2650000}"/>
    <cellStyle name="Normal 5 2 9 3" xfId="8589" xr:uid="{00000000-0005-0000-0000-0000E3650000}"/>
    <cellStyle name="Normal 5 2 9 3 2" xfId="34146" xr:uid="{00000000-0005-0000-0000-0000E4650000}"/>
    <cellStyle name="Normal 5 2 9 4" xfId="16973" xr:uid="{00000000-0005-0000-0000-0000E5650000}"/>
    <cellStyle name="Normal 5 2 9 4 2" xfId="42526" xr:uid="{00000000-0005-0000-0000-0000E6650000}"/>
    <cellStyle name="Normal 5 2 9 5" xfId="28463" xr:uid="{00000000-0005-0000-0000-0000E7650000}"/>
    <cellStyle name="Normal 5 3" xfId="94" xr:uid="{00000000-0005-0000-0000-0000E8650000}"/>
    <cellStyle name="Normal 5 3 10" xfId="4098" xr:uid="{00000000-0005-0000-0000-0000E9650000}"/>
    <cellStyle name="Normal 5 3 10 2" xfId="5556" xr:uid="{00000000-0005-0000-0000-0000EA650000}"/>
    <cellStyle name="Normal 5 3 10 2 2" xfId="14383" xr:uid="{00000000-0005-0000-0000-0000EB650000}"/>
    <cellStyle name="Normal 5 3 10 2 2 2" xfId="39938" xr:uid="{00000000-0005-0000-0000-0000EC650000}"/>
    <cellStyle name="Normal 5 3 10 2 3" xfId="24634" xr:uid="{00000000-0005-0000-0000-0000ED650000}"/>
    <cellStyle name="Normal 5 3 10 2 3 2" xfId="50187" xr:uid="{00000000-0005-0000-0000-0000EE650000}"/>
    <cellStyle name="Normal 5 3 10 2 4" xfId="31117" xr:uid="{00000000-0005-0000-0000-0000EF650000}"/>
    <cellStyle name="Normal 5 3 10 3" xfId="7000" xr:uid="{00000000-0005-0000-0000-0000F0650000}"/>
    <cellStyle name="Normal 5 3 10 3 2" xfId="23187" xr:uid="{00000000-0005-0000-0000-0000F1650000}"/>
    <cellStyle name="Normal 5 3 10 3 2 2" xfId="48740" xr:uid="{00000000-0005-0000-0000-0000F2650000}"/>
    <cellStyle name="Normal 5 3 10 3 3" xfId="32557" xr:uid="{00000000-0005-0000-0000-0000F3650000}"/>
    <cellStyle name="Normal 5 3 10 4" xfId="18180" xr:uid="{00000000-0005-0000-0000-0000F4650000}"/>
    <cellStyle name="Normal 5 3 10 4 2" xfId="43733" xr:uid="{00000000-0005-0000-0000-0000F5650000}"/>
    <cellStyle name="Normal 5 3 10 5" xfId="29670" xr:uid="{00000000-0005-0000-0000-0000F6650000}"/>
    <cellStyle name="Normal 5 3 11" xfId="1392" xr:uid="{00000000-0005-0000-0000-0000F7650000}"/>
    <cellStyle name="Normal 5 3 11 2" xfId="10769" xr:uid="{00000000-0005-0000-0000-0000F8650000}"/>
    <cellStyle name="Normal 5 3 11 2 2" xfId="36324" xr:uid="{00000000-0005-0000-0000-0000F9650000}"/>
    <cellStyle name="Normal 5 3 11 3" xfId="20773" xr:uid="{00000000-0005-0000-0000-0000FA650000}"/>
    <cellStyle name="Normal 5 3 11 3 2" xfId="46326" xr:uid="{00000000-0005-0000-0000-0000FB650000}"/>
    <cellStyle name="Normal 5 3 11 4" xfId="27256" xr:uid="{00000000-0005-0000-0000-0000FC650000}"/>
    <cellStyle name="Normal 5 3 12" xfId="5526" xr:uid="{00000000-0005-0000-0000-0000FD650000}"/>
    <cellStyle name="Normal 5 3 12 2" xfId="14353" xr:uid="{00000000-0005-0000-0000-0000FE650000}"/>
    <cellStyle name="Normal 5 3 12 2 2" xfId="39908" xr:uid="{00000000-0005-0000-0000-0000FF650000}"/>
    <cellStyle name="Normal 5 3 12 3" xfId="24604" xr:uid="{00000000-0005-0000-0000-000000660000}"/>
    <cellStyle name="Normal 5 3 12 3 2" xfId="50157" xr:uid="{00000000-0005-0000-0000-000001660000}"/>
    <cellStyle name="Normal 5 3 12 4" xfId="31087" xr:uid="{00000000-0005-0000-0000-000002660000}"/>
    <cellStyle name="Normal 5 3 13" xfId="6970" xr:uid="{00000000-0005-0000-0000-000003660000}"/>
    <cellStyle name="Normal 5 3 13 2" xfId="19576" xr:uid="{00000000-0005-0000-0000-000004660000}"/>
    <cellStyle name="Normal 5 3 13 2 2" xfId="45129" xr:uid="{00000000-0005-0000-0000-000005660000}"/>
    <cellStyle name="Normal 5 3 13 3" xfId="32527" xr:uid="{00000000-0005-0000-0000-000006660000}"/>
    <cellStyle name="Normal 5 3 14" xfId="15766" xr:uid="{00000000-0005-0000-0000-000007660000}"/>
    <cellStyle name="Normal 5 3 14 2" xfId="41319" xr:uid="{00000000-0005-0000-0000-000008660000}"/>
    <cellStyle name="Normal 5 3 15" xfId="26059" xr:uid="{00000000-0005-0000-0000-000009660000}"/>
    <cellStyle name="Normal 5 3 2" xfId="152" xr:uid="{00000000-0005-0000-0000-00000A660000}"/>
    <cellStyle name="Normal 5 3 2 10" xfId="1417" xr:uid="{00000000-0005-0000-0000-00000B660000}"/>
    <cellStyle name="Normal 5 3 2 10 2" xfId="10794" xr:uid="{00000000-0005-0000-0000-00000C660000}"/>
    <cellStyle name="Normal 5 3 2 10 2 2" xfId="36349" xr:uid="{00000000-0005-0000-0000-00000D660000}"/>
    <cellStyle name="Normal 5 3 2 10 3" xfId="20798" xr:uid="{00000000-0005-0000-0000-00000E660000}"/>
    <cellStyle name="Normal 5 3 2 10 3 2" xfId="46351" xr:uid="{00000000-0005-0000-0000-00000F660000}"/>
    <cellStyle name="Normal 5 3 2 10 4" xfId="27281" xr:uid="{00000000-0005-0000-0000-000010660000}"/>
    <cellStyle name="Normal 5 3 2 11" xfId="5601" xr:uid="{00000000-0005-0000-0000-000011660000}"/>
    <cellStyle name="Normal 5 3 2 11 2" xfId="14428" xr:uid="{00000000-0005-0000-0000-000012660000}"/>
    <cellStyle name="Normal 5 3 2 11 2 2" xfId="39983" xr:uid="{00000000-0005-0000-0000-000013660000}"/>
    <cellStyle name="Normal 5 3 2 11 3" xfId="24679" xr:uid="{00000000-0005-0000-0000-000014660000}"/>
    <cellStyle name="Normal 5 3 2 11 3 2" xfId="50232" xr:uid="{00000000-0005-0000-0000-000015660000}"/>
    <cellStyle name="Normal 5 3 2 11 4" xfId="31162" xr:uid="{00000000-0005-0000-0000-000016660000}"/>
    <cellStyle name="Normal 5 3 2 12" xfId="7045" xr:uid="{00000000-0005-0000-0000-000017660000}"/>
    <cellStyle name="Normal 5 3 2 12 2" xfId="19611" xr:uid="{00000000-0005-0000-0000-000018660000}"/>
    <cellStyle name="Normal 5 3 2 12 2 2" xfId="45164" xr:uid="{00000000-0005-0000-0000-000019660000}"/>
    <cellStyle name="Normal 5 3 2 12 3" xfId="32602" xr:uid="{00000000-0005-0000-0000-00001A660000}"/>
    <cellStyle name="Normal 5 3 2 13" xfId="15791" xr:uid="{00000000-0005-0000-0000-00001B660000}"/>
    <cellStyle name="Normal 5 3 2 13 2" xfId="41344" xr:uid="{00000000-0005-0000-0000-00001C660000}"/>
    <cellStyle name="Normal 5 3 2 14" xfId="26094" xr:uid="{00000000-0005-0000-0000-00001D660000}"/>
    <cellStyle name="Normal 5 3 2 2" xfId="264" xr:uid="{00000000-0005-0000-0000-00001E660000}"/>
    <cellStyle name="Normal 5 3 2 2 10" xfId="7102" xr:uid="{00000000-0005-0000-0000-00001F660000}"/>
    <cellStyle name="Normal 5 3 2 2 10 2" xfId="19715" xr:uid="{00000000-0005-0000-0000-000020660000}"/>
    <cellStyle name="Normal 5 3 2 2 10 2 2" xfId="45268" xr:uid="{00000000-0005-0000-0000-000021660000}"/>
    <cellStyle name="Normal 5 3 2 2 10 3" xfId="32659" xr:uid="{00000000-0005-0000-0000-000022660000}"/>
    <cellStyle name="Normal 5 3 2 2 11" xfId="15848" xr:uid="{00000000-0005-0000-0000-000023660000}"/>
    <cellStyle name="Normal 5 3 2 2 11 2" xfId="41401" xr:uid="{00000000-0005-0000-0000-000024660000}"/>
    <cellStyle name="Normal 5 3 2 2 12" xfId="26198" xr:uid="{00000000-0005-0000-0000-000025660000}"/>
    <cellStyle name="Normal 5 3 2 2 2" xfId="586" xr:uid="{00000000-0005-0000-0000-000026660000}"/>
    <cellStyle name="Normal 5 3 2 2 2 10" xfId="26515" xr:uid="{00000000-0005-0000-0000-000027660000}"/>
    <cellStyle name="Normal 5 3 2 2 2 2" xfId="799" xr:uid="{00000000-0005-0000-0000-000028660000}"/>
    <cellStyle name="Normal 5 3 2 2 2 2 2" xfId="3284" xr:uid="{00000000-0005-0000-0000-000029660000}"/>
    <cellStyle name="Normal 5 3 2 2 2 2 2 2" xfId="12426" xr:uid="{00000000-0005-0000-0000-00002A660000}"/>
    <cellStyle name="Normal 5 3 2 2 2 2 2 2 2" xfId="22645" xr:uid="{00000000-0005-0000-0000-00002B660000}"/>
    <cellStyle name="Normal 5 3 2 2 2 2 2 2 2 2" xfId="48198" xr:uid="{00000000-0005-0000-0000-00002C660000}"/>
    <cellStyle name="Normal 5 3 2 2 2 2 2 2 3" xfId="37981" xr:uid="{00000000-0005-0000-0000-00002D660000}"/>
    <cellStyle name="Normal 5 3 2 2 2 2 2 3" xfId="8848" xr:uid="{00000000-0005-0000-0000-00002E660000}"/>
    <cellStyle name="Normal 5 3 2 2 2 2 2 3 2" xfId="34405" xr:uid="{00000000-0005-0000-0000-00002F660000}"/>
    <cellStyle name="Normal 5 3 2 2 2 2 2 4" xfId="17638" xr:uid="{00000000-0005-0000-0000-000030660000}"/>
    <cellStyle name="Normal 5 3 2 2 2 2 2 4 2" xfId="43191" xr:uid="{00000000-0005-0000-0000-000031660000}"/>
    <cellStyle name="Normal 5 3 2 2 2 2 2 5" xfId="29128" xr:uid="{00000000-0005-0000-0000-000032660000}"/>
    <cellStyle name="Normal 5 3 2 2 2 2 3" xfId="4613" xr:uid="{00000000-0005-0000-0000-000033660000}"/>
    <cellStyle name="Normal 5 3 2 2 2 2 3 2" xfId="13451" xr:uid="{00000000-0005-0000-0000-000034660000}"/>
    <cellStyle name="Normal 5 3 2 2 2 2 3 2 2" xfId="23702" xr:uid="{00000000-0005-0000-0000-000035660000}"/>
    <cellStyle name="Normal 5 3 2 2 2 2 3 2 2 2" xfId="49255" xr:uid="{00000000-0005-0000-0000-000036660000}"/>
    <cellStyle name="Normal 5 3 2 2 2 2 3 2 3" xfId="39006" xr:uid="{00000000-0005-0000-0000-000037660000}"/>
    <cellStyle name="Normal 5 3 2 2 2 2 3 3" xfId="9872" xr:uid="{00000000-0005-0000-0000-000038660000}"/>
    <cellStyle name="Normal 5 3 2 2 2 2 3 3 2" xfId="35429" xr:uid="{00000000-0005-0000-0000-000039660000}"/>
    <cellStyle name="Normal 5 3 2 2 2 2 3 4" xfId="18695" xr:uid="{00000000-0005-0000-0000-00003A660000}"/>
    <cellStyle name="Normal 5 3 2 2 2 2 3 4 2" xfId="44248" xr:uid="{00000000-0005-0000-0000-00003B660000}"/>
    <cellStyle name="Normal 5 3 2 2 2 2 3 5" xfId="30185" xr:uid="{00000000-0005-0000-0000-00003C660000}"/>
    <cellStyle name="Normal 5 3 2 2 2 2 4" xfId="2393" xr:uid="{00000000-0005-0000-0000-00003D660000}"/>
    <cellStyle name="Normal 5 3 2 2 2 2 4 2" xfId="11758" xr:uid="{00000000-0005-0000-0000-00003E660000}"/>
    <cellStyle name="Normal 5 3 2 2 2 2 4 2 2" xfId="37313" xr:uid="{00000000-0005-0000-0000-00003F660000}"/>
    <cellStyle name="Normal 5 3 2 2 2 2 4 3" xfId="21762" xr:uid="{00000000-0005-0000-0000-000040660000}"/>
    <cellStyle name="Normal 5 3 2 2 2 2 4 3 2" xfId="47315" xr:uid="{00000000-0005-0000-0000-000041660000}"/>
    <cellStyle name="Normal 5 3 2 2 2 2 4 4" xfId="28245" xr:uid="{00000000-0005-0000-0000-000042660000}"/>
    <cellStyle name="Normal 5 3 2 2 2 2 5" xfId="6069" xr:uid="{00000000-0005-0000-0000-000043660000}"/>
    <cellStyle name="Normal 5 3 2 2 2 2 5 2" xfId="14896" xr:uid="{00000000-0005-0000-0000-000044660000}"/>
    <cellStyle name="Normal 5 3 2 2 2 2 5 2 2" xfId="40451" xr:uid="{00000000-0005-0000-0000-000045660000}"/>
    <cellStyle name="Normal 5 3 2 2 2 2 5 3" xfId="25147" xr:uid="{00000000-0005-0000-0000-000046660000}"/>
    <cellStyle name="Normal 5 3 2 2 2 2 5 3 2" xfId="50700" xr:uid="{00000000-0005-0000-0000-000047660000}"/>
    <cellStyle name="Normal 5 3 2 2 2 2 5 4" xfId="31630" xr:uid="{00000000-0005-0000-0000-000048660000}"/>
    <cellStyle name="Normal 5 3 2 2 2 2 6" xfId="7514" xr:uid="{00000000-0005-0000-0000-000049660000}"/>
    <cellStyle name="Normal 5 3 2 2 2 2 6 2" xfId="20244" xr:uid="{00000000-0005-0000-0000-00004A660000}"/>
    <cellStyle name="Normal 5 3 2 2 2 2 6 2 2" xfId="45797" xr:uid="{00000000-0005-0000-0000-00004B660000}"/>
    <cellStyle name="Normal 5 3 2 2 2 2 6 3" xfId="33071" xr:uid="{00000000-0005-0000-0000-00004C660000}"/>
    <cellStyle name="Normal 5 3 2 2 2 2 7" xfId="16755" xr:uid="{00000000-0005-0000-0000-00004D660000}"/>
    <cellStyle name="Normal 5 3 2 2 2 2 7 2" xfId="42308" xr:uid="{00000000-0005-0000-0000-00004E660000}"/>
    <cellStyle name="Normal 5 3 2 2 2 2 8" xfId="26727" xr:uid="{00000000-0005-0000-0000-00004F660000}"/>
    <cellStyle name="Normal 5 3 2 2 2 3" xfId="1358" xr:uid="{00000000-0005-0000-0000-000050660000}"/>
    <cellStyle name="Normal 5 3 2 2 2 3 2" xfId="3787" xr:uid="{00000000-0005-0000-0000-000051660000}"/>
    <cellStyle name="Normal 5 3 2 2 2 3 2 2" xfId="12923" xr:uid="{00000000-0005-0000-0000-000052660000}"/>
    <cellStyle name="Normal 5 3 2 2 2 3 2 2 2" xfId="23142" xr:uid="{00000000-0005-0000-0000-000053660000}"/>
    <cellStyle name="Normal 5 3 2 2 2 3 2 2 2 2" xfId="48695" xr:uid="{00000000-0005-0000-0000-000054660000}"/>
    <cellStyle name="Normal 5 3 2 2 2 3 2 2 3" xfId="38478" xr:uid="{00000000-0005-0000-0000-000055660000}"/>
    <cellStyle name="Normal 5 3 2 2 2 3 2 3" xfId="9344" xr:uid="{00000000-0005-0000-0000-000056660000}"/>
    <cellStyle name="Normal 5 3 2 2 2 3 2 3 2" xfId="34901" xr:uid="{00000000-0005-0000-0000-000057660000}"/>
    <cellStyle name="Normal 5 3 2 2 2 3 2 4" xfId="18135" xr:uid="{00000000-0005-0000-0000-000058660000}"/>
    <cellStyle name="Normal 5 3 2 2 2 3 2 4 2" xfId="43688" xr:uid="{00000000-0005-0000-0000-000059660000}"/>
    <cellStyle name="Normal 5 3 2 2 2 3 2 5" xfId="29625" xr:uid="{00000000-0005-0000-0000-00005A660000}"/>
    <cellStyle name="Normal 5 3 2 2 2 3 3" xfId="4962" xr:uid="{00000000-0005-0000-0000-00005B660000}"/>
    <cellStyle name="Normal 5 3 2 2 2 3 3 2" xfId="13799" xr:uid="{00000000-0005-0000-0000-00005C660000}"/>
    <cellStyle name="Normal 5 3 2 2 2 3 3 2 2" xfId="24050" xr:uid="{00000000-0005-0000-0000-00005D660000}"/>
    <cellStyle name="Normal 5 3 2 2 2 3 3 2 2 2" xfId="49603" xr:uid="{00000000-0005-0000-0000-00005E660000}"/>
    <cellStyle name="Normal 5 3 2 2 2 3 3 2 3" xfId="39354" xr:uid="{00000000-0005-0000-0000-00005F660000}"/>
    <cellStyle name="Normal 5 3 2 2 2 3 3 3" xfId="10220" xr:uid="{00000000-0005-0000-0000-000060660000}"/>
    <cellStyle name="Normal 5 3 2 2 2 3 3 3 2" xfId="35777" xr:uid="{00000000-0005-0000-0000-000061660000}"/>
    <cellStyle name="Normal 5 3 2 2 2 3 3 4" xfId="19043" xr:uid="{00000000-0005-0000-0000-000062660000}"/>
    <cellStyle name="Normal 5 3 2 2 2 3 3 4 2" xfId="44596" xr:uid="{00000000-0005-0000-0000-000063660000}"/>
    <cellStyle name="Normal 5 3 2 2 2 3 3 5" xfId="30533" xr:uid="{00000000-0005-0000-0000-000064660000}"/>
    <cellStyle name="Normal 5 3 2 2 2 3 4" xfId="2181" xr:uid="{00000000-0005-0000-0000-000065660000}"/>
    <cellStyle name="Normal 5 3 2 2 2 3 4 2" xfId="11546" xr:uid="{00000000-0005-0000-0000-000066660000}"/>
    <cellStyle name="Normal 5 3 2 2 2 3 4 2 2" xfId="37101" xr:uid="{00000000-0005-0000-0000-000067660000}"/>
    <cellStyle name="Normal 5 3 2 2 2 3 4 3" xfId="21550" xr:uid="{00000000-0005-0000-0000-000068660000}"/>
    <cellStyle name="Normal 5 3 2 2 2 3 4 3 2" xfId="47103" xr:uid="{00000000-0005-0000-0000-000069660000}"/>
    <cellStyle name="Normal 5 3 2 2 2 3 4 4" xfId="28033" xr:uid="{00000000-0005-0000-0000-00006A660000}"/>
    <cellStyle name="Normal 5 3 2 2 2 3 5" xfId="6417" xr:uid="{00000000-0005-0000-0000-00006B660000}"/>
    <cellStyle name="Normal 5 3 2 2 2 3 5 2" xfId="15244" xr:uid="{00000000-0005-0000-0000-00006C660000}"/>
    <cellStyle name="Normal 5 3 2 2 2 3 5 2 2" xfId="40799" xr:uid="{00000000-0005-0000-0000-00006D660000}"/>
    <cellStyle name="Normal 5 3 2 2 2 3 5 3" xfId="25495" xr:uid="{00000000-0005-0000-0000-00006E660000}"/>
    <cellStyle name="Normal 5 3 2 2 2 3 5 3 2" xfId="51048" xr:uid="{00000000-0005-0000-0000-00006F660000}"/>
    <cellStyle name="Normal 5 3 2 2 2 3 5 4" xfId="31978" xr:uid="{00000000-0005-0000-0000-000070660000}"/>
    <cellStyle name="Normal 5 3 2 2 2 3 6" xfId="7863" xr:uid="{00000000-0005-0000-0000-000071660000}"/>
    <cellStyle name="Normal 5 3 2 2 2 3 6 2" xfId="20741" xr:uid="{00000000-0005-0000-0000-000072660000}"/>
    <cellStyle name="Normal 5 3 2 2 2 3 6 2 2" xfId="46294" xr:uid="{00000000-0005-0000-0000-000073660000}"/>
    <cellStyle name="Normal 5 3 2 2 2 3 6 3" xfId="33420" xr:uid="{00000000-0005-0000-0000-000074660000}"/>
    <cellStyle name="Normal 5 3 2 2 2 3 7" xfId="16543" xr:uid="{00000000-0005-0000-0000-000075660000}"/>
    <cellStyle name="Normal 5 3 2 2 2 3 7 2" xfId="42096" xr:uid="{00000000-0005-0000-0000-000076660000}"/>
    <cellStyle name="Normal 5 3 2 2 2 3 8" xfId="27224" xr:uid="{00000000-0005-0000-0000-000077660000}"/>
    <cellStyle name="Normal 5 3 2 2 2 4" xfId="3072" xr:uid="{00000000-0005-0000-0000-000078660000}"/>
    <cellStyle name="Normal 5 3 2 2 2 4 2" xfId="5450" xr:uid="{00000000-0005-0000-0000-000079660000}"/>
    <cellStyle name="Normal 5 3 2 2 2 4 2 2" xfId="14287" xr:uid="{00000000-0005-0000-0000-00007A660000}"/>
    <cellStyle name="Normal 5 3 2 2 2 4 2 2 2" xfId="24538" xr:uid="{00000000-0005-0000-0000-00007B660000}"/>
    <cellStyle name="Normal 5 3 2 2 2 4 2 2 2 2" xfId="50091" xr:uid="{00000000-0005-0000-0000-00007C660000}"/>
    <cellStyle name="Normal 5 3 2 2 2 4 2 2 3" xfId="39842" xr:uid="{00000000-0005-0000-0000-00007D660000}"/>
    <cellStyle name="Normal 5 3 2 2 2 4 2 3" xfId="10708" xr:uid="{00000000-0005-0000-0000-00007E660000}"/>
    <cellStyle name="Normal 5 3 2 2 2 4 2 3 2" xfId="36265" xr:uid="{00000000-0005-0000-0000-00007F660000}"/>
    <cellStyle name="Normal 5 3 2 2 2 4 2 4" xfId="19531" xr:uid="{00000000-0005-0000-0000-000080660000}"/>
    <cellStyle name="Normal 5 3 2 2 2 4 2 4 2" xfId="45084" xr:uid="{00000000-0005-0000-0000-000081660000}"/>
    <cellStyle name="Normal 5 3 2 2 2 4 2 5" xfId="31021" xr:uid="{00000000-0005-0000-0000-000082660000}"/>
    <cellStyle name="Normal 5 3 2 2 2 4 3" xfId="6905" xr:uid="{00000000-0005-0000-0000-000083660000}"/>
    <cellStyle name="Normal 5 3 2 2 2 4 3 2" xfId="15732" xr:uid="{00000000-0005-0000-0000-000084660000}"/>
    <cellStyle name="Normal 5 3 2 2 2 4 3 2 2" xfId="41287" xr:uid="{00000000-0005-0000-0000-000085660000}"/>
    <cellStyle name="Normal 5 3 2 2 2 4 3 3" xfId="25983" xr:uid="{00000000-0005-0000-0000-000086660000}"/>
    <cellStyle name="Normal 5 3 2 2 2 4 3 3 2" xfId="51536" xr:uid="{00000000-0005-0000-0000-000087660000}"/>
    <cellStyle name="Normal 5 3 2 2 2 4 3 4" xfId="32466" xr:uid="{00000000-0005-0000-0000-000088660000}"/>
    <cellStyle name="Normal 5 3 2 2 2 4 4" xfId="8351" xr:uid="{00000000-0005-0000-0000-000089660000}"/>
    <cellStyle name="Normal 5 3 2 2 2 4 4 2" xfId="22433" xr:uid="{00000000-0005-0000-0000-00008A660000}"/>
    <cellStyle name="Normal 5 3 2 2 2 4 4 2 2" xfId="47986" xr:uid="{00000000-0005-0000-0000-00008B660000}"/>
    <cellStyle name="Normal 5 3 2 2 2 4 4 3" xfId="33908" xr:uid="{00000000-0005-0000-0000-00008C660000}"/>
    <cellStyle name="Normal 5 3 2 2 2 4 5" xfId="17426" xr:uid="{00000000-0005-0000-0000-00008D660000}"/>
    <cellStyle name="Normal 5 3 2 2 2 4 5 2" xfId="42979" xr:uid="{00000000-0005-0000-0000-00008E660000}"/>
    <cellStyle name="Normal 5 3 2 2 2 4 6" xfId="28916" xr:uid="{00000000-0005-0000-0000-00008F660000}"/>
    <cellStyle name="Normal 5 3 2 2 2 5" xfId="4406" xr:uid="{00000000-0005-0000-0000-000090660000}"/>
    <cellStyle name="Normal 5 3 2 2 2 5 2" xfId="13244" xr:uid="{00000000-0005-0000-0000-000091660000}"/>
    <cellStyle name="Normal 5 3 2 2 2 5 2 2" xfId="23495" xr:uid="{00000000-0005-0000-0000-000092660000}"/>
    <cellStyle name="Normal 5 3 2 2 2 5 2 2 2" xfId="49048" xr:uid="{00000000-0005-0000-0000-000093660000}"/>
    <cellStyle name="Normal 5 3 2 2 2 5 2 3" xfId="38799" xr:uid="{00000000-0005-0000-0000-000094660000}"/>
    <cellStyle name="Normal 5 3 2 2 2 5 3" xfId="9665" xr:uid="{00000000-0005-0000-0000-000095660000}"/>
    <cellStyle name="Normal 5 3 2 2 2 5 3 2" xfId="35222" xr:uid="{00000000-0005-0000-0000-000096660000}"/>
    <cellStyle name="Normal 5 3 2 2 2 5 4" xfId="18488" xr:uid="{00000000-0005-0000-0000-000097660000}"/>
    <cellStyle name="Normal 5 3 2 2 2 5 4 2" xfId="44041" xr:uid="{00000000-0005-0000-0000-000098660000}"/>
    <cellStyle name="Normal 5 3 2 2 2 5 5" xfId="29978" xr:uid="{00000000-0005-0000-0000-000099660000}"/>
    <cellStyle name="Normal 5 3 2 2 2 6" xfId="1678" xr:uid="{00000000-0005-0000-0000-00009A660000}"/>
    <cellStyle name="Normal 5 3 2 2 2 6 2" xfId="11055" xr:uid="{00000000-0005-0000-0000-00009B660000}"/>
    <cellStyle name="Normal 5 3 2 2 2 6 2 2" xfId="36610" xr:uid="{00000000-0005-0000-0000-00009C660000}"/>
    <cellStyle name="Normal 5 3 2 2 2 6 3" xfId="21059" xr:uid="{00000000-0005-0000-0000-00009D660000}"/>
    <cellStyle name="Normal 5 3 2 2 2 6 3 2" xfId="46612" xr:uid="{00000000-0005-0000-0000-00009E660000}"/>
    <cellStyle name="Normal 5 3 2 2 2 6 4" xfId="27542" xr:uid="{00000000-0005-0000-0000-00009F660000}"/>
    <cellStyle name="Normal 5 3 2 2 2 7" xfId="5862" xr:uid="{00000000-0005-0000-0000-0000A0660000}"/>
    <cellStyle name="Normal 5 3 2 2 2 7 2" xfId="14689" xr:uid="{00000000-0005-0000-0000-0000A1660000}"/>
    <cellStyle name="Normal 5 3 2 2 2 7 2 2" xfId="40244" xr:uid="{00000000-0005-0000-0000-0000A2660000}"/>
    <cellStyle name="Normal 5 3 2 2 2 7 3" xfId="24940" xr:uid="{00000000-0005-0000-0000-0000A3660000}"/>
    <cellStyle name="Normal 5 3 2 2 2 7 3 2" xfId="50493" xr:uid="{00000000-0005-0000-0000-0000A4660000}"/>
    <cellStyle name="Normal 5 3 2 2 2 7 4" xfId="31423" xr:uid="{00000000-0005-0000-0000-0000A5660000}"/>
    <cellStyle name="Normal 5 3 2 2 2 8" xfId="7306" xr:uid="{00000000-0005-0000-0000-0000A6660000}"/>
    <cellStyle name="Normal 5 3 2 2 2 8 2" xfId="20032" xr:uid="{00000000-0005-0000-0000-0000A7660000}"/>
    <cellStyle name="Normal 5 3 2 2 2 8 2 2" xfId="45585" xr:uid="{00000000-0005-0000-0000-0000A8660000}"/>
    <cellStyle name="Normal 5 3 2 2 2 8 3" xfId="32863" xr:uid="{00000000-0005-0000-0000-0000A9660000}"/>
    <cellStyle name="Normal 5 3 2 2 2 9" xfId="16052" xr:uid="{00000000-0005-0000-0000-0000AA660000}"/>
    <cellStyle name="Normal 5 3 2 2 2 9 2" xfId="41605" xr:uid="{00000000-0005-0000-0000-0000AB660000}"/>
    <cellStyle name="Normal 5 3 2 2 2_Degree data" xfId="3867" xr:uid="{00000000-0005-0000-0000-0000AC660000}"/>
    <cellStyle name="Normal 5 3 2 2 3" xfId="382" xr:uid="{00000000-0005-0000-0000-0000AD660000}"/>
    <cellStyle name="Normal 5 3 2 2 3 2" xfId="2868" xr:uid="{00000000-0005-0000-0000-0000AE660000}"/>
    <cellStyle name="Normal 5 3 2 2 3 2 2" xfId="12156" xr:uid="{00000000-0005-0000-0000-0000AF660000}"/>
    <cellStyle name="Normal 5 3 2 2 3 2 2 2" xfId="22229" xr:uid="{00000000-0005-0000-0000-0000B0660000}"/>
    <cellStyle name="Normal 5 3 2 2 3 2 2 2 2" xfId="47782" xr:uid="{00000000-0005-0000-0000-0000B1660000}"/>
    <cellStyle name="Normal 5 3 2 2 3 2 2 3" xfId="37711" xr:uid="{00000000-0005-0000-0000-0000B2660000}"/>
    <cellStyle name="Normal 5 3 2 2 3 2 3" xfId="8624" xr:uid="{00000000-0005-0000-0000-0000B3660000}"/>
    <cellStyle name="Normal 5 3 2 2 3 2 3 2" xfId="34181" xr:uid="{00000000-0005-0000-0000-0000B4660000}"/>
    <cellStyle name="Normal 5 3 2 2 3 2 4" xfId="17222" xr:uid="{00000000-0005-0000-0000-0000B5660000}"/>
    <cellStyle name="Normal 5 3 2 2 3 2 4 2" xfId="42775" xr:uid="{00000000-0005-0000-0000-0000B6660000}"/>
    <cellStyle name="Normal 5 3 2 2 3 2 5" xfId="28712" xr:uid="{00000000-0005-0000-0000-0000B7660000}"/>
    <cellStyle name="Normal 5 3 2 2 3 3" xfId="4612" xr:uid="{00000000-0005-0000-0000-0000B8660000}"/>
    <cellStyle name="Normal 5 3 2 2 3 3 2" xfId="13450" xr:uid="{00000000-0005-0000-0000-0000B9660000}"/>
    <cellStyle name="Normal 5 3 2 2 3 3 2 2" xfId="23701" xr:uid="{00000000-0005-0000-0000-0000BA660000}"/>
    <cellStyle name="Normal 5 3 2 2 3 3 2 2 2" xfId="49254" xr:uid="{00000000-0005-0000-0000-0000BB660000}"/>
    <cellStyle name="Normal 5 3 2 2 3 3 2 3" xfId="39005" xr:uid="{00000000-0005-0000-0000-0000BC660000}"/>
    <cellStyle name="Normal 5 3 2 2 3 3 3" xfId="9871" xr:uid="{00000000-0005-0000-0000-0000BD660000}"/>
    <cellStyle name="Normal 5 3 2 2 3 3 3 2" xfId="35428" xr:uid="{00000000-0005-0000-0000-0000BE660000}"/>
    <cellStyle name="Normal 5 3 2 2 3 3 4" xfId="18694" xr:uid="{00000000-0005-0000-0000-0000BF660000}"/>
    <cellStyle name="Normal 5 3 2 2 3 3 4 2" xfId="44247" xr:uid="{00000000-0005-0000-0000-0000C0660000}"/>
    <cellStyle name="Normal 5 3 2 2 3 3 5" xfId="30184" xr:uid="{00000000-0005-0000-0000-0000C1660000}"/>
    <cellStyle name="Normal 5 3 2 2 3 4" xfId="1977" xr:uid="{00000000-0005-0000-0000-0000C2660000}"/>
    <cellStyle name="Normal 5 3 2 2 3 4 2" xfId="11342" xr:uid="{00000000-0005-0000-0000-0000C3660000}"/>
    <cellStyle name="Normal 5 3 2 2 3 4 2 2" xfId="36897" xr:uid="{00000000-0005-0000-0000-0000C4660000}"/>
    <cellStyle name="Normal 5 3 2 2 3 4 3" xfId="21346" xr:uid="{00000000-0005-0000-0000-0000C5660000}"/>
    <cellStyle name="Normal 5 3 2 2 3 4 3 2" xfId="46899" xr:uid="{00000000-0005-0000-0000-0000C6660000}"/>
    <cellStyle name="Normal 5 3 2 2 3 4 4" xfId="27829" xr:uid="{00000000-0005-0000-0000-0000C7660000}"/>
    <cellStyle name="Normal 5 3 2 2 3 5" xfId="6068" xr:uid="{00000000-0005-0000-0000-0000C8660000}"/>
    <cellStyle name="Normal 5 3 2 2 3 5 2" xfId="14895" xr:uid="{00000000-0005-0000-0000-0000C9660000}"/>
    <cellStyle name="Normal 5 3 2 2 3 5 2 2" xfId="40450" xr:uid="{00000000-0005-0000-0000-0000CA660000}"/>
    <cellStyle name="Normal 5 3 2 2 3 5 3" xfId="25146" xr:uid="{00000000-0005-0000-0000-0000CB660000}"/>
    <cellStyle name="Normal 5 3 2 2 3 5 3 2" xfId="50699" xr:uid="{00000000-0005-0000-0000-0000CC660000}"/>
    <cellStyle name="Normal 5 3 2 2 3 5 4" xfId="31629" xr:uid="{00000000-0005-0000-0000-0000CD660000}"/>
    <cellStyle name="Normal 5 3 2 2 3 6" xfId="7513" xr:uid="{00000000-0005-0000-0000-0000CE660000}"/>
    <cellStyle name="Normal 5 3 2 2 3 6 2" xfId="19828" xr:uid="{00000000-0005-0000-0000-0000CF660000}"/>
    <cellStyle name="Normal 5 3 2 2 3 6 2 2" xfId="45381" xr:uid="{00000000-0005-0000-0000-0000D0660000}"/>
    <cellStyle name="Normal 5 3 2 2 3 6 3" xfId="33070" xr:uid="{00000000-0005-0000-0000-0000D1660000}"/>
    <cellStyle name="Normal 5 3 2 2 3 7" xfId="16339" xr:uid="{00000000-0005-0000-0000-0000D2660000}"/>
    <cellStyle name="Normal 5 3 2 2 3 7 2" xfId="41892" xr:uid="{00000000-0005-0000-0000-0000D3660000}"/>
    <cellStyle name="Normal 5 3 2 2 3 8" xfId="26311" xr:uid="{00000000-0005-0000-0000-0000D4660000}"/>
    <cellStyle name="Normal 5 3 2 2 4" xfId="798" xr:uid="{00000000-0005-0000-0000-0000D5660000}"/>
    <cellStyle name="Normal 5 3 2 2 4 2" xfId="3283" xr:uid="{00000000-0005-0000-0000-0000D6660000}"/>
    <cellStyle name="Normal 5 3 2 2 4 2 2" xfId="12425" xr:uid="{00000000-0005-0000-0000-0000D7660000}"/>
    <cellStyle name="Normal 5 3 2 2 4 2 2 2" xfId="22644" xr:uid="{00000000-0005-0000-0000-0000D8660000}"/>
    <cellStyle name="Normal 5 3 2 2 4 2 2 2 2" xfId="48197" xr:uid="{00000000-0005-0000-0000-0000D9660000}"/>
    <cellStyle name="Normal 5 3 2 2 4 2 2 3" xfId="37980" xr:uid="{00000000-0005-0000-0000-0000DA660000}"/>
    <cellStyle name="Normal 5 3 2 2 4 2 3" xfId="8847" xr:uid="{00000000-0005-0000-0000-0000DB660000}"/>
    <cellStyle name="Normal 5 3 2 2 4 2 3 2" xfId="34404" xr:uid="{00000000-0005-0000-0000-0000DC660000}"/>
    <cellStyle name="Normal 5 3 2 2 4 2 4" xfId="17637" xr:uid="{00000000-0005-0000-0000-0000DD660000}"/>
    <cellStyle name="Normal 5 3 2 2 4 2 4 2" xfId="43190" xr:uid="{00000000-0005-0000-0000-0000DE660000}"/>
    <cellStyle name="Normal 5 3 2 2 4 2 5" xfId="29127" xr:uid="{00000000-0005-0000-0000-0000DF660000}"/>
    <cellStyle name="Normal 5 3 2 2 4 3" xfId="4961" xr:uid="{00000000-0005-0000-0000-0000E0660000}"/>
    <cellStyle name="Normal 5 3 2 2 4 3 2" xfId="13798" xr:uid="{00000000-0005-0000-0000-0000E1660000}"/>
    <cellStyle name="Normal 5 3 2 2 4 3 2 2" xfId="24049" xr:uid="{00000000-0005-0000-0000-0000E2660000}"/>
    <cellStyle name="Normal 5 3 2 2 4 3 2 2 2" xfId="49602" xr:uid="{00000000-0005-0000-0000-0000E3660000}"/>
    <cellStyle name="Normal 5 3 2 2 4 3 2 3" xfId="39353" xr:uid="{00000000-0005-0000-0000-0000E4660000}"/>
    <cellStyle name="Normal 5 3 2 2 4 3 3" xfId="10219" xr:uid="{00000000-0005-0000-0000-0000E5660000}"/>
    <cellStyle name="Normal 5 3 2 2 4 3 3 2" xfId="35776" xr:uid="{00000000-0005-0000-0000-0000E6660000}"/>
    <cellStyle name="Normal 5 3 2 2 4 3 4" xfId="19042" xr:uid="{00000000-0005-0000-0000-0000E7660000}"/>
    <cellStyle name="Normal 5 3 2 2 4 3 4 2" xfId="44595" xr:uid="{00000000-0005-0000-0000-0000E8660000}"/>
    <cellStyle name="Normal 5 3 2 2 4 3 5" xfId="30532" xr:uid="{00000000-0005-0000-0000-0000E9660000}"/>
    <cellStyle name="Normal 5 3 2 2 4 4" xfId="2392" xr:uid="{00000000-0005-0000-0000-0000EA660000}"/>
    <cellStyle name="Normal 5 3 2 2 4 4 2" xfId="11757" xr:uid="{00000000-0005-0000-0000-0000EB660000}"/>
    <cellStyle name="Normal 5 3 2 2 4 4 2 2" xfId="37312" xr:uid="{00000000-0005-0000-0000-0000EC660000}"/>
    <cellStyle name="Normal 5 3 2 2 4 4 3" xfId="21761" xr:uid="{00000000-0005-0000-0000-0000ED660000}"/>
    <cellStyle name="Normal 5 3 2 2 4 4 3 2" xfId="47314" xr:uid="{00000000-0005-0000-0000-0000EE660000}"/>
    <cellStyle name="Normal 5 3 2 2 4 4 4" xfId="28244" xr:uid="{00000000-0005-0000-0000-0000EF660000}"/>
    <cellStyle name="Normal 5 3 2 2 4 5" xfId="6416" xr:uid="{00000000-0005-0000-0000-0000F0660000}"/>
    <cellStyle name="Normal 5 3 2 2 4 5 2" xfId="15243" xr:uid="{00000000-0005-0000-0000-0000F1660000}"/>
    <cellStyle name="Normal 5 3 2 2 4 5 2 2" xfId="40798" xr:uid="{00000000-0005-0000-0000-0000F2660000}"/>
    <cellStyle name="Normal 5 3 2 2 4 5 3" xfId="25494" xr:uid="{00000000-0005-0000-0000-0000F3660000}"/>
    <cellStyle name="Normal 5 3 2 2 4 5 3 2" xfId="51047" xr:uid="{00000000-0005-0000-0000-0000F4660000}"/>
    <cellStyle name="Normal 5 3 2 2 4 5 4" xfId="31977" xr:uid="{00000000-0005-0000-0000-0000F5660000}"/>
    <cellStyle name="Normal 5 3 2 2 4 6" xfId="7862" xr:uid="{00000000-0005-0000-0000-0000F6660000}"/>
    <cellStyle name="Normal 5 3 2 2 4 6 2" xfId="20243" xr:uid="{00000000-0005-0000-0000-0000F7660000}"/>
    <cellStyle name="Normal 5 3 2 2 4 6 2 2" xfId="45796" xr:uid="{00000000-0005-0000-0000-0000F8660000}"/>
    <cellStyle name="Normal 5 3 2 2 4 6 3" xfId="33419" xr:uid="{00000000-0005-0000-0000-0000F9660000}"/>
    <cellStyle name="Normal 5 3 2 2 4 7" xfId="16754" xr:uid="{00000000-0005-0000-0000-0000FA660000}"/>
    <cellStyle name="Normal 5 3 2 2 4 7 2" xfId="42307" xr:uid="{00000000-0005-0000-0000-0000FB660000}"/>
    <cellStyle name="Normal 5 3 2 2 4 8" xfId="26726" xr:uid="{00000000-0005-0000-0000-0000FC660000}"/>
    <cellStyle name="Normal 5 3 2 2 5" xfId="1154" xr:uid="{00000000-0005-0000-0000-0000FD660000}"/>
    <cellStyle name="Normal 5 3 2 2 5 2" xfId="3583" xr:uid="{00000000-0005-0000-0000-0000FE660000}"/>
    <cellStyle name="Normal 5 3 2 2 5 2 2" xfId="12719" xr:uid="{00000000-0005-0000-0000-0000FF660000}"/>
    <cellStyle name="Normal 5 3 2 2 5 2 2 2" xfId="22938" xr:uid="{00000000-0005-0000-0000-000000670000}"/>
    <cellStyle name="Normal 5 3 2 2 5 2 2 2 2" xfId="48491" xr:uid="{00000000-0005-0000-0000-000001670000}"/>
    <cellStyle name="Normal 5 3 2 2 5 2 2 3" xfId="38274" xr:uid="{00000000-0005-0000-0000-000002670000}"/>
    <cellStyle name="Normal 5 3 2 2 5 2 3" xfId="9140" xr:uid="{00000000-0005-0000-0000-000003670000}"/>
    <cellStyle name="Normal 5 3 2 2 5 2 3 2" xfId="34697" xr:uid="{00000000-0005-0000-0000-000004670000}"/>
    <cellStyle name="Normal 5 3 2 2 5 2 4" xfId="17931" xr:uid="{00000000-0005-0000-0000-000005670000}"/>
    <cellStyle name="Normal 5 3 2 2 5 2 4 2" xfId="43484" xr:uid="{00000000-0005-0000-0000-000006670000}"/>
    <cellStyle name="Normal 5 3 2 2 5 2 5" xfId="29421" xr:uid="{00000000-0005-0000-0000-000007670000}"/>
    <cellStyle name="Normal 5 3 2 2 5 3" xfId="5246" xr:uid="{00000000-0005-0000-0000-000008670000}"/>
    <cellStyle name="Normal 5 3 2 2 5 3 2" xfId="14083" xr:uid="{00000000-0005-0000-0000-000009670000}"/>
    <cellStyle name="Normal 5 3 2 2 5 3 2 2" xfId="24334" xr:uid="{00000000-0005-0000-0000-00000A670000}"/>
    <cellStyle name="Normal 5 3 2 2 5 3 2 2 2" xfId="49887" xr:uid="{00000000-0005-0000-0000-00000B670000}"/>
    <cellStyle name="Normal 5 3 2 2 5 3 2 3" xfId="39638" xr:uid="{00000000-0005-0000-0000-00000C670000}"/>
    <cellStyle name="Normal 5 3 2 2 5 3 3" xfId="10504" xr:uid="{00000000-0005-0000-0000-00000D670000}"/>
    <cellStyle name="Normal 5 3 2 2 5 3 3 2" xfId="36061" xr:uid="{00000000-0005-0000-0000-00000E670000}"/>
    <cellStyle name="Normal 5 3 2 2 5 3 4" xfId="19327" xr:uid="{00000000-0005-0000-0000-00000F670000}"/>
    <cellStyle name="Normal 5 3 2 2 5 3 4 2" xfId="44880" xr:uid="{00000000-0005-0000-0000-000010670000}"/>
    <cellStyle name="Normal 5 3 2 2 5 3 5" xfId="30817" xr:uid="{00000000-0005-0000-0000-000011670000}"/>
    <cellStyle name="Normal 5 3 2 2 5 4" xfId="1861" xr:uid="{00000000-0005-0000-0000-000012670000}"/>
    <cellStyle name="Normal 5 3 2 2 5 4 2" xfId="11229" xr:uid="{00000000-0005-0000-0000-000013670000}"/>
    <cellStyle name="Normal 5 3 2 2 5 4 2 2" xfId="36784" xr:uid="{00000000-0005-0000-0000-000014670000}"/>
    <cellStyle name="Normal 5 3 2 2 5 4 3" xfId="21233" xr:uid="{00000000-0005-0000-0000-000015670000}"/>
    <cellStyle name="Normal 5 3 2 2 5 4 3 2" xfId="46786" xr:uid="{00000000-0005-0000-0000-000016670000}"/>
    <cellStyle name="Normal 5 3 2 2 5 4 4" xfId="27716" xr:uid="{00000000-0005-0000-0000-000017670000}"/>
    <cellStyle name="Normal 5 3 2 2 5 5" xfId="6701" xr:uid="{00000000-0005-0000-0000-000018670000}"/>
    <cellStyle name="Normal 5 3 2 2 5 5 2" xfId="15528" xr:uid="{00000000-0005-0000-0000-000019670000}"/>
    <cellStyle name="Normal 5 3 2 2 5 5 2 2" xfId="41083" xr:uid="{00000000-0005-0000-0000-00001A670000}"/>
    <cellStyle name="Normal 5 3 2 2 5 5 3" xfId="25779" xr:uid="{00000000-0005-0000-0000-00001B670000}"/>
    <cellStyle name="Normal 5 3 2 2 5 5 3 2" xfId="51332" xr:uid="{00000000-0005-0000-0000-00001C670000}"/>
    <cellStyle name="Normal 5 3 2 2 5 5 4" xfId="32262" xr:uid="{00000000-0005-0000-0000-00001D670000}"/>
    <cellStyle name="Normal 5 3 2 2 5 6" xfId="8147" xr:uid="{00000000-0005-0000-0000-00001E670000}"/>
    <cellStyle name="Normal 5 3 2 2 5 6 2" xfId="20537" xr:uid="{00000000-0005-0000-0000-00001F670000}"/>
    <cellStyle name="Normal 5 3 2 2 5 6 2 2" xfId="46090" xr:uid="{00000000-0005-0000-0000-000020670000}"/>
    <cellStyle name="Normal 5 3 2 2 5 6 3" xfId="33704" xr:uid="{00000000-0005-0000-0000-000021670000}"/>
    <cellStyle name="Normal 5 3 2 2 5 7" xfId="16226" xr:uid="{00000000-0005-0000-0000-000022670000}"/>
    <cellStyle name="Normal 5 3 2 2 5 7 2" xfId="41779" xr:uid="{00000000-0005-0000-0000-000023670000}"/>
    <cellStyle name="Normal 5 3 2 2 5 8" xfId="27020" xr:uid="{00000000-0005-0000-0000-000024670000}"/>
    <cellStyle name="Normal 5 3 2 2 6" xfId="2755" xr:uid="{00000000-0005-0000-0000-000025670000}"/>
    <cellStyle name="Normal 5 3 2 2 6 2" xfId="12072" xr:uid="{00000000-0005-0000-0000-000026670000}"/>
    <cellStyle name="Normal 5 3 2 2 6 2 2" xfId="22116" xr:uid="{00000000-0005-0000-0000-000027670000}"/>
    <cellStyle name="Normal 5 3 2 2 6 2 2 2" xfId="47669" xr:uid="{00000000-0005-0000-0000-000028670000}"/>
    <cellStyle name="Normal 5 3 2 2 6 2 3" xfId="37627" xr:uid="{00000000-0005-0000-0000-000029670000}"/>
    <cellStyle name="Normal 5 3 2 2 6 3" xfId="6939" xr:uid="{00000000-0005-0000-0000-00002A670000}"/>
    <cellStyle name="Normal 5 3 2 2 6 3 2" xfId="32497" xr:uid="{00000000-0005-0000-0000-00002B670000}"/>
    <cellStyle name="Normal 5 3 2 2 6 4" xfId="17109" xr:uid="{00000000-0005-0000-0000-00002C670000}"/>
    <cellStyle name="Normal 5 3 2 2 6 4 2" xfId="42662" xr:uid="{00000000-0005-0000-0000-00002D670000}"/>
    <cellStyle name="Normal 5 3 2 2 6 5" xfId="28599" xr:uid="{00000000-0005-0000-0000-00002E670000}"/>
    <cellStyle name="Normal 5 3 2 2 7" xfId="4202" xr:uid="{00000000-0005-0000-0000-00002F670000}"/>
    <cellStyle name="Normal 5 3 2 2 7 2" xfId="13040" xr:uid="{00000000-0005-0000-0000-000030670000}"/>
    <cellStyle name="Normal 5 3 2 2 7 2 2" xfId="23291" xr:uid="{00000000-0005-0000-0000-000031670000}"/>
    <cellStyle name="Normal 5 3 2 2 7 2 2 2" xfId="48844" xr:uid="{00000000-0005-0000-0000-000032670000}"/>
    <cellStyle name="Normal 5 3 2 2 7 2 3" xfId="38595" xr:uid="{00000000-0005-0000-0000-000033670000}"/>
    <cellStyle name="Normal 5 3 2 2 7 3" xfId="9461" xr:uid="{00000000-0005-0000-0000-000034670000}"/>
    <cellStyle name="Normal 5 3 2 2 7 3 2" xfId="35018" xr:uid="{00000000-0005-0000-0000-000035670000}"/>
    <cellStyle name="Normal 5 3 2 2 7 4" xfId="18284" xr:uid="{00000000-0005-0000-0000-000036670000}"/>
    <cellStyle name="Normal 5 3 2 2 7 4 2" xfId="43837" xr:uid="{00000000-0005-0000-0000-000037670000}"/>
    <cellStyle name="Normal 5 3 2 2 7 5" xfId="29774" xr:uid="{00000000-0005-0000-0000-000038670000}"/>
    <cellStyle name="Normal 5 3 2 2 8" xfId="1474" xr:uid="{00000000-0005-0000-0000-000039670000}"/>
    <cellStyle name="Normal 5 3 2 2 8 2" xfId="10851" xr:uid="{00000000-0005-0000-0000-00003A670000}"/>
    <cellStyle name="Normal 5 3 2 2 8 2 2" xfId="36406" xr:uid="{00000000-0005-0000-0000-00003B670000}"/>
    <cellStyle name="Normal 5 3 2 2 8 3" xfId="20855" xr:uid="{00000000-0005-0000-0000-00003C670000}"/>
    <cellStyle name="Normal 5 3 2 2 8 3 2" xfId="46408" xr:uid="{00000000-0005-0000-0000-00003D670000}"/>
    <cellStyle name="Normal 5 3 2 2 8 4" xfId="27338" xr:uid="{00000000-0005-0000-0000-00003E670000}"/>
    <cellStyle name="Normal 5 3 2 2 9" xfId="5658" xr:uid="{00000000-0005-0000-0000-00003F670000}"/>
    <cellStyle name="Normal 5 3 2 2 9 2" xfId="14485" xr:uid="{00000000-0005-0000-0000-000040670000}"/>
    <cellStyle name="Normal 5 3 2 2 9 2 2" xfId="40040" xr:uid="{00000000-0005-0000-0000-000041670000}"/>
    <cellStyle name="Normal 5 3 2 2 9 3" xfId="24736" xr:uid="{00000000-0005-0000-0000-000042670000}"/>
    <cellStyle name="Normal 5 3 2 2 9 3 2" xfId="50289" xr:uid="{00000000-0005-0000-0000-000043670000}"/>
    <cellStyle name="Normal 5 3 2 2 9 4" xfId="31219" xr:uid="{00000000-0005-0000-0000-000044670000}"/>
    <cellStyle name="Normal 5 3 2 2_Degree data" xfId="3902" xr:uid="{00000000-0005-0000-0000-000045670000}"/>
    <cellStyle name="Normal 5 3 2 3" xfId="218" xr:uid="{00000000-0005-0000-0000-000046670000}"/>
    <cellStyle name="Normal 5 3 2 3 10" xfId="16009" xr:uid="{00000000-0005-0000-0000-000047670000}"/>
    <cellStyle name="Normal 5 3 2 3 10 2" xfId="41562" xr:uid="{00000000-0005-0000-0000-000048670000}"/>
    <cellStyle name="Normal 5 3 2 3 11" xfId="26155" xr:uid="{00000000-0005-0000-0000-000049670000}"/>
    <cellStyle name="Normal 5 3 2 3 2" xfId="543" xr:uid="{00000000-0005-0000-0000-00004A670000}"/>
    <cellStyle name="Normal 5 3 2 3 2 2" xfId="3029" xr:uid="{00000000-0005-0000-0000-00004B670000}"/>
    <cellStyle name="Normal 5 3 2 3 2 2 2" xfId="12217" xr:uid="{00000000-0005-0000-0000-00004C670000}"/>
    <cellStyle name="Normal 5 3 2 3 2 2 2 2" xfId="22390" xr:uid="{00000000-0005-0000-0000-00004D670000}"/>
    <cellStyle name="Normal 5 3 2 3 2 2 2 2 2" xfId="47943" xr:uid="{00000000-0005-0000-0000-00004E670000}"/>
    <cellStyle name="Normal 5 3 2 3 2 2 2 3" xfId="37772" xr:uid="{00000000-0005-0000-0000-00004F670000}"/>
    <cellStyle name="Normal 5 3 2 3 2 2 3" xfId="8505" xr:uid="{00000000-0005-0000-0000-000050670000}"/>
    <cellStyle name="Normal 5 3 2 3 2 2 3 2" xfId="34062" xr:uid="{00000000-0005-0000-0000-000051670000}"/>
    <cellStyle name="Normal 5 3 2 3 2 2 4" xfId="17383" xr:uid="{00000000-0005-0000-0000-000052670000}"/>
    <cellStyle name="Normal 5 3 2 3 2 2 4 2" xfId="42936" xr:uid="{00000000-0005-0000-0000-000053670000}"/>
    <cellStyle name="Normal 5 3 2 3 2 2 5" xfId="28873" xr:uid="{00000000-0005-0000-0000-000054670000}"/>
    <cellStyle name="Normal 5 3 2 3 2 3" xfId="4614" xr:uid="{00000000-0005-0000-0000-000055670000}"/>
    <cellStyle name="Normal 5 3 2 3 2 3 2" xfId="13452" xr:uid="{00000000-0005-0000-0000-000056670000}"/>
    <cellStyle name="Normal 5 3 2 3 2 3 2 2" xfId="23703" xr:uid="{00000000-0005-0000-0000-000057670000}"/>
    <cellStyle name="Normal 5 3 2 3 2 3 2 2 2" xfId="49256" xr:uid="{00000000-0005-0000-0000-000058670000}"/>
    <cellStyle name="Normal 5 3 2 3 2 3 2 3" xfId="39007" xr:uid="{00000000-0005-0000-0000-000059670000}"/>
    <cellStyle name="Normal 5 3 2 3 2 3 3" xfId="9873" xr:uid="{00000000-0005-0000-0000-00005A670000}"/>
    <cellStyle name="Normal 5 3 2 3 2 3 3 2" xfId="35430" xr:uid="{00000000-0005-0000-0000-00005B670000}"/>
    <cellStyle name="Normal 5 3 2 3 2 3 4" xfId="18696" xr:uid="{00000000-0005-0000-0000-00005C670000}"/>
    <cellStyle name="Normal 5 3 2 3 2 3 4 2" xfId="44249" xr:uid="{00000000-0005-0000-0000-00005D670000}"/>
    <cellStyle name="Normal 5 3 2 3 2 3 5" xfId="30186" xr:uid="{00000000-0005-0000-0000-00005E670000}"/>
    <cellStyle name="Normal 5 3 2 3 2 4" xfId="2138" xr:uid="{00000000-0005-0000-0000-00005F670000}"/>
    <cellStyle name="Normal 5 3 2 3 2 4 2" xfId="11503" xr:uid="{00000000-0005-0000-0000-000060670000}"/>
    <cellStyle name="Normal 5 3 2 3 2 4 2 2" xfId="37058" xr:uid="{00000000-0005-0000-0000-000061670000}"/>
    <cellStyle name="Normal 5 3 2 3 2 4 3" xfId="21507" xr:uid="{00000000-0005-0000-0000-000062670000}"/>
    <cellStyle name="Normal 5 3 2 3 2 4 3 2" xfId="47060" xr:uid="{00000000-0005-0000-0000-000063670000}"/>
    <cellStyle name="Normal 5 3 2 3 2 4 4" xfId="27990" xr:uid="{00000000-0005-0000-0000-000064670000}"/>
    <cellStyle name="Normal 5 3 2 3 2 5" xfId="6070" xr:uid="{00000000-0005-0000-0000-000065670000}"/>
    <cellStyle name="Normal 5 3 2 3 2 5 2" xfId="14897" xr:uid="{00000000-0005-0000-0000-000066670000}"/>
    <cellStyle name="Normal 5 3 2 3 2 5 2 2" xfId="40452" xr:uid="{00000000-0005-0000-0000-000067670000}"/>
    <cellStyle name="Normal 5 3 2 3 2 5 3" xfId="25148" xr:uid="{00000000-0005-0000-0000-000068670000}"/>
    <cellStyle name="Normal 5 3 2 3 2 5 3 2" xfId="50701" xr:uid="{00000000-0005-0000-0000-000069670000}"/>
    <cellStyle name="Normal 5 3 2 3 2 5 4" xfId="31631" xr:uid="{00000000-0005-0000-0000-00006A670000}"/>
    <cellStyle name="Normal 5 3 2 3 2 6" xfId="7515" xr:uid="{00000000-0005-0000-0000-00006B670000}"/>
    <cellStyle name="Normal 5 3 2 3 2 6 2" xfId="19989" xr:uid="{00000000-0005-0000-0000-00006C670000}"/>
    <cellStyle name="Normal 5 3 2 3 2 6 2 2" xfId="45542" xr:uid="{00000000-0005-0000-0000-00006D670000}"/>
    <cellStyle name="Normal 5 3 2 3 2 6 3" xfId="33072" xr:uid="{00000000-0005-0000-0000-00006E670000}"/>
    <cellStyle name="Normal 5 3 2 3 2 7" xfId="16500" xr:uid="{00000000-0005-0000-0000-00006F670000}"/>
    <cellStyle name="Normal 5 3 2 3 2 7 2" xfId="42053" xr:uid="{00000000-0005-0000-0000-000070670000}"/>
    <cellStyle name="Normal 5 3 2 3 2 8" xfId="26472" xr:uid="{00000000-0005-0000-0000-000071670000}"/>
    <cellStyle name="Normal 5 3 2 3 3" xfId="800" xr:uid="{00000000-0005-0000-0000-000072670000}"/>
    <cellStyle name="Normal 5 3 2 3 3 2" xfId="3285" xr:uid="{00000000-0005-0000-0000-000073670000}"/>
    <cellStyle name="Normal 5 3 2 3 3 2 2" xfId="12427" xr:uid="{00000000-0005-0000-0000-000074670000}"/>
    <cellStyle name="Normal 5 3 2 3 3 2 2 2" xfId="22646" xr:uid="{00000000-0005-0000-0000-000075670000}"/>
    <cellStyle name="Normal 5 3 2 3 3 2 2 2 2" xfId="48199" xr:uid="{00000000-0005-0000-0000-000076670000}"/>
    <cellStyle name="Normal 5 3 2 3 3 2 2 3" xfId="37982" xr:uid="{00000000-0005-0000-0000-000077670000}"/>
    <cellStyle name="Normal 5 3 2 3 3 2 3" xfId="8849" xr:uid="{00000000-0005-0000-0000-000078670000}"/>
    <cellStyle name="Normal 5 3 2 3 3 2 3 2" xfId="34406" xr:uid="{00000000-0005-0000-0000-000079670000}"/>
    <cellStyle name="Normal 5 3 2 3 3 2 4" xfId="17639" xr:uid="{00000000-0005-0000-0000-00007A670000}"/>
    <cellStyle name="Normal 5 3 2 3 3 2 4 2" xfId="43192" xr:uid="{00000000-0005-0000-0000-00007B670000}"/>
    <cellStyle name="Normal 5 3 2 3 3 2 5" xfId="29129" xr:uid="{00000000-0005-0000-0000-00007C670000}"/>
    <cellStyle name="Normal 5 3 2 3 3 3" xfId="4963" xr:uid="{00000000-0005-0000-0000-00007D670000}"/>
    <cellStyle name="Normal 5 3 2 3 3 3 2" xfId="13800" xr:uid="{00000000-0005-0000-0000-00007E670000}"/>
    <cellStyle name="Normal 5 3 2 3 3 3 2 2" xfId="24051" xr:uid="{00000000-0005-0000-0000-00007F670000}"/>
    <cellStyle name="Normal 5 3 2 3 3 3 2 2 2" xfId="49604" xr:uid="{00000000-0005-0000-0000-000080670000}"/>
    <cellStyle name="Normal 5 3 2 3 3 3 2 3" xfId="39355" xr:uid="{00000000-0005-0000-0000-000081670000}"/>
    <cellStyle name="Normal 5 3 2 3 3 3 3" xfId="10221" xr:uid="{00000000-0005-0000-0000-000082670000}"/>
    <cellStyle name="Normal 5 3 2 3 3 3 3 2" xfId="35778" xr:uid="{00000000-0005-0000-0000-000083670000}"/>
    <cellStyle name="Normal 5 3 2 3 3 3 4" xfId="19044" xr:uid="{00000000-0005-0000-0000-000084670000}"/>
    <cellStyle name="Normal 5 3 2 3 3 3 4 2" xfId="44597" xr:uid="{00000000-0005-0000-0000-000085670000}"/>
    <cellStyle name="Normal 5 3 2 3 3 3 5" xfId="30534" xr:uid="{00000000-0005-0000-0000-000086670000}"/>
    <cellStyle name="Normal 5 3 2 3 3 4" xfId="2394" xr:uid="{00000000-0005-0000-0000-000087670000}"/>
    <cellStyle name="Normal 5 3 2 3 3 4 2" xfId="11759" xr:uid="{00000000-0005-0000-0000-000088670000}"/>
    <cellStyle name="Normal 5 3 2 3 3 4 2 2" xfId="37314" xr:uid="{00000000-0005-0000-0000-000089670000}"/>
    <cellStyle name="Normal 5 3 2 3 3 4 3" xfId="21763" xr:uid="{00000000-0005-0000-0000-00008A670000}"/>
    <cellStyle name="Normal 5 3 2 3 3 4 3 2" xfId="47316" xr:uid="{00000000-0005-0000-0000-00008B670000}"/>
    <cellStyle name="Normal 5 3 2 3 3 4 4" xfId="28246" xr:uid="{00000000-0005-0000-0000-00008C670000}"/>
    <cellStyle name="Normal 5 3 2 3 3 5" xfId="6418" xr:uid="{00000000-0005-0000-0000-00008D670000}"/>
    <cellStyle name="Normal 5 3 2 3 3 5 2" xfId="15245" xr:uid="{00000000-0005-0000-0000-00008E670000}"/>
    <cellStyle name="Normal 5 3 2 3 3 5 2 2" xfId="40800" xr:uid="{00000000-0005-0000-0000-00008F670000}"/>
    <cellStyle name="Normal 5 3 2 3 3 5 3" xfId="25496" xr:uid="{00000000-0005-0000-0000-000090670000}"/>
    <cellStyle name="Normal 5 3 2 3 3 5 3 2" xfId="51049" xr:uid="{00000000-0005-0000-0000-000091670000}"/>
    <cellStyle name="Normal 5 3 2 3 3 5 4" xfId="31979" xr:uid="{00000000-0005-0000-0000-000092670000}"/>
    <cellStyle name="Normal 5 3 2 3 3 6" xfId="7864" xr:uid="{00000000-0005-0000-0000-000093670000}"/>
    <cellStyle name="Normal 5 3 2 3 3 6 2" xfId="20245" xr:uid="{00000000-0005-0000-0000-000094670000}"/>
    <cellStyle name="Normal 5 3 2 3 3 6 2 2" xfId="45798" xr:uid="{00000000-0005-0000-0000-000095670000}"/>
    <cellStyle name="Normal 5 3 2 3 3 6 3" xfId="33421" xr:uid="{00000000-0005-0000-0000-000096670000}"/>
    <cellStyle name="Normal 5 3 2 3 3 7" xfId="16756" xr:uid="{00000000-0005-0000-0000-000097670000}"/>
    <cellStyle name="Normal 5 3 2 3 3 7 2" xfId="42309" xr:uid="{00000000-0005-0000-0000-000098670000}"/>
    <cellStyle name="Normal 5 3 2 3 3 8" xfId="26728" xr:uid="{00000000-0005-0000-0000-000099670000}"/>
    <cellStyle name="Normal 5 3 2 3 4" xfId="1315" xr:uid="{00000000-0005-0000-0000-00009A670000}"/>
    <cellStyle name="Normal 5 3 2 3 4 2" xfId="3744" xr:uid="{00000000-0005-0000-0000-00009B670000}"/>
    <cellStyle name="Normal 5 3 2 3 4 2 2" xfId="12880" xr:uid="{00000000-0005-0000-0000-00009C670000}"/>
    <cellStyle name="Normal 5 3 2 3 4 2 2 2" xfId="23099" xr:uid="{00000000-0005-0000-0000-00009D670000}"/>
    <cellStyle name="Normal 5 3 2 3 4 2 2 2 2" xfId="48652" xr:uid="{00000000-0005-0000-0000-00009E670000}"/>
    <cellStyle name="Normal 5 3 2 3 4 2 2 3" xfId="38435" xr:uid="{00000000-0005-0000-0000-00009F670000}"/>
    <cellStyle name="Normal 5 3 2 3 4 2 3" xfId="9301" xr:uid="{00000000-0005-0000-0000-0000A0670000}"/>
    <cellStyle name="Normal 5 3 2 3 4 2 3 2" xfId="34858" xr:uid="{00000000-0005-0000-0000-0000A1670000}"/>
    <cellStyle name="Normal 5 3 2 3 4 2 4" xfId="18092" xr:uid="{00000000-0005-0000-0000-0000A2670000}"/>
    <cellStyle name="Normal 5 3 2 3 4 2 4 2" xfId="43645" xr:uid="{00000000-0005-0000-0000-0000A3670000}"/>
    <cellStyle name="Normal 5 3 2 3 4 2 5" xfId="29582" xr:uid="{00000000-0005-0000-0000-0000A4670000}"/>
    <cellStyle name="Normal 5 3 2 3 4 3" xfId="5407" xr:uid="{00000000-0005-0000-0000-0000A5670000}"/>
    <cellStyle name="Normal 5 3 2 3 4 3 2" xfId="14244" xr:uid="{00000000-0005-0000-0000-0000A6670000}"/>
    <cellStyle name="Normal 5 3 2 3 4 3 2 2" xfId="24495" xr:uid="{00000000-0005-0000-0000-0000A7670000}"/>
    <cellStyle name="Normal 5 3 2 3 4 3 2 2 2" xfId="50048" xr:uid="{00000000-0005-0000-0000-0000A8670000}"/>
    <cellStyle name="Normal 5 3 2 3 4 3 2 3" xfId="39799" xr:uid="{00000000-0005-0000-0000-0000A9670000}"/>
    <cellStyle name="Normal 5 3 2 3 4 3 3" xfId="10665" xr:uid="{00000000-0005-0000-0000-0000AA670000}"/>
    <cellStyle name="Normal 5 3 2 3 4 3 3 2" xfId="36222" xr:uid="{00000000-0005-0000-0000-0000AB670000}"/>
    <cellStyle name="Normal 5 3 2 3 4 3 4" xfId="19488" xr:uid="{00000000-0005-0000-0000-0000AC670000}"/>
    <cellStyle name="Normal 5 3 2 3 4 3 4 2" xfId="45041" xr:uid="{00000000-0005-0000-0000-0000AD670000}"/>
    <cellStyle name="Normal 5 3 2 3 4 3 5" xfId="30978" xr:uid="{00000000-0005-0000-0000-0000AE670000}"/>
    <cellStyle name="Normal 5 3 2 3 4 4" xfId="1818" xr:uid="{00000000-0005-0000-0000-0000AF670000}"/>
    <cellStyle name="Normal 5 3 2 3 4 4 2" xfId="11186" xr:uid="{00000000-0005-0000-0000-0000B0670000}"/>
    <cellStyle name="Normal 5 3 2 3 4 4 2 2" xfId="36741" xr:uid="{00000000-0005-0000-0000-0000B1670000}"/>
    <cellStyle name="Normal 5 3 2 3 4 4 3" xfId="21190" xr:uid="{00000000-0005-0000-0000-0000B2670000}"/>
    <cellStyle name="Normal 5 3 2 3 4 4 3 2" xfId="46743" xr:uid="{00000000-0005-0000-0000-0000B3670000}"/>
    <cellStyle name="Normal 5 3 2 3 4 4 4" xfId="27673" xr:uid="{00000000-0005-0000-0000-0000B4670000}"/>
    <cellStyle name="Normal 5 3 2 3 4 5" xfId="6862" xr:uid="{00000000-0005-0000-0000-0000B5670000}"/>
    <cellStyle name="Normal 5 3 2 3 4 5 2" xfId="15689" xr:uid="{00000000-0005-0000-0000-0000B6670000}"/>
    <cellStyle name="Normal 5 3 2 3 4 5 2 2" xfId="41244" xr:uid="{00000000-0005-0000-0000-0000B7670000}"/>
    <cellStyle name="Normal 5 3 2 3 4 5 3" xfId="25940" xr:uid="{00000000-0005-0000-0000-0000B8670000}"/>
    <cellStyle name="Normal 5 3 2 3 4 5 3 2" xfId="51493" xr:uid="{00000000-0005-0000-0000-0000B9670000}"/>
    <cellStyle name="Normal 5 3 2 3 4 5 4" xfId="32423" xr:uid="{00000000-0005-0000-0000-0000BA670000}"/>
    <cellStyle name="Normal 5 3 2 3 4 6" xfId="8308" xr:uid="{00000000-0005-0000-0000-0000BB670000}"/>
    <cellStyle name="Normal 5 3 2 3 4 6 2" xfId="20698" xr:uid="{00000000-0005-0000-0000-0000BC670000}"/>
    <cellStyle name="Normal 5 3 2 3 4 6 2 2" xfId="46251" xr:uid="{00000000-0005-0000-0000-0000BD670000}"/>
    <cellStyle name="Normal 5 3 2 3 4 6 3" xfId="33865" xr:uid="{00000000-0005-0000-0000-0000BE670000}"/>
    <cellStyle name="Normal 5 3 2 3 4 7" xfId="16183" xr:uid="{00000000-0005-0000-0000-0000BF670000}"/>
    <cellStyle name="Normal 5 3 2 3 4 7 2" xfId="41736" xr:uid="{00000000-0005-0000-0000-0000C0670000}"/>
    <cellStyle name="Normal 5 3 2 3 4 8" xfId="27181" xr:uid="{00000000-0005-0000-0000-0000C1670000}"/>
    <cellStyle name="Normal 5 3 2 3 5" xfId="2712" xr:uid="{00000000-0005-0000-0000-0000C2670000}"/>
    <cellStyle name="Normal 5 3 2 3 5 2" xfId="12029" xr:uid="{00000000-0005-0000-0000-0000C3670000}"/>
    <cellStyle name="Normal 5 3 2 3 5 2 2" xfId="22073" xr:uid="{00000000-0005-0000-0000-0000C4670000}"/>
    <cellStyle name="Normal 5 3 2 3 5 2 2 2" xfId="47626" xr:uid="{00000000-0005-0000-0000-0000C5670000}"/>
    <cellStyle name="Normal 5 3 2 3 5 2 3" xfId="37584" xr:uid="{00000000-0005-0000-0000-0000C6670000}"/>
    <cellStyle name="Normal 5 3 2 3 5 3" xfId="8490" xr:uid="{00000000-0005-0000-0000-0000C7670000}"/>
    <cellStyle name="Normal 5 3 2 3 5 3 2" xfId="34047" xr:uid="{00000000-0005-0000-0000-0000C8670000}"/>
    <cellStyle name="Normal 5 3 2 3 5 4" xfId="17066" xr:uid="{00000000-0005-0000-0000-0000C9670000}"/>
    <cellStyle name="Normal 5 3 2 3 5 4 2" xfId="42619" xr:uid="{00000000-0005-0000-0000-0000CA670000}"/>
    <cellStyle name="Normal 5 3 2 3 5 5" xfId="28556" xr:uid="{00000000-0005-0000-0000-0000CB670000}"/>
    <cellStyle name="Normal 5 3 2 3 6" xfId="4363" xr:uid="{00000000-0005-0000-0000-0000CC670000}"/>
    <cellStyle name="Normal 5 3 2 3 6 2" xfId="13201" xr:uid="{00000000-0005-0000-0000-0000CD670000}"/>
    <cellStyle name="Normal 5 3 2 3 6 2 2" xfId="23452" xr:uid="{00000000-0005-0000-0000-0000CE670000}"/>
    <cellStyle name="Normal 5 3 2 3 6 2 2 2" xfId="49005" xr:uid="{00000000-0005-0000-0000-0000CF670000}"/>
    <cellStyle name="Normal 5 3 2 3 6 2 3" xfId="38756" xr:uid="{00000000-0005-0000-0000-0000D0670000}"/>
    <cellStyle name="Normal 5 3 2 3 6 3" xfId="9622" xr:uid="{00000000-0005-0000-0000-0000D1670000}"/>
    <cellStyle name="Normal 5 3 2 3 6 3 2" xfId="35179" xr:uid="{00000000-0005-0000-0000-0000D2670000}"/>
    <cellStyle name="Normal 5 3 2 3 6 4" xfId="18445" xr:uid="{00000000-0005-0000-0000-0000D3670000}"/>
    <cellStyle name="Normal 5 3 2 3 6 4 2" xfId="43998" xr:uid="{00000000-0005-0000-0000-0000D4670000}"/>
    <cellStyle name="Normal 5 3 2 3 6 5" xfId="29935" xr:uid="{00000000-0005-0000-0000-0000D5670000}"/>
    <cellStyle name="Normal 5 3 2 3 7" xfId="1635" xr:uid="{00000000-0005-0000-0000-0000D6670000}"/>
    <cellStyle name="Normal 5 3 2 3 7 2" xfId="11012" xr:uid="{00000000-0005-0000-0000-0000D7670000}"/>
    <cellStyle name="Normal 5 3 2 3 7 2 2" xfId="36567" xr:uid="{00000000-0005-0000-0000-0000D8670000}"/>
    <cellStyle name="Normal 5 3 2 3 7 3" xfId="21016" xr:uid="{00000000-0005-0000-0000-0000D9670000}"/>
    <cellStyle name="Normal 5 3 2 3 7 3 2" xfId="46569" xr:uid="{00000000-0005-0000-0000-0000DA670000}"/>
    <cellStyle name="Normal 5 3 2 3 7 4" xfId="27499" xr:uid="{00000000-0005-0000-0000-0000DB670000}"/>
    <cellStyle name="Normal 5 3 2 3 8" xfId="5819" xr:uid="{00000000-0005-0000-0000-0000DC670000}"/>
    <cellStyle name="Normal 5 3 2 3 8 2" xfId="14646" xr:uid="{00000000-0005-0000-0000-0000DD670000}"/>
    <cellStyle name="Normal 5 3 2 3 8 2 2" xfId="40201" xr:uid="{00000000-0005-0000-0000-0000DE670000}"/>
    <cellStyle name="Normal 5 3 2 3 8 3" xfId="24897" xr:uid="{00000000-0005-0000-0000-0000DF670000}"/>
    <cellStyle name="Normal 5 3 2 3 8 3 2" xfId="50450" xr:uid="{00000000-0005-0000-0000-0000E0670000}"/>
    <cellStyle name="Normal 5 3 2 3 8 4" xfId="31380" xr:uid="{00000000-0005-0000-0000-0000E1670000}"/>
    <cellStyle name="Normal 5 3 2 3 9" xfId="7263" xr:uid="{00000000-0005-0000-0000-0000E2670000}"/>
    <cellStyle name="Normal 5 3 2 3 9 2" xfId="19672" xr:uid="{00000000-0005-0000-0000-0000E3670000}"/>
    <cellStyle name="Normal 5 3 2 3 9 2 2" xfId="45225" xr:uid="{00000000-0005-0000-0000-0000E4670000}"/>
    <cellStyle name="Normal 5 3 2 3 9 3" xfId="32820" xr:uid="{00000000-0005-0000-0000-0000E5670000}"/>
    <cellStyle name="Normal 5 3 2 3_Degree data" xfId="3861" xr:uid="{00000000-0005-0000-0000-0000E6670000}"/>
    <cellStyle name="Normal 5 3 2 4" xfId="482" xr:uid="{00000000-0005-0000-0000-0000E7670000}"/>
    <cellStyle name="Normal 5 3 2 4 10" xfId="26411" xr:uid="{00000000-0005-0000-0000-0000E8670000}"/>
    <cellStyle name="Normal 5 3 2 4 2" xfId="801" xr:uid="{00000000-0005-0000-0000-0000E9670000}"/>
    <cellStyle name="Normal 5 3 2 4 2 2" xfId="3286" xr:uid="{00000000-0005-0000-0000-0000EA670000}"/>
    <cellStyle name="Normal 5 3 2 4 2 2 2" xfId="12428" xr:uid="{00000000-0005-0000-0000-0000EB670000}"/>
    <cellStyle name="Normal 5 3 2 4 2 2 2 2" xfId="22647" xr:uid="{00000000-0005-0000-0000-0000EC670000}"/>
    <cellStyle name="Normal 5 3 2 4 2 2 2 2 2" xfId="48200" xr:uid="{00000000-0005-0000-0000-0000ED670000}"/>
    <cellStyle name="Normal 5 3 2 4 2 2 2 3" xfId="37983" xr:uid="{00000000-0005-0000-0000-0000EE670000}"/>
    <cellStyle name="Normal 5 3 2 4 2 2 3" xfId="8850" xr:uid="{00000000-0005-0000-0000-0000EF670000}"/>
    <cellStyle name="Normal 5 3 2 4 2 2 3 2" xfId="34407" xr:uid="{00000000-0005-0000-0000-0000F0670000}"/>
    <cellStyle name="Normal 5 3 2 4 2 2 4" xfId="17640" xr:uid="{00000000-0005-0000-0000-0000F1670000}"/>
    <cellStyle name="Normal 5 3 2 4 2 2 4 2" xfId="43193" xr:uid="{00000000-0005-0000-0000-0000F2670000}"/>
    <cellStyle name="Normal 5 3 2 4 2 2 5" xfId="29130" xr:uid="{00000000-0005-0000-0000-0000F3670000}"/>
    <cellStyle name="Normal 5 3 2 4 2 3" xfId="4615" xr:uid="{00000000-0005-0000-0000-0000F4670000}"/>
    <cellStyle name="Normal 5 3 2 4 2 3 2" xfId="13453" xr:uid="{00000000-0005-0000-0000-0000F5670000}"/>
    <cellStyle name="Normal 5 3 2 4 2 3 2 2" xfId="23704" xr:uid="{00000000-0005-0000-0000-0000F6670000}"/>
    <cellStyle name="Normal 5 3 2 4 2 3 2 2 2" xfId="49257" xr:uid="{00000000-0005-0000-0000-0000F7670000}"/>
    <cellStyle name="Normal 5 3 2 4 2 3 2 3" xfId="39008" xr:uid="{00000000-0005-0000-0000-0000F8670000}"/>
    <cellStyle name="Normal 5 3 2 4 2 3 3" xfId="9874" xr:uid="{00000000-0005-0000-0000-0000F9670000}"/>
    <cellStyle name="Normal 5 3 2 4 2 3 3 2" xfId="35431" xr:uid="{00000000-0005-0000-0000-0000FA670000}"/>
    <cellStyle name="Normal 5 3 2 4 2 3 4" xfId="18697" xr:uid="{00000000-0005-0000-0000-0000FB670000}"/>
    <cellStyle name="Normal 5 3 2 4 2 3 4 2" xfId="44250" xr:uid="{00000000-0005-0000-0000-0000FC670000}"/>
    <cellStyle name="Normal 5 3 2 4 2 3 5" xfId="30187" xr:uid="{00000000-0005-0000-0000-0000FD670000}"/>
    <cellStyle name="Normal 5 3 2 4 2 4" xfId="2395" xr:uid="{00000000-0005-0000-0000-0000FE670000}"/>
    <cellStyle name="Normal 5 3 2 4 2 4 2" xfId="11760" xr:uid="{00000000-0005-0000-0000-0000FF670000}"/>
    <cellStyle name="Normal 5 3 2 4 2 4 2 2" xfId="37315" xr:uid="{00000000-0005-0000-0000-000000680000}"/>
    <cellStyle name="Normal 5 3 2 4 2 4 3" xfId="21764" xr:uid="{00000000-0005-0000-0000-000001680000}"/>
    <cellStyle name="Normal 5 3 2 4 2 4 3 2" xfId="47317" xr:uid="{00000000-0005-0000-0000-000002680000}"/>
    <cellStyle name="Normal 5 3 2 4 2 4 4" xfId="28247" xr:uid="{00000000-0005-0000-0000-000003680000}"/>
    <cellStyle name="Normal 5 3 2 4 2 5" xfId="6071" xr:uid="{00000000-0005-0000-0000-000004680000}"/>
    <cellStyle name="Normal 5 3 2 4 2 5 2" xfId="14898" xr:uid="{00000000-0005-0000-0000-000005680000}"/>
    <cellStyle name="Normal 5 3 2 4 2 5 2 2" xfId="40453" xr:uid="{00000000-0005-0000-0000-000006680000}"/>
    <cellStyle name="Normal 5 3 2 4 2 5 3" xfId="25149" xr:uid="{00000000-0005-0000-0000-000007680000}"/>
    <cellStyle name="Normal 5 3 2 4 2 5 3 2" xfId="50702" xr:uid="{00000000-0005-0000-0000-000008680000}"/>
    <cellStyle name="Normal 5 3 2 4 2 5 4" xfId="31632" xr:uid="{00000000-0005-0000-0000-000009680000}"/>
    <cellStyle name="Normal 5 3 2 4 2 6" xfId="7516" xr:uid="{00000000-0005-0000-0000-00000A680000}"/>
    <cellStyle name="Normal 5 3 2 4 2 6 2" xfId="20246" xr:uid="{00000000-0005-0000-0000-00000B680000}"/>
    <cellStyle name="Normal 5 3 2 4 2 6 2 2" xfId="45799" xr:uid="{00000000-0005-0000-0000-00000C680000}"/>
    <cellStyle name="Normal 5 3 2 4 2 6 3" xfId="33073" xr:uid="{00000000-0005-0000-0000-00000D680000}"/>
    <cellStyle name="Normal 5 3 2 4 2 7" xfId="16757" xr:uid="{00000000-0005-0000-0000-00000E680000}"/>
    <cellStyle name="Normal 5 3 2 4 2 7 2" xfId="42310" xr:uid="{00000000-0005-0000-0000-00000F680000}"/>
    <cellStyle name="Normal 5 3 2 4 2 8" xfId="26729" xr:uid="{00000000-0005-0000-0000-000010680000}"/>
    <cellStyle name="Normal 5 3 2 4 3" xfId="1254" xr:uid="{00000000-0005-0000-0000-000011680000}"/>
    <cellStyle name="Normal 5 3 2 4 3 2" xfId="3683" xr:uid="{00000000-0005-0000-0000-000012680000}"/>
    <cellStyle name="Normal 5 3 2 4 3 2 2" xfId="12819" xr:uid="{00000000-0005-0000-0000-000013680000}"/>
    <cellStyle name="Normal 5 3 2 4 3 2 2 2" xfId="23038" xr:uid="{00000000-0005-0000-0000-000014680000}"/>
    <cellStyle name="Normal 5 3 2 4 3 2 2 2 2" xfId="48591" xr:uid="{00000000-0005-0000-0000-000015680000}"/>
    <cellStyle name="Normal 5 3 2 4 3 2 2 3" xfId="38374" xr:uid="{00000000-0005-0000-0000-000016680000}"/>
    <cellStyle name="Normal 5 3 2 4 3 2 3" xfId="9240" xr:uid="{00000000-0005-0000-0000-000017680000}"/>
    <cellStyle name="Normal 5 3 2 4 3 2 3 2" xfId="34797" xr:uid="{00000000-0005-0000-0000-000018680000}"/>
    <cellStyle name="Normal 5 3 2 4 3 2 4" xfId="18031" xr:uid="{00000000-0005-0000-0000-000019680000}"/>
    <cellStyle name="Normal 5 3 2 4 3 2 4 2" xfId="43584" xr:uid="{00000000-0005-0000-0000-00001A680000}"/>
    <cellStyle name="Normal 5 3 2 4 3 2 5" xfId="29521" xr:uid="{00000000-0005-0000-0000-00001B680000}"/>
    <cellStyle name="Normal 5 3 2 4 3 3" xfId="4964" xr:uid="{00000000-0005-0000-0000-00001C680000}"/>
    <cellStyle name="Normal 5 3 2 4 3 3 2" xfId="13801" xr:uid="{00000000-0005-0000-0000-00001D680000}"/>
    <cellStyle name="Normal 5 3 2 4 3 3 2 2" xfId="24052" xr:uid="{00000000-0005-0000-0000-00001E680000}"/>
    <cellStyle name="Normal 5 3 2 4 3 3 2 2 2" xfId="49605" xr:uid="{00000000-0005-0000-0000-00001F680000}"/>
    <cellStyle name="Normal 5 3 2 4 3 3 2 3" xfId="39356" xr:uid="{00000000-0005-0000-0000-000020680000}"/>
    <cellStyle name="Normal 5 3 2 4 3 3 3" xfId="10222" xr:uid="{00000000-0005-0000-0000-000021680000}"/>
    <cellStyle name="Normal 5 3 2 4 3 3 3 2" xfId="35779" xr:uid="{00000000-0005-0000-0000-000022680000}"/>
    <cellStyle name="Normal 5 3 2 4 3 3 4" xfId="19045" xr:uid="{00000000-0005-0000-0000-000023680000}"/>
    <cellStyle name="Normal 5 3 2 4 3 3 4 2" xfId="44598" xr:uid="{00000000-0005-0000-0000-000024680000}"/>
    <cellStyle name="Normal 5 3 2 4 3 3 5" xfId="30535" xr:uid="{00000000-0005-0000-0000-000025680000}"/>
    <cellStyle name="Normal 5 3 2 4 3 4" xfId="2077" xr:uid="{00000000-0005-0000-0000-000026680000}"/>
    <cellStyle name="Normal 5 3 2 4 3 4 2" xfId="11442" xr:uid="{00000000-0005-0000-0000-000027680000}"/>
    <cellStyle name="Normal 5 3 2 4 3 4 2 2" xfId="36997" xr:uid="{00000000-0005-0000-0000-000028680000}"/>
    <cellStyle name="Normal 5 3 2 4 3 4 3" xfId="21446" xr:uid="{00000000-0005-0000-0000-000029680000}"/>
    <cellStyle name="Normal 5 3 2 4 3 4 3 2" xfId="46999" xr:uid="{00000000-0005-0000-0000-00002A680000}"/>
    <cellStyle name="Normal 5 3 2 4 3 4 4" xfId="27929" xr:uid="{00000000-0005-0000-0000-00002B680000}"/>
    <cellStyle name="Normal 5 3 2 4 3 5" xfId="6419" xr:uid="{00000000-0005-0000-0000-00002C680000}"/>
    <cellStyle name="Normal 5 3 2 4 3 5 2" xfId="15246" xr:uid="{00000000-0005-0000-0000-00002D680000}"/>
    <cellStyle name="Normal 5 3 2 4 3 5 2 2" xfId="40801" xr:uid="{00000000-0005-0000-0000-00002E680000}"/>
    <cellStyle name="Normal 5 3 2 4 3 5 3" xfId="25497" xr:uid="{00000000-0005-0000-0000-00002F680000}"/>
    <cellStyle name="Normal 5 3 2 4 3 5 3 2" xfId="51050" xr:uid="{00000000-0005-0000-0000-000030680000}"/>
    <cellStyle name="Normal 5 3 2 4 3 5 4" xfId="31980" xr:uid="{00000000-0005-0000-0000-000031680000}"/>
    <cellStyle name="Normal 5 3 2 4 3 6" xfId="7865" xr:uid="{00000000-0005-0000-0000-000032680000}"/>
    <cellStyle name="Normal 5 3 2 4 3 6 2" xfId="20637" xr:uid="{00000000-0005-0000-0000-000033680000}"/>
    <cellStyle name="Normal 5 3 2 4 3 6 2 2" xfId="46190" xr:uid="{00000000-0005-0000-0000-000034680000}"/>
    <cellStyle name="Normal 5 3 2 4 3 6 3" xfId="33422" xr:uid="{00000000-0005-0000-0000-000035680000}"/>
    <cellStyle name="Normal 5 3 2 4 3 7" xfId="16439" xr:uid="{00000000-0005-0000-0000-000036680000}"/>
    <cellStyle name="Normal 5 3 2 4 3 7 2" xfId="41992" xr:uid="{00000000-0005-0000-0000-000037680000}"/>
    <cellStyle name="Normal 5 3 2 4 3 8" xfId="27120" xr:uid="{00000000-0005-0000-0000-000038680000}"/>
    <cellStyle name="Normal 5 3 2 4 4" xfId="2968" xr:uid="{00000000-0005-0000-0000-000039680000}"/>
    <cellStyle name="Normal 5 3 2 4 4 2" xfId="5346" xr:uid="{00000000-0005-0000-0000-00003A680000}"/>
    <cellStyle name="Normal 5 3 2 4 4 2 2" xfId="14183" xr:uid="{00000000-0005-0000-0000-00003B680000}"/>
    <cellStyle name="Normal 5 3 2 4 4 2 2 2" xfId="24434" xr:uid="{00000000-0005-0000-0000-00003C680000}"/>
    <cellStyle name="Normal 5 3 2 4 4 2 2 2 2" xfId="49987" xr:uid="{00000000-0005-0000-0000-00003D680000}"/>
    <cellStyle name="Normal 5 3 2 4 4 2 2 3" xfId="39738" xr:uid="{00000000-0005-0000-0000-00003E680000}"/>
    <cellStyle name="Normal 5 3 2 4 4 2 3" xfId="10604" xr:uid="{00000000-0005-0000-0000-00003F680000}"/>
    <cellStyle name="Normal 5 3 2 4 4 2 3 2" xfId="36161" xr:uid="{00000000-0005-0000-0000-000040680000}"/>
    <cellStyle name="Normal 5 3 2 4 4 2 4" xfId="19427" xr:uid="{00000000-0005-0000-0000-000041680000}"/>
    <cellStyle name="Normal 5 3 2 4 4 2 4 2" xfId="44980" xr:uid="{00000000-0005-0000-0000-000042680000}"/>
    <cellStyle name="Normal 5 3 2 4 4 2 5" xfId="30917" xr:uid="{00000000-0005-0000-0000-000043680000}"/>
    <cellStyle name="Normal 5 3 2 4 4 3" xfId="6801" xr:uid="{00000000-0005-0000-0000-000044680000}"/>
    <cellStyle name="Normal 5 3 2 4 4 3 2" xfId="15628" xr:uid="{00000000-0005-0000-0000-000045680000}"/>
    <cellStyle name="Normal 5 3 2 4 4 3 2 2" xfId="41183" xr:uid="{00000000-0005-0000-0000-000046680000}"/>
    <cellStyle name="Normal 5 3 2 4 4 3 3" xfId="25879" xr:uid="{00000000-0005-0000-0000-000047680000}"/>
    <cellStyle name="Normal 5 3 2 4 4 3 3 2" xfId="51432" xr:uid="{00000000-0005-0000-0000-000048680000}"/>
    <cellStyle name="Normal 5 3 2 4 4 3 4" xfId="32362" xr:uid="{00000000-0005-0000-0000-000049680000}"/>
    <cellStyle name="Normal 5 3 2 4 4 4" xfId="8247" xr:uid="{00000000-0005-0000-0000-00004A680000}"/>
    <cellStyle name="Normal 5 3 2 4 4 4 2" xfId="22329" xr:uid="{00000000-0005-0000-0000-00004B680000}"/>
    <cellStyle name="Normal 5 3 2 4 4 4 2 2" xfId="47882" xr:uid="{00000000-0005-0000-0000-00004C680000}"/>
    <cellStyle name="Normal 5 3 2 4 4 4 3" xfId="33804" xr:uid="{00000000-0005-0000-0000-00004D680000}"/>
    <cellStyle name="Normal 5 3 2 4 4 5" xfId="17322" xr:uid="{00000000-0005-0000-0000-00004E680000}"/>
    <cellStyle name="Normal 5 3 2 4 4 5 2" xfId="42875" xr:uid="{00000000-0005-0000-0000-00004F680000}"/>
    <cellStyle name="Normal 5 3 2 4 4 6" xfId="28812" xr:uid="{00000000-0005-0000-0000-000050680000}"/>
    <cellStyle name="Normal 5 3 2 4 5" xfId="4302" xr:uid="{00000000-0005-0000-0000-000051680000}"/>
    <cellStyle name="Normal 5 3 2 4 5 2" xfId="13140" xr:uid="{00000000-0005-0000-0000-000052680000}"/>
    <cellStyle name="Normal 5 3 2 4 5 2 2" xfId="23391" xr:uid="{00000000-0005-0000-0000-000053680000}"/>
    <cellStyle name="Normal 5 3 2 4 5 2 2 2" xfId="48944" xr:uid="{00000000-0005-0000-0000-000054680000}"/>
    <cellStyle name="Normal 5 3 2 4 5 2 3" xfId="38695" xr:uid="{00000000-0005-0000-0000-000055680000}"/>
    <cellStyle name="Normal 5 3 2 4 5 3" xfId="9561" xr:uid="{00000000-0005-0000-0000-000056680000}"/>
    <cellStyle name="Normal 5 3 2 4 5 3 2" xfId="35118" xr:uid="{00000000-0005-0000-0000-000057680000}"/>
    <cellStyle name="Normal 5 3 2 4 5 4" xfId="18384" xr:uid="{00000000-0005-0000-0000-000058680000}"/>
    <cellStyle name="Normal 5 3 2 4 5 4 2" xfId="43937" xr:uid="{00000000-0005-0000-0000-000059680000}"/>
    <cellStyle name="Normal 5 3 2 4 5 5" xfId="29874" xr:uid="{00000000-0005-0000-0000-00005A680000}"/>
    <cellStyle name="Normal 5 3 2 4 6" xfId="1574" xr:uid="{00000000-0005-0000-0000-00005B680000}"/>
    <cellStyle name="Normal 5 3 2 4 6 2" xfId="10951" xr:uid="{00000000-0005-0000-0000-00005C680000}"/>
    <cellStyle name="Normal 5 3 2 4 6 2 2" xfId="36506" xr:uid="{00000000-0005-0000-0000-00005D680000}"/>
    <cellStyle name="Normal 5 3 2 4 6 3" xfId="20955" xr:uid="{00000000-0005-0000-0000-00005E680000}"/>
    <cellStyle name="Normal 5 3 2 4 6 3 2" xfId="46508" xr:uid="{00000000-0005-0000-0000-00005F680000}"/>
    <cellStyle name="Normal 5 3 2 4 6 4" xfId="27438" xr:uid="{00000000-0005-0000-0000-000060680000}"/>
    <cellStyle name="Normal 5 3 2 4 7" xfId="5758" xr:uid="{00000000-0005-0000-0000-000061680000}"/>
    <cellStyle name="Normal 5 3 2 4 7 2" xfId="14585" xr:uid="{00000000-0005-0000-0000-000062680000}"/>
    <cellStyle name="Normal 5 3 2 4 7 2 2" xfId="40140" xr:uid="{00000000-0005-0000-0000-000063680000}"/>
    <cellStyle name="Normal 5 3 2 4 7 3" xfId="24836" xr:uid="{00000000-0005-0000-0000-000064680000}"/>
    <cellStyle name="Normal 5 3 2 4 7 3 2" xfId="50389" xr:uid="{00000000-0005-0000-0000-000065680000}"/>
    <cellStyle name="Normal 5 3 2 4 7 4" xfId="31319" xr:uid="{00000000-0005-0000-0000-000066680000}"/>
    <cellStyle name="Normal 5 3 2 4 8" xfId="7202" xr:uid="{00000000-0005-0000-0000-000067680000}"/>
    <cellStyle name="Normal 5 3 2 4 8 2" xfId="19928" xr:uid="{00000000-0005-0000-0000-000068680000}"/>
    <cellStyle name="Normal 5 3 2 4 8 2 2" xfId="45481" xr:uid="{00000000-0005-0000-0000-000069680000}"/>
    <cellStyle name="Normal 5 3 2 4 8 3" xfId="32759" xr:uid="{00000000-0005-0000-0000-00006A680000}"/>
    <cellStyle name="Normal 5 3 2 4 9" xfId="15948" xr:uid="{00000000-0005-0000-0000-00006B680000}"/>
    <cellStyle name="Normal 5 3 2 4 9 2" xfId="41501" xr:uid="{00000000-0005-0000-0000-00006C680000}"/>
    <cellStyle name="Normal 5 3 2 4_Degree data" xfId="3879" xr:uid="{00000000-0005-0000-0000-00006D680000}"/>
    <cellStyle name="Normal 5 3 2 5" xfId="325" xr:uid="{00000000-0005-0000-0000-00006E680000}"/>
    <cellStyle name="Normal 5 3 2 5 2" xfId="2811" xr:uid="{00000000-0005-0000-0000-00006F680000}"/>
    <cellStyle name="Normal 5 3 2 5 2 2" xfId="12111" xr:uid="{00000000-0005-0000-0000-000070680000}"/>
    <cellStyle name="Normal 5 3 2 5 2 2 2" xfId="22172" xr:uid="{00000000-0005-0000-0000-000071680000}"/>
    <cellStyle name="Normal 5 3 2 5 2 2 2 2" xfId="47725" xr:uid="{00000000-0005-0000-0000-000072680000}"/>
    <cellStyle name="Normal 5 3 2 5 2 2 3" xfId="37666" xr:uid="{00000000-0005-0000-0000-000073680000}"/>
    <cellStyle name="Normal 5 3 2 5 2 3" xfId="8391" xr:uid="{00000000-0005-0000-0000-000074680000}"/>
    <cellStyle name="Normal 5 3 2 5 2 3 2" xfId="33948" xr:uid="{00000000-0005-0000-0000-000075680000}"/>
    <cellStyle name="Normal 5 3 2 5 2 4" xfId="17165" xr:uid="{00000000-0005-0000-0000-000076680000}"/>
    <cellStyle name="Normal 5 3 2 5 2 4 2" xfId="42718" xr:uid="{00000000-0005-0000-0000-000077680000}"/>
    <cellStyle name="Normal 5 3 2 5 2 5" xfId="28655" xr:uid="{00000000-0005-0000-0000-000078680000}"/>
    <cellStyle name="Normal 5 3 2 5 3" xfId="4611" xr:uid="{00000000-0005-0000-0000-000079680000}"/>
    <cellStyle name="Normal 5 3 2 5 3 2" xfId="13449" xr:uid="{00000000-0005-0000-0000-00007A680000}"/>
    <cellStyle name="Normal 5 3 2 5 3 2 2" xfId="23700" xr:uid="{00000000-0005-0000-0000-00007B680000}"/>
    <cellStyle name="Normal 5 3 2 5 3 2 2 2" xfId="49253" xr:uid="{00000000-0005-0000-0000-00007C680000}"/>
    <cellStyle name="Normal 5 3 2 5 3 2 3" xfId="39004" xr:uid="{00000000-0005-0000-0000-00007D680000}"/>
    <cellStyle name="Normal 5 3 2 5 3 3" xfId="9870" xr:uid="{00000000-0005-0000-0000-00007E680000}"/>
    <cellStyle name="Normal 5 3 2 5 3 3 2" xfId="35427" xr:uid="{00000000-0005-0000-0000-00007F680000}"/>
    <cellStyle name="Normal 5 3 2 5 3 4" xfId="18693" xr:uid="{00000000-0005-0000-0000-000080680000}"/>
    <cellStyle name="Normal 5 3 2 5 3 4 2" xfId="44246" xr:uid="{00000000-0005-0000-0000-000081680000}"/>
    <cellStyle name="Normal 5 3 2 5 3 5" xfId="30183" xr:uid="{00000000-0005-0000-0000-000082680000}"/>
    <cellStyle name="Normal 5 3 2 5 4" xfId="1920" xr:uid="{00000000-0005-0000-0000-000083680000}"/>
    <cellStyle name="Normal 5 3 2 5 4 2" xfId="11285" xr:uid="{00000000-0005-0000-0000-000084680000}"/>
    <cellStyle name="Normal 5 3 2 5 4 2 2" xfId="36840" xr:uid="{00000000-0005-0000-0000-000085680000}"/>
    <cellStyle name="Normal 5 3 2 5 4 3" xfId="21289" xr:uid="{00000000-0005-0000-0000-000086680000}"/>
    <cellStyle name="Normal 5 3 2 5 4 3 2" xfId="46842" xr:uid="{00000000-0005-0000-0000-000087680000}"/>
    <cellStyle name="Normal 5 3 2 5 4 4" xfId="27772" xr:uid="{00000000-0005-0000-0000-000088680000}"/>
    <cellStyle name="Normal 5 3 2 5 5" xfId="6067" xr:uid="{00000000-0005-0000-0000-000089680000}"/>
    <cellStyle name="Normal 5 3 2 5 5 2" xfId="14894" xr:uid="{00000000-0005-0000-0000-00008A680000}"/>
    <cellStyle name="Normal 5 3 2 5 5 2 2" xfId="40449" xr:uid="{00000000-0005-0000-0000-00008B680000}"/>
    <cellStyle name="Normal 5 3 2 5 5 3" xfId="25145" xr:uid="{00000000-0005-0000-0000-00008C680000}"/>
    <cellStyle name="Normal 5 3 2 5 5 3 2" xfId="50698" xr:uid="{00000000-0005-0000-0000-00008D680000}"/>
    <cellStyle name="Normal 5 3 2 5 5 4" xfId="31628" xr:uid="{00000000-0005-0000-0000-00008E680000}"/>
    <cellStyle name="Normal 5 3 2 5 6" xfId="7512" xr:uid="{00000000-0005-0000-0000-00008F680000}"/>
    <cellStyle name="Normal 5 3 2 5 6 2" xfId="19771" xr:uid="{00000000-0005-0000-0000-000090680000}"/>
    <cellStyle name="Normal 5 3 2 5 6 2 2" xfId="45324" xr:uid="{00000000-0005-0000-0000-000091680000}"/>
    <cellStyle name="Normal 5 3 2 5 6 3" xfId="33069" xr:uid="{00000000-0005-0000-0000-000092680000}"/>
    <cellStyle name="Normal 5 3 2 5 7" xfId="16282" xr:uid="{00000000-0005-0000-0000-000093680000}"/>
    <cellStyle name="Normal 5 3 2 5 7 2" xfId="41835" xr:uid="{00000000-0005-0000-0000-000094680000}"/>
    <cellStyle name="Normal 5 3 2 5 8" xfId="26254" xr:uid="{00000000-0005-0000-0000-000095680000}"/>
    <cellStyle name="Normal 5 3 2 6" xfId="797" xr:uid="{00000000-0005-0000-0000-000096680000}"/>
    <cellStyle name="Normal 5 3 2 6 2" xfId="3282" xr:uid="{00000000-0005-0000-0000-000097680000}"/>
    <cellStyle name="Normal 5 3 2 6 2 2" xfId="12424" xr:uid="{00000000-0005-0000-0000-000098680000}"/>
    <cellStyle name="Normal 5 3 2 6 2 2 2" xfId="22643" xr:uid="{00000000-0005-0000-0000-000099680000}"/>
    <cellStyle name="Normal 5 3 2 6 2 2 2 2" xfId="48196" xr:uid="{00000000-0005-0000-0000-00009A680000}"/>
    <cellStyle name="Normal 5 3 2 6 2 2 3" xfId="37979" xr:uid="{00000000-0005-0000-0000-00009B680000}"/>
    <cellStyle name="Normal 5 3 2 6 2 3" xfId="8846" xr:uid="{00000000-0005-0000-0000-00009C680000}"/>
    <cellStyle name="Normal 5 3 2 6 2 3 2" xfId="34403" xr:uid="{00000000-0005-0000-0000-00009D680000}"/>
    <cellStyle name="Normal 5 3 2 6 2 4" xfId="17636" xr:uid="{00000000-0005-0000-0000-00009E680000}"/>
    <cellStyle name="Normal 5 3 2 6 2 4 2" xfId="43189" xr:uid="{00000000-0005-0000-0000-00009F680000}"/>
    <cellStyle name="Normal 5 3 2 6 2 5" xfId="29126" xr:uid="{00000000-0005-0000-0000-0000A0680000}"/>
    <cellStyle name="Normal 5 3 2 6 3" xfId="4960" xr:uid="{00000000-0005-0000-0000-0000A1680000}"/>
    <cellStyle name="Normal 5 3 2 6 3 2" xfId="13797" xr:uid="{00000000-0005-0000-0000-0000A2680000}"/>
    <cellStyle name="Normal 5 3 2 6 3 2 2" xfId="24048" xr:uid="{00000000-0005-0000-0000-0000A3680000}"/>
    <cellStyle name="Normal 5 3 2 6 3 2 2 2" xfId="49601" xr:uid="{00000000-0005-0000-0000-0000A4680000}"/>
    <cellStyle name="Normal 5 3 2 6 3 2 3" xfId="39352" xr:uid="{00000000-0005-0000-0000-0000A5680000}"/>
    <cellStyle name="Normal 5 3 2 6 3 3" xfId="10218" xr:uid="{00000000-0005-0000-0000-0000A6680000}"/>
    <cellStyle name="Normal 5 3 2 6 3 3 2" xfId="35775" xr:uid="{00000000-0005-0000-0000-0000A7680000}"/>
    <cellStyle name="Normal 5 3 2 6 3 4" xfId="19041" xr:uid="{00000000-0005-0000-0000-0000A8680000}"/>
    <cellStyle name="Normal 5 3 2 6 3 4 2" xfId="44594" xr:uid="{00000000-0005-0000-0000-0000A9680000}"/>
    <cellStyle name="Normal 5 3 2 6 3 5" xfId="30531" xr:uid="{00000000-0005-0000-0000-0000AA680000}"/>
    <cellStyle name="Normal 5 3 2 6 4" xfId="2391" xr:uid="{00000000-0005-0000-0000-0000AB680000}"/>
    <cellStyle name="Normal 5 3 2 6 4 2" xfId="11756" xr:uid="{00000000-0005-0000-0000-0000AC680000}"/>
    <cellStyle name="Normal 5 3 2 6 4 2 2" xfId="37311" xr:uid="{00000000-0005-0000-0000-0000AD680000}"/>
    <cellStyle name="Normal 5 3 2 6 4 3" xfId="21760" xr:uid="{00000000-0005-0000-0000-0000AE680000}"/>
    <cellStyle name="Normal 5 3 2 6 4 3 2" xfId="47313" xr:uid="{00000000-0005-0000-0000-0000AF680000}"/>
    <cellStyle name="Normal 5 3 2 6 4 4" xfId="28243" xr:uid="{00000000-0005-0000-0000-0000B0680000}"/>
    <cellStyle name="Normal 5 3 2 6 5" xfId="6415" xr:uid="{00000000-0005-0000-0000-0000B1680000}"/>
    <cellStyle name="Normal 5 3 2 6 5 2" xfId="15242" xr:uid="{00000000-0005-0000-0000-0000B2680000}"/>
    <cellStyle name="Normal 5 3 2 6 5 2 2" xfId="40797" xr:uid="{00000000-0005-0000-0000-0000B3680000}"/>
    <cellStyle name="Normal 5 3 2 6 5 3" xfId="25493" xr:uid="{00000000-0005-0000-0000-0000B4680000}"/>
    <cellStyle name="Normal 5 3 2 6 5 3 2" xfId="51046" xr:uid="{00000000-0005-0000-0000-0000B5680000}"/>
    <cellStyle name="Normal 5 3 2 6 5 4" xfId="31976" xr:uid="{00000000-0005-0000-0000-0000B6680000}"/>
    <cellStyle name="Normal 5 3 2 6 6" xfId="7861" xr:uid="{00000000-0005-0000-0000-0000B7680000}"/>
    <cellStyle name="Normal 5 3 2 6 6 2" xfId="20242" xr:uid="{00000000-0005-0000-0000-0000B8680000}"/>
    <cellStyle name="Normal 5 3 2 6 6 2 2" xfId="45795" xr:uid="{00000000-0005-0000-0000-0000B9680000}"/>
    <cellStyle name="Normal 5 3 2 6 6 3" xfId="33418" xr:uid="{00000000-0005-0000-0000-0000BA680000}"/>
    <cellStyle name="Normal 5 3 2 6 7" xfId="16753" xr:uid="{00000000-0005-0000-0000-0000BB680000}"/>
    <cellStyle name="Normal 5 3 2 6 7 2" xfId="42306" xr:uid="{00000000-0005-0000-0000-0000BC680000}"/>
    <cellStyle name="Normal 5 3 2 6 8" xfId="26725" xr:uid="{00000000-0005-0000-0000-0000BD680000}"/>
    <cellStyle name="Normal 5 3 2 7" xfId="1097" xr:uid="{00000000-0005-0000-0000-0000BE680000}"/>
    <cellStyle name="Normal 5 3 2 7 2" xfId="3526" xr:uid="{00000000-0005-0000-0000-0000BF680000}"/>
    <cellStyle name="Normal 5 3 2 7 2 2" xfId="12662" xr:uid="{00000000-0005-0000-0000-0000C0680000}"/>
    <cellStyle name="Normal 5 3 2 7 2 2 2" xfId="22881" xr:uid="{00000000-0005-0000-0000-0000C1680000}"/>
    <cellStyle name="Normal 5 3 2 7 2 2 2 2" xfId="48434" xr:uid="{00000000-0005-0000-0000-0000C2680000}"/>
    <cellStyle name="Normal 5 3 2 7 2 2 3" xfId="38217" xr:uid="{00000000-0005-0000-0000-0000C3680000}"/>
    <cellStyle name="Normal 5 3 2 7 2 3" xfId="9083" xr:uid="{00000000-0005-0000-0000-0000C4680000}"/>
    <cellStyle name="Normal 5 3 2 7 2 3 2" xfId="34640" xr:uid="{00000000-0005-0000-0000-0000C5680000}"/>
    <cellStyle name="Normal 5 3 2 7 2 4" xfId="17874" xr:uid="{00000000-0005-0000-0000-0000C6680000}"/>
    <cellStyle name="Normal 5 3 2 7 2 4 2" xfId="43427" xr:uid="{00000000-0005-0000-0000-0000C7680000}"/>
    <cellStyle name="Normal 5 3 2 7 2 5" xfId="29364" xr:uid="{00000000-0005-0000-0000-0000C8680000}"/>
    <cellStyle name="Normal 5 3 2 7 3" xfId="5189" xr:uid="{00000000-0005-0000-0000-0000C9680000}"/>
    <cellStyle name="Normal 5 3 2 7 3 2" xfId="14026" xr:uid="{00000000-0005-0000-0000-0000CA680000}"/>
    <cellStyle name="Normal 5 3 2 7 3 2 2" xfId="24277" xr:uid="{00000000-0005-0000-0000-0000CB680000}"/>
    <cellStyle name="Normal 5 3 2 7 3 2 2 2" xfId="49830" xr:uid="{00000000-0005-0000-0000-0000CC680000}"/>
    <cellStyle name="Normal 5 3 2 7 3 2 3" xfId="39581" xr:uid="{00000000-0005-0000-0000-0000CD680000}"/>
    <cellStyle name="Normal 5 3 2 7 3 3" xfId="10447" xr:uid="{00000000-0005-0000-0000-0000CE680000}"/>
    <cellStyle name="Normal 5 3 2 7 3 3 2" xfId="36004" xr:uid="{00000000-0005-0000-0000-0000CF680000}"/>
    <cellStyle name="Normal 5 3 2 7 3 4" xfId="19270" xr:uid="{00000000-0005-0000-0000-0000D0680000}"/>
    <cellStyle name="Normal 5 3 2 7 3 4 2" xfId="44823" xr:uid="{00000000-0005-0000-0000-0000D1680000}"/>
    <cellStyle name="Normal 5 3 2 7 3 5" xfId="30760" xr:uid="{00000000-0005-0000-0000-0000D2680000}"/>
    <cellStyle name="Normal 5 3 2 7 4" xfId="1754" xr:uid="{00000000-0005-0000-0000-0000D3680000}"/>
    <cellStyle name="Normal 5 3 2 7 4 2" xfId="11125" xr:uid="{00000000-0005-0000-0000-0000D4680000}"/>
    <cellStyle name="Normal 5 3 2 7 4 2 2" xfId="36680" xr:uid="{00000000-0005-0000-0000-0000D5680000}"/>
    <cellStyle name="Normal 5 3 2 7 4 3" xfId="21129" xr:uid="{00000000-0005-0000-0000-0000D6680000}"/>
    <cellStyle name="Normal 5 3 2 7 4 3 2" xfId="46682" xr:uid="{00000000-0005-0000-0000-0000D7680000}"/>
    <cellStyle name="Normal 5 3 2 7 4 4" xfId="27612" xr:uid="{00000000-0005-0000-0000-0000D8680000}"/>
    <cellStyle name="Normal 5 3 2 7 5" xfId="6644" xr:uid="{00000000-0005-0000-0000-0000D9680000}"/>
    <cellStyle name="Normal 5 3 2 7 5 2" xfId="15471" xr:uid="{00000000-0005-0000-0000-0000DA680000}"/>
    <cellStyle name="Normal 5 3 2 7 5 2 2" xfId="41026" xr:uid="{00000000-0005-0000-0000-0000DB680000}"/>
    <cellStyle name="Normal 5 3 2 7 5 3" xfId="25722" xr:uid="{00000000-0005-0000-0000-0000DC680000}"/>
    <cellStyle name="Normal 5 3 2 7 5 3 2" xfId="51275" xr:uid="{00000000-0005-0000-0000-0000DD680000}"/>
    <cellStyle name="Normal 5 3 2 7 5 4" xfId="32205" xr:uid="{00000000-0005-0000-0000-0000DE680000}"/>
    <cellStyle name="Normal 5 3 2 7 6" xfId="8090" xr:uid="{00000000-0005-0000-0000-0000DF680000}"/>
    <cellStyle name="Normal 5 3 2 7 6 2" xfId="20480" xr:uid="{00000000-0005-0000-0000-0000E0680000}"/>
    <cellStyle name="Normal 5 3 2 7 6 2 2" xfId="46033" xr:uid="{00000000-0005-0000-0000-0000E1680000}"/>
    <cellStyle name="Normal 5 3 2 7 6 3" xfId="33647" xr:uid="{00000000-0005-0000-0000-0000E2680000}"/>
    <cellStyle name="Normal 5 3 2 7 7" xfId="16122" xr:uid="{00000000-0005-0000-0000-0000E3680000}"/>
    <cellStyle name="Normal 5 3 2 7 7 2" xfId="41675" xr:uid="{00000000-0005-0000-0000-0000E4680000}"/>
    <cellStyle name="Normal 5 3 2 7 8" xfId="26963" xr:uid="{00000000-0005-0000-0000-0000E5680000}"/>
    <cellStyle name="Normal 5 3 2 8" xfId="2651" xr:uid="{00000000-0005-0000-0000-0000E6680000}"/>
    <cellStyle name="Normal 5 3 2 8 2" xfId="11972" xr:uid="{00000000-0005-0000-0000-0000E7680000}"/>
    <cellStyle name="Normal 5 3 2 8 2 2" xfId="22012" xr:uid="{00000000-0005-0000-0000-0000E8680000}"/>
    <cellStyle name="Normal 5 3 2 8 2 2 2" xfId="47565" xr:uid="{00000000-0005-0000-0000-0000E9680000}"/>
    <cellStyle name="Normal 5 3 2 8 2 3" xfId="37527" xr:uid="{00000000-0005-0000-0000-0000EA680000}"/>
    <cellStyle name="Normal 5 3 2 8 3" xfId="8412" xr:uid="{00000000-0005-0000-0000-0000EB680000}"/>
    <cellStyle name="Normal 5 3 2 8 3 2" xfId="33969" xr:uid="{00000000-0005-0000-0000-0000EC680000}"/>
    <cellStyle name="Normal 5 3 2 8 4" xfId="17005" xr:uid="{00000000-0005-0000-0000-0000ED680000}"/>
    <cellStyle name="Normal 5 3 2 8 4 2" xfId="42558" xr:uid="{00000000-0005-0000-0000-0000EE680000}"/>
    <cellStyle name="Normal 5 3 2 8 5" xfId="28495" xr:uid="{00000000-0005-0000-0000-0000EF680000}"/>
    <cellStyle name="Normal 5 3 2 9" xfId="4143" xr:uid="{00000000-0005-0000-0000-0000F0680000}"/>
    <cellStyle name="Normal 5 3 2 9 2" xfId="12981" xr:uid="{00000000-0005-0000-0000-0000F1680000}"/>
    <cellStyle name="Normal 5 3 2 9 2 2" xfId="23232" xr:uid="{00000000-0005-0000-0000-0000F2680000}"/>
    <cellStyle name="Normal 5 3 2 9 2 2 2" xfId="48785" xr:uid="{00000000-0005-0000-0000-0000F3680000}"/>
    <cellStyle name="Normal 5 3 2 9 2 3" xfId="38536" xr:uid="{00000000-0005-0000-0000-0000F4680000}"/>
    <cellStyle name="Normal 5 3 2 9 3" xfId="9402" xr:uid="{00000000-0005-0000-0000-0000F5680000}"/>
    <cellStyle name="Normal 5 3 2 9 3 2" xfId="34959" xr:uid="{00000000-0005-0000-0000-0000F6680000}"/>
    <cellStyle name="Normal 5 3 2 9 4" xfId="18225" xr:uid="{00000000-0005-0000-0000-0000F7680000}"/>
    <cellStyle name="Normal 5 3 2 9 4 2" xfId="43778" xr:uid="{00000000-0005-0000-0000-0000F8680000}"/>
    <cellStyle name="Normal 5 3 2 9 5" xfId="29715" xr:uid="{00000000-0005-0000-0000-0000F9680000}"/>
    <cellStyle name="Normal 5 3 2_Degree data" xfId="3865" xr:uid="{00000000-0005-0000-0000-0000FA680000}"/>
    <cellStyle name="Normal 5 3 3" xfId="199" xr:uid="{00000000-0005-0000-0000-0000FB680000}"/>
    <cellStyle name="Normal 5 3 3 10" xfId="7145" xr:uid="{00000000-0005-0000-0000-0000FC680000}"/>
    <cellStyle name="Normal 5 3 3 10 2" xfId="19654" xr:uid="{00000000-0005-0000-0000-0000FD680000}"/>
    <cellStyle name="Normal 5 3 3 10 2 2" xfId="45207" xr:uid="{00000000-0005-0000-0000-0000FE680000}"/>
    <cellStyle name="Normal 5 3 3 10 3" xfId="32702" xr:uid="{00000000-0005-0000-0000-0000FF680000}"/>
    <cellStyle name="Normal 5 3 3 11" xfId="15891" xr:uid="{00000000-0005-0000-0000-000000690000}"/>
    <cellStyle name="Normal 5 3 3 11 2" xfId="41444" xr:uid="{00000000-0005-0000-0000-000001690000}"/>
    <cellStyle name="Normal 5 3 3 12" xfId="26137" xr:uid="{00000000-0005-0000-0000-000002690000}"/>
    <cellStyle name="Normal 5 3 3 2" xfId="525" xr:uid="{00000000-0005-0000-0000-000003690000}"/>
    <cellStyle name="Normal 5 3 3 2 10" xfId="26454" xr:uid="{00000000-0005-0000-0000-000004690000}"/>
    <cellStyle name="Normal 5 3 3 2 2" xfId="803" xr:uid="{00000000-0005-0000-0000-000005690000}"/>
    <cellStyle name="Normal 5 3 3 2 2 2" xfId="3288" xr:uid="{00000000-0005-0000-0000-000006690000}"/>
    <cellStyle name="Normal 5 3 3 2 2 2 2" xfId="12430" xr:uid="{00000000-0005-0000-0000-000007690000}"/>
    <cellStyle name="Normal 5 3 3 2 2 2 2 2" xfId="22649" xr:uid="{00000000-0005-0000-0000-000008690000}"/>
    <cellStyle name="Normal 5 3 3 2 2 2 2 2 2" xfId="48202" xr:uid="{00000000-0005-0000-0000-000009690000}"/>
    <cellStyle name="Normal 5 3 3 2 2 2 2 3" xfId="37985" xr:uid="{00000000-0005-0000-0000-00000A690000}"/>
    <cellStyle name="Normal 5 3 3 2 2 2 3" xfId="8852" xr:uid="{00000000-0005-0000-0000-00000B690000}"/>
    <cellStyle name="Normal 5 3 3 2 2 2 3 2" xfId="34409" xr:uid="{00000000-0005-0000-0000-00000C690000}"/>
    <cellStyle name="Normal 5 3 3 2 2 2 4" xfId="17642" xr:uid="{00000000-0005-0000-0000-00000D690000}"/>
    <cellStyle name="Normal 5 3 3 2 2 2 4 2" xfId="43195" xr:uid="{00000000-0005-0000-0000-00000E690000}"/>
    <cellStyle name="Normal 5 3 3 2 2 2 5" xfId="29132" xr:uid="{00000000-0005-0000-0000-00000F690000}"/>
    <cellStyle name="Normal 5 3 3 2 2 3" xfId="4617" xr:uid="{00000000-0005-0000-0000-000010690000}"/>
    <cellStyle name="Normal 5 3 3 2 2 3 2" xfId="13455" xr:uid="{00000000-0005-0000-0000-000011690000}"/>
    <cellStyle name="Normal 5 3 3 2 2 3 2 2" xfId="23706" xr:uid="{00000000-0005-0000-0000-000012690000}"/>
    <cellStyle name="Normal 5 3 3 2 2 3 2 2 2" xfId="49259" xr:uid="{00000000-0005-0000-0000-000013690000}"/>
    <cellStyle name="Normal 5 3 3 2 2 3 2 3" xfId="39010" xr:uid="{00000000-0005-0000-0000-000014690000}"/>
    <cellStyle name="Normal 5 3 3 2 2 3 3" xfId="9876" xr:uid="{00000000-0005-0000-0000-000015690000}"/>
    <cellStyle name="Normal 5 3 3 2 2 3 3 2" xfId="35433" xr:uid="{00000000-0005-0000-0000-000016690000}"/>
    <cellStyle name="Normal 5 3 3 2 2 3 4" xfId="18699" xr:uid="{00000000-0005-0000-0000-000017690000}"/>
    <cellStyle name="Normal 5 3 3 2 2 3 4 2" xfId="44252" xr:uid="{00000000-0005-0000-0000-000018690000}"/>
    <cellStyle name="Normal 5 3 3 2 2 3 5" xfId="30189" xr:uid="{00000000-0005-0000-0000-000019690000}"/>
    <cellStyle name="Normal 5 3 3 2 2 4" xfId="2397" xr:uid="{00000000-0005-0000-0000-00001A690000}"/>
    <cellStyle name="Normal 5 3 3 2 2 4 2" xfId="11762" xr:uid="{00000000-0005-0000-0000-00001B690000}"/>
    <cellStyle name="Normal 5 3 3 2 2 4 2 2" xfId="37317" xr:uid="{00000000-0005-0000-0000-00001C690000}"/>
    <cellStyle name="Normal 5 3 3 2 2 4 3" xfId="21766" xr:uid="{00000000-0005-0000-0000-00001D690000}"/>
    <cellStyle name="Normal 5 3 3 2 2 4 3 2" xfId="47319" xr:uid="{00000000-0005-0000-0000-00001E690000}"/>
    <cellStyle name="Normal 5 3 3 2 2 4 4" xfId="28249" xr:uid="{00000000-0005-0000-0000-00001F690000}"/>
    <cellStyle name="Normal 5 3 3 2 2 5" xfId="6073" xr:uid="{00000000-0005-0000-0000-000020690000}"/>
    <cellStyle name="Normal 5 3 3 2 2 5 2" xfId="14900" xr:uid="{00000000-0005-0000-0000-000021690000}"/>
    <cellStyle name="Normal 5 3 3 2 2 5 2 2" xfId="40455" xr:uid="{00000000-0005-0000-0000-000022690000}"/>
    <cellStyle name="Normal 5 3 3 2 2 5 3" xfId="25151" xr:uid="{00000000-0005-0000-0000-000023690000}"/>
    <cellStyle name="Normal 5 3 3 2 2 5 3 2" xfId="50704" xr:uid="{00000000-0005-0000-0000-000024690000}"/>
    <cellStyle name="Normal 5 3 3 2 2 5 4" xfId="31634" xr:uid="{00000000-0005-0000-0000-000025690000}"/>
    <cellStyle name="Normal 5 3 3 2 2 6" xfId="7518" xr:uid="{00000000-0005-0000-0000-000026690000}"/>
    <cellStyle name="Normal 5 3 3 2 2 6 2" xfId="20248" xr:uid="{00000000-0005-0000-0000-000027690000}"/>
    <cellStyle name="Normal 5 3 3 2 2 6 2 2" xfId="45801" xr:uid="{00000000-0005-0000-0000-000028690000}"/>
    <cellStyle name="Normal 5 3 3 2 2 6 3" xfId="33075" xr:uid="{00000000-0005-0000-0000-000029690000}"/>
    <cellStyle name="Normal 5 3 3 2 2 7" xfId="16759" xr:uid="{00000000-0005-0000-0000-00002A690000}"/>
    <cellStyle name="Normal 5 3 3 2 2 7 2" xfId="42312" xr:uid="{00000000-0005-0000-0000-00002B690000}"/>
    <cellStyle name="Normal 5 3 3 2 2 8" xfId="26731" xr:uid="{00000000-0005-0000-0000-00002C690000}"/>
    <cellStyle name="Normal 5 3 3 2 3" xfId="1297" xr:uid="{00000000-0005-0000-0000-00002D690000}"/>
    <cellStyle name="Normal 5 3 3 2 3 2" xfId="3726" xr:uid="{00000000-0005-0000-0000-00002E690000}"/>
    <cellStyle name="Normal 5 3 3 2 3 2 2" xfId="12862" xr:uid="{00000000-0005-0000-0000-00002F690000}"/>
    <cellStyle name="Normal 5 3 3 2 3 2 2 2" xfId="23081" xr:uid="{00000000-0005-0000-0000-000030690000}"/>
    <cellStyle name="Normal 5 3 3 2 3 2 2 2 2" xfId="48634" xr:uid="{00000000-0005-0000-0000-000031690000}"/>
    <cellStyle name="Normal 5 3 3 2 3 2 2 3" xfId="38417" xr:uid="{00000000-0005-0000-0000-000032690000}"/>
    <cellStyle name="Normal 5 3 3 2 3 2 3" xfId="9283" xr:uid="{00000000-0005-0000-0000-000033690000}"/>
    <cellStyle name="Normal 5 3 3 2 3 2 3 2" xfId="34840" xr:uid="{00000000-0005-0000-0000-000034690000}"/>
    <cellStyle name="Normal 5 3 3 2 3 2 4" xfId="18074" xr:uid="{00000000-0005-0000-0000-000035690000}"/>
    <cellStyle name="Normal 5 3 3 2 3 2 4 2" xfId="43627" xr:uid="{00000000-0005-0000-0000-000036690000}"/>
    <cellStyle name="Normal 5 3 3 2 3 2 5" xfId="29564" xr:uid="{00000000-0005-0000-0000-000037690000}"/>
    <cellStyle name="Normal 5 3 3 2 3 3" xfId="4966" xr:uid="{00000000-0005-0000-0000-000038690000}"/>
    <cellStyle name="Normal 5 3 3 2 3 3 2" xfId="13803" xr:uid="{00000000-0005-0000-0000-000039690000}"/>
    <cellStyle name="Normal 5 3 3 2 3 3 2 2" xfId="24054" xr:uid="{00000000-0005-0000-0000-00003A690000}"/>
    <cellStyle name="Normal 5 3 3 2 3 3 2 2 2" xfId="49607" xr:uid="{00000000-0005-0000-0000-00003B690000}"/>
    <cellStyle name="Normal 5 3 3 2 3 3 2 3" xfId="39358" xr:uid="{00000000-0005-0000-0000-00003C690000}"/>
    <cellStyle name="Normal 5 3 3 2 3 3 3" xfId="10224" xr:uid="{00000000-0005-0000-0000-00003D690000}"/>
    <cellStyle name="Normal 5 3 3 2 3 3 3 2" xfId="35781" xr:uid="{00000000-0005-0000-0000-00003E690000}"/>
    <cellStyle name="Normal 5 3 3 2 3 3 4" xfId="19047" xr:uid="{00000000-0005-0000-0000-00003F690000}"/>
    <cellStyle name="Normal 5 3 3 2 3 3 4 2" xfId="44600" xr:uid="{00000000-0005-0000-0000-000040690000}"/>
    <cellStyle name="Normal 5 3 3 2 3 3 5" xfId="30537" xr:uid="{00000000-0005-0000-0000-000041690000}"/>
    <cellStyle name="Normal 5 3 3 2 3 4" xfId="2120" xr:uid="{00000000-0005-0000-0000-000042690000}"/>
    <cellStyle name="Normal 5 3 3 2 3 4 2" xfId="11485" xr:uid="{00000000-0005-0000-0000-000043690000}"/>
    <cellStyle name="Normal 5 3 3 2 3 4 2 2" xfId="37040" xr:uid="{00000000-0005-0000-0000-000044690000}"/>
    <cellStyle name="Normal 5 3 3 2 3 4 3" xfId="21489" xr:uid="{00000000-0005-0000-0000-000045690000}"/>
    <cellStyle name="Normal 5 3 3 2 3 4 3 2" xfId="47042" xr:uid="{00000000-0005-0000-0000-000046690000}"/>
    <cellStyle name="Normal 5 3 3 2 3 4 4" xfId="27972" xr:uid="{00000000-0005-0000-0000-000047690000}"/>
    <cellStyle name="Normal 5 3 3 2 3 5" xfId="6421" xr:uid="{00000000-0005-0000-0000-000048690000}"/>
    <cellStyle name="Normal 5 3 3 2 3 5 2" xfId="15248" xr:uid="{00000000-0005-0000-0000-000049690000}"/>
    <cellStyle name="Normal 5 3 3 2 3 5 2 2" xfId="40803" xr:uid="{00000000-0005-0000-0000-00004A690000}"/>
    <cellStyle name="Normal 5 3 3 2 3 5 3" xfId="25499" xr:uid="{00000000-0005-0000-0000-00004B690000}"/>
    <cellStyle name="Normal 5 3 3 2 3 5 3 2" xfId="51052" xr:uid="{00000000-0005-0000-0000-00004C690000}"/>
    <cellStyle name="Normal 5 3 3 2 3 5 4" xfId="31982" xr:uid="{00000000-0005-0000-0000-00004D690000}"/>
    <cellStyle name="Normal 5 3 3 2 3 6" xfId="7867" xr:uid="{00000000-0005-0000-0000-00004E690000}"/>
    <cellStyle name="Normal 5 3 3 2 3 6 2" xfId="20680" xr:uid="{00000000-0005-0000-0000-00004F690000}"/>
    <cellStyle name="Normal 5 3 3 2 3 6 2 2" xfId="46233" xr:uid="{00000000-0005-0000-0000-000050690000}"/>
    <cellStyle name="Normal 5 3 3 2 3 6 3" xfId="33424" xr:uid="{00000000-0005-0000-0000-000051690000}"/>
    <cellStyle name="Normal 5 3 3 2 3 7" xfId="16482" xr:uid="{00000000-0005-0000-0000-000052690000}"/>
    <cellStyle name="Normal 5 3 3 2 3 7 2" xfId="42035" xr:uid="{00000000-0005-0000-0000-000053690000}"/>
    <cellStyle name="Normal 5 3 3 2 3 8" xfId="27163" xr:uid="{00000000-0005-0000-0000-000054690000}"/>
    <cellStyle name="Normal 5 3 3 2 4" xfId="3011" xr:uid="{00000000-0005-0000-0000-000055690000}"/>
    <cellStyle name="Normal 5 3 3 2 4 2" xfId="5389" xr:uid="{00000000-0005-0000-0000-000056690000}"/>
    <cellStyle name="Normal 5 3 3 2 4 2 2" xfId="14226" xr:uid="{00000000-0005-0000-0000-000057690000}"/>
    <cellStyle name="Normal 5 3 3 2 4 2 2 2" xfId="24477" xr:uid="{00000000-0005-0000-0000-000058690000}"/>
    <cellStyle name="Normal 5 3 3 2 4 2 2 2 2" xfId="50030" xr:uid="{00000000-0005-0000-0000-000059690000}"/>
    <cellStyle name="Normal 5 3 3 2 4 2 2 3" xfId="39781" xr:uid="{00000000-0005-0000-0000-00005A690000}"/>
    <cellStyle name="Normal 5 3 3 2 4 2 3" xfId="10647" xr:uid="{00000000-0005-0000-0000-00005B690000}"/>
    <cellStyle name="Normal 5 3 3 2 4 2 3 2" xfId="36204" xr:uid="{00000000-0005-0000-0000-00005C690000}"/>
    <cellStyle name="Normal 5 3 3 2 4 2 4" xfId="19470" xr:uid="{00000000-0005-0000-0000-00005D690000}"/>
    <cellStyle name="Normal 5 3 3 2 4 2 4 2" xfId="45023" xr:uid="{00000000-0005-0000-0000-00005E690000}"/>
    <cellStyle name="Normal 5 3 3 2 4 2 5" xfId="30960" xr:uid="{00000000-0005-0000-0000-00005F690000}"/>
    <cellStyle name="Normal 5 3 3 2 4 3" xfId="6844" xr:uid="{00000000-0005-0000-0000-000060690000}"/>
    <cellStyle name="Normal 5 3 3 2 4 3 2" xfId="15671" xr:uid="{00000000-0005-0000-0000-000061690000}"/>
    <cellStyle name="Normal 5 3 3 2 4 3 2 2" xfId="41226" xr:uid="{00000000-0005-0000-0000-000062690000}"/>
    <cellStyle name="Normal 5 3 3 2 4 3 3" xfId="25922" xr:uid="{00000000-0005-0000-0000-000063690000}"/>
    <cellStyle name="Normal 5 3 3 2 4 3 3 2" xfId="51475" xr:uid="{00000000-0005-0000-0000-000064690000}"/>
    <cellStyle name="Normal 5 3 3 2 4 3 4" xfId="32405" xr:uid="{00000000-0005-0000-0000-000065690000}"/>
    <cellStyle name="Normal 5 3 3 2 4 4" xfId="8290" xr:uid="{00000000-0005-0000-0000-000066690000}"/>
    <cellStyle name="Normal 5 3 3 2 4 4 2" xfId="22372" xr:uid="{00000000-0005-0000-0000-000067690000}"/>
    <cellStyle name="Normal 5 3 3 2 4 4 2 2" xfId="47925" xr:uid="{00000000-0005-0000-0000-000068690000}"/>
    <cellStyle name="Normal 5 3 3 2 4 4 3" xfId="33847" xr:uid="{00000000-0005-0000-0000-000069690000}"/>
    <cellStyle name="Normal 5 3 3 2 4 5" xfId="17365" xr:uid="{00000000-0005-0000-0000-00006A690000}"/>
    <cellStyle name="Normal 5 3 3 2 4 5 2" xfId="42918" xr:uid="{00000000-0005-0000-0000-00006B690000}"/>
    <cellStyle name="Normal 5 3 3 2 4 6" xfId="28855" xr:uid="{00000000-0005-0000-0000-00006C690000}"/>
    <cellStyle name="Normal 5 3 3 2 5" xfId="4345" xr:uid="{00000000-0005-0000-0000-00006D690000}"/>
    <cellStyle name="Normal 5 3 3 2 5 2" xfId="13183" xr:uid="{00000000-0005-0000-0000-00006E690000}"/>
    <cellStyle name="Normal 5 3 3 2 5 2 2" xfId="23434" xr:uid="{00000000-0005-0000-0000-00006F690000}"/>
    <cellStyle name="Normal 5 3 3 2 5 2 2 2" xfId="48987" xr:uid="{00000000-0005-0000-0000-000070690000}"/>
    <cellStyle name="Normal 5 3 3 2 5 2 3" xfId="38738" xr:uid="{00000000-0005-0000-0000-000071690000}"/>
    <cellStyle name="Normal 5 3 3 2 5 3" xfId="9604" xr:uid="{00000000-0005-0000-0000-000072690000}"/>
    <cellStyle name="Normal 5 3 3 2 5 3 2" xfId="35161" xr:uid="{00000000-0005-0000-0000-000073690000}"/>
    <cellStyle name="Normal 5 3 3 2 5 4" xfId="18427" xr:uid="{00000000-0005-0000-0000-000074690000}"/>
    <cellStyle name="Normal 5 3 3 2 5 4 2" xfId="43980" xr:uid="{00000000-0005-0000-0000-000075690000}"/>
    <cellStyle name="Normal 5 3 3 2 5 5" xfId="29917" xr:uid="{00000000-0005-0000-0000-000076690000}"/>
    <cellStyle name="Normal 5 3 3 2 6" xfId="1617" xr:uid="{00000000-0005-0000-0000-000077690000}"/>
    <cellStyle name="Normal 5 3 3 2 6 2" xfId="10994" xr:uid="{00000000-0005-0000-0000-000078690000}"/>
    <cellStyle name="Normal 5 3 3 2 6 2 2" xfId="36549" xr:uid="{00000000-0005-0000-0000-000079690000}"/>
    <cellStyle name="Normal 5 3 3 2 6 3" xfId="20998" xr:uid="{00000000-0005-0000-0000-00007A690000}"/>
    <cellStyle name="Normal 5 3 3 2 6 3 2" xfId="46551" xr:uid="{00000000-0005-0000-0000-00007B690000}"/>
    <cellStyle name="Normal 5 3 3 2 6 4" xfId="27481" xr:uid="{00000000-0005-0000-0000-00007C690000}"/>
    <cellStyle name="Normal 5 3 3 2 7" xfId="5801" xr:uid="{00000000-0005-0000-0000-00007D690000}"/>
    <cellStyle name="Normal 5 3 3 2 7 2" xfId="14628" xr:uid="{00000000-0005-0000-0000-00007E690000}"/>
    <cellStyle name="Normal 5 3 3 2 7 2 2" xfId="40183" xr:uid="{00000000-0005-0000-0000-00007F690000}"/>
    <cellStyle name="Normal 5 3 3 2 7 3" xfId="24879" xr:uid="{00000000-0005-0000-0000-000080690000}"/>
    <cellStyle name="Normal 5 3 3 2 7 3 2" xfId="50432" xr:uid="{00000000-0005-0000-0000-000081690000}"/>
    <cellStyle name="Normal 5 3 3 2 7 4" xfId="31362" xr:uid="{00000000-0005-0000-0000-000082690000}"/>
    <cellStyle name="Normal 5 3 3 2 8" xfId="7245" xr:uid="{00000000-0005-0000-0000-000083690000}"/>
    <cellStyle name="Normal 5 3 3 2 8 2" xfId="19971" xr:uid="{00000000-0005-0000-0000-000084690000}"/>
    <cellStyle name="Normal 5 3 3 2 8 2 2" xfId="45524" xr:uid="{00000000-0005-0000-0000-000085690000}"/>
    <cellStyle name="Normal 5 3 3 2 8 3" xfId="32802" xr:uid="{00000000-0005-0000-0000-000086690000}"/>
    <cellStyle name="Normal 5 3 3 2 9" xfId="15991" xr:uid="{00000000-0005-0000-0000-000087690000}"/>
    <cellStyle name="Normal 5 3 3 2 9 2" xfId="41544" xr:uid="{00000000-0005-0000-0000-000088690000}"/>
    <cellStyle name="Normal 5 3 3 2_Degree data" xfId="3823" xr:uid="{00000000-0005-0000-0000-000089690000}"/>
    <cellStyle name="Normal 5 3 3 3" xfId="425" xr:uid="{00000000-0005-0000-0000-00008A690000}"/>
    <cellStyle name="Normal 5 3 3 3 2" xfId="2911" xr:uid="{00000000-0005-0000-0000-00008B690000}"/>
    <cellStyle name="Normal 5 3 3 3 2 2" xfId="12199" xr:uid="{00000000-0005-0000-0000-00008C690000}"/>
    <cellStyle name="Normal 5 3 3 3 2 2 2" xfId="22272" xr:uid="{00000000-0005-0000-0000-00008D690000}"/>
    <cellStyle name="Normal 5 3 3 3 2 2 2 2" xfId="47825" xr:uid="{00000000-0005-0000-0000-00008E690000}"/>
    <cellStyle name="Normal 5 3 3 3 2 2 3" xfId="37754" xr:uid="{00000000-0005-0000-0000-00008F690000}"/>
    <cellStyle name="Normal 5 3 3 3 2 3" xfId="8510" xr:uid="{00000000-0005-0000-0000-000090690000}"/>
    <cellStyle name="Normal 5 3 3 3 2 3 2" xfId="34067" xr:uid="{00000000-0005-0000-0000-000091690000}"/>
    <cellStyle name="Normal 5 3 3 3 2 4" xfId="17265" xr:uid="{00000000-0005-0000-0000-000092690000}"/>
    <cellStyle name="Normal 5 3 3 3 2 4 2" xfId="42818" xr:uid="{00000000-0005-0000-0000-000093690000}"/>
    <cellStyle name="Normal 5 3 3 3 2 5" xfId="28755" xr:uid="{00000000-0005-0000-0000-000094690000}"/>
    <cellStyle name="Normal 5 3 3 3 3" xfId="4616" xr:uid="{00000000-0005-0000-0000-000095690000}"/>
    <cellStyle name="Normal 5 3 3 3 3 2" xfId="13454" xr:uid="{00000000-0005-0000-0000-000096690000}"/>
    <cellStyle name="Normal 5 3 3 3 3 2 2" xfId="23705" xr:uid="{00000000-0005-0000-0000-000097690000}"/>
    <cellStyle name="Normal 5 3 3 3 3 2 2 2" xfId="49258" xr:uid="{00000000-0005-0000-0000-000098690000}"/>
    <cellStyle name="Normal 5 3 3 3 3 2 3" xfId="39009" xr:uid="{00000000-0005-0000-0000-000099690000}"/>
    <cellStyle name="Normal 5 3 3 3 3 3" xfId="9875" xr:uid="{00000000-0005-0000-0000-00009A690000}"/>
    <cellStyle name="Normal 5 3 3 3 3 3 2" xfId="35432" xr:uid="{00000000-0005-0000-0000-00009B690000}"/>
    <cellStyle name="Normal 5 3 3 3 3 4" xfId="18698" xr:uid="{00000000-0005-0000-0000-00009C690000}"/>
    <cellStyle name="Normal 5 3 3 3 3 4 2" xfId="44251" xr:uid="{00000000-0005-0000-0000-00009D690000}"/>
    <cellStyle name="Normal 5 3 3 3 3 5" xfId="30188" xr:uid="{00000000-0005-0000-0000-00009E690000}"/>
    <cellStyle name="Normal 5 3 3 3 4" xfId="2020" xr:uid="{00000000-0005-0000-0000-00009F690000}"/>
    <cellStyle name="Normal 5 3 3 3 4 2" xfId="11385" xr:uid="{00000000-0005-0000-0000-0000A0690000}"/>
    <cellStyle name="Normal 5 3 3 3 4 2 2" xfId="36940" xr:uid="{00000000-0005-0000-0000-0000A1690000}"/>
    <cellStyle name="Normal 5 3 3 3 4 3" xfId="21389" xr:uid="{00000000-0005-0000-0000-0000A2690000}"/>
    <cellStyle name="Normal 5 3 3 3 4 3 2" xfId="46942" xr:uid="{00000000-0005-0000-0000-0000A3690000}"/>
    <cellStyle name="Normal 5 3 3 3 4 4" xfId="27872" xr:uid="{00000000-0005-0000-0000-0000A4690000}"/>
    <cellStyle name="Normal 5 3 3 3 5" xfId="6072" xr:uid="{00000000-0005-0000-0000-0000A5690000}"/>
    <cellStyle name="Normal 5 3 3 3 5 2" xfId="14899" xr:uid="{00000000-0005-0000-0000-0000A6690000}"/>
    <cellStyle name="Normal 5 3 3 3 5 2 2" xfId="40454" xr:uid="{00000000-0005-0000-0000-0000A7690000}"/>
    <cellStyle name="Normal 5 3 3 3 5 3" xfId="25150" xr:uid="{00000000-0005-0000-0000-0000A8690000}"/>
    <cellStyle name="Normal 5 3 3 3 5 3 2" xfId="50703" xr:uid="{00000000-0005-0000-0000-0000A9690000}"/>
    <cellStyle name="Normal 5 3 3 3 5 4" xfId="31633" xr:uid="{00000000-0005-0000-0000-0000AA690000}"/>
    <cellStyle name="Normal 5 3 3 3 6" xfId="7517" xr:uid="{00000000-0005-0000-0000-0000AB690000}"/>
    <cellStyle name="Normal 5 3 3 3 6 2" xfId="19871" xr:uid="{00000000-0005-0000-0000-0000AC690000}"/>
    <cellStyle name="Normal 5 3 3 3 6 2 2" xfId="45424" xr:uid="{00000000-0005-0000-0000-0000AD690000}"/>
    <cellStyle name="Normal 5 3 3 3 6 3" xfId="33074" xr:uid="{00000000-0005-0000-0000-0000AE690000}"/>
    <cellStyle name="Normal 5 3 3 3 7" xfId="16382" xr:uid="{00000000-0005-0000-0000-0000AF690000}"/>
    <cellStyle name="Normal 5 3 3 3 7 2" xfId="41935" xr:uid="{00000000-0005-0000-0000-0000B0690000}"/>
    <cellStyle name="Normal 5 3 3 3 8" xfId="26354" xr:uid="{00000000-0005-0000-0000-0000B1690000}"/>
    <cellStyle name="Normal 5 3 3 4" xfId="802" xr:uid="{00000000-0005-0000-0000-0000B2690000}"/>
    <cellStyle name="Normal 5 3 3 4 2" xfId="3287" xr:uid="{00000000-0005-0000-0000-0000B3690000}"/>
    <cellStyle name="Normal 5 3 3 4 2 2" xfId="12429" xr:uid="{00000000-0005-0000-0000-0000B4690000}"/>
    <cellStyle name="Normal 5 3 3 4 2 2 2" xfId="22648" xr:uid="{00000000-0005-0000-0000-0000B5690000}"/>
    <cellStyle name="Normal 5 3 3 4 2 2 2 2" xfId="48201" xr:uid="{00000000-0005-0000-0000-0000B6690000}"/>
    <cellStyle name="Normal 5 3 3 4 2 2 3" xfId="37984" xr:uid="{00000000-0005-0000-0000-0000B7690000}"/>
    <cellStyle name="Normal 5 3 3 4 2 3" xfId="8851" xr:uid="{00000000-0005-0000-0000-0000B8690000}"/>
    <cellStyle name="Normal 5 3 3 4 2 3 2" xfId="34408" xr:uid="{00000000-0005-0000-0000-0000B9690000}"/>
    <cellStyle name="Normal 5 3 3 4 2 4" xfId="17641" xr:uid="{00000000-0005-0000-0000-0000BA690000}"/>
    <cellStyle name="Normal 5 3 3 4 2 4 2" xfId="43194" xr:uid="{00000000-0005-0000-0000-0000BB690000}"/>
    <cellStyle name="Normal 5 3 3 4 2 5" xfId="29131" xr:uid="{00000000-0005-0000-0000-0000BC690000}"/>
    <cellStyle name="Normal 5 3 3 4 3" xfId="4965" xr:uid="{00000000-0005-0000-0000-0000BD690000}"/>
    <cellStyle name="Normal 5 3 3 4 3 2" xfId="13802" xr:uid="{00000000-0005-0000-0000-0000BE690000}"/>
    <cellStyle name="Normal 5 3 3 4 3 2 2" xfId="24053" xr:uid="{00000000-0005-0000-0000-0000BF690000}"/>
    <cellStyle name="Normal 5 3 3 4 3 2 2 2" xfId="49606" xr:uid="{00000000-0005-0000-0000-0000C0690000}"/>
    <cellStyle name="Normal 5 3 3 4 3 2 3" xfId="39357" xr:uid="{00000000-0005-0000-0000-0000C1690000}"/>
    <cellStyle name="Normal 5 3 3 4 3 3" xfId="10223" xr:uid="{00000000-0005-0000-0000-0000C2690000}"/>
    <cellStyle name="Normal 5 3 3 4 3 3 2" xfId="35780" xr:uid="{00000000-0005-0000-0000-0000C3690000}"/>
    <cellStyle name="Normal 5 3 3 4 3 4" xfId="19046" xr:uid="{00000000-0005-0000-0000-0000C4690000}"/>
    <cellStyle name="Normal 5 3 3 4 3 4 2" xfId="44599" xr:uid="{00000000-0005-0000-0000-0000C5690000}"/>
    <cellStyle name="Normal 5 3 3 4 3 5" xfId="30536" xr:uid="{00000000-0005-0000-0000-0000C6690000}"/>
    <cellStyle name="Normal 5 3 3 4 4" xfId="2396" xr:uid="{00000000-0005-0000-0000-0000C7690000}"/>
    <cellStyle name="Normal 5 3 3 4 4 2" xfId="11761" xr:uid="{00000000-0005-0000-0000-0000C8690000}"/>
    <cellStyle name="Normal 5 3 3 4 4 2 2" xfId="37316" xr:uid="{00000000-0005-0000-0000-0000C9690000}"/>
    <cellStyle name="Normal 5 3 3 4 4 3" xfId="21765" xr:uid="{00000000-0005-0000-0000-0000CA690000}"/>
    <cellStyle name="Normal 5 3 3 4 4 3 2" xfId="47318" xr:uid="{00000000-0005-0000-0000-0000CB690000}"/>
    <cellStyle name="Normal 5 3 3 4 4 4" xfId="28248" xr:uid="{00000000-0005-0000-0000-0000CC690000}"/>
    <cellStyle name="Normal 5 3 3 4 5" xfId="6420" xr:uid="{00000000-0005-0000-0000-0000CD690000}"/>
    <cellStyle name="Normal 5 3 3 4 5 2" xfId="15247" xr:uid="{00000000-0005-0000-0000-0000CE690000}"/>
    <cellStyle name="Normal 5 3 3 4 5 2 2" xfId="40802" xr:uid="{00000000-0005-0000-0000-0000CF690000}"/>
    <cellStyle name="Normal 5 3 3 4 5 3" xfId="25498" xr:uid="{00000000-0005-0000-0000-0000D0690000}"/>
    <cellStyle name="Normal 5 3 3 4 5 3 2" xfId="51051" xr:uid="{00000000-0005-0000-0000-0000D1690000}"/>
    <cellStyle name="Normal 5 3 3 4 5 4" xfId="31981" xr:uid="{00000000-0005-0000-0000-0000D2690000}"/>
    <cellStyle name="Normal 5 3 3 4 6" xfId="7866" xr:uid="{00000000-0005-0000-0000-0000D3690000}"/>
    <cellStyle name="Normal 5 3 3 4 6 2" xfId="20247" xr:uid="{00000000-0005-0000-0000-0000D4690000}"/>
    <cellStyle name="Normal 5 3 3 4 6 2 2" xfId="45800" xr:uid="{00000000-0005-0000-0000-0000D5690000}"/>
    <cellStyle name="Normal 5 3 3 4 6 3" xfId="33423" xr:uid="{00000000-0005-0000-0000-0000D6690000}"/>
    <cellStyle name="Normal 5 3 3 4 7" xfId="16758" xr:uid="{00000000-0005-0000-0000-0000D7690000}"/>
    <cellStyle name="Normal 5 3 3 4 7 2" xfId="42311" xr:uid="{00000000-0005-0000-0000-0000D8690000}"/>
    <cellStyle name="Normal 5 3 3 4 8" xfId="26730" xr:uid="{00000000-0005-0000-0000-0000D9690000}"/>
    <cellStyle name="Normal 5 3 3 5" xfId="1197" xr:uid="{00000000-0005-0000-0000-0000DA690000}"/>
    <cellStyle name="Normal 5 3 3 5 2" xfId="3626" xr:uid="{00000000-0005-0000-0000-0000DB690000}"/>
    <cellStyle name="Normal 5 3 3 5 2 2" xfId="12762" xr:uid="{00000000-0005-0000-0000-0000DC690000}"/>
    <cellStyle name="Normal 5 3 3 5 2 2 2" xfId="22981" xr:uid="{00000000-0005-0000-0000-0000DD690000}"/>
    <cellStyle name="Normal 5 3 3 5 2 2 2 2" xfId="48534" xr:uid="{00000000-0005-0000-0000-0000DE690000}"/>
    <cellStyle name="Normal 5 3 3 5 2 2 3" xfId="38317" xr:uid="{00000000-0005-0000-0000-0000DF690000}"/>
    <cellStyle name="Normal 5 3 3 5 2 3" xfId="9183" xr:uid="{00000000-0005-0000-0000-0000E0690000}"/>
    <cellStyle name="Normal 5 3 3 5 2 3 2" xfId="34740" xr:uid="{00000000-0005-0000-0000-0000E1690000}"/>
    <cellStyle name="Normal 5 3 3 5 2 4" xfId="17974" xr:uid="{00000000-0005-0000-0000-0000E2690000}"/>
    <cellStyle name="Normal 5 3 3 5 2 4 2" xfId="43527" xr:uid="{00000000-0005-0000-0000-0000E3690000}"/>
    <cellStyle name="Normal 5 3 3 5 2 5" xfId="29464" xr:uid="{00000000-0005-0000-0000-0000E4690000}"/>
    <cellStyle name="Normal 5 3 3 5 3" xfId="5289" xr:uid="{00000000-0005-0000-0000-0000E5690000}"/>
    <cellStyle name="Normal 5 3 3 5 3 2" xfId="14126" xr:uid="{00000000-0005-0000-0000-0000E6690000}"/>
    <cellStyle name="Normal 5 3 3 5 3 2 2" xfId="24377" xr:uid="{00000000-0005-0000-0000-0000E7690000}"/>
    <cellStyle name="Normal 5 3 3 5 3 2 2 2" xfId="49930" xr:uid="{00000000-0005-0000-0000-0000E8690000}"/>
    <cellStyle name="Normal 5 3 3 5 3 2 3" xfId="39681" xr:uid="{00000000-0005-0000-0000-0000E9690000}"/>
    <cellStyle name="Normal 5 3 3 5 3 3" xfId="10547" xr:uid="{00000000-0005-0000-0000-0000EA690000}"/>
    <cellStyle name="Normal 5 3 3 5 3 3 2" xfId="36104" xr:uid="{00000000-0005-0000-0000-0000EB690000}"/>
    <cellStyle name="Normal 5 3 3 5 3 4" xfId="19370" xr:uid="{00000000-0005-0000-0000-0000EC690000}"/>
    <cellStyle name="Normal 5 3 3 5 3 4 2" xfId="44923" xr:uid="{00000000-0005-0000-0000-0000ED690000}"/>
    <cellStyle name="Normal 5 3 3 5 3 5" xfId="30860" xr:uid="{00000000-0005-0000-0000-0000EE690000}"/>
    <cellStyle name="Normal 5 3 3 5 4" xfId="1800" xr:uid="{00000000-0005-0000-0000-0000EF690000}"/>
    <cellStyle name="Normal 5 3 3 5 4 2" xfId="11168" xr:uid="{00000000-0005-0000-0000-0000F0690000}"/>
    <cellStyle name="Normal 5 3 3 5 4 2 2" xfId="36723" xr:uid="{00000000-0005-0000-0000-0000F1690000}"/>
    <cellStyle name="Normal 5 3 3 5 4 3" xfId="21172" xr:uid="{00000000-0005-0000-0000-0000F2690000}"/>
    <cellStyle name="Normal 5 3 3 5 4 3 2" xfId="46725" xr:uid="{00000000-0005-0000-0000-0000F3690000}"/>
    <cellStyle name="Normal 5 3 3 5 4 4" xfId="27655" xr:uid="{00000000-0005-0000-0000-0000F4690000}"/>
    <cellStyle name="Normal 5 3 3 5 5" xfId="6744" xr:uid="{00000000-0005-0000-0000-0000F5690000}"/>
    <cellStyle name="Normal 5 3 3 5 5 2" xfId="15571" xr:uid="{00000000-0005-0000-0000-0000F6690000}"/>
    <cellStyle name="Normal 5 3 3 5 5 2 2" xfId="41126" xr:uid="{00000000-0005-0000-0000-0000F7690000}"/>
    <cellStyle name="Normal 5 3 3 5 5 3" xfId="25822" xr:uid="{00000000-0005-0000-0000-0000F8690000}"/>
    <cellStyle name="Normal 5 3 3 5 5 3 2" xfId="51375" xr:uid="{00000000-0005-0000-0000-0000F9690000}"/>
    <cellStyle name="Normal 5 3 3 5 5 4" xfId="32305" xr:uid="{00000000-0005-0000-0000-0000FA690000}"/>
    <cellStyle name="Normal 5 3 3 5 6" xfId="8190" xr:uid="{00000000-0005-0000-0000-0000FB690000}"/>
    <cellStyle name="Normal 5 3 3 5 6 2" xfId="20580" xr:uid="{00000000-0005-0000-0000-0000FC690000}"/>
    <cellStyle name="Normal 5 3 3 5 6 2 2" xfId="46133" xr:uid="{00000000-0005-0000-0000-0000FD690000}"/>
    <cellStyle name="Normal 5 3 3 5 6 3" xfId="33747" xr:uid="{00000000-0005-0000-0000-0000FE690000}"/>
    <cellStyle name="Normal 5 3 3 5 7" xfId="16165" xr:uid="{00000000-0005-0000-0000-0000FF690000}"/>
    <cellStyle name="Normal 5 3 3 5 7 2" xfId="41718" xr:uid="{00000000-0005-0000-0000-0000006A0000}"/>
    <cellStyle name="Normal 5 3 3 5 8" xfId="27063" xr:uid="{00000000-0005-0000-0000-0000016A0000}"/>
    <cellStyle name="Normal 5 3 3 6" xfId="2694" xr:uid="{00000000-0005-0000-0000-0000026A0000}"/>
    <cellStyle name="Normal 5 3 3 6 2" xfId="12011" xr:uid="{00000000-0005-0000-0000-0000036A0000}"/>
    <cellStyle name="Normal 5 3 3 6 2 2" xfId="22055" xr:uid="{00000000-0005-0000-0000-0000046A0000}"/>
    <cellStyle name="Normal 5 3 3 6 2 2 2" xfId="47608" xr:uid="{00000000-0005-0000-0000-0000056A0000}"/>
    <cellStyle name="Normal 5 3 3 6 2 3" xfId="37566" xr:uid="{00000000-0005-0000-0000-0000066A0000}"/>
    <cellStyle name="Normal 5 3 3 6 3" xfId="8553" xr:uid="{00000000-0005-0000-0000-0000076A0000}"/>
    <cellStyle name="Normal 5 3 3 6 3 2" xfId="34110" xr:uid="{00000000-0005-0000-0000-0000086A0000}"/>
    <cellStyle name="Normal 5 3 3 6 4" xfId="17048" xr:uid="{00000000-0005-0000-0000-0000096A0000}"/>
    <cellStyle name="Normal 5 3 3 6 4 2" xfId="42601" xr:uid="{00000000-0005-0000-0000-00000A6A0000}"/>
    <cellStyle name="Normal 5 3 3 6 5" xfId="28538" xr:uid="{00000000-0005-0000-0000-00000B6A0000}"/>
    <cellStyle name="Normal 5 3 3 7" xfId="4245" xr:uid="{00000000-0005-0000-0000-00000C6A0000}"/>
    <cellStyle name="Normal 5 3 3 7 2" xfId="13083" xr:uid="{00000000-0005-0000-0000-00000D6A0000}"/>
    <cellStyle name="Normal 5 3 3 7 2 2" xfId="23334" xr:uid="{00000000-0005-0000-0000-00000E6A0000}"/>
    <cellStyle name="Normal 5 3 3 7 2 2 2" xfId="48887" xr:uid="{00000000-0005-0000-0000-00000F6A0000}"/>
    <cellStyle name="Normal 5 3 3 7 2 3" xfId="38638" xr:uid="{00000000-0005-0000-0000-0000106A0000}"/>
    <cellStyle name="Normal 5 3 3 7 3" xfId="9504" xr:uid="{00000000-0005-0000-0000-0000116A0000}"/>
    <cellStyle name="Normal 5 3 3 7 3 2" xfId="35061" xr:uid="{00000000-0005-0000-0000-0000126A0000}"/>
    <cellStyle name="Normal 5 3 3 7 4" xfId="18327" xr:uid="{00000000-0005-0000-0000-0000136A0000}"/>
    <cellStyle name="Normal 5 3 3 7 4 2" xfId="43880" xr:uid="{00000000-0005-0000-0000-0000146A0000}"/>
    <cellStyle name="Normal 5 3 3 7 5" xfId="29817" xr:uid="{00000000-0005-0000-0000-0000156A0000}"/>
    <cellStyle name="Normal 5 3 3 8" xfId="1517" xr:uid="{00000000-0005-0000-0000-0000166A0000}"/>
    <cellStyle name="Normal 5 3 3 8 2" xfId="10894" xr:uid="{00000000-0005-0000-0000-0000176A0000}"/>
    <cellStyle name="Normal 5 3 3 8 2 2" xfId="36449" xr:uid="{00000000-0005-0000-0000-0000186A0000}"/>
    <cellStyle name="Normal 5 3 3 8 3" xfId="20898" xr:uid="{00000000-0005-0000-0000-0000196A0000}"/>
    <cellStyle name="Normal 5 3 3 8 3 2" xfId="46451" xr:uid="{00000000-0005-0000-0000-00001A6A0000}"/>
    <cellStyle name="Normal 5 3 3 8 4" xfId="27381" xr:uid="{00000000-0005-0000-0000-00001B6A0000}"/>
    <cellStyle name="Normal 5 3 3 9" xfId="5701" xr:uid="{00000000-0005-0000-0000-00001C6A0000}"/>
    <cellStyle name="Normal 5 3 3 9 2" xfId="14528" xr:uid="{00000000-0005-0000-0000-00001D6A0000}"/>
    <cellStyle name="Normal 5 3 3 9 2 2" xfId="40083" xr:uid="{00000000-0005-0000-0000-00001E6A0000}"/>
    <cellStyle name="Normal 5 3 3 9 3" xfId="24779" xr:uid="{00000000-0005-0000-0000-00001F6A0000}"/>
    <cellStyle name="Normal 5 3 3 9 3 2" xfId="50332" xr:uid="{00000000-0005-0000-0000-0000206A0000}"/>
    <cellStyle name="Normal 5 3 3 9 4" xfId="31262" xr:uid="{00000000-0005-0000-0000-0000216A0000}"/>
    <cellStyle name="Normal 5 3 3_Degree data" xfId="3843" xr:uid="{00000000-0005-0000-0000-0000226A0000}"/>
    <cellStyle name="Normal 5 3 4" xfId="229" xr:uid="{00000000-0005-0000-0000-0000236A0000}"/>
    <cellStyle name="Normal 5 3 4 10" xfId="7067" xr:uid="{00000000-0005-0000-0000-0000246A0000}"/>
    <cellStyle name="Normal 5 3 4 10 2" xfId="19681" xr:uid="{00000000-0005-0000-0000-0000256A0000}"/>
    <cellStyle name="Normal 5 3 4 10 2 2" xfId="45234" xr:uid="{00000000-0005-0000-0000-0000266A0000}"/>
    <cellStyle name="Normal 5 3 4 10 3" xfId="32624" xr:uid="{00000000-0005-0000-0000-0000276A0000}"/>
    <cellStyle name="Normal 5 3 4 11" xfId="15813" xr:uid="{00000000-0005-0000-0000-0000286A0000}"/>
    <cellStyle name="Normal 5 3 4 11 2" xfId="41366" xr:uid="{00000000-0005-0000-0000-0000296A0000}"/>
    <cellStyle name="Normal 5 3 4 12" xfId="26164" xr:uid="{00000000-0005-0000-0000-00002A6A0000}"/>
    <cellStyle name="Normal 5 3 4 2" xfId="552" xr:uid="{00000000-0005-0000-0000-00002B6A0000}"/>
    <cellStyle name="Normal 5 3 4 2 10" xfId="26481" xr:uid="{00000000-0005-0000-0000-00002C6A0000}"/>
    <cellStyle name="Normal 5 3 4 2 2" xfId="805" xr:uid="{00000000-0005-0000-0000-00002D6A0000}"/>
    <cellStyle name="Normal 5 3 4 2 2 2" xfId="3290" xr:uid="{00000000-0005-0000-0000-00002E6A0000}"/>
    <cellStyle name="Normal 5 3 4 2 2 2 2" xfId="12432" xr:uid="{00000000-0005-0000-0000-00002F6A0000}"/>
    <cellStyle name="Normal 5 3 4 2 2 2 2 2" xfId="22651" xr:uid="{00000000-0005-0000-0000-0000306A0000}"/>
    <cellStyle name="Normal 5 3 4 2 2 2 2 2 2" xfId="48204" xr:uid="{00000000-0005-0000-0000-0000316A0000}"/>
    <cellStyle name="Normal 5 3 4 2 2 2 2 3" xfId="37987" xr:uid="{00000000-0005-0000-0000-0000326A0000}"/>
    <cellStyle name="Normal 5 3 4 2 2 2 3" xfId="8854" xr:uid="{00000000-0005-0000-0000-0000336A0000}"/>
    <cellStyle name="Normal 5 3 4 2 2 2 3 2" xfId="34411" xr:uid="{00000000-0005-0000-0000-0000346A0000}"/>
    <cellStyle name="Normal 5 3 4 2 2 2 4" xfId="17644" xr:uid="{00000000-0005-0000-0000-0000356A0000}"/>
    <cellStyle name="Normal 5 3 4 2 2 2 4 2" xfId="43197" xr:uid="{00000000-0005-0000-0000-0000366A0000}"/>
    <cellStyle name="Normal 5 3 4 2 2 2 5" xfId="29134" xr:uid="{00000000-0005-0000-0000-0000376A0000}"/>
    <cellStyle name="Normal 5 3 4 2 2 3" xfId="4619" xr:uid="{00000000-0005-0000-0000-0000386A0000}"/>
    <cellStyle name="Normal 5 3 4 2 2 3 2" xfId="13457" xr:uid="{00000000-0005-0000-0000-0000396A0000}"/>
    <cellStyle name="Normal 5 3 4 2 2 3 2 2" xfId="23708" xr:uid="{00000000-0005-0000-0000-00003A6A0000}"/>
    <cellStyle name="Normal 5 3 4 2 2 3 2 2 2" xfId="49261" xr:uid="{00000000-0005-0000-0000-00003B6A0000}"/>
    <cellStyle name="Normal 5 3 4 2 2 3 2 3" xfId="39012" xr:uid="{00000000-0005-0000-0000-00003C6A0000}"/>
    <cellStyle name="Normal 5 3 4 2 2 3 3" xfId="9878" xr:uid="{00000000-0005-0000-0000-00003D6A0000}"/>
    <cellStyle name="Normal 5 3 4 2 2 3 3 2" xfId="35435" xr:uid="{00000000-0005-0000-0000-00003E6A0000}"/>
    <cellStyle name="Normal 5 3 4 2 2 3 4" xfId="18701" xr:uid="{00000000-0005-0000-0000-00003F6A0000}"/>
    <cellStyle name="Normal 5 3 4 2 2 3 4 2" xfId="44254" xr:uid="{00000000-0005-0000-0000-0000406A0000}"/>
    <cellStyle name="Normal 5 3 4 2 2 3 5" xfId="30191" xr:uid="{00000000-0005-0000-0000-0000416A0000}"/>
    <cellStyle name="Normal 5 3 4 2 2 4" xfId="2399" xr:uid="{00000000-0005-0000-0000-0000426A0000}"/>
    <cellStyle name="Normal 5 3 4 2 2 4 2" xfId="11764" xr:uid="{00000000-0005-0000-0000-0000436A0000}"/>
    <cellStyle name="Normal 5 3 4 2 2 4 2 2" xfId="37319" xr:uid="{00000000-0005-0000-0000-0000446A0000}"/>
    <cellStyle name="Normal 5 3 4 2 2 4 3" xfId="21768" xr:uid="{00000000-0005-0000-0000-0000456A0000}"/>
    <cellStyle name="Normal 5 3 4 2 2 4 3 2" xfId="47321" xr:uid="{00000000-0005-0000-0000-0000466A0000}"/>
    <cellStyle name="Normal 5 3 4 2 2 4 4" xfId="28251" xr:uid="{00000000-0005-0000-0000-0000476A0000}"/>
    <cellStyle name="Normal 5 3 4 2 2 5" xfId="6075" xr:uid="{00000000-0005-0000-0000-0000486A0000}"/>
    <cellStyle name="Normal 5 3 4 2 2 5 2" xfId="14902" xr:uid="{00000000-0005-0000-0000-0000496A0000}"/>
    <cellStyle name="Normal 5 3 4 2 2 5 2 2" xfId="40457" xr:uid="{00000000-0005-0000-0000-00004A6A0000}"/>
    <cellStyle name="Normal 5 3 4 2 2 5 3" xfId="25153" xr:uid="{00000000-0005-0000-0000-00004B6A0000}"/>
    <cellStyle name="Normal 5 3 4 2 2 5 3 2" xfId="50706" xr:uid="{00000000-0005-0000-0000-00004C6A0000}"/>
    <cellStyle name="Normal 5 3 4 2 2 5 4" xfId="31636" xr:uid="{00000000-0005-0000-0000-00004D6A0000}"/>
    <cellStyle name="Normal 5 3 4 2 2 6" xfId="7520" xr:uid="{00000000-0005-0000-0000-00004E6A0000}"/>
    <cellStyle name="Normal 5 3 4 2 2 6 2" xfId="20250" xr:uid="{00000000-0005-0000-0000-00004F6A0000}"/>
    <cellStyle name="Normal 5 3 4 2 2 6 2 2" xfId="45803" xr:uid="{00000000-0005-0000-0000-0000506A0000}"/>
    <cellStyle name="Normal 5 3 4 2 2 6 3" xfId="33077" xr:uid="{00000000-0005-0000-0000-0000516A0000}"/>
    <cellStyle name="Normal 5 3 4 2 2 7" xfId="16761" xr:uid="{00000000-0005-0000-0000-0000526A0000}"/>
    <cellStyle name="Normal 5 3 4 2 2 7 2" xfId="42314" xr:uid="{00000000-0005-0000-0000-0000536A0000}"/>
    <cellStyle name="Normal 5 3 4 2 2 8" xfId="26733" xr:uid="{00000000-0005-0000-0000-0000546A0000}"/>
    <cellStyle name="Normal 5 3 4 2 3" xfId="1324" xr:uid="{00000000-0005-0000-0000-0000556A0000}"/>
    <cellStyle name="Normal 5 3 4 2 3 2" xfId="3753" xr:uid="{00000000-0005-0000-0000-0000566A0000}"/>
    <cellStyle name="Normal 5 3 4 2 3 2 2" xfId="12889" xr:uid="{00000000-0005-0000-0000-0000576A0000}"/>
    <cellStyle name="Normal 5 3 4 2 3 2 2 2" xfId="23108" xr:uid="{00000000-0005-0000-0000-0000586A0000}"/>
    <cellStyle name="Normal 5 3 4 2 3 2 2 2 2" xfId="48661" xr:uid="{00000000-0005-0000-0000-0000596A0000}"/>
    <cellStyle name="Normal 5 3 4 2 3 2 2 3" xfId="38444" xr:uid="{00000000-0005-0000-0000-00005A6A0000}"/>
    <cellStyle name="Normal 5 3 4 2 3 2 3" xfId="9310" xr:uid="{00000000-0005-0000-0000-00005B6A0000}"/>
    <cellStyle name="Normal 5 3 4 2 3 2 3 2" xfId="34867" xr:uid="{00000000-0005-0000-0000-00005C6A0000}"/>
    <cellStyle name="Normal 5 3 4 2 3 2 4" xfId="18101" xr:uid="{00000000-0005-0000-0000-00005D6A0000}"/>
    <cellStyle name="Normal 5 3 4 2 3 2 4 2" xfId="43654" xr:uid="{00000000-0005-0000-0000-00005E6A0000}"/>
    <cellStyle name="Normal 5 3 4 2 3 2 5" xfId="29591" xr:uid="{00000000-0005-0000-0000-00005F6A0000}"/>
    <cellStyle name="Normal 5 3 4 2 3 3" xfId="4968" xr:uid="{00000000-0005-0000-0000-0000606A0000}"/>
    <cellStyle name="Normal 5 3 4 2 3 3 2" xfId="13805" xr:uid="{00000000-0005-0000-0000-0000616A0000}"/>
    <cellStyle name="Normal 5 3 4 2 3 3 2 2" xfId="24056" xr:uid="{00000000-0005-0000-0000-0000626A0000}"/>
    <cellStyle name="Normal 5 3 4 2 3 3 2 2 2" xfId="49609" xr:uid="{00000000-0005-0000-0000-0000636A0000}"/>
    <cellStyle name="Normal 5 3 4 2 3 3 2 3" xfId="39360" xr:uid="{00000000-0005-0000-0000-0000646A0000}"/>
    <cellStyle name="Normal 5 3 4 2 3 3 3" xfId="10226" xr:uid="{00000000-0005-0000-0000-0000656A0000}"/>
    <cellStyle name="Normal 5 3 4 2 3 3 3 2" xfId="35783" xr:uid="{00000000-0005-0000-0000-0000666A0000}"/>
    <cellStyle name="Normal 5 3 4 2 3 3 4" xfId="19049" xr:uid="{00000000-0005-0000-0000-0000676A0000}"/>
    <cellStyle name="Normal 5 3 4 2 3 3 4 2" xfId="44602" xr:uid="{00000000-0005-0000-0000-0000686A0000}"/>
    <cellStyle name="Normal 5 3 4 2 3 3 5" xfId="30539" xr:uid="{00000000-0005-0000-0000-0000696A0000}"/>
    <cellStyle name="Normal 5 3 4 2 3 4" xfId="2147" xr:uid="{00000000-0005-0000-0000-00006A6A0000}"/>
    <cellStyle name="Normal 5 3 4 2 3 4 2" xfId="11512" xr:uid="{00000000-0005-0000-0000-00006B6A0000}"/>
    <cellStyle name="Normal 5 3 4 2 3 4 2 2" xfId="37067" xr:uid="{00000000-0005-0000-0000-00006C6A0000}"/>
    <cellStyle name="Normal 5 3 4 2 3 4 3" xfId="21516" xr:uid="{00000000-0005-0000-0000-00006D6A0000}"/>
    <cellStyle name="Normal 5 3 4 2 3 4 3 2" xfId="47069" xr:uid="{00000000-0005-0000-0000-00006E6A0000}"/>
    <cellStyle name="Normal 5 3 4 2 3 4 4" xfId="27999" xr:uid="{00000000-0005-0000-0000-00006F6A0000}"/>
    <cellStyle name="Normal 5 3 4 2 3 5" xfId="6423" xr:uid="{00000000-0005-0000-0000-0000706A0000}"/>
    <cellStyle name="Normal 5 3 4 2 3 5 2" xfId="15250" xr:uid="{00000000-0005-0000-0000-0000716A0000}"/>
    <cellStyle name="Normal 5 3 4 2 3 5 2 2" xfId="40805" xr:uid="{00000000-0005-0000-0000-0000726A0000}"/>
    <cellStyle name="Normal 5 3 4 2 3 5 3" xfId="25501" xr:uid="{00000000-0005-0000-0000-0000736A0000}"/>
    <cellStyle name="Normal 5 3 4 2 3 5 3 2" xfId="51054" xr:uid="{00000000-0005-0000-0000-0000746A0000}"/>
    <cellStyle name="Normal 5 3 4 2 3 5 4" xfId="31984" xr:uid="{00000000-0005-0000-0000-0000756A0000}"/>
    <cellStyle name="Normal 5 3 4 2 3 6" xfId="7869" xr:uid="{00000000-0005-0000-0000-0000766A0000}"/>
    <cellStyle name="Normal 5 3 4 2 3 6 2" xfId="20707" xr:uid="{00000000-0005-0000-0000-0000776A0000}"/>
    <cellStyle name="Normal 5 3 4 2 3 6 2 2" xfId="46260" xr:uid="{00000000-0005-0000-0000-0000786A0000}"/>
    <cellStyle name="Normal 5 3 4 2 3 6 3" xfId="33426" xr:uid="{00000000-0005-0000-0000-0000796A0000}"/>
    <cellStyle name="Normal 5 3 4 2 3 7" xfId="16509" xr:uid="{00000000-0005-0000-0000-00007A6A0000}"/>
    <cellStyle name="Normal 5 3 4 2 3 7 2" xfId="42062" xr:uid="{00000000-0005-0000-0000-00007B6A0000}"/>
    <cellStyle name="Normal 5 3 4 2 3 8" xfId="27190" xr:uid="{00000000-0005-0000-0000-00007C6A0000}"/>
    <cellStyle name="Normal 5 3 4 2 4" xfId="3038" xr:uid="{00000000-0005-0000-0000-00007D6A0000}"/>
    <cellStyle name="Normal 5 3 4 2 4 2" xfId="5416" xr:uid="{00000000-0005-0000-0000-00007E6A0000}"/>
    <cellStyle name="Normal 5 3 4 2 4 2 2" xfId="14253" xr:uid="{00000000-0005-0000-0000-00007F6A0000}"/>
    <cellStyle name="Normal 5 3 4 2 4 2 2 2" xfId="24504" xr:uid="{00000000-0005-0000-0000-0000806A0000}"/>
    <cellStyle name="Normal 5 3 4 2 4 2 2 2 2" xfId="50057" xr:uid="{00000000-0005-0000-0000-0000816A0000}"/>
    <cellStyle name="Normal 5 3 4 2 4 2 2 3" xfId="39808" xr:uid="{00000000-0005-0000-0000-0000826A0000}"/>
    <cellStyle name="Normal 5 3 4 2 4 2 3" xfId="10674" xr:uid="{00000000-0005-0000-0000-0000836A0000}"/>
    <cellStyle name="Normal 5 3 4 2 4 2 3 2" xfId="36231" xr:uid="{00000000-0005-0000-0000-0000846A0000}"/>
    <cellStyle name="Normal 5 3 4 2 4 2 4" xfId="19497" xr:uid="{00000000-0005-0000-0000-0000856A0000}"/>
    <cellStyle name="Normal 5 3 4 2 4 2 4 2" xfId="45050" xr:uid="{00000000-0005-0000-0000-0000866A0000}"/>
    <cellStyle name="Normal 5 3 4 2 4 2 5" xfId="30987" xr:uid="{00000000-0005-0000-0000-0000876A0000}"/>
    <cellStyle name="Normal 5 3 4 2 4 3" xfId="6871" xr:uid="{00000000-0005-0000-0000-0000886A0000}"/>
    <cellStyle name="Normal 5 3 4 2 4 3 2" xfId="15698" xr:uid="{00000000-0005-0000-0000-0000896A0000}"/>
    <cellStyle name="Normal 5 3 4 2 4 3 2 2" xfId="41253" xr:uid="{00000000-0005-0000-0000-00008A6A0000}"/>
    <cellStyle name="Normal 5 3 4 2 4 3 3" xfId="25949" xr:uid="{00000000-0005-0000-0000-00008B6A0000}"/>
    <cellStyle name="Normal 5 3 4 2 4 3 3 2" xfId="51502" xr:uid="{00000000-0005-0000-0000-00008C6A0000}"/>
    <cellStyle name="Normal 5 3 4 2 4 3 4" xfId="32432" xr:uid="{00000000-0005-0000-0000-00008D6A0000}"/>
    <cellStyle name="Normal 5 3 4 2 4 4" xfId="8317" xr:uid="{00000000-0005-0000-0000-00008E6A0000}"/>
    <cellStyle name="Normal 5 3 4 2 4 4 2" xfId="22399" xr:uid="{00000000-0005-0000-0000-00008F6A0000}"/>
    <cellStyle name="Normal 5 3 4 2 4 4 2 2" xfId="47952" xr:uid="{00000000-0005-0000-0000-0000906A0000}"/>
    <cellStyle name="Normal 5 3 4 2 4 4 3" xfId="33874" xr:uid="{00000000-0005-0000-0000-0000916A0000}"/>
    <cellStyle name="Normal 5 3 4 2 4 5" xfId="17392" xr:uid="{00000000-0005-0000-0000-0000926A0000}"/>
    <cellStyle name="Normal 5 3 4 2 4 5 2" xfId="42945" xr:uid="{00000000-0005-0000-0000-0000936A0000}"/>
    <cellStyle name="Normal 5 3 4 2 4 6" xfId="28882" xr:uid="{00000000-0005-0000-0000-0000946A0000}"/>
    <cellStyle name="Normal 5 3 4 2 5" xfId="4372" xr:uid="{00000000-0005-0000-0000-0000956A0000}"/>
    <cellStyle name="Normal 5 3 4 2 5 2" xfId="13210" xr:uid="{00000000-0005-0000-0000-0000966A0000}"/>
    <cellStyle name="Normal 5 3 4 2 5 2 2" xfId="23461" xr:uid="{00000000-0005-0000-0000-0000976A0000}"/>
    <cellStyle name="Normal 5 3 4 2 5 2 2 2" xfId="49014" xr:uid="{00000000-0005-0000-0000-0000986A0000}"/>
    <cellStyle name="Normal 5 3 4 2 5 2 3" xfId="38765" xr:uid="{00000000-0005-0000-0000-0000996A0000}"/>
    <cellStyle name="Normal 5 3 4 2 5 3" xfId="9631" xr:uid="{00000000-0005-0000-0000-00009A6A0000}"/>
    <cellStyle name="Normal 5 3 4 2 5 3 2" xfId="35188" xr:uid="{00000000-0005-0000-0000-00009B6A0000}"/>
    <cellStyle name="Normal 5 3 4 2 5 4" xfId="18454" xr:uid="{00000000-0005-0000-0000-00009C6A0000}"/>
    <cellStyle name="Normal 5 3 4 2 5 4 2" xfId="44007" xr:uid="{00000000-0005-0000-0000-00009D6A0000}"/>
    <cellStyle name="Normal 5 3 4 2 5 5" xfId="29944" xr:uid="{00000000-0005-0000-0000-00009E6A0000}"/>
    <cellStyle name="Normal 5 3 4 2 6" xfId="1644" xr:uid="{00000000-0005-0000-0000-00009F6A0000}"/>
    <cellStyle name="Normal 5 3 4 2 6 2" xfId="11021" xr:uid="{00000000-0005-0000-0000-0000A06A0000}"/>
    <cellStyle name="Normal 5 3 4 2 6 2 2" xfId="36576" xr:uid="{00000000-0005-0000-0000-0000A16A0000}"/>
    <cellStyle name="Normal 5 3 4 2 6 3" xfId="21025" xr:uid="{00000000-0005-0000-0000-0000A26A0000}"/>
    <cellStyle name="Normal 5 3 4 2 6 3 2" xfId="46578" xr:uid="{00000000-0005-0000-0000-0000A36A0000}"/>
    <cellStyle name="Normal 5 3 4 2 6 4" xfId="27508" xr:uid="{00000000-0005-0000-0000-0000A46A0000}"/>
    <cellStyle name="Normal 5 3 4 2 7" xfId="5828" xr:uid="{00000000-0005-0000-0000-0000A56A0000}"/>
    <cellStyle name="Normal 5 3 4 2 7 2" xfId="14655" xr:uid="{00000000-0005-0000-0000-0000A66A0000}"/>
    <cellStyle name="Normal 5 3 4 2 7 2 2" xfId="40210" xr:uid="{00000000-0005-0000-0000-0000A76A0000}"/>
    <cellStyle name="Normal 5 3 4 2 7 3" xfId="24906" xr:uid="{00000000-0005-0000-0000-0000A86A0000}"/>
    <cellStyle name="Normal 5 3 4 2 7 3 2" xfId="50459" xr:uid="{00000000-0005-0000-0000-0000A96A0000}"/>
    <cellStyle name="Normal 5 3 4 2 7 4" xfId="31389" xr:uid="{00000000-0005-0000-0000-0000AA6A0000}"/>
    <cellStyle name="Normal 5 3 4 2 8" xfId="7272" xr:uid="{00000000-0005-0000-0000-0000AB6A0000}"/>
    <cellStyle name="Normal 5 3 4 2 8 2" xfId="19998" xr:uid="{00000000-0005-0000-0000-0000AC6A0000}"/>
    <cellStyle name="Normal 5 3 4 2 8 2 2" xfId="45551" xr:uid="{00000000-0005-0000-0000-0000AD6A0000}"/>
    <cellStyle name="Normal 5 3 4 2 8 3" xfId="32829" xr:uid="{00000000-0005-0000-0000-0000AE6A0000}"/>
    <cellStyle name="Normal 5 3 4 2 9" xfId="16018" xr:uid="{00000000-0005-0000-0000-0000AF6A0000}"/>
    <cellStyle name="Normal 5 3 4 2 9 2" xfId="41571" xr:uid="{00000000-0005-0000-0000-0000B06A0000}"/>
    <cellStyle name="Normal 5 3 4 2_Degree data" xfId="3912" xr:uid="{00000000-0005-0000-0000-0000B16A0000}"/>
    <cellStyle name="Normal 5 3 4 3" xfId="347" xr:uid="{00000000-0005-0000-0000-0000B26A0000}"/>
    <cellStyle name="Normal 5 3 4 3 2" xfId="2833" xr:uid="{00000000-0005-0000-0000-0000B36A0000}"/>
    <cellStyle name="Normal 5 3 4 3 2 2" xfId="12121" xr:uid="{00000000-0005-0000-0000-0000B46A0000}"/>
    <cellStyle name="Normal 5 3 4 3 2 2 2" xfId="22194" xr:uid="{00000000-0005-0000-0000-0000B56A0000}"/>
    <cellStyle name="Normal 5 3 4 3 2 2 2 2" xfId="47747" xr:uid="{00000000-0005-0000-0000-0000B66A0000}"/>
    <cellStyle name="Normal 5 3 4 3 2 2 3" xfId="37676" xr:uid="{00000000-0005-0000-0000-0000B76A0000}"/>
    <cellStyle name="Normal 5 3 4 3 2 3" xfId="8526" xr:uid="{00000000-0005-0000-0000-0000B86A0000}"/>
    <cellStyle name="Normal 5 3 4 3 2 3 2" xfId="34083" xr:uid="{00000000-0005-0000-0000-0000B96A0000}"/>
    <cellStyle name="Normal 5 3 4 3 2 4" xfId="17187" xr:uid="{00000000-0005-0000-0000-0000BA6A0000}"/>
    <cellStyle name="Normal 5 3 4 3 2 4 2" xfId="42740" xr:uid="{00000000-0005-0000-0000-0000BB6A0000}"/>
    <cellStyle name="Normal 5 3 4 3 2 5" xfId="28677" xr:uid="{00000000-0005-0000-0000-0000BC6A0000}"/>
    <cellStyle name="Normal 5 3 4 3 3" xfId="4618" xr:uid="{00000000-0005-0000-0000-0000BD6A0000}"/>
    <cellStyle name="Normal 5 3 4 3 3 2" xfId="13456" xr:uid="{00000000-0005-0000-0000-0000BE6A0000}"/>
    <cellStyle name="Normal 5 3 4 3 3 2 2" xfId="23707" xr:uid="{00000000-0005-0000-0000-0000BF6A0000}"/>
    <cellStyle name="Normal 5 3 4 3 3 2 2 2" xfId="49260" xr:uid="{00000000-0005-0000-0000-0000C06A0000}"/>
    <cellStyle name="Normal 5 3 4 3 3 2 3" xfId="39011" xr:uid="{00000000-0005-0000-0000-0000C16A0000}"/>
    <cellStyle name="Normal 5 3 4 3 3 3" xfId="9877" xr:uid="{00000000-0005-0000-0000-0000C26A0000}"/>
    <cellStyle name="Normal 5 3 4 3 3 3 2" xfId="35434" xr:uid="{00000000-0005-0000-0000-0000C36A0000}"/>
    <cellStyle name="Normal 5 3 4 3 3 4" xfId="18700" xr:uid="{00000000-0005-0000-0000-0000C46A0000}"/>
    <cellStyle name="Normal 5 3 4 3 3 4 2" xfId="44253" xr:uid="{00000000-0005-0000-0000-0000C56A0000}"/>
    <cellStyle name="Normal 5 3 4 3 3 5" xfId="30190" xr:uid="{00000000-0005-0000-0000-0000C66A0000}"/>
    <cellStyle name="Normal 5 3 4 3 4" xfId="1942" xr:uid="{00000000-0005-0000-0000-0000C76A0000}"/>
    <cellStyle name="Normal 5 3 4 3 4 2" xfId="11307" xr:uid="{00000000-0005-0000-0000-0000C86A0000}"/>
    <cellStyle name="Normal 5 3 4 3 4 2 2" xfId="36862" xr:uid="{00000000-0005-0000-0000-0000C96A0000}"/>
    <cellStyle name="Normal 5 3 4 3 4 3" xfId="21311" xr:uid="{00000000-0005-0000-0000-0000CA6A0000}"/>
    <cellStyle name="Normal 5 3 4 3 4 3 2" xfId="46864" xr:uid="{00000000-0005-0000-0000-0000CB6A0000}"/>
    <cellStyle name="Normal 5 3 4 3 4 4" xfId="27794" xr:uid="{00000000-0005-0000-0000-0000CC6A0000}"/>
    <cellStyle name="Normal 5 3 4 3 5" xfId="6074" xr:uid="{00000000-0005-0000-0000-0000CD6A0000}"/>
    <cellStyle name="Normal 5 3 4 3 5 2" xfId="14901" xr:uid="{00000000-0005-0000-0000-0000CE6A0000}"/>
    <cellStyle name="Normal 5 3 4 3 5 2 2" xfId="40456" xr:uid="{00000000-0005-0000-0000-0000CF6A0000}"/>
    <cellStyle name="Normal 5 3 4 3 5 3" xfId="25152" xr:uid="{00000000-0005-0000-0000-0000D06A0000}"/>
    <cellStyle name="Normal 5 3 4 3 5 3 2" xfId="50705" xr:uid="{00000000-0005-0000-0000-0000D16A0000}"/>
    <cellStyle name="Normal 5 3 4 3 5 4" xfId="31635" xr:uid="{00000000-0005-0000-0000-0000D26A0000}"/>
    <cellStyle name="Normal 5 3 4 3 6" xfId="7519" xr:uid="{00000000-0005-0000-0000-0000D36A0000}"/>
    <cellStyle name="Normal 5 3 4 3 6 2" xfId="19793" xr:uid="{00000000-0005-0000-0000-0000D46A0000}"/>
    <cellStyle name="Normal 5 3 4 3 6 2 2" xfId="45346" xr:uid="{00000000-0005-0000-0000-0000D56A0000}"/>
    <cellStyle name="Normal 5 3 4 3 6 3" xfId="33076" xr:uid="{00000000-0005-0000-0000-0000D66A0000}"/>
    <cellStyle name="Normal 5 3 4 3 7" xfId="16304" xr:uid="{00000000-0005-0000-0000-0000D76A0000}"/>
    <cellStyle name="Normal 5 3 4 3 7 2" xfId="41857" xr:uid="{00000000-0005-0000-0000-0000D86A0000}"/>
    <cellStyle name="Normal 5 3 4 3 8" xfId="26276" xr:uid="{00000000-0005-0000-0000-0000D96A0000}"/>
    <cellStyle name="Normal 5 3 4 4" xfId="804" xr:uid="{00000000-0005-0000-0000-0000DA6A0000}"/>
    <cellStyle name="Normal 5 3 4 4 2" xfId="3289" xr:uid="{00000000-0005-0000-0000-0000DB6A0000}"/>
    <cellStyle name="Normal 5 3 4 4 2 2" xfId="12431" xr:uid="{00000000-0005-0000-0000-0000DC6A0000}"/>
    <cellStyle name="Normal 5 3 4 4 2 2 2" xfId="22650" xr:uid="{00000000-0005-0000-0000-0000DD6A0000}"/>
    <cellStyle name="Normal 5 3 4 4 2 2 2 2" xfId="48203" xr:uid="{00000000-0005-0000-0000-0000DE6A0000}"/>
    <cellStyle name="Normal 5 3 4 4 2 2 3" xfId="37986" xr:uid="{00000000-0005-0000-0000-0000DF6A0000}"/>
    <cellStyle name="Normal 5 3 4 4 2 3" xfId="8853" xr:uid="{00000000-0005-0000-0000-0000E06A0000}"/>
    <cellStyle name="Normal 5 3 4 4 2 3 2" xfId="34410" xr:uid="{00000000-0005-0000-0000-0000E16A0000}"/>
    <cellStyle name="Normal 5 3 4 4 2 4" xfId="17643" xr:uid="{00000000-0005-0000-0000-0000E26A0000}"/>
    <cellStyle name="Normal 5 3 4 4 2 4 2" xfId="43196" xr:uid="{00000000-0005-0000-0000-0000E36A0000}"/>
    <cellStyle name="Normal 5 3 4 4 2 5" xfId="29133" xr:uid="{00000000-0005-0000-0000-0000E46A0000}"/>
    <cellStyle name="Normal 5 3 4 4 3" xfId="4967" xr:uid="{00000000-0005-0000-0000-0000E56A0000}"/>
    <cellStyle name="Normal 5 3 4 4 3 2" xfId="13804" xr:uid="{00000000-0005-0000-0000-0000E66A0000}"/>
    <cellStyle name="Normal 5 3 4 4 3 2 2" xfId="24055" xr:uid="{00000000-0005-0000-0000-0000E76A0000}"/>
    <cellStyle name="Normal 5 3 4 4 3 2 2 2" xfId="49608" xr:uid="{00000000-0005-0000-0000-0000E86A0000}"/>
    <cellStyle name="Normal 5 3 4 4 3 2 3" xfId="39359" xr:uid="{00000000-0005-0000-0000-0000E96A0000}"/>
    <cellStyle name="Normal 5 3 4 4 3 3" xfId="10225" xr:uid="{00000000-0005-0000-0000-0000EA6A0000}"/>
    <cellStyle name="Normal 5 3 4 4 3 3 2" xfId="35782" xr:uid="{00000000-0005-0000-0000-0000EB6A0000}"/>
    <cellStyle name="Normal 5 3 4 4 3 4" xfId="19048" xr:uid="{00000000-0005-0000-0000-0000EC6A0000}"/>
    <cellStyle name="Normal 5 3 4 4 3 4 2" xfId="44601" xr:uid="{00000000-0005-0000-0000-0000ED6A0000}"/>
    <cellStyle name="Normal 5 3 4 4 3 5" xfId="30538" xr:uid="{00000000-0005-0000-0000-0000EE6A0000}"/>
    <cellStyle name="Normal 5 3 4 4 4" xfId="2398" xr:uid="{00000000-0005-0000-0000-0000EF6A0000}"/>
    <cellStyle name="Normal 5 3 4 4 4 2" xfId="11763" xr:uid="{00000000-0005-0000-0000-0000F06A0000}"/>
    <cellStyle name="Normal 5 3 4 4 4 2 2" xfId="37318" xr:uid="{00000000-0005-0000-0000-0000F16A0000}"/>
    <cellStyle name="Normal 5 3 4 4 4 3" xfId="21767" xr:uid="{00000000-0005-0000-0000-0000F26A0000}"/>
    <cellStyle name="Normal 5 3 4 4 4 3 2" xfId="47320" xr:uid="{00000000-0005-0000-0000-0000F36A0000}"/>
    <cellStyle name="Normal 5 3 4 4 4 4" xfId="28250" xr:uid="{00000000-0005-0000-0000-0000F46A0000}"/>
    <cellStyle name="Normal 5 3 4 4 5" xfId="6422" xr:uid="{00000000-0005-0000-0000-0000F56A0000}"/>
    <cellStyle name="Normal 5 3 4 4 5 2" xfId="15249" xr:uid="{00000000-0005-0000-0000-0000F66A0000}"/>
    <cellStyle name="Normal 5 3 4 4 5 2 2" xfId="40804" xr:uid="{00000000-0005-0000-0000-0000F76A0000}"/>
    <cellStyle name="Normal 5 3 4 4 5 3" xfId="25500" xr:uid="{00000000-0005-0000-0000-0000F86A0000}"/>
    <cellStyle name="Normal 5 3 4 4 5 3 2" xfId="51053" xr:uid="{00000000-0005-0000-0000-0000F96A0000}"/>
    <cellStyle name="Normal 5 3 4 4 5 4" xfId="31983" xr:uid="{00000000-0005-0000-0000-0000FA6A0000}"/>
    <cellStyle name="Normal 5 3 4 4 6" xfId="7868" xr:uid="{00000000-0005-0000-0000-0000FB6A0000}"/>
    <cellStyle name="Normal 5 3 4 4 6 2" xfId="20249" xr:uid="{00000000-0005-0000-0000-0000FC6A0000}"/>
    <cellStyle name="Normal 5 3 4 4 6 2 2" xfId="45802" xr:uid="{00000000-0005-0000-0000-0000FD6A0000}"/>
    <cellStyle name="Normal 5 3 4 4 6 3" xfId="33425" xr:uid="{00000000-0005-0000-0000-0000FE6A0000}"/>
    <cellStyle name="Normal 5 3 4 4 7" xfId="16760" xr:uid="{00000000-0005-0000-0000-0000FF6A0000}"/>
    <cellStyle name="Normal 5 3 4 4 7 2" xfId="42313" xr:uid="{00000000-0005-0000-0000-0000006B0000}"/>
    <cellStyle name="Normal 5 3 4 4 8" xfId="26732" xr:uid="{00000000-0005-0000-0000-0000016B0000}"/>
    <cellStyle name="Normal 5 3 4 5" xfId="1119" xr:uid="{00000000-0005-0000-0000-0000026B0000}"/>
    <cellStyle name="Normal 5 3 4 5 2" xfId="3548" xr:uid="{00000000-0005-0000-0000-0000036B0000}"/>
    <cellStyle name="Normal 5 3 4 5 2 2" xfId="12684" xr:uid="{00000000-0005-0000-0000-0000046B0000}"/>
    <cellStyle name="Normal 5 3 4 5 2 2 2" xfId="22903" xr:uid="{00000000-0005-0000-0000-0000056B0000}"/>
    <cellStyle name="Normal 5 3 4 5 2 2 2 2" xfId="48456" xr:uid="{00000000-0005-0000-0000-0000066B0000}"/>
    <cellStyle name="Normal 5 3 4 5 2 2 3" xfId="38239" xr:uid="{00000000-0005-0000-0000-0000076B0000}"/>
    <cellStyle name="Normal 5 3 4 5 2 3" xfId="9105" xr:uid="{00000000-0005-0000-0000-0000086B0000}"/>
    <cellStyle name="Normal 5 3 4 5 2 3 2" xfId="34662" xr:uid="{00000000-0005-0000-0000-0000096B0000}"/>
    <cellStyle name="Normal 5 3 4 5 2 4" xfId="17896" xr:uid="{00000000-0005-0000-0000-00000A6B0000}"/>
    <cellStyle name="Normal 5 3 4 5 2 4 2" xfId="43449" xr:uid="{00000000-0005-0000-0000-00000B6B0000}"/>
    <cellStyle name="Normal 5 3 4 5 2 5" xfId="29386" xr:uid="{00000000-0005-0000-0000-00000C6B0000}"/>
    <cellStyle name="Normal 5 3 4 5 3" xfId="5211" xr:uid="{00000000-0005-0000-0000-00000D6B0000}"/>
    <cellStyle name="Normal 5 3 4 5 3 2" xfId="14048" xr:uid="{00000000-0005-0000-0000-00000E6B0000}"/>
    <cellStyle name="Normal 5 3 4 5 3 2 2" xfId="24299" xr:uid="{00000000-0005-0000-0000-00000F6B0000}"/>
    <cellStyle name="Normal 5 3 4 5 3 2 2 2" xfId="49852" xr:uid="{00000000-0005-0000-0000-0000106B0000}"/>
    <cellStyle name="Normal 5 3 4 5 3 2 3" xfId="39603" xr:uid="{00000000-0005-0000-0000-0000116B0000}"/>
    <cellStyle name="Normal 5 3 4 5 3 3" xfId="10469" xr:uid="{00000000-0005-0000-0000-0000126B0000}"/>
    <cellStyle name="Normal 5 3 4 5 3 3 2" xfId="36026" xr:uid="{00000000-0005-0000-0000-0000136B0000}"/>
    <cellStyle name="Normal 5 3 4 5 3 4" xfId="19292" xr:uid="{00000000-0005-0000-0000-0000146B0000}"/>
    <cellStyle name="Normal 5 3 4 5 3 4 2" xfId="44845" xr:uid="{00000000-0005-0000-0000-0000156B0000}"/>
    <cellStyle name="Normal 5 3 4 5 3 5" xfId="30782" xr:uid="{00000000-0005-0000-0000-0000166B0000}"/>
    <cellStyle name="Normal 5 3 4 5 4" xfId="1827" xr:uid="{00000000-0005-0000-0000-0000176B0000}"/>
    <cellStyle name="Normal 5 3 4 5 4 2" xfId="11195" xr:uid="{00000000-0005-0000-0000-0000186B0000}"/>
    <cellStyle name="Normal 5 3 4 5 4 2 2" xfId="36750" xr:uid="{00000000-0005-0000-0000-0000196B0000}"/>
    <cellStyle name="Normal 5 3 4 5 4 3" xfId="21199" xr:uid="{00000000-0005-0000-0000-00001A6B0000}"/>
    <cellStyle name="Normal 5 3 4 5 4 3 2" xfId="46752" xr:uid="{00000000-0005-0000-0000-00001B6B0000}"/>
    <cellStyle name="Normal 5 3 4 5 4 4" xfId="27682" xr:uid="{00000000-0005-0000-0000-00001C6B0000}"/>
    <cellStyle name="Normal 5 3 4 5 5" xfId="6666" xr:uid="{00000000-0005-0000-0000-00001D6B0000}"/>
    <cellStyle name="Normal 5 3 4 5 5 2" xfId="15493" xr:uid="{00000000-0005-0000-0000-00001E6B0000}"/>
    <cellStyle name="Normal 5 3 4 5 5 2 2" xfId="41048" xr:uid="{00000000-0005-0000-0000-00001F6B0000}"/>
    <cellStyle name="Normal 5 3 4 5 5 3" xfId="25744" xr:uid="{00000000-0005-0000-0000-0000206B0000}"/>
    <cellStyle name="Normal 5 3 4 5 5 3 2" xfId="51297" xr:uid="{00000000-0005-0000-0000-0000216B0000}"/>
    <cellStyle name="Normal 5 3 4 5 5 4" xfId="32227" xr:uid="{00000000-0005-0000-0000-0000226B0000}"/>
    <cellStyle name="Normal 5 3 4 5 6" xfId="8112" xr:uid="{00000000-0005-0000-0000-0000236B0000}"/>
    <cellStyle name="Normal 5 3 4 5 6 2" xfId="20502" xr:uid="{00000000-0005-0000-0000-0000246B0000}"/>
    <cellStyle name="Normal 5 3 4 5 6 2 2" xfId="46055" xr:uid="{00000000-0005-0000-0000-0000256B0000}"/>
    <cellStyle name="Normal 5 3 4 5 6 3" xfId="33669" xr:uid="{00000000-0005-0000-0000-0000266B0000}"/>
    <cellStyle name="Normal 5 3 4 5 7" xfId="16192" xr:uid="{00000000-0005-0000-0000-0000276B0000}"/>
    <cellStyle name="Normal 5 3 4 5 7 2" xfId="41745" xr:uid="{00000000-0005-0000-0000-0000286B0000}"/>
    <cellStyle name="Normal 5 3 4 5 8" xfId="26985" xr:uid="{00000000-0005-0000-0000-0000296B0000}"/>
    <cellStyle name="Normal 5 3 4 6" xfId="2721" xr:uid="{00000000-0005-0000-0000-00002A6B0000}"/>
    <cellStyle name="Normal 5 3 4 6 2" xfId="12038" xr:uid="{00000000-0005-0000-0000-00002B6B0000}"/>
    <cellStyle name="Normal 5 3 4 6 2 2" xfId="22082" xr:uid="{00000000-0005-0000-0000-00002C6B0000}"/>
    <cellStyle name="Normal 5 3 4 6 2 2 2" xfId="47635" xr:uid="{00000000-0005-0000-0000-00002D6B0000}"/>
    <cellStyle name="Normal 5 3 4 6 2 3" xfId="37593" xr:uid="{00000000-0005-0000-0000-00002E6B0000}"/>
    <cellStyle name="Normal 5 3 4 6 3" xfId="8633" xr:uid="{00000000-0005-0000-0000-00002F6B0000}"/>
    <cellStyle name="Normal 5 3 4 6 3 2" xfId="34190" xr:uid="{00000000-0005-0000-0000-0000306B0000}"/>
    <cellStyle name="Normal 5 3 4 6 4" xfId="17075" xr:uid="{00000000-0005-0000-0000-0000316B0000}"/>
    <cellStyle name="Normal 5 3 4 6 4 2" xfId="42628" xr:uid="{00000000-0005-0000-0000-0000326B0000}"/>
    <cellStyle name="Normal 5 3 4 6 5" xfId="28565" xr:uid="{00000000-0005-0000-0000-0000336B0000}"/>
    <cellStyle name="Normal 5 3 4 7" xfId="4167" xr:uid="{00000000-0005-0000-0000-0000346B0000}"/>
    <cellStyle name="Normal 5 3 4 7 2" xfId="13005" xr:uid="{00000000-0005-0000-0000-0000356B0000}"/>
    <cellStyle name="Normal 5 3 4 7 2 2" xfId="23256" xr:uid="{00000000-0005-0000-0000-0000366B0000}"/>
    <cellStyle name="Normal 5 3 4 7 2 2 2" xfId="48809" xr:uid="{00000000-0005-0000-0000-0000376B0000}"/>
    <cellStyle name="Normal 5 3 4 7 2 3" xfId="38560" xr:uid="{00000000-0005-0000-0000-0000386B0000}"/>
    <cellStyle name="Normal 5 3 4 7 3" xfId="9426" xr:uid="{00000000-0005-0000-0000-0000396B0000}"/>
    <cellStyle name="Normal 5 3 4 7 3 2" xfId="34983" xr:uid="{00000000-0005-0000-0000-00003A6B0000}"/>
    <cellStyle name="Normal 5 3 4 7 4" xfId="18249" xr:uid="{00000000-0005-0000-0000-00003B6B0000}"/>
    <cellStyle name="Normal 5 3 4 7 4 2" xfId="43802" xr:uid="{00000000-0005-0000-0000-00003C6B0000}"/>
    <cellStyle name="Normal 5 3 4 7 5" xfId="29739" xr:uid="{00000000-0005-0000-0000-00003D6B0000}"/>
    <cellStyle name="Normal 5 3 4 8" xfId="1439" xr:uid="{00000000-0005-0000-0000-00003E6B0000}"/>
    <cellStyle name="Normal 5 3 4 8 2" xfId="10816" xr:uid="{00000000-0005-0000-0000-00003F6B0000}"/>
    <cellStyle name="Normal 5 3 4 8 2 2" xfId="36371" xr:uid="{00000000-0005-0000-0000-0000406B0000}"/>
    <cellStyle name="Normal 5 3 4 8 3" xfId="20820" xr:uid="{00000000-0005-0000-0000-0000416B0000}"/>
    <cellStyle name="Normal 5 3 4 8 3 2" xfId="46373" xr:uid="{00000000-0005-0000-0000-0000426B0000}"/>
    <cellStyle name="Normal 5 3 4 8 4" xfId="27303" xr:uid="{00000000-0005-0000-0000-0000436B0000}"/>
    <cellStyle name="Normal 5 3 4 9" xfId="5623" xr:uid="{00000000-0005-0000-0000-0000446B0000}"/>
    <cellStyle name="Normal 5 3 4 9 2" xfId="14450" xr:uid="{00000000-0005-0000-0000-0000456B0000}"/>
    <cellStyle name="Normal 5 3 4 9 2 2" xfId="40005" xr:uid="{00000000-0005-0000-0000-0000466B0000}"/>
    <cellStyle name="Normal 5 3 4 9 3" xfId="24701" xr:uid="{00000000-0005-0000-0000-0000476B0000}"/>
    <cellStyle name="Normal 5 3 4 9 3 2" xfId="50254" xr:uid="{00000000-0005-0000-0000-0000486B0000}"/>
    <cellStyle name="Normal 5 3 4 9 4" xfId="31184" xr:uid="{00000000-0005-0000-0000-0000496B0000}"/>
    <cellStyle name="Normal 5 3 4_Degree data" xfId="3871" xr:uid="{00000000-0005-0000-0000-00004A6B0000}"/>
    <cellStyle name="Normal 5 3 5" xfId="447" xr:uid="{00000000-0005-0000-0000-00004B6B0000}"/>
    <cellStyle name="Normal 5 3 5 10" xfId="26376" xr:uid="{00000000-0005-0000-0000-00004C6B0000}"/>
    <cellStyle name="Normal 5 3 5 2" xfId="806" xr:uid="{00000000-0005-0000-0000-00004D6B0000}"/>
    <cellStyle name="Normal 5 3 5 2 2" xfId="3291" xr:uid="{00000000-0005-0000-0000-00004E6B0000}"/>
    <cellStyle name="Normal 5 3 5 2 2 2" xfId="12433" xr:uid="{00000000-0005-0000-0000-00004F6B0000}"/>
    <cellStyle name="Normal 5 3 5 2 2 2 2" xfId="22652" xr:uid="{00000000-0005-0000-0000-0000506B0000}"/>
    <cellStyle name="Normal 5 3 5 2 2 2 2 2" xfId="48205" xr:uid="{00000000-0005-0000-0000-0000516B0000}"/>
    <cellStyle name="Normal 5 3 5 2 2 2 3" xfId="37988" xr:uid="{00000000-0005-0000-0000-0000526B0000}"/>
    <cellStyle name="Normal 5 3 5 2 2 3" xfId="8855" xr:uid="{00000000-0005-0000-0000-0000536B0000}"/>
    <cellStyle name="Normal 5 3 5 2 2 3 2" xfId="34412" xr:uid="{00000000-0005-0000-0000-0000546B0000}"/>
    <cellStyle name="Normal 5 3 5 2 2 4" xfId="17645" xr:uid="{00000000-0005-0000-0000-0000556B0000}"/>
    <cellStyle name="Normal 5 3 5 2 2 4 2" xfId="43198" xr:uid="{00000000-0005-0000-0000-0000566B0000}"/>
    <cellStyle name="Normal 5 3 5 2 2 5" xfId="29135" xr:uid="{00000000-0005-0000-0000-0000576B0000}"/>
    <cellStyle name="Normal 5 3 5 2 3" xfId="4620" xr:uid="{00000000-0005-0000-0000-0000586B0000}"/>
    <cellStyle name="Normal 5 3 5 2 3 2" xfId="13458" xr:uid="{00000000-0005-0000-0000-0000596B0000}"/>
    <cellStyle name="Normal 5 3 5 2 3 2 2" xfId="23709" xr:uid="{00000000-0005-0000-0000-00005A6B0000}"/>
    <cellStyle name="Normal 5 3 5 2 3 2 2 2" xfId="49262" xr:uid="{00000000-0005-0000-0000-00005B6B0000}"/>
    <cellStyle name="Normal 5 3 5 2 3 2 3" xfId="39013" xr:uid="{00000000-0005-0000-0000-00005C6B0000}"/>
    <cellStyle name="Normal 5 3 5 2 3 3" xfId="9879" xr:uid="{00000000-0005-0000-0000-00005D6B0000}"/>
    <cellStyle name="Normal 5 3 5 2 3 3 2" xfId="35436" xr:uid="{00000000-0005-0000-0000-00005E6B0000}"/>
    <cellStyle name="Normal 5 3 5 2 3 4" xfId="18702" xr:uid="{00000000-0005-0000-0000-00005F6B0000}"/>
    <cellStyle name="Normal 5 3 5 2 3 4 2" xfId="44255" xr:uid="{00000000-0005-0000-0000-0000606B0000}"/>
    <cellStyle name="Normal 5 3 5 2 3 5" xfId="30192" xr:uid="{00000000-0005-0000-0000-0000616B0000}"/>
    <cellStyle name="Normal 5 3 5 2 4" xfId="2400" xr:uid="{00000000-0005-0000-0000-0000626B0000}"/>
    <cellStyle name="Normal 5 3 5 2 4 2" xfId="11765" xr:uid="{00000000-0005-0000-0000-0000636B0000}"/>
    <cellStyle name="Normal 5 3 5 2 4 2 2" xfId="37320" xr:uid="{00000000-0005-0000-0000-0000646B0000}"/>
    <cellStyle name="Normal 5 3 5 2 4 3" xfId="21769" xr:uid="{00000000-0005-0000-0000-0000656B0000}"/>
    <cellStyle name="Normal 5 3 5 2 4 3 2" xfId="47322" xr:uid="{00000000-0005-0000-0000-0000666B0000}"/>
    <cellStyle name="Normal 5 3 5 2 4 4" xfId="28252" xr:uid="{00000000-0005-0000-0000-0000676B0000}"/>
    <cellStyle name="Normal 5 3 5 2 5" xfId="6076" xr:uid="{00000000-0005-0000-0000-0000686B0000}"/>
    <cellStyle name="Normal 5 3 5 2 5 2" xfId="14903" xr:uid="{00000000-0005-0000-0000-0000696B0000}"/>
    <cellStyle name="Normal 5 3 5 2 5 2 2" xfId="40458" xr:uid="{00000000-0005-0000-0000-00006A6B0000}"/>
    <cellStyle name="Normal 5 3 5 2 5 3" xfId="25154" xr:uid="{00000000-0005-0000-0000-00006B6B0000}"/>
    <cellStyle name="Normal 5 3 5 2 5 3 2" xfId="50707" xr:uid="{00000000-0005-0000-0000-00006C6B0000}"/>
    <cellStyle name="Normal 5 3 5 2 5 4" xfId="31637" xr:uid="{00000000-0005-0000-0000-00006D6B0000}"/>
    <cellStyle name="Normal 5 3 5 2 6" xfId="7521" xr:uid="{00000000-0005-0000-0000-00006E6B0000}"/>
    <cellStyle name="Normal 5 3 5 2 6 2" xfId="20251" xr:uid="{00000000-0005-0000-0000-00006F6B0000}"/>
    <cellStyle name="Normal 5 3 5 2 6 2 2" xfId="45804" xr:uid="{00000000-0005-0000-0000-0000706B0000}"/>
    <cellStyle name="Normal 5 3 5 2 6 3" xfId="33078" xr:uid="{00000000-0005-0000-0000-0000716B0000}"/>
    <cellStyle name="Normal 5 3 5 2 7" xfId="16762" xr:uid="{00000000-0005-0000-0000-0000726B0000}"/>
    <cellStyle name="Normal 5 3 5 2 7 2" xfId="42315" xr:uid="{00000000-0005-0000-0000-0000736B0000}"/>
    <cellStyle name="Normal 5 3 5 2 8" xfId="26734" xr:uid="{00000000-0005-0000-0000-0000746B0000}"/>
    <cellStyle name="Normal 5 3 5 3" xfId="1219" xr:uid="{00000000-0005-0000-0000-0000756B0000}"/>
    <cellStyle name="Normal 5 3 5 3 2" xfId="3648" xr:uid="{00000000-0005-0000-0000-0000766B0000}"/>
    <cellStyle name="Normal 5 3 5 3 2 2" xfId="12784" xr:uid="{00000000-0005-0000-0000-0000776B0000}"/>
    <cellStyle name="Normal 5 3 5 3 2 2 2" xfId="23003" xr:uid="{00000000-0005-0000-0000-0000786B0000}"/>
    <cellStyle name="Normal 5 3 5 3 2 2 2 2" xfId="48556" xr:uid="{00000000-0005-0000-0000-0000796B0000}"/>
    <cellStyle name="Normal 5 3 5 3 2 2 3" xfId="38339" xr:uid="{00000000-0005-0000-0000-00007A6B0000}"/>
    <cellStyle name="Normal 5 3 5 3 2 3" xfId="9205" xr:uid="{00000000-0005-0000-0000-00007B6B0000}"/>
    <cellStyle name="Normal 5 3 5 3 2 3 2" xfId="34762" xr:uid="{00000000-0005-0000-0000-00007C6B0000}"/>
    <cellStyle name="Normal 5 3 5 3 2 4" xfId="17996" xr:uid="{00000000-0005-0000-0000-00007D6B0000}"/>
    <cellStyle name="Normal 5 3 5 3 2 4 2" xfId="43549" xr:uid="{00000000-0005-0000-0000-00007E6B0000}"/>
    <cellStyle name="Normal 5 3 5 3 2 5" xfId="29486" xr:uid="{00000000-0005-0000-0000-00007F6B0000}"/>
    <cellStyle name="Normal 5 3 5 3 3" xfId="4969" xr:uid="{00000000-0005-0000-0000-0000806B0000}"/>
    <cellStyle name="Normal 5 3 5 3 3 2" xfId="13806" xr:uid="{00000000-0005-0000-0000-0000816B0000}"/>
    <cellStyle name="Normal 5 3 5 3 3 2 2" xfId="24057" xr:uid="{00000000-0005-0000-0000-0000826B0000}"/>
    <cellStyle name="Normal 5 3 5 3 3 2 2 2" xfId="49610" xr:uid="{00000000-0005-0000-0000-0000836B0000}"/>
    <cellStyle name="Normal 5 3 5 3 3 2 3" xfId="39361" xr:uid="{00000000-0005-0000-0000-0000846B0000}"/>
    <cellStyle name="Normal 5 3 5 3 3 3" xfId="10227" xr:uid="{00000000-0005-0000-0000-0000856B0000}"/>
    <cellStyle name="Normal 5 3 5 3 3 3 2" xfId="35784" xr:uid="{00000000-0005-0000-0000-0000866B0000}"/>
    <cellStyle name="Normal 5 3 5 3 3 4" xfId="19050" xr:uid="{00000000-0005-0000-0000-0000876B0000}"/>
    <cellStyle name="Normal 5 3 5 3 3 4 2" xfId="44603" xr:uid="{00000000-0005-0000-0000-0000886B0000}"/>
    <cellStyle name="Normal 5 3 5 3 3 5" xfId="30540" xr:uid="{00000000-0005-0000-0000-0000896B0000}"/>
    <cellStyle name="Normal 5 3 5 3 4" xfId="2042" xr:uid="{00000000-0005-0000-0000-00008A6B0000}"/>
    <cellStyle name="Normal 5 3 5 3 4 2" xfId="11407" xr:uid="{00000000-0005-0000-0000-00008B6B0000}"/>
    <cellStyle name="Normal 5 3 5 3 4 2 2" xfId="36962" xr:uid="{00000000-0005-0000-0000-00008C6B0000}"/>
    <cellStyle name="Normal 5 3 5 3 4 3" xfId="21411" xr:uid="{00000000-0005-0000-0000-00008D6B0000}"/>
    <cellStyle name="Normal 5 3 5 3 4 3 2" xfId="46964" xr:uid="{00000000-0005-0000-0000-00008E6B0000}"/>
    <cellStyle name="Normal 5 3 5 3 4 4" xfId="27894" xr:uid="{00000000-0005-0000-0000-00008F6B0000}"/>
    <cellStyle name="Normal 5 3 5 3 5" xfId="6424" xr:uid="{00000000-0005-0000-0000-0000906B0000}"/>
    <cellStyle name="Normal 5 3 5 3 5 2" xfId="15251" xr:uid="{00000000-0005-0000-0000-0000916B0000}"/>
    <cellStyle name="Normal 5 3 5 3 5 2 2" xfId="40806" xr:uid="{00000000-0005-0000-0000-0000926B0000}"/>
    <cellStyle name="Normal 5 3 5 3 5 3" xfId="25502" xr:uid="{00000000-0005-0000-0000-0000936B0000}"/>
    <cellStyle name="Normal 5 3 5 3 5 3 2" xfId="51055" xr:uid="{00000000-0005-0000-0000-0000946B0000}"/>
    <cellStyle name="Normal 5 3 5 3 5 4" xfId="31985" xr:uid="{00000000-0005-0000-0000-0000956B0000}"/>
    <cellStyle name="Normal 5 3 5 3 6" xfId="7870" xr:uid="{00000000-0005-0000-0000-0000966B0000}"/>
    <cellStyle name="Normal 5 3 5 3 6 2" xfId="20602" xr:uid="{00000000-0005-0000-0000-0000976B0000}"/>
    <cellStyle name="Normal 5 3 5 3 6 2 2" xfId="46155" xr:uid="{00000000-0005-0000-0000-0000986B0000}"/>
    <cellStyle name="Normal 5 3 5 3 6 3" xfId="33427" xr:uid="{00000000-0005-0000-0000-0000996B0000}"/>
    <cellStyle name="Normal 5 3 5 3 7" xfId="16404" xr:uid="{00000000-0005-0000-0000-00009A6B0000}"/>
    <cellStyle name="Normal 5 3 5 3 7 2" xfId="41957" xr:uid="{00000000-0005-0000-0000-00009B6B0000}"/>
    <cellStyle name="Normal 5 3 5 3 8" xfId="27085" xr:uid="{00000000-0005-0000-0000-00009C6B0000}"/>
    <cellStyle name="Normal 5 3 5 4" xfId="2933" xr:uid="{00000000-0005-0000-0000-00009D6B0000}"/>
    <cellStyle name="Normal 5 3 5 4 2" xfId="5311" xr:uid="{00000000-0005-0000-0000-00009E6B0000}"/>
    <cellStyle name="Normal 5 3 5 4 2 2" xfId="14148" xr:uid="{00000000-0005-0000-0000-00009F6B0000}"/>
    <cellStyle name="Normal 5 3 5 4 2 2 2" xfId="24399" xr:uid="{00000000-0005-0000-0000-0000A06B0000}"/>
    <cellStyle name="Normal 5 3 5 4 2 2 2 2" xfId="49952" xr:uid="{00000000-0005-0000-0000-0000A16B0000}"/>
    <cellStyle name="Normal 5 3 5 4 2 2 3" xfId="39703" xr:uid="{00000000-0005-0000-0000-0000A26B0000}"/>
    <cellStyle name="Normal 5 3 5 4 2 3" xfId="10569" xr:uid="{00000000-0005-0000-0000-0000A36B0000}"/>
    <cellStyle name="Normal 5 3 5 4 2 3 2" xfId="36126" xr:uid="{00000000-0005-0000-0000-0000A46B0000}"/>
    <cellStyle name="Normal 5 3 5 4 2 4" xfId="19392" xr:uid="{00000000-0005-0000-0000-0000A56B0000}"/>
    <cellStyle name="Normal 5 3 5 4 2 4 2" xfId="44945" xr:uid="{00000000-0005-0000-0000-0000A66B0000}"/>
    <cellStyle name="Normal 5 3 5 4 2 5" xfId="30882" xr:uid="{00000000-0005-0000-0000-0000A76B0000}"/>
    <cellStyle name="Normal 5 3 5 4 3" xfId="6766" xr:uid="{00000000-0005-0000-0000-0000A86B0000}"/>
    <cellStyle name="Normal 5 3 5 4 3 2" xfId="15593" xr:uid="{00000000-0005-0000-0000-0000A96B0000}"/>
    <cellStyle name="Normal 5 3 5 4 3 2 2" xfId="41148" xr:uid="{00000000-0005-0000-0000-0000AA6B0000}"/>
    <cellStyle name="Normal 5 3 5 4 3 3" xfId="25844" xr:uid="{00000000-0005-0000-0000-0000AB6B0000}"/>
    <cellStyle name="Normal 5 3 5 4 3 3 2" xfId="51397" xr:uid="{00000000-0005-0000-0000-0000AC6B0000}"/>
    <cellStyle name="Normal 5 3 5 4 3 4" xfId="32327" xr:uid="{00000000-0005-0000-0000-0000AD6B0000}"/>
    <cellStyle name="Normal 5 3 5 4 4" xfId="8212" xr:uid="{00000000-0005-0000-0000-0000AE6B0000}"/>
    <cellStyle name="Normal 5 3 5 4 4 2" xfId="22294" xr:uid="{00000000-0005-0000-0000-0000AF6B0000}"/>
    <cellStyle name="Normal 5 3 5 4 4 2 2" xfId="47847" xr:uid="{00000000-0005-0000-0000-0000B06B0000}"/>
    <cellStyle name="Normal 5 3 5 4 4 3" xfId="33769" xr:uid="{00000000-0005-0000-0000-0000B16B0000}"/>
    <cellStyle name="Normal 5 3 5 4 5" xfId="17287" xr:uid="{00000000-0005-0000-0000-0000B26B0000}"/>
    <cellStyle name="Normal 5 3 5 4 5 2" xfId="42840" xr:uid="{00000000-0005-0000-0000-0000B36B0000}"/>
    <cellStyle name="Normal 5 3 5 4 6" xfId="28777" xr:uid="{00000000-0005-0000-0000-0000B46B0000}"/>
    <cellStyle name="Normal 5 3 5 5" xfId="4267" xr:uid="{00000000-0005-0000-0000-0000B56B0000}"/>
    <cellStyle name="Normal 5 3 5 5 2" xfId="13105" xr:uid="{00000000-0005-0000-0000-0000B66B0000}"/>
    <cellStyle name="Normal 5 3 5 5 2 2" xfId="23356" xr:uid="{00000000-0005-0000-0000-0000B76B0000}"/>
    <cellStyle name="Normal 5 3 5 5 2 2 2" xfId="48909" xr:uid="{00000000-0005-0000-0000-0000B86B0000}"/>
    <cellStyle name="Normal 5 3 5 5 2 3" xfId="38660" xr:uid="{00000000-0005-0000-0000-0000B96B0000}"/>
    <cellStyle name="Normal 5 3 5 5 3" xfId="9526" xr:uid="{00000000-0005-0000-0000-0000BA6B0000}"/>
    <cellStyle name="Normal 5 3 5 5 3 2" xfId="35083" xr:uid="{00000000-0005-0000-0000-0000BB6B0000}"/>
    <cellStyle name="Normal 5 3 5 5 4" xfId="18349" xr:uid="{00000000-0005-0000-0000-0000BC6B0000}"/>
    <cellStyle name="Normal 5 3 5 5 4 2" xfId="43902" xr:uid="{00000000-0005-0000-0000-0000BD6B0000}"/>
    <cellStyle name="Normal 5 3 5 5 5" xfId="29839" xr:uid="{00000000-0005-0000-0000-0000BE6B0000}"/>
    <cellStyle name="Normal 5 3 5 6" xfId="1539" xr:uid="{00000000-0005-0000-0000-0000BF6B0000}"/>
    <cellStyle name="Normal 5 3 5 6 2" xfId="10916" xr:uid="{00000000-0005-0000-0000-0000C06B0000}"/>
    <cellStyle name="Normal 5 3 5 6 2 2" xfId="36471" xr:uid="{00000000-0005-0000-0000-0000C16B0000}"/>
    <cellStyle name="Normal 5 3 5 6 3" xfId="20920" xr:uid="{00000000-0005-0000-0000-0000C26B0000}"/>
    <cellStyle name="Normal 5 3 5 6 3 2" xfId="46473" xr:uid="{00000000-0005-0000-0000-0000C36B0000}"/>
    <cellStyle name="Normal 5 3 5 6 4" xfId="27403" xr:uid="{00000000-0005-0000-0000-0000C46B0000}"/>
    <cellStyle name="Normal 5 3 5 7" xfId="5723" xr:uid="{00000000-0005-0000-0000-0000C56B0000}"/>
    <cellStyle name="Normal 5 3 5 7 2" xfId="14550" xr:uid="{00000000-0005-0000-0000-0000C66B0000}"/>
    <cellStyle name="Normal 5 3 5 7 2 2" xfId="40105" xr:uid="{00000000-0005-0000-0000-0000C76B0000}"/>
    <cellStyle name="Normal 5 3 5 7 3" xfId="24801" xr:uid="{00000000-0005-0000-0000-0000C86B0000}"/>
    <cellStyle name="Normal 5 3 5 7 3 2" xfId="50354" xr:uid="{00000000-0005-0000-0000-0000C96B0000}"/>
    <cellStyle name="Normal 5 3 5 7 4" xfId="31284" xr:uid="{00000000-0005-0000-0000-0000CA6B0000}"/>
    <cellStyle name="Normal 5 3 5 8" xfId="7167" xr:uid="{00000000-0005-0000-0000-0000CB6B0000}"/>
    <cellStyle name="Normal 5 3 5 8 2" xfId="19893" xr:uid="{00000000-0005-0000-0000-0000CC6B0000}"/>
    <cellStyle name="Normal 5 3 5 8 2 2" xfId="45446" xr:uid="{00000000-0005-0000-0000-0000CD6B0000}"/>
    <cellStyle name="Normal 5 3 5 8 3" xfId="32724" xr:uid="{00000000-0005-0000-0000-0000CE6B0000}"/>
    <cellStyle name="Normal 5 3 5 9" xfId="15913" xr:uid="{00000000-0005-0000-0000-0000CF6B0000}"/>
    <cellStyle name="Normal 5 3 5 9 2" xfId="41466" xr:uid="{00000000-0005-0000-0000-0000D06B0000}"/>
    <cellStyle name="Normal 5 3 5_Degree data" xfId="3875" xr:uid="{00000000-0005-0000-0000-0000D16B0000}"/>
    <cellStyle name="Normal 5 3 6" xfId="300" xr:uid="{00000000-0005-0000-0000-0000D26B0000}"/>
    <cellStyle name="Normal 5 3 6 10" xfId="26229" xr:uid="{00000000-0005-0000-0000-0000D36B0000}"/>
    <cellStyle name="Normal 5 3 6 2" xfId="807" xr:uid="{00000000-0005-0000-0000-0000D46B0000}"/>
    <cellStyle name="Normal 5 3 6 2 2" xfId="3292" xr:uid="{00000000-0005-0000-0000-0000D56B0000}"/>
    <cellStyle name="Normal 5 3 6 2 2 2" xfId="12434" xr:uid="{00000000-0005-0000-0000-0000D66B0000}"/>
    <cellStyle name="Normal 5 3 6 2 2 2 2" xfId="22653" xr:uid="{00000000-0005-0000-0000-0000D76B0000}"/>
    <cellStyle name="Normal 5 3 6 2 2 2 2 2" xfId="48206" xr:uid="{00000000-0005-0000-0000-0000D86B0000}"/>
    <cellStyle name="Normal 5 3 6 2 2 2 3" xfId="37989" xr:uid="{00000000-0005-0000-0000-0000D96B0000}"/>
    <cellStyle name="Normal 5 3 6 2 2 3" xfId="8856" xr:uid="{00000000-0005-0000-0000-0000DA6B0000}"/>
    <cellStyle name="Normal 5 3 6 2 2 3 2" xfId="34413" xr:uid="{00000000-0005-0000-0000-0000DB6B0000}"/>
    <cellStyle name="Normal 5 3 6 2 2 4" xfId="17646" xr:uid="{00000000-0005-0000-0000-0000DC6B0000}"/>
    <cellStyle name="Normal 5 3 6 2 2 4 2" xfId="43199" xr:uid="{00000000-0005-0000-0000-0000DD6B0000}"/>
    <cellStyle name="Normal 5 3 6 2 2 5" xfId="29136" xr:uid="{00000000-0005-0000-0000-0000DE6B0000}"/>
    <cellStyle name="Normal 5 3 6 2 3" xfId="4621" xr:uid="{00000000-0005-0000-0000-0000DF6B0000}"/>
    <cellStyle name="Normal 5 3 6 2 3 2" xfId="13459" xr:uid="{00000000-0005-0000-0000-0000E06B0000}"/>
    <cellStyle name="Normal 5 3 6 2 3 2 2" xfId="23710" xr:uid="{00000000-0005-0000-0000-0000E16B0000}"/>
    <cellStyle name="Normal 5 3 6 2 3 2 2 2" xfId="49263" xr:uid="{00000000-0005-0000-0000-0000E26B0000}"/>
    <cellStyle name="Normal 5 3 6 2 3 2 3" xfId="39014" xr:uid="{00000000-0005-0000-0000-0000E36B0000}"/>
    <cellStyle name="Normal 5 3 6 2 3 3" xfId="9880" xr:uid="{00000000-0005-0000-0000-0000E46B0000}"/>
    <cellStyle name="Normal 5 3 6 2 3 3 2" xfId="35437" xr:uid="{00000000-0005-0000-0000-0000E56B0000}"/>
    <cellStyle name="Normal 5 3 6 2 3 4" xfId="18703" xr:uid="{00000000-0005-0000-0000-0000E66B0000}"/>
    <cellStyle name="Normal 5 3 6 2 3 4 2" xfId="44256" xr:uid="{00000000-0005-0000-0000-0000E76B0000}"/>
    <cellStyle name="Normal 5 3 6 2 3 5" xfId="30193" xr:uid="{00000000-0005-0000-0000-0000E86B0000}"/>
    <cellStyle name="Normal 5 3 6 2 4" xfId="2401" xr:uid="{00000000-0005-0000-0000-0000E96B0000}"/>
    <cellStyle name="Normal 5 3 6 2 4 2" xfId="11766" xr:uid="{00000000-0005-0000-0000-0000EA6B0000}"/>
    <cellStyle name="Normal 5 3 6 2 4 2 2" xfId="37321" xr:uid="{00000000-0005-0000-0000-0000EB6B0000}"/>
    <cellStyle name="Normal 5 3 6 2 4 3" xfId="21770" xr:uid="{00000000-0005-0000-0000-0000EC6B0000}"/>
    <cellStyle name="Normal 5 3 6 2 4 3 2" xfId="47323" xr:uid="{00000000-0005-0000-0000-0000ED6B0000}"/>
    <cellStyle name="Normal 5 3 6 2 4 4" xfId="28253" xr:uid="{00000000-0005-0000-0000-0000EE6B0000}"/>
    <cellStyle name="Normal 5 3 6 2 5" xfId="6077" xr:uid="{00000000-0005-0000-0000-0000EF6B0000}"/>
    <cellStyle name="Normal 5 3 6 2 5 2" xfId="14904" xr:uid="{00000000-0005-0000-0000-0000F06B0000}"/>
    <cellStyle name="Normal 5 3 6 2 5 2 2" xfId="40459" xr:uid="{00000000-0005-0000-0000-0000F16B0000}"/>
    <cellStyle name="Normal 5 3 6 2 5 3" xfId="25155" xr:uid="{00000000-0005-0000-0000-0000F26B0000}"/>
    <cellStyle name="Normal 5 3 6 2 5 3 2" xfId="50708" xr:uid="{00000000-0005-0000-0000-0000F36B0000}"/>
    <cellStyle name="Normal 5 3 6 2 5 4" xfId="31638" xr:uid="{00000000-0005-0000-0000-0000F46B0000}"/>
    <cellStyle name="Normal 5 3 6 2 6" xfId="7522" xr:uid="{00000000-0005-0000-0000-0000F56B0000}"/>
    <cellStyle name="Normal 5 3 6 2 6 2" xfId="20252" xr:uid="{00000000-0005-0000-0000-0000F66B0000}"/>
    <cellStyle name="Normal 5 3 6 2 6 2 2" xfId="45805" xr:uid="{00000000-0005-0000-0000-0000F76B0000}"/>
    <cellStyle name="Normal 5 3 6 2 6 3" xfId="33079" xr:uid="{00000000-0005-0000-0000-0000F86B0000}"/>
    <cellStyle name="Normal 5 3 6 2 7" xfId="16763" xr:uid="{00000000-0005-0000-0000-0000F96B0000}"/>
    <cellStyle name="Normal 5 3 6 2 7 2" xfId="42316" xr:uid="{00000000-0005-0000-0000-0000FA6B0000}"/>
    <cellStyle name="Normal 5 3 6 2 8" xfId="26735" xr:uid="{00000000-0005-0000-0000-0000FB6B0000}"/>
    <cellStyle name="Normal 5 3 6 3" xfId="1072" xr:uid="{00000000-0005-0000-0000-0000FC6B0000}"/>
    <cellStyle name="Normal 5 3 6 3 2" xfId="3501" xr:uid="{00000000-0005-0000-0000-0000FD6B0000}"/>
    <cellStyle name="Normal 5 3 6 3 2 2" xfId="12637" xr:uid="{00000000-0005-0000-0000-0000FE6B0000}"/>
    <cellStyle name="Normal 5 3 6 3 2 2 2" xfId="22856" xr:uid="{00000000-0005-0000-0000-0000FF6B0000}"/>
    <cellStyle name="Normal 5 3 6 3 2 2 2 2" xfId="48409" xr:uid="{00000000-0005-0000-0000-0000006C0000}"/>
    <cellStyle name="Normal 5 3 6 3 2 2 3" xfId="38192" xr:uid="{00000000-0005-0000-0000-0000016C0000}"/>
    <cellStyle name="Normal 5 3 6 3 2 3" xfId="9059" xr:uid="{00000000-0005-0000-0000-0000026C0000}"/>
    <cellStyle name="Normal 5 3 6 3 2 3 2" xfId="34616" xr:uid="{00000000-0005-0000-0000-0000036C0000}"/>
    <cellStyle name="Normal 5 3 6 3 2 4" xfId="17849" xr:uid="{00000000-0005-0000-0000-0000046C0000}"/>
    <cellStyle name="Normal 5 3 6 3 2 4 2" xfId="43402" xr:uid="{00000000-0005-0000-0000-0000056C0000}"/>
    <cellStyle name="Normal 5 3 6 3 2 5" xfId="29339" xr:uid="{00000000-0005-0000-0000-0000066C0000}"/>
    <cellStyle name="Normal 5 3 6 3 3" xfId="4970" xr:uid="{00000000-0005-0000-0000-0000076C0000}"/>
    <cellStyle name="Normal 5 3 6 3 3 2" xfId="13807" xr:uid="{00000000-0005-0000-0000-0000086C0000}"/>
    <cellStyle name="Normal 5 3 6 3 3 2 2" xfId="24058" xr:uid="{00000000-0005-0000-0000-0000096C0000}"/>
    <cellStyle name="Normal 5 3 6 3 3 2 2 2" xfId="49611" xr:uid="{00000000-0005-0000-0000-00000A6C0000}"/>
    <cellStyle name="Normal 5 3 6 3 3 2 3" xfId="39362" xr:uid="{00000000-0005-0000-0000-00000B6C0000}"/>
    <cellStyle name="Normal 5 3 6 3 3 3" xfId="10228" xr:uid="{00000000-0005-0000-0000-00000C6C0000}"/>
    <cellStyle name="Normal 5 3 6 3 3 3 2" xfId="35785" xr:uid="{00000000-0005-0000-0000-00000D6C0000}"/>
    <cellStyle name="Normal 5 3 6 3 3 4" xfId="19051" xr:uid="{00000000-0005-0000-0000-00000E6C0000}"/>
    <cellStyle name="Normal 5 3 6 3 3 4 2" xfId="44604" xr:uid="{00000000-0005-0000-0000-00000F6C0000}"/>
    <cellStyle name="Normal 5 3 6 3 3 5" xfId="30541" xr:uid="{00000000-0005-0000-0000-0000106C0000}"/>
    <cellStyle name="Normal 5 3 6 3 4" xfId="1705" xr:uid="{00000000-0005-0000-0000-0000116C0000}"/>
    <cellStyle name="Normal 5 3 6 3 4 2" xfId="11082" xr:uid="{00000000-0005-0000-0000-0000126C0000}"/>
    <cellStyle name="Normal 5 3 6 3 4 2 2" xfId="36637" xr:uid="{00000000-0005-0000-0000-0000136C0000}"/>
    <cellStyle name="Normal 5 3 6 3 4 3" xfId="21086" xr:uid="{00000000-0005-0000-0000-0000146C0000}"/>
    <cellStyle name="Normal 5 3 6 3 4 3 2" xfId="46639" xr:uid="{00000000-0005-0000-0000-0000156C0000}"/>
    <cellStyle name="Normal 5 3 6 3 4 4" xfId="27569" xr:uid="{00000000-0005-0000-0000-0000166C0000}"/>
    <cellStyle name="Normal 5 3 6 3 5" xfId="6425" xr:uid="{00000000-0005-0000-0000-0000176C0000}"/>
    <cellStyle name="Normal 5 3 6 3 5 2" xfId="15252" xr:uid="{00000000-0005-0000-0000-0000186C0000}"/>
    <cellStyle name="Normal 5 3 6 3 5 2 2" xfId="40807" xr:uid="{00000000-0005-0000-0000-0000196C0000}"/>
    <cellStyle name="Normal 5 3 6 3 5 3" xfId="25503" xr:uid="{00000000-0005-0000-0000-00001A6C0000}"/>
    <cellStyle name="Normal 5 3 6 3 5 3 2" xfId="51056" xr:uid="{00000000-0005-0000-0000-00001B6C0000}"/>
    <cellStyle name="Normal 5 3 6 3 5 4" xfId="31986" xr:uid="{00000000-0005-0000-0000-00001C6C0000}"/>
    <cellStyle name="Normal 5 3 6 3 6" xfId="7871" xr:uid="{00000000-0005-0000-0000-00001D6C0000}"/>
    <cellStyle name="Normal 5 3 6 3 6 2" xfId="20455" xr:uid="{00000000-0005-0000-0000-00001E6C0000}"/>
    <cellStyle name="Normal 5 3 6 3 6 2 2" xfId="46008" xr:uid="{00000000-0005-0000-0000-00001F6C0000}"/>
    <cellStyle name="Normal 5 3 6 3 6 3" xfId="33428" xr:uid="{00000000-0005-0000-0000-0000206C0000}"/>
    <cellStyle name="Normal 5 3 6 3 7" xfId="16079" xr:uid="{00000000-0005-0000-0000-0000216C0000}"/>
    <cellStyle name="Normal 5 3 6 3 7 2" xfId="41632" xr:uid="{00000000-0005-0000-0000-0000226C0000}"/>
    <cellStyle name="Normal 5 3 6 3 8" xfId="26938" xr:uid="{00000000-0005-0000-0000-0000236C0000}"/>
    <cellStyle name="Normal 5 3 6 4" xfId="2786" xr:uid="{00000000-0005-0000-0000-0000246C0000}"/>
    <cellStyle name="Normal 5 3 6 4 2" xfId="5164" xr:uid="{00000000-0005-0000-0000-0000256C0000}"/>
    <cellStyle name="Normal 5 3 6 4 2 2" xfId="14001" xr:uid="{00000000-0005-0000-0000-0000266C0000}"/>
    <cellStyle name="Normal 5 3 6 4 2 2 2" xfId="24252" xr:uid="{00000000-0005-0000-0000-0000276C0000}"/>
    <cellStyle name="Normal 5 3 6 4 2 2 2 2" xfId="49805" xr:uid="{00000000-0005-0000-0000-0000286C0000}"/>
    <cellStyle name="Normal 5 3 6 4 2 2 3" xfId="39556" xr:uid="{00000000-0005-0000-0000-0000296C0000}"/>
    <cellStyle name="Normal 5 3 6 4 2 3" xfId="10422" xr:uid="{00000000-0005-0000-0000-00002A6C0000}"/>
    <cellStyle name="Normal 5 3 6 4 2 3 2" xfId="35979" xr:uid="{00000000-0005-0000-0000-00002B6C0000}"/>
    <cellStyle name="Normal 5 3 6 4 2 4" xfId="19245" xr:uid="{00000000-0005-0000-0000-00002C6C0000}"/>
    <cellStyle name="Normal 5 3 6 4 2 4 2" xfId="44798" xr:uid="{00000000-0005-0000-0000-00002D6C0000}"/>
    <cellStyle name="Normal 5 3 6 4 2 5" xfId="30735" xr:uid="{00000000-0005-0000-0000-00002E6C0000}"/>
    <cellStyle name="Normal 5 3 6 4 3" xfId="6619" xr:uid="{00000000-0005-0000-0000-00002F6C0000}"/>
    <cellStyle name="Normal 5 3 6 4 3 2" xfId="15446" xr:uid="{00000000-0005-0000-0000-0000306C0000}"/>
    <cellStyle name="Normal 5 3 6 4 3 2 2" xfId="41001" xr:uid="{00000000-0005-0000-0000-0000316C0000}"/>
    <cellStyle name="Normal 5 3 6 4 3 3" xfId="25697" xr:uid="{00000000-0005-0000-0000-0000326C0000}"/>
    <cellStyle name="Normal 5 3 6 4 3 3 2" xfId="51250" xr:uid="{00000000-0005-0000-0000-0000336C0000}"/>
    <cellStyle name="Normal 5 3 6 4 3 4" xfId="32180" xr:uid="{00000000-0005-0000-0000-0000346C0000}"/>
    <cellStyle name="Normal 5 3 6 4 4" xfId="8065" xr:uid="{00000000-0005-0000-0000-0000356C0000}"/>
    <cellStyle name="Normal 5 3 6 4 4 2" xfId="22147" xr:uid="{00000000-0005-0000-0000-0000366C0000}"/>
    <cellStyle name="Normal 5 3 6 4 4 2 2" xfId="47700" xr:uid="{00000000-0005-0000-0000-0000376C0000}"/>
    <cellStyle name="Normal 5 3 6 4 4 3" xfId="33622" xr:uid="{00000000-0005-0000-0000-0000386C0000}"/>
    <cellStyle name="Normal 5 3 6 4 5" xfId="17140" xr:uid="{00000000-0005-0000-0000-0000396C0000}"/>
    <cellStyle name="Normal 5 3 6 4 5 2" xfId="42693" xr:uid="{00000000-0005-0000-0000-00003A6C0000}"/>
    <cellStyle name="Normal 5 3 6 4 6" xfId="28630" xr:uid="{00000000-0005-0000-0000-00003B6C0000}"/>
    <cellStyle name="Normal 5 3 6 5" xfId="4118" xr:uid="{00000000-0005-0000-0000-00003C6C0000}"/>
    <cellStyle name="Normal 5 3 6 5 2" xfId="12956" xr:uid="{00000000-0005-0000-0000-00003D6C0000}"/>
    <cellStyle name="Normal 5 3 6 5 2 2" xfId="23207" xr:uid="{00000000-0005-0000-0000-00003E6C0000}"/>
    <cellStyle name="Normal 5 3 6 5 2 2 2" xfId="48760" xr:uid="{00000000-0005-0000-0000-00003F6C0000}"/>
    <cellStyle name="Normal 5 3 6 5 2 3" xfId="38511" xr:uid="{00000000-0005-0000-0000-0000406C0000}"/>
    <cellStyle name="Normal 5 3 6 5 3" xfId="9377" xr:uid="{00000000-0005-0000-0000-0000416C0000}"/>
    <cellStyle name="Normal 5 3 6 5 3 2" xfId="34934" xr:uid="{00000000-0005-0000-0000-0000426C0000}"/>
    <cellStyle name="Normal 5 3 6 5 4" xfId="18200" xr:uid="{00000000-0005-0000-0000-0000436C0000}"/>
    <cellStyle name="Normal 5 3 6 5 4 2" xfId="43753" xr:uid="{00000000-0005-0000-0000-0000446C0000}"/>
    <cellStyle name="Normal 5 3 6 5 5" xfId="29690" xr:uid="{00000000-0005-0000-0000-0000456C0000}"/>
    <cellStyle name="Normal 5 3 6 6" xfId="1895" xr:uid="{00000000-0005-0000-0000-0000466C0000}"/>
    <cellStyle name="Normal 5 3 6 6 2" xfId="11260" xr:uid="{00000000-0005-0000-0000-0000476C0000}"/>
    <cellStyle name="Normal 5 3 6 6 2 2" xfId="36815" xr:uid="{00000000-0005-0000-0000-0000486C0000}"/>
    <cellStyle name="Normal 5 3 6 6 3" xfId="21264" xr:uid="{00000000-0005-0000-0000-0000496C0000}"/>
    <cellStyle name="Normal 5 3 6 6 3 2" xfId="46817" xr:uid="{00000000-0005-0000-0000-00004A6C0000}"/>
    <cellStyle name="Normal 5 3 6 6 4" xfId="27747" xr:uid="{00000000-0005-0000-0000-00004B6C0000}"/>
    <cellStyle name="Normal 5 3 6 7" xfId="5576" xr:uid="{00000000-0005-0000-0000-00004C6C0000}"/>
    <cellStyle name="Normal 5 3 6 7 2" xfId="14403" xr:uid="{00000000-0005-0000-0000-00004D6C0000}"/>
    <cellStyle name="Normal 5 3 6 7 2 2" xfId="39958" xr:uid="{00000000-0005-0000-0000-00004E6C0000}"/>
    <cellStyle name="Normal 5 3 6 7 3" xfId="24654" xr:uid="{00000000-0005-0000-0000-00004F6C0000}"/>
    <cellStyle name="Normal 5 3 6 7 3 2" xfId="50207" xr:uid="{00000000-0005-0000-0000-0000506C0000}"/>
    <cellStyle name="Normal 5 3 6 7 4" xfId="31137" xr:uid="{00000000-0005-0000-0000-0000516C0000}"/>
    <cellStyle name="Normal 5 3 6 8" xfId="7020" xr:uid="{00000000-0005-0000-0000-0000526C0000}"/>
    <cellStyle name="Normal 5 3 6 8 2" xfId="19746" xr:uid="{00000000-0005-0000-0000-0000536C0000}"/>
    <cellStyle name="Normal 5 3 6 8 2 2" xfId="45299" xr:uid="{00000000-0005-0000-0000-0000546C0000}"/>
    <cellStyle name="Normal 5 3 6 8 3" xfId="32577" xr:uid="{00000000-0005-0000-0000-0000556C0000}"/>
    <cellStyle name="Normal 5 3 6 9" xfId="16257" xr:uid="{00000000-0005-0000-0000-0000566C0000}"/>
    <cellStyle name="Normal 5 3 6 9 2" xfId="41810" xr:uid="{00000000-0005-0000-0000-0000576C0000}"/>
    <cellStyle name="Normal 5 3 6_Degree data" xfId="3903" xr:uid="{00000000-0005-0000-0000-0000586C0000}"/>
    <cellStyle name="Normal 5 3 7" xfId="796" xr:uid="{00000000-0005-0000-0000-0000596C0000}"/>
    <cellStyle name="Normal 5 3 7 2" xfId="3281" xr:uid="{00000000-0005-0000-0000-00005A6C0000}"/>
    <cellStyle name="Normal 5 3 7 2 2" xfId="12423" xr:uid="{00000000-0005-0000-0000-00005B6C0000}"/>
    <cellStyle name="Normal 5 3 7 2 2 2" xfId="22642" xr:uid="{00000000-0005-0000-0000-00005C6C0000}"/>
    <cellStyle name="Normal 5 3 7 2 2 2 2" xfId="48195" xr:uid="{00000000-0005-0000-0000-00005D6C0000}"/>
    <cellStyle name="Normal 5 3 7 2 2 3" xfId="37978" xr:uid="{00000000-0005-0000-0000-00005E6C0000}"/>
    <cellStyle name="Normal 5 3 7 2 3" xfId="8845" xr:uid="{00000000-0005-0000-0000-00005F6C0000}"/>
    <cellStyle name="Normal 5 3 7 2 3 2" xfId="34402" xr:uid="{00000000-0005-0000-0000-0000606C0000}"/>
    <cellStyle name="Normal 5 3 7 2 4" xfId="17635" xr:uid="{00000000-0005-0000-0000-0000616C0000}"/>
    <cellStyle name="Normal 5 3 7 2 4 2" xfId="43188" xr:uid="{00000000-0005-0000-0000-0000626C0000}"/>
    <cellStyle name="Normal 5 3 7 2 5" xfId="29125" xr:uid="{00000000-0005-0000-0000-0000636C0000}"/>
    <cellStyle name="Normal 5 3 7 3" xfId="4610" xr:uid="{00000000-0005-0000-0000-0000646C0000}"/>
    <cellStyle name="Normal 5 3 7 3 2" xfId="13448" xr:uid="{00000000-0005-0000-0000-0000656C0000}"/>
    <cellStyle name="Normal 5 3 7 3 2 2" xfId="23699" xr:uid="{00000000-0005-0000-0000-0000666C0000}"/>
    <cellStyle name="Normal 5 3 7 3 2 2 2" xfId="49252" xr:uid="{00000000-0005-0000-0000-0000676C0000}"/>
    <cellStyle name="Normal 5 3 7 3 2 3" xfId="39003" xr:uid="{00000000-0005-0000-0000-0000686C0000}"/>
    <cellStyle name="Normal 5 3 7 3 3" xfId="9869" xr:uid="{00000000-0005-0000-0000-0000696C0000}"/>
    <cellStyle name="Normal 5 3 7 3 3 2" xfId="35426" xr:uid="{00000000-0005-0000-0000-00006A6C0000}"/>
    <cellStyle name="Normal 5 3 7 3 4" xfId="18692" xr:uid="{00000000-0005-0000-0000-00006B6C0000}"/>
    <cellStyle name="Normal 5 3 7 3 4 2" xfId="44245" xr:uid="{00000000-0005-0000-0000-00006C6C0000}"/>
    <cellStyle name="Normal 5 3 7 3 5" xfId="30182" xr:uid="{00000000-0005-0000-0000-00006D6C0000}"/>
    <cellStyle name="Normal 5 3 7 4" xfId="2390" xr:uid="{00000000-0005-0000-0000-00006E6C0000}"/>
    <cellStyle name="Normal 5 3 7 4 2" xfId="11755" xr:uid="{00000000-0005-0000-0000-00006F6C0000}"/>
    <cellStyle name="Normal 5 3 7 4 2 2" xfId="37310" xr:uid="{00000000-0005-0000-0000-0000706C0000}"/>
    <cellStyle name="Normal 5 3 7 4 3" xfId="21759" xr:uid="{00000000-0005-0000-0000-0000716C0000}"/>
    <cellStyle name="Normal 5 3 7 4 3 2" xfId="47312" xr:uid="{00000000-0005-0000-0000-0000726C0000}"/>
    <cellStyle name="Normal 5 3 7 4 4" xfId="28242" xr:uid="{00000000-0005-0000-0000-0000736C0000}"/>
    <cellStyle name="Normal 5 3 7 5" xfId="6066" xr:uid="{00000000-0005-0000-0000-0000746C0000}"/>
    <cellStyle name="Normal 5 3 7 5 2" xfId="14893" xr:uid="{00000000-0005-0000-0000-0000756C0000}"/>
    <cellStyle name="Normal 5 3 7 5 2 2" xfId="40448" xr:uid="{00000000-0005-0000-0000-0000766C0000}"/>
    <cellStyle name="Normal 5 3 7 5 3" xfId="25144" xr:uid="{00000000-0005-0000-0000-0000776C0000}"/>
    <cellStyle name="Normal 5 3 7 5 3 2" xfId="50697" xr:uid="{00000000-0005-0000-0000-0000786C0000}"/>
    <cellStyle name="Normal 5 3 7 5 4" xfId="31627" xr:uid="{00000000-0005-0000-0000-0000796C0000}"/>
    <cellStyle name="Normal 5 3 7 6" xfId="7511" xr:uid="{00000000-0005-0000-0000-00007A6C0000}"/>
    <cellStyle name="Normal 5 3 7 6 2" xfId="20241" xr:uid="{00000000-0005-0000-0000-00007B6C0000}"/>
    <cellStyle name="Normal 5 3 7 6 2 2" xfId="45794" xr:uid="{00000000-0005-0000-0000-00007C6C0000}"/>
    <cellStyle name="Normal 5 3 7 6 3" xfId="33068" xr:uid="{00000000-0005-0000-0000-00007D6C0000}"/>
    <cellStyle name="Normal 5 3 7 7" xfId="16752" xr:uid="{00000000-0005-0000-0000-00007E6C0000}"/>
    <cellStyle name="Normal 5 3 7 7 2" xfId="42305" xr:uid="{00000000-0005-0000-0000-00007F6C0000}"/>
    <cellStyle name="Normal 5 3 7 8" xfId="26724" xr:uid="{00000000-0005-0000-0000-0000806C0000}"/>
    <cellStyle name="Normal 5 3 8" xfId="1052" xr:uid="{00000000-0005-0000-0000-0000816C0000}"/>
    <cellStyle name="Normal 5 3 8 2" xfId="3481" xr:uid="{00000000-0005-0000-0000-0000826C0000}"/>
    <cellStyle name="Normal 5 3 8 2 2" xfId="12617" xr:uid="{00000000-0005-0000-0000-0000836C0000}"/>
    <cellStyle name="Normal 5 3 8 2 2 2" xfId="22836" xr:uid="{00000000-0005-0000-0000-0000846C0000}"/>
    <cellStyle name="Normal 5 3 8 2 2 2 2" xfId="48389" xr:uid="{00000000-0005-0000-0000-0000856C0000}"/>
    <cellStyle name="Normal 5 3 8 2 2 3" xfId="38172" xr:uid="{00000000-0005-0000-0000-0000866C0000}"/>
    <cellStyle name="Normal 5 3 8 2 3" xfId="9039" xr:uid="{00000000-0005-0000-0000-0000876C0000}"/>
    <cellStyle name="Normal 5 3 8 2 3 2" xfId="34596" xr:uid="{00000000-0005-0000-0000-0000886C0000}"/>
    <cellStyle name="Normal 5 3 8 2 4" xfId="17829" xr:uid="{00000000-0005-0000-0000-0000896C0000}"/>
    <cellStyle name="Normal 5 3 8 2 4 2" xfId="43382" xr:uid="{00000000-0005-0000-0000-00008A6C0000}"/>
    <cellStyle name="Normal 5 3 8 2 5" xfId="29319" xr:uid="{00000000-0005-0000-0000-00008B6C0000}"/>
    <cellStyle name="Normal 5 3 8 3" xfId="4959" xr:uid="{00000000-0005-0000-0000-00008C6C0000}"/>
    <cellStyle name="Normal 5 3 8 3 2" xfId="13796" xr:uid="{00000000-0005-0000-0000-00008D6C0000}"/>
    <cellStyle name="Normal 5 3 8 3 2 2" xfId="24047" xr:uid="{00000000-0005-0000-0000-00008E6C0000}"/>
    <cellStyle name="Normal 5 3 8 3 2 2 2" xfId="49600" xr:uid="{00000000-0005-0000-0000-00008F6C0000}"/>
    <cellStyle name="Normal 5 3 8 3 2 3" xfId="39351" xr:uid="{00000000-0005-0000-0000-0000906C0000}"/>
    <cellStyle name="Normal 5 3 8 3 3" xfId="10217" xr:uid="{00000000-0005-0000-0000-0000916C0000}"/>
    <cellStyle name="Normal 5 3 8 3 3 2" xfId="35774" xr:uid="{00000000-0005-0000-0000-0000926C0000}"/>
    <cellStyle name="Normal 5 3 8 3 4" xfId="19040" xr:uid="{00000000-0005-0000-0000-0000936C0000}"/>
    <cellStyle name="Normal 5 3 8 3 4 2" xfId="44593" xr:uid="{00000000-0005-0000-0000-0000946C0000}"/>
    <cellStyle name="Normal 5 3 8 3 5" xfId="30530" xr:uid="{00000000-0005-0000-0000-0000956C0000}"/>
    <cellStyle name="Normal 5 3 8 4" xfId="1715" xr:uid="{00000000-0005-0000-0000-0000966C0000}"/>
    <cellStyle name="Normal 5 3 8 4 2" xfId="11089" xr:uid="{00000000-0005-0000-0000-0000976C0000}"/>
    <cellStyle name="Normal 5 3 8 4 2 2" xfId="36644" xr:uid="{00000000-0005-0000-0000-0000986C0000}"/>
    <cellStyle name="Normal 5 3 8 4 3" xfId="21093" xr:uid="{00000000-0005-0000-0000-0000996C0000}"/>
    <cellStyle name="Normal 5 3 8 4 3 2" xfId="46646" xr:uid="{00000000-0005-0000-0000-00009A6C0000}"/>
    <cellStyle name="Normal 5 3 8 4 4" xfId="27576" xr:uid="{00000000-0005-0000-0000-00009B6C0000}"/>
    <cellStyle name="Normal 5 3 8 5" xfId="6414" xr:uid="{00000000-0005-0000-0000-00009C6C0000}"/>
    <cellStyle name="Normal 5 3 8 5 2" xfId="15241" xr:uid="{00000000-0005-0000-0000-00009D6C0000}"/>
    <cellStyle name="Normal 5 3 8 5 2 2" xfId="40796" xr:uid="{00000000-0005-0000-0000-00009E6C0000}"/>
    <cellStyle name="Normal 5 3 8 5 3" xfId="25492" xr:uid="{00000000-0005-0000-0000-00009F6C0000}"/>
    <cellStyle name="Normal 5 3 8 5 3 2" xfId="51045" xr:uid="{00000000-0005-0000-0000-0000A06C0000}"/>
    <cellStyle name="Normal 5 3 8 5 4" xfId="31975" xr:uid="{00000000-0005-0000-0000-0000A16C0000}"/>
    <cellStyle name="Normal 5 3 8 6" xfId="7860" xr:uid="{00000000-0005-0000-0000-0000A26C0000}"/>
    <cellStyle name="Normal 5 3 8 6 2" xfId="20435" xr:uid="{00000000-0005-0000-0000-0000A36C0000}"/>
    <cellStyle name="Normal 5 3 8 6 2 2" xfId="45988" xr:uid="{00000000-0005-0000-0000-0000A46C0000}"/>
    <cellStyle name="Normal 5 3 8 6 3" xfId="33417" xr:uid="{00000000-0005-0000-0000-0000A56C0000}"/>
    <cellStyle name="Normal 5 3 8 7" xfId="16086" xr:uid="{00000000-0005-0000-0000-0000A66C0000}"/>
    <cellStyle name="Normal 5 3 8 7 2" xfId="41639" xr:uid="{00000000-0005-0000-0000-0000A76C0000}"/>
    <cellStyle name="Normal 5 3 8 8" xfId="26918" xr:uid="{00000000-0005-0000-0000-0000A86C0000}"/>
    <cellStyle name="Normal 5 3 9" xfId="2613" xr:uid="{00000000-0005-0000-0000-0000A96C0000}"/>
    <cellStyle name="Normal 5 3 9 2" xfId="5144" xr:uid="{00000000-0005-0000-0000-0000AA6C0000}"/>
    <cellStyle name="Normal 5 3 9 2 2" xfId="13981" xr:uid="{00000000-0005-0000-0000-0000AB6C0000}"/>
    <cellStyle name="Normal 5 3 9 2 2 2" xfId="24232" xr:uid="{00000000-0005-0000-0000-0000AC6C0000}"/>
    <cellStyle name="Normal 5 3 9 2 2 2 2" xfId="49785" xr:uid="{00000000-0005-0000-0000-0000AD6C0000}"/>
    <cellStyle name="Normal 5 3 9 2 2 3" xfId="39536" xr:uid="{00000000-0005-0000-0000-0000AE6C0000}"/>
    <cellStyle name="Normal 5 3 9 2 3" xfId="10402" xr:uid="{00000000-0005-0000-0000-0000AF6C0000}"/>
    <cellStyle name="Normal 5 3 9 2 3 2" xfId="35959" xr:uid="{00000000-0005-0000-0000-0000B06C0000}"/>
    <cellStyle name="Normal 5 3 9 2 4" xfId="19225" xr:uid="{00000000-0005-0000-0000-0000B16C0000}"/>
    <cellStyle name="Normal 5 3 9 2 4 2" xfId="44778" xr:uid="{00000000-0005-0000-0000-0000B26C0000}"/>
    <cellStyle name="Normal 5 3 9 2 5" xfId="30715" xr:uid="{00000000-0005-0000-0000-0000B36C0000}"/>
    <cellStyle name="Normal 5 3 9 3" xfId="6599" xr:uid="{00000000-0005-0000-0000-0000B46C0000}"/>
    <cellStyle name="Normal 5 3 9 3 2" xfId="15426" xr:uid="{00000000-0005-0000-0000-0000B56C0000}"/>
    <cellStyle name="Normal 5 3 9 3 2 2" xfId="40981" xr:uid="{00000000-0005-0000-0000-0000B66C0000}"/>
    <cellStyle name="Normal 5 3 9 3 3" xfId="25677" xr:uid="{00000000-0005-0000-0000-0000B76C0000}"/>
    <cellStyle name="Normal 5 3 9 3 3 2" xfId="51230" xr:uid="{00000000-0005-0000-0000-0000B86C0000}"/>
    <cellStyle name="Normal 5 3 9 3 4" xfId="32160" xr:uid="{00000000-0005-0000-0000-0000B96C0000}"/>
    <cellStyle name="Normal 5 3 9 4" xfId="8045" xr:uid="{00000000-0005-0000-0000-0000BA6C0000}"/>
    <cellStyle name="Normal 5 3 9 4 2" xfId="21976" xr:uid="{00000000-0005-0000-0000-0000BB6C0000}"/>
    <cellStyle name="Normal 5 3 9 4 2 2" xfId="47529" xr:uid="{00000000-0005-0000-0000-0000BC6C0000}"/>
    <cellStyle name="Normal 5 3 9 4 3" xfId="33602" xr:uid="{00000000-0005-0000-0000-0000BD6C0000}"/>
    <cellStyle name="Normal 5 3 9 5" xfId="16969" xr:uid="{00000000-0005-0000-0000-0000BE6C0000}"/>
    <cellStyle name="Normal 5 3 9 5 2" xfId="42522" xr:uid="{00000000-0005-0000-0000-0000BF6C0000}"/>
    <cellStyle name="Normal 5 3 9 6" xfId="28459" xr:uid="{00000000-0005-0000-0000-0000C06C0000}"/>
    <cellStyle name="Normal 5 3_Degree data" xfId="3892" xr:uid="{00000000-0005-0000-0000-0000C16C0000}"/>
    <cellStyle name="Normal 5 4" xfId="146" xr:uid="{00000000-0005-0000-0000-0000C26C0000}"/>
    <cellStyle name="Normal 5 4 10" xfId="1414" xr:uid="{00000000-0005-0000-0000-0000C36C0000}"/>
    <cellStyle name="Normal 5 4 10 2" xfId="10791" xr:uid="{00000000-0005-0000-0000-0000C46C0000}"/>
    <cellStyle name="Normal 5 4 10 2 2" xfId="36346" xr:uid="{00000000-0005-0000-0000-0000C56C0000}"/>
    <cellStyle name="Normal 5 4 10 3" xfId="20795" xr:uid="{00000000-0005-0000-0000-0000C66C0000}"/>
    <cellStyle name="Normal 5 4 10 3 2" xfId="46348" xr:uid="{00000000-0005-0000-0000-0000C76C0000}"/>
    <cellStyle name="Normal 5 4 10 4" xfId="27278" xr:uid="{00000000-0005-0000-0000-0000C86C0000}"/>
    <cellStyle name="Normal 5 4 11" xfId="5525" xr:uid="{00000000-0005-0000-0000-0000C96C0000}"/>
    <cellStyle name="Normal 5 4 11 2" xfId="14352" xr:uid="{00000000-0005-0000-0000-0000CA6C0000}"/>
    <cellStyle name="Normal 5 4 11 2 2" xfId="39907" xr:uid="{00000000-0005-0000-0000-0000CB6C0000}"/>
    <cellStyle name="Normal 5 4 11 3" xfId="24603" xr:uid="{00000000-0005-0000-0000-0000CC6C0000}"/>
    <cellStyle name="Normal 5 4 11 3 2" xfId="50156" xr:uid="{00000000-0005-0000-0000-0000CD6C0000}"/>
    <cellStyle name="Normal 5 4 11 4" xfId="31086" xr:uid="{00000000-0005-0000-0000-0000CE6C0000}"/>
    <cellStyle name="Normal 5 4 12" xfId="6966" xr:uid="{00000000-0005-0000-0000-0000CF6C0000}"/>
    <cellStyle name="Normal 5 4 12 2" xfId="19610" xr:uid="{00000000-0005-0000-0000-0000D06C0000}"/>
    <cellStyle name="Normal 5 4 12 2 2" xfId="45163" xr:uid="{00000000-0005-0000-0000-0000D16C0000}"/>
    <cellStyle name="Normal 5 4 12 3" xfId="32524" xr:uid="{00000000-0005-0000-0000-0000D26C0000}"/>
    <cellStyle name="Normal 5 4 13" xfId="15788" xr:uid="{00000000-0005-0000-0000-0000D36C0000}"/>
    <cellStyle name="Normal 5 4 13 2" xfId="41341" xr:uid="{00000000-0005-0000-0000-0000D46C0000}"/>
    <cellStyle name="Normal 5 4 14" xfId="26093" xr:uid="{00000000-0005-0000-0000-0000D56C0000}"/>
    <cellStyle name="Normal 5 4 2" xfId="196" xr:uid="{00000000-0005-0000-0000-0000D66C0000}"/>
    <cellStyle name="Normal 5 4 2 10" xfId="7144" xr:uid="{00000000-0005-0000-0000-0000D76C0000}"/>
    <cellStyle name="Normal 5 4 2 10 2" xfId="19653" xr:uid="{00000000-0005-0000-0000-0000D86C0000}"/>
    <cellStyle name="Normal 5 4 2 10 2 2" xfId="45206" xr:uid="{00000000-0005-0000-0000-0000D96C0000}"/>
    <cellStyle name="Normal 5 4 2 10 3" xfId="32701" xr:uid="{00000000-0005-0000-0000-0000DA6C0000}"/>
    <cellStyle name="Normal 5 4 2 11" xfId="15890" xr:uid="{00000000-0005-0000-0000-0000DB6C0000}"/>
    <cellStyle name="Normal 5 4 2 11 2" xfId="41443" xr:uid="{00000000-0005-0000-0000-0000DC6C0000}"/>
    <cellStyle name="Normal 5 4 2 12" xfId="26136" xr:uid="{00000000-0005-0000-0000-0000DD6C0000}"/>
    <cellStyle name="Normal 5 4 2 2" xfId="524" xr:uid="{00000000-0005-0000-0000-0000DE6C0000}"/>
    <cellStyle name="Normal 5 4 2 2 10" xfId="26453" xr:uid="{00000000-0005-0000-0000-0000DF6C0000}"/>
    <cellStyle name="Normal 5 4 2 2 2" xfId="810" xr:uid="{00000000-0005-0000-0000-0000E06C0000}"/>
    <cellStyle name="Normal 5 4 2 2 2 2" xfId="3295" xr:uid="{00000000-0005-0000-0000-0000E16C0000}"/>
    <cellStyle name="Normal 5 4 2 2 2 2 2" xfId="12437" xr:uid="{00000000-0005-0000-0000-0000E26C0000}"/>
    <cellStyle name="Normal 5 4 2 2 2 2 2 2" xfId="22656" xr:uid="{00000000-0005-0000-0000-0000E36C0000}"/>
    <cellStyle name="Normal 5 4 2 2 2 2 2 2 2" xfId="48209" xr:uid="{00000000-0005-0000-0000-0000E46C0000}"/>
    <cellStyle name="Normal 5 4 2 2 2 2 2 3" xfId="37992" xr:uid="{00000000-0005-0000-0000-0000E56C0000}"/>
    <cellStyle name="Normal 5 4 2 2 2 2 3" xfId="8859" xr:uid="{00000000-0005-0000-0000-0000E66C0000}"/>
    <cellStyle name="Normal 5 4 2 2 2 2 3 2" xfId="34416" xr:uid="{00000000-0005-0000-0000-0000E76C0000}"/>
    <cellStyle name="Normal 5 4 2 2 2 2 4" xfId="17649" xr:uid="{00000000-0005-0000-0000-0000E86C0000}"/>
    <cellStyle name="Normal 5 4 2 2 2 2 4 2" xfId="43202" xr:uid="{00000000-0005-0000-0000-0000E96C0000}"/>
    <cellStyle name="Normal 5 4 2 2 2 2 5" xfId="29139" xr:uid="{00000000-0005-0000-0000-0000EA6C0000}"/>
    <cellStyle name="Normal 5 4 2 2 2 3" xfId="4624" xr:uid="{00000000-0005-0000-0000-0000EB6C0000}"/>
    <cellStyle name="Normal 5 4 2 2 2 3 2" xfId="13462" xr:uid="{00000000-0005-0000-0000-0000EC6C0000}"/>
    <cellStyle name="Normal 5 4 2 2 2 3 2 2" xfId="23713" xr:uid="{00000000-0005-0000-0000-0000ED6C0000}"/>
    <cellStyle name="Normal 5 4 2 2 2 3 2 2 2" xfId="49266" xr:uid="{00000000-0005-0000-0000-0000EE6C0000}"/>
    <cellStyle name="Normal 5 4 2 2 2 3 2 3" xfId="39017" xr:uid="{00000000-0005-0000-0000-0000EF6C0000}"/>
    <cellStyle name="Normal 5 4 2 2 2 3 3" xfId="9883" xr:uid="{00000000-0005-0000-0000-0000F06C0000}"/>
    <cellStyle name="Normal 5 4 2 2 2 3 3 2" xfId="35440" xr:uid="{00000000-0005-0000-0000-0000F16C0000}"/>
    <cellStyle name="Normal 5 4 2 2 2 3 4" xfId="18706" xr:uid="{00000000-0005-0000-0000-0000F26C0000}"/>
    <cellStyle name="Normal 5 4 2 2 2 3 4 2" xfId="44259" xr:uid="{00000000-0005-0000-0000-0000F36C0000}"/>
    <cellStyle name="Normal 5 4 2 2 2 3 5" xfId="30196" xr:uid="{00000000-0005-0000-0000-0000F46C0000}"/>
    <cellStyle name="Normal 5 4 2 2 2 4" xfId="2404" xr:uid="{00000000-0005-0000-0000-0000F56C0000}"/>
    <cellStyle name="Normal 5 4 2 2 2 4 2" xfId="11769" xr:uid="{00000000-0005-0000-0000-0000F66C0000}"/>
    <cellStyle name="Normal 5 4 2 2 2 4 2 2" xfId="37324" xr:uid="{00000000-0005-0000-0000-0000F76C0000}"/>
    <cellStyle name="Normal 5 4 2 2 2 4 3" xfId="21773" xr:uid="{00000000-0005-0000-0000-0000F86C0000}"/>
    <cellStyle name="Normal 5 4 2 2 2 4 3 2" xfId="47326" xr:uid="{00000000-0005-0000-0000-0000F96C0000}"/>
    <cellStyle name="Normal 5 4 2 2 2 4 4" xfId="28256" xr:uid="{00000000-0005-0000-0000-0000FA6C0000}"/>
    <cellStyle name="Normal 5 4 2 2 2 5" xfId="6080" xr:uid="{00000000-0005-0000-0000-0000FB6C0000}"/>
    <cellStyle name="Normal 5 4 2 2 2 5 2" xfId="14907" xr:uid="{00000000-0005-0000-0000-0000FC6C0000}"/>
    <cellStyle name="Normal 5 4 2 2 2 5 2 2" xfId="40462" xr:uid="{00000000-0005-0000-0000-0000FD6C0000}"/>
    <cellStyle name="Normal 5 4 2 2 2 5 3" xfId="25158" xr:uid="{00000000-0005-0000-0000-0000FE6C0000}"/>
    <cellStyle name="Normal 5 4 2 2 2 5 3 2" xfId="50711" xr:uid="{00000000-0005-0000-0000-0000FF6C0000}"/>
    <cellStyle name="Normal 5 4 2 2 2 5 4" xfId="31641" xr:uid="{00000000-0005-0000-0000-0000006D0000}"/>
    <cellStyle name="Normal 5 4 2 2 2 6" xfId="7525" xr:uid="{00000000-0005-0000-0000-0000016D0000}"/>
    <cellStyle name="Normal 5 4 2 2 2 6 2" xfId="20255" xr:uid="{00000000-0005-0000-0000-0000026D0000}"/>
    <cellStyle name="Normal 5 4 2 2 2 6 2 2" xfId="45808" xr:uid="{00000000-0005-0000-0000-0000036D0000}"/>
    <cellStyle name="Normal 5 4 2 2 2 6 3" xfId="33082" xr:uid="{00000000-0005-0000-0000-0000046D0000}"/>
    <cellStyle name="Normal 5 4 2 2 2 7" xfId="16766" xr:uid="{00000000-0005-0000-0000-0000056D0000}"/>
    <cellStyle name="Normal 5 4 2 2 2 7 2" xfId="42319" xr:uid="{00000000-0005-0000-0000-0000066D0000}"/>
    <cellStyle name="Normal 5 4 2 2 2 8" xfId="26738" xr:uid="{00000000-0005-0000-0000-0000076D0000}"/>
    <cellStyle name="Normal 5 4 2 2 3" xfId="1296" xr:uid="{00000000-0005-0000-0000-0000086D0000}"/>
    <cellStyle name="Normal 5 4 2 2 3 2" xfId="3725" xr:uid="{00000000-0005-0000-0000-0000096D0000}"/>
    <cellStyle name="Normal 5 4 2 2 3 2 2" xfId="12861" xr:uid="{00000000-0005-0000-0000-00000A6D0000}"/>
    <cellStyle name="Normal 5 4 2 2 3 2 2 2" xfId="23080" xr:uid="{00000000-0005-0000-0000-00000B6D0000}"/>
    <cellStyle name="Normal 5 4 2 2 3 2 2 2 2" xfId="48633" xr:uid="{00000000-0005-0000-0000-00000C6D0000}"/>
    <cellStyle name="Normal 5 4 2 2 3 2 2 3" xfId="38416" xr:uid="{00000000-0005-0000-0000-00000D6D0000}"/>
    <cellStyle name="Normal 5 4 2 2 3 2 3" xfId="9282" xr:uid="{00000000-0005-0000-0000-00000E6D0000}"/>
    <cellStyle name="Normal 5 4 2 2 3 2 3 2" xfId="34839" xr:uid="{00000000-0005-0000-0000-00000F6D0000}"/>
    <cellStyle name="Normal 5 4 2 2 3 2 4" xfId="18073" xr:uid="{00000000-0005-0000-0000-0000106D0000}"/>
    <cellStyle name="Normal 5 4 2 2 3 2 4 2" xfId="43626" xr:uid="{00000000-0005-0000-0000-0000116D0000}"/>
    <cellStyle name="Normal 5 4 2 2 3 2 5" xfId="29563" xr:uid="{00000000-0005-0000-0000-0000126D0000}"/>
    <cellStyle name="Normal 5 4 2 2 3 3" xfId="4973" xr:uid="{00000000-0005-0000-0000-0000136D0000}"/>
    <cellStyle name="Normal 5 4 2 2 3 3 2" xfId="13810" xr:uid="{00000000-0005-0000-0000-0000146D0000}"/>
    <cellStyle name="Normal 5 4 2 2 3 3 2 2" xfId="24061" xr:uid="{00000000-0005-0000-0000-0000156D0000}"/>
    <cellStyle name="Normal 5 4 2 2 3 3 2 2 2" xfId="49614" xr:uid="{00000000-0005-0000-0000-0000166D0000}"/>
    <cellStyle name="Normal 5 4 2 2 3 3 2 3" xfId="39365" xr:uid="{00000000-0005-0000-0000-0000176D0000}"/>
    <cellStyle name="Normal 5 4 2 2 3 3 3" xfId="10231" xr:uid="{00000000-0005-0000-0000-0000186D0000}"/>
    <cellStyle name="Normal 5 4 2 2 3 3 3 2" xfId="35788" xr:uid="{00000000-0005-0000-0000-0000196D0000}"/>
    <cellStyle name="Normal 5 4 2 2 3 3 4" xfId="19054" xr:uid="{00000000-0005-0000-0000-00001A6D0000}"/>
    <cellStyle name="Normal 5 4 2 2 3 3 4 2" xfId="44607" xr:uid="{00000000-0005-0000-0000-00001B6D0000}"/>
    <cellStyle name="Normal 5 4 2 2 3 3 5" xfId="30544" xr:uid="{00000000-0005-0000-0000-00001C6D0000}"/>
    <cellStyle name="Normal 5 4 2 2 3 4" xfId="2119" xr:uid="{00000000-0005-0000-0000-00001D6D0000}"/>
    <cellStyle name="Normal 5 4 2 2 3 4 2" xfId="11484" xr:uid="{00000000-0005-0000-0000-00001E6D0000}"/>
    <cellStyle name="Normal 5 4 2 2 3 4 2 2" xfId="37039" xr:uid="{00000000-0005-0000-0000-00001F6D0000}"/>
    <cellStyle name="Normal 5 4 2 2 3 4 3" xfId="21488" xr:uid="{00000000-0005-0000-0000-0000206D0000}"/>
    <cellStyle name="Normal 5 4 2 2 3 4 3 2" xfId="47041" xr:uid="{00000000-0005-0000-0000-0000216D0000}"/>
    <cellStyle name="Normal 5 4 2 2 3 4 4" xfId="27971" xr:uid="{00000000-0005-0000-0000-0000226D0000}"/>
    <cellStyle name="Normal 5 4 2 2 3 5" xfId="6428" xr:uid="{00000000-0005-0000-0000-0000236D0000}"/>
    <cellStyle name="Normal 5 4 2 2 3 5 2" xfId="15255" xr:uid="{00000000-0005-0000-0000-0000246D0000}"/>
    <cellStyle name="Normal 5 4 2 2 3 5 2 2" xfId="40810" xr:uid="{00000000-0005-0000-0000-0000256D0000}"/>
    <cellStyle name="Normal 5 4 2 2 3 5 3" xfId="25506" xr:uid="{00000000-0005-0000-0000-0000266D0000}"/>
    <cellStyle name="Normal 5 4 2 2 3 5 3 2" xfId="51059" xr:uid="{00000000-0005-0000-0000-0000276D0000}"/>
    <cellStyle name="Normal 5 4 2 2 3 5 4" xfId="31989" xr:uid="{00000000-0005-0000-0000-0000286D0000}"/>
    <cellStyle name="Normal 5 4 2 2 3 6" xfId="7874" xr:uid="{00000000-0005-0000-0000-0000296D0000}"/>
    <cellStyle name="Normal 5 4 2 2 3 6 2" xfId="20679" xr:uid="{00000000-0005-0000-0000-00002A6D0000}"/>
    <cellStyle name="Normal 5 4 2 2 3 6 2 2" xfId="46232" xr:uid="{00000000-0005-0000-0000-00002B6D0000}"/>
    <cellStyle name="Normal 5 4 2 2 3 6 3" xfId="33431" xr:uid="{00000000-0005-0000-0000-00002C6D0000}"/>
    <cellStyle name="Normal 5 4 2 2 3 7" xfId="16481" xr:uid="{00000000-0005-0000-0000-00002D6D0000}"/>
    <cellStyle name="Normal 5 4 2 2 3 7 2" xfId="42034" xr:uid="{00000000-0005-0000-0000-00002E6D0000}"/>
    <cellStyle name="Normal 5 4 2 2 3 8" xfId="27162" xr:uid="{00000000-0005-0000-0000-00002F6D0000}"/>
    <cellStyle name="Normal 5 4 2 2 4" xfId="3010" xr:uid="{00000000-0005-0000-0000-0000306D0000}"/>
    <cellStyle name="Normal 5 4 2 2 4 2" xfId="5388" xr:uid="{00000000-0005-0000-0000-0000316D0000}"/>
    <cellStyle name="Normal 5 4 2 2 4 2 2" xfId="14225" xr:uid="{00000000-0005-0000-0000-0000326D0000}"/>
    <cellStyle name="Normal 5 4 2 2 4 2 2 2" xfId="24476" xr:uid="{00000000-0005-0000-0000-0000336D0000}"/>
    <cellStyle name="Normal 5 4 2 2 4 2 2 2 2" xfId="50029" xr:uid="{00000000-0005-0000-0000-0000346D0000}"/>
    <cellStyle name="Normal 5 4 2 2 4 2 2 3" xfId="39780" xr:uid="{00000000-0005-0000-0000-0000356D0000}"/>
    <cellStyle name="Normal 5 4 2 2 4 2 3" xfId="10646" xr:uid="{00000000-0005-0000-0000-0000366D0000}"/>
    <cellStyle name="Normal 5 4 2 2 4 2 3 2" xfId="36203" xr:uid="{00000000-0005-0000-0000-0000376D0000}"/>
    <cellStyle name="Normal 5 4 2 2 4 2 4" xfId="19469" xr:uid="{00000000-0005-0000-0000-0000386D0000}"/>
    <cellStyle name="Normal 5 4 2 2 4 2 4 2" xfId="45022" xr:uid="{00000000-0005-0000-0000-0000396D0000}"/>
    <cellStyle name="Normal 5 4 2 2 4 2 5" xfId="30959" xr:uid="{00000000-0005-0000-0000-00003A6D0000}"/>
    <cellStyle name="Normal 5 4 2 2 4 3" xfId="6843" xr:uid="{00000000-0005-0000-0000-00003B6D0000}"/>
    <cellStyle name="Normal 5 4 2 2 4 3 2" xfId="15670" xr:uid="{00000000-0005-0000-0000-00003C6D0000}"/>
    <cellStyle name="Normal 5 4 2 2 4 3 2 2" xfId="41225" xr:uid="{00000000-0005-0000-0000-00003D6D0000}"/>
    <cellStyle name="Normal 5 4 2 2 4 3 3" xfId="25921" xr:uid="{00000000-0005-0000-0000-00003E6D0000}"/>
    <cellStyle name="Normal 5 4 2 2 4 3 3 2" xfId="51474" xr:uid="{00000000-0005-0000-0000-00003F6D0000}"/>
    <cellStyle name="Normal 5 4 2 2 4 3 4" xfId="32404" xr:uid="{00000000-0005-0000-0000-0000406D0000}"/>
    <cellStyle name="Normal 5 4 2 2 4 4" xfId="8289" xr:uid="{00000000-0005-0000-0000-0000416D0000}"/>
    <cellStyle name="Normal 5 4 2 2 4 4 2" xfId="22371" xr:uid="{00000000-0005-0000-0000-0000426D0000}"/>
    <cellStyle name="Normal 5 4 2 2 4 4 2 2" xfId="47924" xr:uid="{00000000-0005-0000-0000-0000436D0000}"/>
    <cellStyle name="Normal 5 4 2 2 4 4 3" xfId="33846" xr:uid="{00000000-0005-0000-0000-0000446D0000}"/>
    <cellStyle name="Normal 5 4 2 2 4 5" xfId="17364" xr:uid="{00000000-0005-0000-0000-0000456D0000}"/>
    <cellStyle name="Normal 5 4 2 2 4 5 2" xfId="42917" xr:uid="{00000000-0005-0000-0000-0000466D0000}"/>
    <cellStyle name="Normal 5 4 2 2 4 6" xfId="28854" xr:uid="{00000000-0005-0000-0000-0000476D0000}"/>
    <cellStyle name="Normal 5 4 2 2 5" xfId="4344" xr:uid="{00000000-0005-0000-0000-0000486D0000}"/>
    <cellStyle name="Normal 5 4 2 2 5 2" xfId="13182" xr:uid="{00000000-0005-0000-0000-0000496D0000}"/>
    <cellStyle name="Normal 5 4 2 2 5 2 2" xfId="23433" xr:uid="{00000000-0005-0000-0000-00004A6D0000}"/>
    <cellStyle name="Normal 5 4 2 2 5 2 2 2" xfId="48986" xr:uid="{00000000-0005-0000-0000-00004B6D0000}"/>
    <cellStyle name="Normal 5 4 2 2 5 2 3" xfId="38737" xr:uid="{00000000-0005-0000-0000-00004C6D0000}"/>
    <cellStyle name="Normal 5 4 2 2 5 3" xfId="9603" xr:uid="{00000000-0005-0000-0000-00004D6D0000}"/>
    <cellStyle name="Normal 5 4 2 2 5 3 2" xfId="35160" xr:uid="{00000000-0005-0000-0000-00004E6D0000}"/>
    <cellStyle name="Normal 5 4 2 2 5 4" xfId="18426" xr:uid="{00000000-0005-0000-0000-00004F6D0000}"/>
    <cellStyle name="Normal 5 4 2 2 5 4 2" xfId="43979" xr:uid="{00000000-0005-0000-0000-0000506D0000}"/>
    <cellStyle name="Normal 5 4 2 2 5 5" xfId="29916" xr:uid="{00000000-0005-0000-0000-0000516D0000}"/>
    <cellStyle name="Normal 5 4 2 2 6" xfId="1616" xr:uid="{00000000-0005-0000-0000-0000526D0000}"/>
    <cellStyle name="Normal 5 4 2 2 6 2" xfId="10993" xr:uid="{00000000-0005-0000-0000-0000536D0000}"/>
    <cellStyle name="Normal 5 4 2 2 6 2 2" xfId="36548" xr:uid="{00000000-0005-0000-0000-0000546D0000}"/>
    <cellStyle name="Normal 5 4 2 2 6 3" xfId="20997" xr:uid="{00000000-0005-0000-0000-0000556D0000}"/>
    <cellStyle name="Normal 5 4 2 2 6 3 2" xfId="46550" xr:uid="{00000000-0005-0000-0000-0000566D0000}"/>
    <cellStyle name="Normal 5 4 2 2 6 4" xfId="27480" xr:uid="{00000000-0005-0000-0000-0000576D0000}"/>
    <cellStyle name="Normal 5 4 2 2 7" xfId="5800" xr:uid="{00000000-0005-0000-0000-0000586D0000}"/>
    <cellStyle name="Normal 5 4 2 2 7 2" xfId="14627" xr:uid="{00000000-0005-0000-0000-0000596D0000}"/>
    <cellStyle name="Normal 5 4 2 2 7 2 2" xfId="40182" xr:uid="{00000000-0005-0000-0000-00005A6D0000}"/>
    <cellStyle name="Normal 5 4 2 2 7 3" xfId="24878" xr:uid="{00000000-0005-0000-0000-00005B6D0000}"/>
    <cellStyle name="Normal 5 4 2 2 7 3 2" xfId="50431" xr:uid="{00000000-0005-0000-0000-00005C6D0000}"/>
    <cellStyle name="Normal 5 4 2 2 7 4" xfId="31361" xr:uid="{00000000-0005-0000-0000-00005D6D0000}"/>
    <cellStyle name="Normal 5 4 2 2 8" xfId="7244" xr:uid="{00000000-0005-0000-0000-00005E6D0000}"/>
    <cellStyle name="Normal 5 4 2 2 8 2" xfId="19970" xr:uid="{00000000-0005-0000-0000-00005F6D0000}"/>
    <cellStyle name="Normal 5 4 2 2 8 2 2" xfId="45523" xr:uid="{00000000-0005-0000-0000-0000606D0000}"/>
    <cellStyle name="Normal 5 4 2 2 8 3" xfId="32801" xr:uid="{00000000-0005-0000-0000-0000616D0000}"/>
    <cellStyle name="Normal 5 4 2 2 9" xfId="15990" xr:uid="{00000000-0005-0000-0000-0000626D0000}"/>
    <cellStyle name="Normal 5 4 2 2 9 2" xfId="41543" xr:uid="{00000000-0005-0000-0000-0000636D0000}"/>
    <cellStyle name="Normal 5 4 2 2_Degree data" xfId="3859" xr:uid="{00000000-0005-0000-0000-0000646D0000}"/>
    <cellStyle name="Normal 5 4 2 3" xfId="424" xr:uid="{00000000-0005-0000-0000-0000656D0000}"/>
    <cellStyle name="Normal 5 4 2 3 2" xfId="2910" xr:uid="{00000000-0005-0000-0000-0000666D0000}"/>
    <cellStyle name="Normal 5 4 2 3 2 2" xfId="12198" xr:uid="{00000000-0005-0000-0000-0000676D0000}"/>
    <cellStyle name="Normal 5 4 2 3 2 2 2" xfId="22271" xr:uid="{00000000-0005-0000-0000-0000686D0000}"/>
    <cellStyle name="Normal 5 4 2 3 2 2 2 2" xfId="47824" xr:uid="{00000000-0005-0000-0000-0000696D0000}"/>
    <cellStyle name="Normal 5 4 2 3 2 2 3" xfId="37753" xr:uid="{00000000-0005-0000-0000-00006A6D0000}"/>
    <cellStyle name="Normal 5 4 2 3 2 3" xfId="8620" xr:uid="{00000000-0005-0000-0000-00006B6D0000}"/>
    <cellStyle name="Normal 5 4 2 3 2 3 2" xfId="34177" xr:uid="{00000000-0005-0000-0000-00006C6D0000}"/>
    <cellStyle name="Normal 5 4 2 3 2 4" xfId="17264" xr:uid="{00000000-0005-0000-0000-00006D6D0000}"/>
    <cellStyle name="Normal 5 4 2 3 2 4 2" xfId="42817" xr:uid="{00000000-0005-0000-0000-00006E6D0000}"/>
    <cellStyle name="Normal 5 4 2 3 2 5" xfId="28754" xr:uid="{00000000-0005-0000-0000-00006F6D0000}"/>
    <cellStyle name="Normal 5 4 2 3 3" xfId="4623" xr:uid="{00000000-0005-0000-0000-0000706D0000}"/>
    <cellStyle name="Normal 5 4 2 3 3 2" xfId="13461" xr:uid="{00000000-0005-0000-0000-0000716D0000}"/>
    <cellStyle name="Normal 5 4 2 3 3 2 2" xfId="23712" xr:uid="{00000000-0005-0000-0000-0000726D0000}"/>
    <cellStyle name="Normal 5 4 2 3 3 2 2 2" xfId="49265" xr:uid="{00000000-0005-0000-0000-0000736D0000}"/>
    <cellStyle name="Normal 5 4 2 3 3 2 3" xfId="39016" xr:uid="{00000000-0005-0000-0000-0000746D0000}"/>
    <cellStyle name="Normal 5 4 2 3 3 3" xfId="9882" xr:uid="{00000000-0005-0000-0000-0000756D0000}"/>
    <cellStyle name="Normal 5 4 2 3 3 3 2" xfId="35439" xr:uid="{00000000-0005-0000-0000-0000766D0000}"/>
    <cellStyle name="Normal 5 4 2 3 3 4" xfId="18705" xr:uid="{00000000-0005-0000-0000-0000776D0000}"/>
    <cellStyle name="Normal 5 4 2 3 3 4 2" xfId="44258" xr:uid="{00000000-0005-0000-0000-0000786D0000}"/>
    <cellStyle name="Normal 5 4 2 3 3 5" xfId="30195" xr:uid="{00000000-0005-0000-0000-0000796D0000}"/>
    <cellStyle name="Normal 5 4 2 3 4" xfId="2019" xr:uid="{00000000-0005-0000-0000-00007A6D0000}"/>
    <cellStyle name="Normal 5 4 2 3 4 2" xfId="11384" xr:uid="{00000000-0005-0000-0000-00007B6D0000}"/>
    <cellStyle name="Normal 5 4 2 3 4 2 2" xfId="36939" xr:uid="{00000000-0005-0000-0000-00007C6D0000}"/>
    <cellStyle name="Normal 5 4 2 3 4 3" xfId="21388" xr:uid="{00000000-0005-0000-0000-00007D6D0000}"/>
    <cellStyle name="Normal 5 4 2 3 4 3 2" xfId="46941" xr:uid="{00000000-0005-0000-0000-00007E6D0000}"/>
    <cellStyle name="Normal 5 4 2 3 4 4" xfId="27871" xr:uid="{00000000-0005-0000-0000-00007F6D0000}"/>
    <cellStyle name="Normal 5 4 2 3 5" xfId="6079" xr:uid="{00000000-0005-0000-0000-0000806D0000}"/>
    <cellStyle name="Normal 5 4 2 3 5 2" xfId="14906" xr:uid="{00000000-0005-0000-0000-0000816D0000}"/>
    <cellStyle name="Normal 5 4 2 3 5 2 2" xfId="40461" xr:uid="{00000000-0005-0000-0000-0000826D0000}"/>
    <cellStyle name="Normal 5 4 2 3 5 3" xfId="25157" xr:uid="{00000000-0005-0000-0000-0000836D0000}"/>
    <cellStyle name="Normal 5 4 2 3 5 3 2" xfId="50710" xr:uid="{00000000-0005-0000-0000-0000846D0000}"/>
    <cellStyle name="Normal 5 4 2 3 5 4" xfId="31640" xr:uid="{00000000-0005-0000-0000-0000856D0000}"/>
    <cellStyle name="Normal 5 4 2 3 6" xfId="7524" xr:uid="{00000000-0005-0000-0000-0000866D0000}"/>
    <cellStyle name="Normal 5 4 2 3 6 2" xfId="19870" xr:uid="{00000000-0005-0000-0000-0000876D0000}"/>
    <cellStyle name="Normal 5 4 2 3 6 2 2" xfId="45423" xr:uid="{00000000-0005-0000-0000-0000886D0000}"/>
    <cellStyle name="Normal 5 4 2 3 6 3" xfId="33081" xr:uid="{00000000-0005-0000-0000-0000896D0000}"/>
    <cellStyle name="Normal 5 4 2 3 7" xfId="16381" xr:uid="{00000000-0005-0000-0000-00008A6D0000}"/>
    <cellStyle name="Normal 5 4 2 3 7 2" xfId="41934" xr:uid="{00000000-0005-0000-0000-00008B6D0000}"/>
    <cellStyle name="Normal 5 4 2 3 8" xfId="26353" xr:uid="{00000000-0005-0000-0000-00008C6D0000}"/>
    <cellStyle name="Normal 5 4 2 4" xfId="809" xr:uid="{00000000-0005-0000-0000-00008D6D0000}"/>
    <cellStyle name="Normal 5 4 2 4 2" xfId="3294" xr:uid="{00000000-0005-0000-0000-00008E6D0000}"/>
    <cellStyle name="Normal 5 4 2 4 2 2" xfId="12436" xr:uid="{00000000-0005-0000-0000-00008F6D0000}"/>
    <cellStyle name="Normal 5 4 2 4 2 2 2" xfId="22655" xr:uid="{00000000-0005-0000-0000-0000906D0000}"/>
    <cellStyle name="Normal 5 4 2 4 2 2 2 2" xfId="48208" xr:uid="{00000000-0005-0000-0000-0000916D0000}"/>
    <cellStyle name="Normal 5 4 2 4 2 2 3" xfId="37991" xr:uid="{00000000-0005-0000-0000-0000926D0000}"/>
    <cellStyle name="Normal 5 4 2 4 2 3" xfId="8858" xr:uid="{00000000-0005-0000-0000-0000936D0000}"/>
    <cellStyle name="Normal 5 4 2 4 2 3 2" xfId="34415" xr:uid="{00000000-0005-0000-0000-0000946D0000}"/>
    <cellStyle name="Normal 5 4 2 4 2 4" xfId="17648" xr:uid="{00000000-0005-0000-0000-0000956D0000}"/>
    <cellStyle name="Normal 5 4 2 4 2 4 2" xfId="43201" xr:uid="{00000000-0005-0000-0000-0000966D0000}"/>
    <cellStyle name="Normal 5 4 2 4 2 5" xfId="29138" xr:uid="{00000000-0005-0000-0000-0000976D0000}"/>
    <cellStyle name="Normal 5 4 2 4 3" xfId="4972" xr:uid="{00000000-0005-0000-0000-0000986D0000}"/>
    <cellStyle name="Normal 5 4 2 4 3 2" xfId="13809" xr:uid="{00000000-0005-0000-0000-0000996D0000}"/>
    <cellStyle name="Normal 5 4 2 4 3 2 2" xfId="24060" xr:uid="{00000000-0005-0000-0000-00009A6D0000}"/>
    <cellStyle name="Normal 5 4 2 4 3 2 2 2" xfId="49613" xr:uid="{00000000-0005-0000-0000-00009B6D0000}"/>
    <cellStyle name="Normal 5 4 2 4 3 2 3" xfId="39364" xr:uid="{00000000-0005-0000-0000-00009C6D0000}"/>
    <cellStyle name="Normal 5 4 2 4 3 3" xfId="10230" xr:uid="{00000000-0005-0000-0000-00009D6D0000}"/>
    <cellStyle name="Normal 5 4 2 4 3 3 2" xfId="35787" xr:uid="{00000000-0005-0000-0000-00009E6D0000}"/>
    <cellStyle name="Normal 5 4 2 4 3 4" xfId="19053" xr:uid="{00000000-0005-0000-0000-00009F6D0000}"/>
    <cellStyle name="Normal 5 4 2 4 3 4 2" xfId="44606" xr:uid="{00000000-0005-0000-0000-0000A06D0000}"/>
    <cellStyle name="Normal 5 4 2 4 3 5" xfId="30543" xr:uid="{00000000-0005-0000-0000-0000A16D0000}"/>
    <cellStyle name="Normal 5 4 2 4 4" xfId="2403" xr:uid="{00000000-0005-0000-0000-0000A26D0000}"/>
    <cellStyle name="Normal 5 4 2 4 4 2" xfId="11768" xr:uid="{00000000-0005-0000-0000-0000A36D0000}"/>
    <cellStyle name="Normal 5 4 2 4 4 2 2" xfId="37323" xr:uid="{00000000-0005-0000-0000-0000A46D0000}"/>
    <cellStyle name="Normal 5 4 2 4 4 3" xfId="21772" xr:uid="{00000000-0005-0000-0000-0000A56D0000}"/>
    <cellStyle name="Normal 5 4 2 4 4 3 2" xfId="47325" xr:uid="{00000000-0005-0000-0000-0000A66D0000}"/>
    <cellStyle name="Normal 5 4 2 4 4 4" xfId="28255" xr:uid="{00000000-0005-0000-0000-0000A76D0000}"/>
    <cellStyle name="Normal 5 4 2 4 5" xfId="6427" xr:uid="{00000000-0005-0000-0000-0000A86D0000}"/>
    <cellStyle name="Normal 5 4 2 4 5 2" xfId="15254" xr:uid="{00000000-0005-0000-0000-0000A96D0000}"/>
    <cellStyle name="Normal 5 4 2 4 5 2 2" xfId="40809" xr:uid="{00000000-0005-0000-0000-0000AA6D0000}"/>
    <cellStyle name="Normal 5 4 2 4 5 3" xfId="25505" xr:uid="{00000000-0005-0000-0000-0000AB6D0000}"/>
    <cellStyle name="Normal 5 4 2 4 5 3 2" xfId="51058" xr:uid="{00000000-0005-0000-0000-0000AC6D0000}"/>
    <cellStyle name="Normal 5 4 2 4 5 4" xfId="31988" xr:uid="{00000000-0005-0000-0000-0000AD6D0000}"/>
    <cellStyle name="Normal 5 4 2 4 6" xfId="7873" xr:uid="{00000000-0005-0000-0000-0000AE6D0000}"/>
    <cellStyle name="Normal 5 4 2 4 6 2" xfId="20254" xr:uid="{00000000-0005-0000-0000-0000AF6D0000}"/>
    <cellStyle name="Normal 5 4 2 4 6 2 2" xfId="45807" xr:uid="{00000000-0005-0000-0000-0000B06D0000}"/>
    <cellStyle name="Normal 5 4 2 4 6 3" xfId="33430" xr:uid="{00000000-0005-0000-0000-0000B16D0000}"/>
    <cellStyle name="Normal 5 4 2 4 7" xfId="16765" xr:uid="{00000000-0005-0000-0000-0000B26D0000}"/>
    <cellStyle name="Normal 5 4 2 4 7 2" xfId="42318" xr:uid="{00000000-0005-0000-0000-0000B36D0000}"/>
    <cellStyle name="Normal 5 4 2 4 8" xfId="26737" xr:uid="{00000000-0005-0000-0000-0000B46D0000}"/>
    <cellStyle name="Normal 5 4 2 5" xfId="1196" xr:uid="{00000000-0005-0000-0000-0000B56D0000}"/>
    <cellStyle name="Normal 5 4 2 5 2" xfId="3625" xr:uid="{00000000-0005-0000-0000-0000B66D0000}"/>
    <cellStyle name="Normal 5 4 2 5 2 2" xfId="12761" xr:uid="{00000000-0005-0000-0000-0000B76D0000}"/>
    <cellStyle name="Normal 5 4 2 5 2 2 2" xfId="22980" xr:uid="{00000000-0005-0000-0000-0000B86D0000}"/>
    <cellStyle name="Normal 5 4 2 5 2 2 2 2" xfId="48533" xr:uid="{00000000-0005-0000-0000-0000B96D0000}"/>
    <cellStyle name="Normal 5 4 2 5 2 2 3" xfId="38316" xr:uid="{00000000-0005-0000-0000-0000BA6D0000}"/>
    <cellStyle name="Normal 5 4 2 5 2 3" xfId="9182" xr:uid="{00000000-0005-0000-0000-0000BB6D0000}"/>
    <cellStyle name="Normal 5 4 2 5 2 3 2" xfId="34739" xr:uid="{00000000-0005-0000-0000-0000BC6D0000}"/>
    <cellStyle name="Normal 5 4 2 5 2 4" xfId="17973" xr:uid="{00000000-0005-0000-0000-0000BD6D0000}"/>
    <cellStyle name="Normal 5 4 2 5 2 4 2" xfId="43526" xr:uid="{00000000-0005-0000-0000-0000BE6D0000}"/>
    <cellStyle name="Normal 5 4 2 5 2 5" xfId="29463" xr:uid="{00000000-0005-0000-0000-0000BF6D0000}"/>
    <cellStyle name="Normal 5 4 2 5 3" xfId="5288" xr:uid="{00000000-0005-0000-0000-0000C06D0000}"/>
    <cellStyle name="Normal 5 4 2 5 3 2" xfId="14125" xr:uid="{00000000-0005-0000-0000-0000C16D0000}"/>
    <cellStyle name="Normal 5 4 2 5 3 2 2" xfId="24376" xr:uid="{00000000-0005-0000-0000-0000C26D0000}"/>
    <cellStyle name="Normal 5 4 2 5 3 2 2 2" xfId="49929" xr:uid="{00000000-0005-0000-0000-0000C36D0000}"/>
    <cellStyle name="Normal 5 4 2 5 3 2 3" xfId="39680" xr:uid="{00000000-0005-0000-0000-0000C46D0000}"/>
    <cellStyle name="Normal 5 4 2 5 3 3" xfId="10546" xr:uid="{00000000-0005-0000-0000-0000C56D0000}"/>
    <cellStyle name="Normal 5 4 2 5 3 3 2" xfId="36103" xr:uid="{00000000-0005-0000-0000-0000C66D0000}"/>
    <cellStyle name="Normal 5 4 2 5 3 4" xfId="19369" xr:uid="{00000000-0005-0000-0000-0000C76D0000}"/>
    <cellStyle name="Normal 5 4 2 5 3 4 2" xfId="44922" xr:uid="{00000000-0005-0000-0000-0000C86D0000}"/>
    <cellStyle name="Normal 5 4 2 5 3 5" xfId="30859" xr:uid="{00000000-0005-0000-0000-0000C96D0000}"/>
    <cellStyle name="Normal 5 4 2 5 4" xfId="1798" xr:uid="{00000000-0005-0000-0000-0000CA6D0000}"/>
    <cellStyle name="Normal 5 4 2 5 4 2" xfId="11167" xr:uid="{00000000-0005-0000-0000-0000CB6D0000}"/>
    <cellStyle name="Normal 5 4 2 5 4 2 2" xfId="36722" xr:uid="{00000000-0005-0000-0000-0000CC6D0000}"/>
    <cellStyle name="Normal 5 4 2 5 4 3" xfId="21171" xr:uid="{00000000-0005-0000-0000-0000CD6D0000}"/>
    <cellStyle name="Normal 5 4 2 5 4 3 2" xfId="46724" xr:uid="{00000000-0005-0000-0000-0000CE6D0000}"/>
    <cellStyle name="Normal 5 4 2 5 4 4" xfId="27654" xr:uid="{00000000-0005-0000-0000-0000CF6D0000}"/>
    <cellStyle name="Normal 5 4 2 5 5" xfId="6743" xr:uid="{00000000-0005-0000-0000-0000D06D0000}"/>
    <cellStyle name="Normal 5 4 2 5 5 2" xfId="15570" xr:uid="{00000000-0005-0000-0000-0000D16D0000}"/>
    <cellStyle name="Normal 5 4 2 5 5 2 2" xfId="41125" xr:uid="{00000000-0005-0000-0000-0000D26D0000}"/>
    <cellStyle name="Normal 5 4 2 5 5 3" xfId="25821" xr:uid="{00000000-0005-0000-0000-0000D36D0000}"/>
    <cellStyle name="Normal 5 4 2 5 5 3 2" xfId="51374" xr:uid="{00000000-0005-0000-0000-0000D46D0000}"/>
    <cellStyle name="Normal 5 4 2 5 5 4" xfId="32304" xr:uid="{00000000-0005-0000-0000-0000D56D0000}"/>
    <cellStyle name="Normal 5 4 2 5 6" xfId="8189" xr:uid="{00000000-0005-0000-0000-0000D66D0000}"/>
    <cellStyle name="Normal 5 4 2 5 6 2" xfId="20579" xr:uid="{00000000-0005-0000-0000-0000D76D0000}"/>
    <cellStyle name="Normal 5 4 2 5 6 2 2" xfId="46132" xr:uid="{00000000-0005-0000-0000-0000D86D0000}"/>
    <cellStyle name="Normal 5 4 2 5 6 3" xfId="33746" xr:uid="{00000000-0005-0000-0000-0000D96D0000}"/>
    <cellStyle name="Normal 5 4 2 5 7" xfId="16164" xr:uid="{00000000-0005-0000-0000-0000DA6D0000}"/>
    <cellStyle name="Normal 5 4 2 5 7 2" xfId="41717" xr:uid="{00000000-0005-0000-0000-0000DB6D0000}"/>
    <cellStyle name="Normal 5 4 2 5 8" xfId="27062" xr:uid="{00000000-0005-0000-0000-0000DC6D0000}"/>
    <cellStyle name="Normal 5 4 2 6" xfId="2693" xr:uid="{00000000-0005-0000-0000-0000DD6D0000}"/>
    <cellStyle name="Normal 5 4 2 6 2" xfId="12010" xr:uid="{00000000-0005-0000-0000-0000DE6D0000}"/>
    <cellStyle name="Normal 5 4 2 6 2 2" xfId="22054" xr:uid="{00000000-0005-0000-0000-0000DF6D0000}"/>
    <cellStyle name="Normal 5 4 2 6 2 2 2" xfId="47607" xr:uid="{00000000-0005-0000-0000-0000E06D0000}"/>
    <cellStyle name="Normal 5 4 2 6 2 3" xfId="37565" xr:uid="{00000000-0005-0000-0000-0000E16D0000}"/>
    <cellStyle name="Normal 5 4 2 6 3" xfId="8608" xr:uid="{00000000-0005-0000-0000-0000E26D0000}"/>
    <cellStyle name="Normal 5 4 2 6 3 2" xfId="34165" xr:uid="{00000000-0005-0000-0000-0000E36D0000}"/>
    <cellStyle name="Normal 5 4 2 6 4" xfId="17047" xr:uid="{00000000-0005-0000-0000-0000E46D0000}"/>
    <cellStyle name="Normal 5 4 2 6 4 2" xfId="42600" xr:uid="{00000000-0005-0000-0000-0000E56D0000}"/>
    <cellStyle name="Normal 5 4 2 6 5" xfId="28537" xr:uid="{00000000-0005-0000-0000-0000E66D0000}"/>
    <cellStyle name="Normal 5 4 2 7" xfId="4244" xr:uid="{00000000-0005-0000-0000-0000E76D0000}"/>
    <cellStyle name="Normal 5 4 2 7 2" xfId="13082" xr:uid="{00000000-0005-0000-0000-0000E86D0000}"/>
    <cellStyle name="Normal 5 4 2 7 2 2" xfId="23333" xr:uid="{00000000-0005-0000-0000-0000E96D0000}"/>
    <cellStyle name="Normal 5 4 2 7 2 2 2" xfId="48886" xr:uid="{00000000-0005-0000-0000-0000EA6D0000}"/>
    <cellStyle name="Normal 5 4 2 7 2 3" xfId="38637" xr:uid="{00000000-0005-0000-0000-0000EB6D0000}"/>
    <cellStyle name="Normal 5 4 2 7 3" xfId="9503" xr:uid="{00000000-0005-0000-0000-0000EC6D0000}"/>
    <cellStyle name="Normal 5 4 2 7 3 2" xfId="35060" xr:uid="{00000000-0005-0000-0000-0000ED6D0000}"/>
    <cellStyle name="Normal 5 4 2 7 4" xfId="18326" xr:uid="{00000000-0005-0000-0000-0000EE6D0000}"/>
    <cellStyle name="Normal 5 4 2 7 4 2" xfId="43879" xr:uid="{00000000-0005-0000-0000-0000EF6D0000}"/>
    <cellStyle name="Normal 5 4 2 7 5" xfId="29816" xr:uid="{00000000-0005-0000-0000-0000F06D0000}"/>
    <cellStyle name="Normal 5 4 2 8" xfId="1516" xr:uid="{00000000-0005-0000-0000-0000F16D0000}"/>
    <cellStyle name="Normal 5 4 2 8 2" xfId="10893" xr:uid="{00000000-0005-0000-0000-0000F26D0000}"/>
    <cellStyle name="Normal 5 4 2 8 2 2" xfId="36448" xr:uid="{00000000-0005-0000-0000-0000F36D0000}"/>
    <cellStyle name="Normal 5 4 2 8 3" xfId="20897" xr:uid="{00000000-0005-0000-0000-0000F46D0000}"/>
    <cellStyle name="Normal 5 4 2 8 3 2" xfId="46450" xr:uid="{00000000-0005-0000-0000-0000F56D0000}"/>
    <cellStyle name="Normal 5 4 2 8 4" xfId="27380" xr:uid="{00000000-0005-0000-0000-0000F66D0000}"/>
    <cellStyle name="Normal 5 4 2 9" xfId="5700" xr:uid="{00000000-0005-0000-0000-0000F76D0000}"/>
    <cellStyle name="Normal 5 4 2 9 2" xfId="14527" xr:uid="{00000000-0005-0000-0000-0000F86D0000}"/>
    <cellStyle name="Normal 5 4 2 9 2 2" xfId="40082" xr:uid="{00000000-0005-0000-0000-0000F96D0000}"/>
    <cellStyle name="Normal 5 4 2 9 3" xfId="24778" xr:uid="{00000000-0005-0000-0000-0000FA6D0000}"/>
    <cellStyle name="Normal 5 4 2 9 3 2" xfId="50331" xr:uid="{00000000-0005-0000-0000-0000FB6D0000}"/>
    <cellStyle name="Normal 5 4 2 9 4" xfId="31261" xr:uid="{00000000-0005-0000-0000-0000FC6D0000}"/>
    <cellStyle name="Normal 5 4 2_Degree data" xfId="3854" xr:uid="{00000000-0005-0000-0000-0000FD6D0000}"/>
    <cellStyle name="Normal 5 4 3" xfId="262" xr:uid="{00000000-0005-0000-0000-0000FE6D0000}"/>
    <cellStyle name="Normal 5 4 3 10" xfId="7101" xr:uid="{00000000-0005-0000-0000-0000FF6D0000}"/>
    <cellStyle name="Normal 5 4 3 10 2" xfId="19714" xr:uid="{00000000-0005-0000-0000-0000006E0000}"/>
    <cellStyle name="Normal 5 4 3 10 2 2" xfId="45267" xr:uid="{00000000-0005-0000-0000-0000016E0000}"/>
    <cellStyle name="Normal 5 4 3 10 3" xfId="32658" xr:uid="{00000000-0005-0000-0000-0000026E0000}"/>
    <cellStyle name="Normal 5 4 3 11" xfId="15847" xr:uid="{00000000-0005-0000-0000-0000036E0000}"/>
    <cellStyle name="Normal 5 4 3 11 2" xfId="41400" xr:uid="{00000000-0005-0000-0000-0000046E0000}"/>
    <cellStyle name="Normal 5 4 3 12" xfId="26197" xr:uid="{00000000-0005-0000-0000-0000056E0000}"/>
    <cellStyle name="Normal 5 4 3 2" xfId="585" xr:uid="{00000000-0005-0000-0000-0000066E0000}"/>
    <cellStyle name="Normal 5 4 3 2 10" xfId="26514" xr:uid="{00000000-0005-0000-0000-0000076E0000}"/>
    <cellStyle name="Normal 5 4 3 2 2" xfId="812" xr:uid="{00000000-0005-0000-0000-0000086E0000}"/>
    <cellStyle name="Normal 5 4 3 2 2 2" xfId="3297" xr:uid="{00000000-0005-0000-0000-0000096E0000}"/>
    <cellStyle name="Normal 5 4 3 2 2 2 2" xfId="12439" xr:uid="{00000000-0005-0000-0000-00000A6E0000}"/>
    <cellStyle name="Normal 5 4 3 2 2 2 2 2" xfId="22658" xr:uid="{00000000-0005-0000-0000-00000B6E0000}"/>
    <cellStyle name="Normal 5 4 3 2 2 2 2 2 2" xfId="48211" xr:uid="{00000000-0005-0000-0000-00000C6E0000}"/>
    <cellStyle name="Normal 5 4 3 2 2 2 2 3" xfId="37994" xr:uid="{00000000-0005-0000-0000-00000D6E0000}"/>
    <cellStyle name="Normal 5 4 3 2 2 2 3" xfId="8861" xr:uid="{00000000-0005-0000-0000-00000E6E0000}"/>
    <cellStyle name="Normal 5 4 3 2 2 2 3 2" xfId="34418" xr:uid="{00000000-0005-0000-0000-00000F6E0000}"/>
    <cellStyle name="Normal 5 4 3 2 2 2 4" xfId="17651" xr:uid="{00000000-0005-0000-0000-0000106E0000}"/>
    <cellStyle name="Normal 5 4 3 2 2 2 4 2" xfId="43204" xr:uid="{00000000-0005-0000-0000-0000116E0000}"/>
    <cellStyle name="Normal 5 4 3 2 2 2 5" xfId="29141" xr:uid="{00000000-0005-0000-0000-0000126E0000}"/>
    <cellStyle name="Normal 5 4 3 2 2 3" xfId="4626" xr:uid="{00000000-0005-0000-0000-0000136E0000}"/>
    <cellStyle name="Normal 5 4 3 2 2 3 2" xfId="13464" xr:uid="{00000000-0005-0000-0000-0000146E0000}"/>
    <cellStyle name="Normal 5 4 3 2 2 3 2 2" xfId="23715" xr:uid="{00000000-0005-0000-0000-0000156E0000}"/>
    <cellStyle name="Normal 5 4 3 2 2 3 2 2 2" xfId="49268" xr:uid="{00000000-0005-0000-0000-0000166E0000}"/>
    <cellStyle name="Normal 5 4 3 2 2 3 2 3" xfId="39019" xr:uid="{00000000-0005-0000-0000-0000176E0000}"/>
    <cellStyle name="Normal 5 4 3 2 2 3 3" xfId="9885" xr:uid="{00000000-0005-0000-0000-0000186E0000}"/>
    <cellStyle name="Normal 5 4 3 2 2 3 3 2" xfId="35442" xr:uid="{00000000-0005-0000-0000-0000196E0000}"/>
    <cellStyle name="Normal 5 4 3 2 2 3 4" xfId="18708" xr:uid="{00000000-0005-0000-0000-00001A6E0000}"/>
    <cellStyle name="Normal 5 4 3 2 2 3 4 2" xfId="44261" xr:uid="{00000000-0005-0000-0000-00001B6E0000}"/>
    <cellStyle name="Normal 5 4 3 2 2 3 5" xfId="30198" xr:uid="{00000000-0005-0000-0000-00001C6E0000}"/>
    <cellStyle name="Normal 5 4 3 2 2 4" xfId="2406" xr:uid="{00000000-0005-0000-0000-00001D6E0000}"/>
    <cellStyle name="Normal 5 4 3 2 2 4 2" xfId="11771" xr:uid="{00000000-0005-0000-0000-00001E6E0000}"/>
    <cellStyle name="Normal 5 4 3 2 2 4 2 2" xfId="37326" xr:uid="{00000000-0005-0000-0000-00001F6E0000}"/>
    <cellStyle name="Normal 5 4 3 2 2 4 3" xfId="21775" xr:uid="{00000000-0005-0000-0000-0000206E0000}"/>
    <cellStyle name="Normal 5 4 3 2 2 4 3 2" xfId="47328" xr:uid="{00000000-0005-0000-0000-0000216E0000}"/>
    <cellStyle name="Normal 5 4 3 2 2 4 4" xfId="28258" xr:uid="{00000000-0005-0000-0000-0000226E0000}"/>
    <cellStyle name="Normal 5 4 3 2 2 5" xfId="6082" xr:uid="{00000000-0005-0000-0000-0000236E0000}"/>
    <cellStyle name="Normal 5 4 3 2 2 5 2" xfId="14909" xr:uid="{00000000-0005-0000-0000-0000246E0000}"/>
    <cellStyle name="Normal 5 4 3 2 2 5 2 2" xfId="40464" xr:uid="{00000000-0005-0000-0000-0000256E0000}"/>
    <cellStyle name="Normal 5 4 3 2 2 5 3" xfId="25160" xr:uid="{00000000-0005-0000-0000-0000266E0000}"/>
    <cellStyle name="Normal 5 4 3 2 2 5 3 2" xfId="50713" xr:uid="{00000000-0005-0000-0000-0000276E0000}"/>
    <cellStyle name="Normal 5 4 3 2 2 5 4" xfId="31643" xr:uid="{00000000-0005-0000-0000-0000286E0000}"/>
    <cellStyle name="Normal 5 4 3 2 2 6" xfId="7527" xr:uid="{00000000-0005-0000-0000-0000296E0000}"/>
    <cellStyle name="Normal 5 4 3 2 2 6 2" xfId="20257" xr:uid="{00000000-0005-0000-0000-00002A6E0000}"/>
    <cellStyle name="Normal 5 4 3 2 2 6 2 2" xfId="45810" xr:uid="{00000000-0005-0000-0000-00002B6E0000}"/>
    <cellStyle name="Normal 5 4 3 2 2 6 3" xfId="33084" xr:uid="{00000000-0005-0000-0000-00002C6E0000}"/>
    <cellStyle name="Normal 5 4 3 2 2 7" xfId="16768" xr:uid="{00000000-0005-0000-0000-00002D6E0000}"/>
    <cellStyle name="Normal 5 4 3 2 2 7 2" xfId="42321" xr:uid="{00000000-0005-0000-0000-00002E6E0000}"/>
    <cellStyle name="Normal 5 4 3 2 2 8" xfId="26740" xr:uid="{00000000-0005-0000-0000-00002F6E0000}"/>
    <cellStyle name="Normal 5 4 3 2 3" xfId="1357" xr:uid="{00000000-0005-0000-0000-0000306E0000}"/>
    <cellStyle name="Normal 5 4 3 2 3 2" xfId="3786" xr:uid="{00000000-0005-0000-0000-0000316E0000}"/>
    <cellStyle name="Normal 5 4 3 2 3 2 2" xfId="12922" xr:uid="{00000000-0005-0000-0000-0000326E0000}"/>
    <cellStyle name="Normal 5 4 3 2 3 2 2 2" xfId="23141" xr:uid="{00000000-0005-0000-0000-0000336E0000}"/>
    <cellStyle name="Normal 5 4 3 2 3 2 2 2 2" xfId="48694" xr:uid="{00000000-0005-0000-0000-0000346E0000}"/>
    <cellStyle name="Normal 5 4 3 2 3 2 2 3" xfId="38477" xr:uid="{00000000-0005-0000-0000-0000356E0000}"/>
    <cellStyle name="Normal 5 4 3 2 3 2 3" xfId="9343" xr:uid="{00000000-0005-0000-0000-0000366E0000}"/>
    <cellStyle name="Normal 5 4 3 2 3 2 3 2" xfId="34900" xr:uid="{00000000-0005-0000-0000-0000376E0000}"/>
    <cellStyle name="Normal 5 4 3 2 3 2 4" xfId="18134" xr:uid="{00000000-0005-0000-0000-0000386E0000}"/>
    <cellStyle name="Normal 5 4 3 2 3 2 4 2" xfId="43687" xr:uid="{00000000-0005-0000-0000-0000396E0000}"/>
    <cellStyle name="Normal 5 4 3 2 3 2 5" xfId="29624" xr:uid="{00000000-0005-0000-0000-00003A6E0000}"/>
    <cellStyle name="Normal 5 4 3 2 3 3" xfId="4975" xr:uid="{00000000-0005-0000-0000-00003B6E0000}"/>
    <cellStyle name="Normal 5 4 3 2 3 3 2" xfId="13812" xr:uid="{00000000-0005-0000-0000-00003C6E0000}"/>
    <cellStyle name="Normal 5 4 3 2 3 3 2 2" xfId="24063" xr:uid="{00000000-0005-0000-0000-00003D6E0000}"/>
    <cellStyle name="Normal 5 4 3 2 3 3 2 2 2" xfId="49616" xr:uid="{00000000-0005-0000-0000-00003E6E0000}"/>
    <cellStyle name="Normal 5 4 3 2 3 3 2 3" xfId="39367" xr:uid="{00000000-0005-0000-0000-00003F6E0000}"/>
    <cellStyle name="Normal 5 4 3 2 3 3 3" xfId="10233" xr:uid="{00000000-0005-0000-0000-0000406E0000}"/>
    <cellStyle name="Normal 5 4 3 2 3 3 3 2" xfId="35790" xr:uid="{00000000-0005-0000-0000-0000416E0000}"/>
    <cellStyle name="Normal 5 4 3 2 3 3 4" xfId="19056" xr:uid="{00000000-0005-0000-0000-0000426E0000}"/>
    <cellStyle name="Normal 5 4 3 2 3 3 4 2" xfId="44609" xr:uid="{00000000-0005-0000-0000-0000436E0000}"/>
    <cellStyle name="Normal 5 4 3 2 3 3 5" xfId="30546" xr:uid="{00000000-0005-0000-0000-0000446E0000}"/>
    <cellStyle name="Normal 5 4 3 2 3 4" xfId="2180" xr:uid="{00000000-0005-0000-0000-0000456E0000}"/>
    <cellStyle name="Normal 5 4 3 2 3 4 2" xfId="11545" xr:uid="{00000000-0005-0000-0000-0000466E0000}"/>
    <cellStyle name="Normal 5 4 3 2 3 4 2 2" xfId="37100" xr:uid="{00000000-0005-0000-0000-0000476E0000}"/>
    <cellStyle name="Normal 5 4 3 2 3 4 3" xfId="21549" xr:uid="{00000000-0005-0000-0000-0000486E0000}"/>
    <cellStyle name="Normal 5 4 3 2 3 4 3 2" xfId="47102" xr:uid="{00000000-0005-0000-0000-0000496E0000}"/>
    <cellStyle name="Normal 5 4 3 2 3 4 4" xfId="28032" xr:uid="{00000000-0005-0000-0000-00004A6E0000}"/>
    <cellStyle name="Normal 5 4 3 2 3 5" xfId="6430" xr:uid="{00000000-0005-0000-0000-00004B6E0000}"/>
    <cellStyle name="Normal 5 4 3 2 3 5 2" xfId="15257" xr:uid="{00000000-0005-0000-0000-00004C6E0000}"/>
    <cellStyle name="Normal 5 4 3 2 3 5 2 2" xfId="40812" xr:uid="{00000000-0005-0000-0000-00004D6E0000}"/>
    <cellStyle name="Normal 5 4 3 2 3 5 3" xfId="25508" xr:uid="{00000000-0005-0000-0000-00004E6E0000}"/>
    <cellStyle name="Normal 5 4 3 2 3 5 3 2" xfId="51061" xr:uid="{00000000-0005-0000-0000-00004F6E0000}"/>
    <cellStyle name="Normal 5 4 3 2 3 5 4" xfId="31991" xr:uid="{00000000-0005-0000-0000-0000506E0000}"/>
    <cellStyle name="Normal 5 4 3 2 3 6" xfId="7876" xr:uid="{00000000-0005-0000-0000-0000516E0000}"/>
    <cellStyle name="Normal 5 4 3 2 3 6 2" xfId="20740" xr:uid="{00000000-0005-0000-0000-0000526E0000}"/>
    <cellStyle name="Normal 5 4 3 2 3 6 2 2" xfId="46293" xr:uid="{00000000-0005-0000-0000-0000536E0000}"/>
    <cellStyle name="Normal 5 4 3 2 3 6 3" xfId="33433" xr:uid="{00000000-0005-0000-0000-0000546E0000}"/>
    <cellStyle name="Normal 5 4 3 2 3 7" xfId="16542" xr:uid="{00000000-0005-0000-0000-0000556E0000}"/>
    <cellStyle name="Normal 5 4 3 2 3 7 2" xfId="42095" xr:uid="{00000000-0005-0000-0000-0000566E0000}"/>
    <cellStyle name="Normal 5 4 3 2 3 8" xfId="27223" xr:uid="{00000000-0005-0000-0000-0000576E0000}"/>
    <cellStyle name="Normal 5 4 3 2 4" xfId="3071" xr:uid="{00000000-0005-0000-0000-0000586E0000}"/>
    <cellStyle name="Normal 5 4 3 2 4 2" xfId="5449" xr:uid="{00000000-0005-0000-0000-0000596E0000}"/>
    <cellStyle name="Normal 5 4 3 2 4 2 2" xfId="14286" xr:uid="{00000000-0005-0000-0000-00005A6E0000}"/>
    <cellStyle name="Normal 5 4 3 2 4 2 2 2" xfId="24537" xr:uid="{00000000-0005-0000-0000-00005B6E0000}"/>
    <cellStyle name="Normal 5 4 3 2 4 2 2 2 2" xfId="50090" xr:uid="{00000000-0005-0000-0000-00005C6E0000}"/>
    <cellStyle name="Normal 5 4 3 2 4 2 2 3" xfId="39841" xr:uid="{00000000-0005-0000-0000-00005D6E0000}"/>
    <cellStyle name="Normal 5 4 3 2 4 2 3" xfId="10707" xr:uid="{00000000-0005-0000-0000-00005E6E0000}"/>
    <cellStyle name="Normal 5 4 3 2 4 2 3 2" xfId="36264" xr:uid="{00000000-0005-0000-0000-00005F6E0000}"/>
    <cellStyle name="Normal 5 4 3 2 4 2 4" xfId="19530" xr:uid="{00000000-0005-0000-0000-0000606E0000}"/>
    <cellStyle name="Normal 5 4 3 2 4 2 4 2" xfId="45083" xr:uid="{00000000-0005-0000-0000-0000616E0000}"/>
    <cellStyle name="Normal 5 4 3 2 4 2 5" xfId="31020" xr:uid="{00000000-0005-0000-0000-0000626E0000}"/>
    <cellStyle name="Normal 5 4 3 2 4 3" xfId="6904" xr:uid="{00000000-0005-0000-0000-0000636E0000}"/>
    <cellStyle name="Normal 5 4 3 2 4 3 2" xfId="15731" xr:uid="{00000000-0005-0000-0000-0000646E0000}"/>
    <cellStyle name="Normal 5 4 3 2 4 3 2 2" xfId="41286" xr:uid="{00000000-0005-0000-0000-0000656E0000}"/>
    <cellStyle name="Normal 5 4 3 2 4 3 3" xfId="25982" xr:uid="{00000000-0005-0000-0000-0000666E0000}"/>
    <cellStyle name="Normal 5 4 3 2 4 3 3 2" xfId="51535" xr:uid="{00000000-0005-0000-0000-0000676E0000}"/>
    <cellStyle name="Normal 5 4 3 2 4 3 4" xfId="32465" xr:uid="{00000000-0005-0000-0000-0000686E0000}"/>
    <cellStyle name="Normal 5 4 3 2 4 4" xfId="8350" xr:uid="{00000000-0005-0000-0000-0000696E0000}"/>
    <cellStyle name="Normal 5 4 3 2 4 4 2" xfId="22432" xr:uid="{00000000-0005-0000-0000-00006A6E0000}"/>
    <cellStyle name="Normal 5 4 3 2 4 4 2 2" xfId="47985" xr:uid="{00000000-0005-0000-0000-00006B6E0000}"/>
    <cellStyle name="Normal 5 4 3 2 4 4 3" xfId="33907" xr:uid="{00000000-0005-0000-0000-00006C6E0000}"/>
    <cellStyle name="Normal 5 4 3 2 4 5" xfId="17425" xr:uid="{00000000-0005-0000-0000-00006D6E0000}"/>
    <cellStyle name="Normal 5 4 3 2 4 5 2" xfId="42978" xr:uid="{00000000-0005-0000-0000-00006E6E0000}"/>
    <cellStyle name="Normal 5 4 3 2 4 6" xfId="28915" xr:uid="{00000000-0005-0000-0000-00006F6E0000}"/>
    <cellStyle name="Normal 5 4 3 2 5" xfId="4405" xr:uid="{00000000-0005-0000-0000-0000706E0000}"/>
    <cellStyle name="Normal 5 4 3 2 5 2" xfId="13243" xr:uid="{00000000-0005-0000-0000-0000716E0000}"/>
    <cellStyle name="Normal 5 4 3 2 5 2 2" xfId="23494" xr:uid="{00000000-0005-0000-0000-0000726E0000}"/>
    <cellStyle name="Normal 5 4 3 2 5 2 2 2" xfId="49047" xr:uid="{00000000-0005-0000-0000-0000736E0000}"/>
    <cellStyle name="Normal 5 4 3 2 5 2 3" xfId="38798" xr:uid="{00000000-0005-0000-0000-0000746E0000}"/>
    <cellStyle name="Normal 5 4 3 2 5 3" xfId="9664" xr:uid="{00000000-0005-0000-0000-0000756E0000}"/>
    <cellStyle name="Normal 5 4 3 2 5 3 2" xfId="35221" xr:uid="{00000000-0005-0000-0000-0000766E0000}"/>
    <cellStyle name="Normal 5 4 3 2 5 4" xfId="18487" xr:uid="{00000000-0005-0000-0000-0000776E0000}"/>
    <cellStyle name="Normal 5 4 3 2 5 4 2" xfId="44040" xr:uid="{00000000-0005-0000-0000-0000786E0000}"/>
    <cellStyle name="Normal 5 4 3 2 5 5" xfId="29977" xr:uid="{00000000-0005-0000-0000-0000796E0000}"/>
    <cellStyle name="Normal 5 4 3 2 6" xfId="1677" xr:uid="{00000000-0005-0000-0000-00007A6E0000}"/>
    <cellStyle name="Normal 5 4 3 2 6 2" xfId="11054" xr:uid="{00000000-0005-0000-0000-00007B6E0000}"/>
    <cellStyle name="Normal 5 4 3 2 6 2 2" xfId="36609" xr:uid="{00000000-0005-0000-0000-00007C6E0000}"/>
    <cellStyle name="Normal 5 4 3 2 6 3" xfId="21058" xr:uid="{00000000-0005-0000-0000-00007D6E0000}"/>
    <cellStyle name="Normal 5 4 3 2 6 3 2" xfId="46611" xr:uid="{00000000-0005-0000-0000-00007E6E0000}"/>
    <cellStyle name="Normal 5 4 3 2 6 4" xfId="27541" xr:uid="{00000000-0005-0000-0000-00007F6E0000}"/>
    <cellStyle name="Normal 5 4 3 2 7" xfId="5861" xr:uid="{00000000-0005-0000-0000-0000806E0000}"/>
    <cellStyle name="Normal 5 4 3 2 7 2" xfId="14688" xr:uid="{00000000-0005-0000-0000-0000816E0000}"/>
    <cellStyle name="Normal 5 4 3 2 7 2 2" xfId="40243" xr:uid="{00000000-0005-0000-0000-0000826E0000}"/>
    <cellStyle name="Normal 5 4 3 2 7 3" xfId="24939" xr:uid="{00000000-0005-0000-0000-0000836E0000}"/>
    <cellStyle name="Normal 5 4 3 2 7 3 2" xfId="50492" xr:uid="{00000000-0005-0000-0000-0000846E0000}"/>
    <cellStyle name="Normal 5 4 3 2 7 4" xfId="31422" xr:uid="{00000000-0005-0000-0000-0000856E0000}"/>
    <cellStyle name="Normal 5 4 3 2 8" xfId="7305" xr:uid="{00000000-0005-0000-0000-0000866E0000}"/>
    <cellStyle name="Normal 5 4 3 2 8 2" xfId="20031" xr:uid="{00000000-0005-0000-0000-0000876E0000}"/>
    <cellStyle name="Normal 5 4 3 2 8 2 2" xfId="45584" xr:uid="{00000000-0005-0000-0000-0000886E0000}"/>
    <cellStyle name="Normal 5 4 3 2 8 3" xfId="32862" xr:uid="{00000000-0005-0000-0000-0000896E0000}"/>
    <cellStyle name="Normal 5 4 3 2 9" xfId="16051" xr:uid="{00000000-0005-0000-0000-00008A6E0000}"/>
    <cellStyle name="Normal 5 4 3 2 9 2" xfId="41604" xr:uid="{00000000-0005-0000-0000-00008B6E0000}"/>
    <cellStyle name="Normal 5 4 3 2_Degree data" xfId="3463" xr:uid="{00000000-0005-0000-0000-00008C6E0000}"/>
    <cellStyle name="Normal 5 4 3 3" xfId="381" xr:uid="{00000000-0005-0000-0000-00008D6E0000}"/>
    <cellStyle name="Normal 5 4 3 3 2" xfId="2867" xr:uid="{00000000-0005-0000-0000-00008E6E0000}"/>
    <cellStyle name="Normal 5 4 3 3 2 2" xfId="12155" xr:uid="{00000000-0005-0000-0000-00008F6E0000}"/>
    <cellStyle name="Normal 5 4 3 3 2 2 2" xfId="22228" xr:uid="{00000000-0005-0000-0000-0000906E0000}"/>
    <cellStyle name="Normal 5 4 3 3 2 2 2 2" xfId="47781" xr:uid="{00000000-0005-0000-0000-0000916E0000}"/>
    <cellStyle name="Normal 5 4 3 3 2 2 3" xfId="37710" xr:uid="{00000000-0005-0000-0000-0000926E0000}"/>
    <cellStyle name="Normal 5 4 3 3 2 3" xfId="8458" xr:uid="{00000000-0005-0000-0000-0000936E0000}"/>
    <cellStyle name="Normal 5 4 3 3 2 3 2" xfId="34015" xr:uid="{00000000-0005-0000-0000-0000946E0000}"/>
    <cellStyle name="Normal 5 4 3 3 2 4" xfId="17221" xr:uid="{00000000-0005-0000-0000-0000956E0000}"/>
    <cellStyle name="Normal 5 4 3 3 2 4 2" xfId="42774" xr:uid="{00000000-0005-0000-0000-0000966E0000}"/>
    <cellStyle name="Normal 5 4 3 3 2 5" xfId="28711" xr:uid="{00000000-0005-0000-0000-0000976E0000}"/>
    <cellStyle name="Normal 5 4 3 3 3" xfId="4625" xr:uid="{00000000-0005-0000-0000-0000986E0000}"/>
    <cellStyle name="Normal 5 4 3 3 3 2" xfId="13463" xr:uid="{00000000-0005-0000-0000-0000996E0000}"/>
    <cellStyle name="Normal 5 4 3 3 3 2 2" xfId="23714" xr:uid="{00000000-0005-0000-0000-00009A6E0000}"/>
    <cellStyle name="Normal 5 4 3 3 3 2 2 2" xfId="49267" xr:uid="{00000000-0005-0000-0000-00009B6E0000}"/>
    <cellStyle name="Normal 5 4 3 3 3 2 3" xfId="39018" xr:uid="{00000000-0005-0000-0000-00009C6E0000}"/>
    <cellStyle name="Normal 5 4 3 3 3 3" xfId="9884" xr:uid="{00000000-0005-0000-0000-00009D6E0000}"/>
    <cellStyle name="Normal 5 4 3 3 3 3 2" xfId="35441" xr:uid="{00000000-0005-0000-0000-00009E6E0000}"/>
    <cellStyle name="Normal 5 4 3 3 3 4" xfId="18707" xr:uid="{00000000-0005-0000-0000-00009F6E0000}"/>
    <cellStyle name="Normal 5 4 3 3 3 4 2" xfId="44260" xr:uid="{00000000-0005-0000-0000-0000A06E0000}"/>
    <cellStyle name="Normal 5 4 3 3 3 5" xfId="30197" xr:uid="{00000000-0005-0000-0000-0000A16E0000}"/>
    <cellStyle name="Normal 5 4 3 3 4" xfId="1976" xr:uid="{00000000-0005-0000-0000-0000A26E0000}"/>
    <cellStyle name="Normal 5 4 3 3 4 2" xfId="11341" xr:uid="{00000000-0005-0000-0000-0000A36E0000}"/>
    <cellStyle name="Normal 5 4 3 3 4 2 2" xfId="36896" xr:uid="{00000000-0005-0000-0000-0000A46E0000}"/>
    <cellStyle name="Normal 5 4 3 3 4 3" xfId="21345" xr:uid="{00000000-0005-0000-0000-0000A56E0000}"/>
    <cellStyle name="Normal 5 4 3 3 4 3 2" xfId="46898" xr:uid="{00000000-0005-0000-0000-0000A66E0000}"/>
    <cellStyle name="Normal 5 4 3 3 4 4" xfId="27828" xr:uid="{00000000-0005-0000-0000-0000A76E0000}"/>
    <cellStyle name="Normal 5 4 3 3 5" xfId="6081" xr:uid="{00000000-0005-0000-0000-0000A86E0000}"/>
    <cellStyle name="Normal 5 4 3 3 5 2" xfId="14908" xr:uid="{00000000-0005-0000-0000-0000A96E0000}"/>
    <cellStyle name="Normal 5 4 3 3 5 2 2" xfId="40463" xr:uid="{00000000-0005-0000-0000-0000AA6E0000}"/>
    <cellStyle name="Normal 5 4 3 3 5 3" xfId="25159" xr:uid="{00000000-0005-0000-0000-0000AB6E0000}"/>
    <cellStyle name="Normal 5 4 3 3 5 3 2" xfId="50712" xr:uid="{00000000-0005-0000-0000-0000AC6E0000}"/>
    <cellStyle name="Normal 5 4 3 3 5 4" xfId="31642" xr:uid="{00000000-0005-0000-0000-0000AD6E0000}"/>
    <cellStyle name="Normal 5 4 3 3 6" xfId="7526" xr:uid="{00000000-0005-0000-0000-0000AE6E0000}"/>
    <cellStyle name="Normal 5 4 3 3 6 2" xfId="19827" xr:uid="{00000000-0005-0000-0000-0000AF6E0000}"/>
    <cellStyle name="Normal 5 4 3 3 6 2 2" xfId="45380" xr:uid="{00000000-0005-0000-0000-0000B06E0000}"/>
    <cellStyle name="Normal 5 4 3 3 6 3" xfId="33083" xr:uid="{00000000-0005-0000-0000-0000B16E0000}"/>
    <cellStyle name="Normal 5 4 3 3 7" xfId="16338" xr:uid="{00000000-0005-0000-0000-0000B26E0000}"/>
    <cellStyle name="Normal 5 4 3 3 7 2" xfId="41891" xr:uid="{00000000-0005-0000-0000-0000B36E0000}"/>
    <cellStyle name="Normal 5 4 3 3 8" xfId="26310" xr:uid="{00000000-0005-0000-0000-0000B46E0000}"/>
    <cellStyle name="Normal 5 4 3 4" xfId="811" xr:uid="{00000000-0005-0000-0000-0000B56E0000}"/>
    <cellStyle name="Normal 5 4 3 4 2" xfId="3296" xr:uid="{00000000-0005-0000-0000-0000B66E0000}"/>
    <cellStyle name="Normal 5 4 3 4 2 2" xfId="12438" xr:uid="{00000000-0005-0000-0000-0000B76E0000}"/>
    <cellStyle name="Normal 5 4 3 4 2 2 2" xfId="22657" xr:uid="{00000000-0005-0000-0000-0000B86E0000}"/>
    <cellStyle name="Normal 5 4 3 4 2 2 2 2" xfId="48210" xr:uid="{00000000-0005-0000-0000-0000B96E0000}"/>
    <cellStyle name="Normal 5 4 3 4 2 2 3" xfId="37993" xr:uid="{00000000-0005-0000-0000-0000BA6E0000}"/>
    <cellStyle name="Normal 5 4 3 4 2 3" xfId="8860" xr:uid="{00000000-0005-0000-0000-0000BB6E0000}"/>
    <cellStyle name="Normal 5 4 3 4 2 3 2" xfId="34417" xr:uid="{00000000-0005-0000-0000-0000BC6E0000}"/>
    <cellStyle name="Normal 5 4 3 4 2 4" xfId="17650" xr:uid="{00000000-0005-0000-0000-0000BD6E0000}"/>
    <cellStyle name="Normal 5 4 3 4 2 4 2" xfId="43203" xr:uid="{00000000-0005-0000-0000-0000BE6E0000}"/>
    <cellStyle name="Normal 5 4 3 4 2 5" xfId="29140" xr:uid="{00000000-0005-0000-0000-0000BF6E0000}"/>
    <cellStyle name="Normal 5 4 3 4 3" xfId="4974" xr:uid="{00000000-0005-0000-0000-0000C06E0000}"/>
    <cellStyle name="Normal 5 4 3 4 3 2" xfId="13811" xr:uid="{00000000-0005-0000-0000-0000C16E0000}"/>
    <cellStyle name="Normal 5 4 3 4 3 2 2" xfId="24062" xr:uid="{00000000-0005-0000-0000-0000C26E0000}"/>
    <cellStyle name="Normal 5 4 3 4 3 2 2 2" xfId="49615" xr:uid="{00000000-0005-0000-0000-0000C36E0000}"/>
    <cellStyle name="Normal 5 4 3 4 3 2 3" xfId="39366" xr:uid="{00000000-0005-0000-0000-0000C46E0000}"/>
    <cellStyle name="Normal 5 4 3 4 3 3" xfId="10232" xr:uid="{00000000-0005-0000-0000-0000C56E0000}"/>
    <cellStyle name="Normal 5 4 3 4 3 3 2" xfId="35789" xr:uid="{00000000-0005-0000-0000-0000C66E0000}"/>
    <cellStyle name="Normal 5 4 3 4 3 4" xfId="19055" xr:uid="{00000000-0005-0000-0000-0000C76E0000}"/>
    <cellStyle name="Normal 5 4 3 4 3 4 2" xfId="44608" xr:uid="{00000000-0005-0000-0000-0000C86E0000}"/>
    <cellStyle name="Normal 5 4 3 4 3 5" xfId="30545" xr:uid="{00000000-0005-0000-0000-0000C96E0000}"/>
    <cellStyle name="Normal 5 4 3 4 4" xfId="2405" xr:uid="{00000000-0005-0000-0000-0000CA6E0000}"/>
    <cellStyle name="Normal 5 4 3 4 4 2" xfId="11770" xr:uid="{00000000-0005-0000-0000-0000CB6E0000}"/>
    <cellStyle name="Normal 5 4 3 4 4 2 2" xfId="37325" xr:uid="{00000000-0005-0000-0000-0000CC6E0000}"/>
    <cellStyle name="Normal 5 4 3 4 4 3" xfId="21774" xr:uid="{00000000-0005-0000-0000-0000CD6E0000}"/>
    <cellStyle name="Normal 5 4 3 4 4 3 2" xfId="47327" xr:uid="{00000000-0005-0000-0000-0000CE6E0000}"/>
    <cellStyle name="Normal 5 4 3 4 4 4" xfId="28257" xr:uid="{00000000-0005-0000-0000-0000CF6E0000}"/>
    <cellStyle name="Normal 5 4 3 4 5" xfId="6429" xr:uid="{00000000-0005-0000-0000-0000D06E0000}"/>
    <cellStyle name="Normal 5 4 3 4 5 2" xfId="15256" xr:uid="{00000000-0005-0000-0000-0000D16E0000}"/>
    <cellStyle name="Normal 5 4 3 4 5 2 2" xfId="40811" xr:uid="{00000000-0005-0000-0000-0000D26E0000}"/>
    <cellStyle name="Normal 5 4 3 4 5 3" xfId="25507" xr:uid="{00000000-0005-0000-0000-0000D36E0000}"/>
    <cellStyle name="Normal 5 4 3 4 5 3 2" xfId="51060" xr:uid="{00000000-0005-0000-0000-0000D46E0000}"/>
    <cellStyle name="Normal 5 4 3 4 5 4" xfId="31990" xr:uid="{00000000-0005-0000-0000-0000D56E0000}"/>
    <cellStyle name="Normal 5 4 3 4 6" xfId="7875" xr:uid="{00000000-0005-0000-0000-0000D66E0000}"/>
    <cellStyle name="Normal 5 4 3 4 6 2" xfId="20256" xr:uid="{00000000-0005-0000-0000-0000D76E0000}"/>
    <cellStyle name="Normal 5 4 3 4 6 2 2" xfId="45809" xr:uid="{00000000-0005-0000-0000-0000D86E0000}"/>
    <cellStyle name="Normal 5 4 3 4 6 3" xfId="33432" xr:uid="{00000000-0005-0000-0000-0000D96E0000}"/>
    <cellStyle name="Normal 5 4 3 4 7" xfId="16767" xr:uid="{00000000-0005-0000-0000-0000DA6E0000}"/>
    <cellStyle name="Normal 5 4 3 4 7 2" xfId="42320" xr:uid="{00000000-0005-0000-0000-0000DB6E0000}"/>
    <cellStyle name="Normal 5 4 3 4 8" xfId="26739" xr:uid="{00000000-0005-0000-0000-0000DC6E0000}"/>
    <cellStyle name="Normal 5 4 3 5" xfId="1153" xr:uid="{00000000-0005-0000-0000-0000DD6E0000}"/>
    <cellStyle name="Normal 5 4 3 5 2" xfId="3582" xr:uid="{00000000-0005-0000-0000-0000DE6E0000}"/>
    <cellStyle name="Normal 5 4 3 5 2 2" xfId="12718" xr:uid="{00000000-0005-0000-0000-0000DF6E0000}"/>
    <cellStyle name="Normal 5 4 3 5 2 2 2" xfId="22937" xr:uid="{00000000-0005-0000-0000-0000E06E0000}"/>
    <cellStyle name="Normal 5 4 3 5 2 2 2 2" xfId="48490" xr:uid="{00000000-0005-0000-0000-0000E16E0000}"/>
    <cellStyle name="Normal 5 4 3 5 2 2 3" xfId="38273" xr:uid="{00000000-0005-0000-0000-0000E26E0000}"/>
    <cellStyle name="Normal 5 4 3 5 2 3" xfId="9139" xr:uid="{00000000-0005-0000-0000-0000E36E0000}"/>
    <cellStyle name="Normal 5 4 3 5 2 3 2" xfId="34696" xr:uid="{00000000-0005-0000-0000-0000E46E0000}"/>
    <cellStyle name="Normal 5 4 3 5 2 4" xfId="17930" xr:uid="{00000000-0005-0000-0000-0000E56E0000}"/>
    <cellStyle name="Normal 5 4 3 5 2 4 2" xfId="43483" xr:uid="{00000000-0005-0000-0000-0000E66E0000}"/>
    <cellStyle name="Normal 5 4 3 5 2 5" xfId="29420" xr:uid="{00000000-0005-0000-0000-0000E76E0000}"/>
    <cellStyle name="Normal 5 4 3 5 3" xfId="5245" xr:uid="{00000000-0005-0000-0000-0000E86E0000}"/>
    <cellStyle name="Normal 5 4 3 5 3 2" xfId="14082" xr:uid="{00000000-0005-0000-0000-0000E96E0000}"/>
    <cellStyle name="Normal 5 4 3 5 3 2 2" xfId="24333" xr:uid="{00000000-0005-0000-0000-0000EA6E0000}"/>
    <cellStyle name="Normal 5 4 3 5 3 2 2 2" xfId="49886" xr:uid="{00000000-0005-0000-0000-0000EB6E0000}"/>
    <cellStyle name="Normal 5 4 3 5 3 2 3" xfId="39637" xr:uid="{00000000-0005-0000-0000-0000EC6E0000}"/>
    <cellStyle name="Normal 5 4 3 5 3 3" xfId="10503" xr:uid="{00000000-0005-0000-0000-0000ED6E0000}"/>
    <cellStyle name="Normal 5 4 3 5 3 3 2" xfId="36060" xr:uid="{00000000-0005-0000-0000-0000EE6E0000}"/>
    <cellStyle name="Normal 5 4 3 5 3 4" xfId="19326" xr:uid="{00000000-0005-0000-0000-0000EF6E0000}"/>
    <cellStyle name="Normal 5 4 3 5 3 4 2" xfId="44879" xr:uid="{00000000-0005-0000-0000-0000F06E0000}"/>
    <cellStyle name="Normal 5 4 3 5 3 5" xfId="30816" xr:uid="{00000000-0005-0000-0000-0000F16E0000}"/>
    <cellStyle name="Normal 5 4 3 5 4" xfId="1860" xr:uid="{00000000-0005-0000-0000-0000F26E0000}"/>
    <cellStyle name="Normal 5 4 3 5 4 2" xfId="11228" xr:uid="{00000000-0005-0000-0000-0000F36E0000}"/>
    <cellStyle name="Normal 5 4 3 5 4 2 2" xfId="36783" xr:uid="{00000000-0005-0000-0000-0000F46E0000}"/>
    <cellStyle name="Normal 5 4 3 5 4 3" xfId="21232" xr:uid="{00000000-0005-0000-0000-0000F56E0000}"/>
    <cellStyle name="Normal 5 4 3 5 4 3 2" xfId="46785" xr:uid="{00000000-0005-0000-0000-0000F66E0000}"/>
    <cellStyle name="Normal 5 4 3 5 4 4" xfId="27715" xr:uid="{00000000-0005-0000-0000-0000F76E0000}"/>
    <cellStyle name="Normal 5 4 3 5 5" xfId="6700" xr:uid="{00000000-0005-0000-0000-0000F86E0000}"/>
    <cellStyle name="Normal 5 4 3 5 5 2" xfId="15527" xr:uid="{00000000-0005-0000-0000-0000F96E0000}"/>
    <cellStyle name="Normal 5 4 3 5 5 2 2" xfId="41082" xr:uid="{00000000-0005-0000-0000-0000FA6E0000}"/>
    <cellStyle name="Normal 5 4 3 5 5 3" xfId="25778" xr:uid="{00000000-0005-0000-0000-0000FB6E0000}"/>
    <cellStyle name="Normal 5 4 3 5 5 3 2" xfId="51331" xr:uid="{00000000-0005-0000-0000-0000FC6E0000}"/>
    <cellStyle name="Normal 5 4 3 5 5 4" xfId="32261" xr:uid="{00000000-0005-0000-0000-0000FD6E0000}"/>
    <cellStyle name="Normal 5 4 3 5 6" xfId="8146" xr:uid="{00000000-0005-0000-0000-0000FE6E0000}"/>
    <cellStyle name="Normal 5 4 3 5 6 2" xfId="20536" xr:uid="{00000000-0005-0000-0000-0000FF6E0000}"/>
    <cellStyle name="Normal 5 4 3 5 6 2 2" xfId="46089" xr:uid="{00000000-0005-0000-0000-0000006F0000}"/>
    <cellStyle name="Normal 5 4 3 5 6 3" xfId="33703" xr:uid="{00000000-0005-0000-0000-0000016F0000}"/>
    <cellStyle name="Normal 5 4 3 5 7" xfId="16225" xr:uid="{00000000-0005-0000-0000-0000026F0000}"/>
    <cellStyle name="Normal 5 4 3 5 7 2" xfId="41778" xr:uid="{00000000-0005-0000-0000-0000036F0000}"/>
    <cellStyle name="Normal 5 4 3 5 8" xfId="27019" xr:uid="{00000000-0005-0000-0000-0000046F0000}"/>
    <cellStyle name="Normal 5 4 3 6" xfId="2754" xr:uid="{00000000-0005-0000-0000-0000056F0000}"/>
    <cellStyle name="Normal 5 4 3 6 2" xfId="12071" xr:uid="{00000000-0005-0000-0000-0000066F0000}"/>
    <cellStyle name="Normal 5 4 3 6 2 2" xfId="22115" xr:uid="{00000000-0005-0000-0000-0000076F0000}"/>
    <cellStyle name="Normal 5 4 3 6 2 2 2" xfId="47668" xr:uid="{00000000-0005-0000-0000-0000086F0000}"/>
    <cellStyle name="Normal 5 4 3 6 2 3" xfId="37626" xr:uid="{00000000-0005-0000-0000-0000096F0000}"/>
    <cellStyle name="Normal 5 4 3 6 3" xfId="8379" xr:uid="{00000000-0005-0000-0000-00000A6F0000}"/>
    <cellStyle name="Normal 5 4 3 6 3 2" xfId="33936" xr:uid="{00000000-0005-0000-0000-00000B6F0000}"/>
    <cellStyle name="Normal 5 4 3 6 4" xfId="17108" xr:uid="{00000000-0005-0000-0000-00000C6F0000}"/>
    <cellStyle name="Normal 5 4 3 6 4 2" xfId="42661" xr:uid="{00000000-0005-0000-0000-00000D6F0000}"/>
    <cellStyle name="Normal 5 4 3 6 5" xfId="28598" xr:uid="{00000000-0005-0000-0000-00000E6F0000}"/>
    <cellStyle name="Normal 5 4 3 7" xfId="4201" xr:uid="{00000000-0005-0000-0000-00000F6F0000}"/>
    <cellStyle name="Normal 5 4 3 7 2" xfId="13039" xr:uid="{00000000-0005-0000-0000-0000106F0000}"/>
    <cellStyle name="Normal 5 4 3 7 2 2" xfId="23290" xr:uid="{00000000-0005-0000-0000-0000116F0000}"/>
    <cellStyle name="Normal 5 4 3 7 2 2 2" xfId="48843" xr:uid="{00000000-0005-0000-0000-0000126F0000}"/>
    <cellStyle name="Normal 5 4 3 7 2 3" xfId="38594" xr:uid="{00000000-0005-0000-0000-0000136F0000}"/>
    <cellStyle name="Normal 5 4 3 7 3" xfId="9460" xr:uid="{00000000-0005-0000-0000-0000146F0000}"/>
    <cellStyle name="Normal 5 4 3 7 3 2" xfId="35017" xr:uid="{00000000-0005-0000-0000-0000156F0000}"/>
    <cellStyle name="Normal 5 4 3 7 4" xfId="18283" xr:uid="{00000000-0005-0000-0000-0000166F0000}"/>
    <cellStyle name="Normal 5 4 3 7 4 2" xfId="43836" xr:uid="{00000000-0005-0000-0000-0000176F0000}"/>
    <cellStyle name="Normal 5 4 3 7 5" xfId="29773" xr:uid="{00000000-0005-0000-0000-0000186F0000}"/>
    <cellStyle name="Normal 5 4 3 8" xfId="1473" xr:uid="{00000000-0005-0000-0000-0000196F0000}"/>
    <cellStyle name="Normal 5 4 3 8 2" xfId="10850" xr:uid="{00000000-0005-0000-0000-00001A6F0000}"/>
    <cellStyle name="Normal 5 4 3 8 2 2" xfId="36405" xr:uid="{00000000-0005-0000-0000-00001B6F0000}"/>
    <cellStyle name="Normal 5 4 3 8 3" xfId="20854" xr:uid="{00000000-0005-0000-0000-00001C6F0000}"/>
    <cellStyle name="Normal 5 4 3 8 3 2" xfId="46407" xr:uid="{00000000-0005-0000-0000-00001D6F0000}"/>
    <cellStyle name="Normal 5 4 3 8 4" xfId="27337" xr:uid="{00000000-0005-0000-0000-00001E6F0000}"/>
    <cellStyle name="Normal 5 4 3 9" xfId="5657" xr:uid="{00000000-0005-0000-0000-00001F6F0000}"/>
    <cellStyle name="Normal 5 4 3 9 2" xfId="14484" xr:uid="{00000000-0005-0000-0000-0000206F0000}"/>
    <cellStyle name="Normal 5 4 3 9 2 2" xfId="40039" xr:uid="{00000000-0005-0000-0000-0000216F0000}"/>
    <cellStyle name="Normal 5 4 3 9 3" xfId="24735" xr:uid="{00000000-0005-0000-0000-0000226F0000}"/>
    <cellStyle name="Normal 5 4 3 9 3 2" xfId="50288" xr:uid="{00000000-0005-0000-0000-0000236F0000}"/>
    <cellStyle name="Normal 5 4 3 9 4" xfId="31218" xr:uid="{00000000-0005-0000-0000-0000246F0000}"/>
    <cellStyle name="Normal 5 4 3_Degree data" xfId="3836" xr:uid="{00000000-0005-0000-0000-0000256F0000}"/>
    <cellStyle name="Normal 5 4 4" xfId="481" xr:uid="{00000000-0005-0000-0000-0000266F0000}"/>
    <cellStyle name="Normal 5 4 4 10" xfId="26410" xr:uid="{00000000-0005-0000-0000-0000276F0000}"/>
    <cellStyle name="Normal 5 4 4 2" xfId="813" xr:uid="{00000000-0005-0000-0000-0000286F0000}"/>
    <cellStyle name="Normal 5 4 4 2 2" xfId="3298" xr:uid="{00000000-0005-0000-0000-0000296F0000}"/>
    <cellStyle name="Normal 5 4 4 2 2 2" xfId="12440" xr:uid="{00000000-0005-0000-0000-00002A6F0000}"/>
    <cellStyle name="Normal 5 4 4 2 2 2 2" xfId="22659" xr:uid="{00000000-0005-0000-0000-00002B6F0000}"/>
    <cellStyle name="Normal 5 4 4 2 2 2 2 2" xfId="48212" xr:uid="{00000000-0005-0000-0000-00002C6F0000}"/>
    <cellStyle name="Normal 5 4 4 2 2 2 3" xfId="37995" xr:uid="{00000000-0005-0000-0000-00002D6F0000}"/>
    <cellStyle name="Normal 5 4 4 2 2 3" xfId="8862" xr:uid="{00000000-0005-0000-0000-00002E6F0000}"/>
    <cellStyle name="Normal 5 4 4 2 2 3 2" xfId="34419" xr:uid="{00000000-0005-0000-0000-00002F6F0000}"/>
    <cellStyle name="Normal 5 4 4 2 2 4" xfId="17652" xr:uid="{00000000-0005-0000-0000-0000306F0000}"/>
    <cellStyle name="Normal 5 4 4 2 2 4 2" xfId="43205" xr:uid="{00000000-0005-0000-0000-0000316F0000}"/>
    <cellStyle name="Normal 5 4 4 2 2 5" xfId="29142" xr:uid="{00000000-0005-0000-0000-0000326F0000}"/>
    <cellStyle name="Normal 5 4 4 2 3" xfId="4627" xr:uid="{00000000-0005-0000-0000-0000336F0000}"/>
    <cellStyle name="Normal 5 4 4 2 3 2" xfId="13465" xr:uid="{00000000-0005-0000-0000-0000346F0000}"/>
    <cellStyle name="Normal 5 4 4 2 3 2 2" xfId="23716" xr:uid="{00000000-0005-0000-0000-0000356F0000}"/>
    <cellStyle name="Normal 5 4 4 2 3 2 2 2" xfId="49269" xr:uid="{00000000-0005-0000-0000-0000366F0000}"/>
    <cellStyle name="Normal 5 4 4 2 3 2 3" xfId="39020" xr:uid="{00000000-0005-0000-0000-0000376F0000}"/>
    <cellStyle name="Normal 5 4 4 2 3 3" xfId="9886" xr:uid="{00000000-0005-0000-0000-0000386F0000}"/>
    <cellStyle name="Normal 5 4 4 2 3 3 2" xfId="35443" xr:uid="{00000000-0005-0000-0000-0000396F0000}"/>
    <cellStyle name="Normal 5 4 4 2 3 4" xfId="18709" xr:uid="{00000000-0005-0000-0000-00003A6F0000}"/>
    <cellStyle name="Normal 5 4 4 2 3 4 2" xfId="44262" xr:uid="{00000000-0005-0000-0000-00003B6F0000}"/>
    <cellStyle name="Normal 5 4 4 2 3 5" xfId="30199" xr:uid="{00000000-0005-0000-0000-00003C6F0000}"/>
    <cellStyle name="Normal 5 4 4 2 4" xfId="2407" xr:uid="{00000000-0005-0000-0000-00003D6F0000}"/>
    <cellStyle name="Normal 5 4 4 2 4 2" xfId="11772" xr:uid="{00000000-0005-0000-0000-00003E6F0000}"/>
    <cellStyle name="Normal 5 4 4 2 4 2 2" xfId="37327" xr:uid="{00000000-0005-0000-0000-00003F6F0000}"/>
    <cellStyle name="Normal 5 4 4 2 4 3" xfId="21776" xr:uid="{00000000-0005-0000-0000-0000406F0000}"/>
    <cellStyle name="Normal 5 4 4 2 4 3 2" xfId="47329" xr:uid="{00000000-0005-0000-0000-0000416F0000}"/>
    <cellStyle name="Normal 5 4 4 2 4 4" xfId="28259" xr:uid="{00000000-0005-0000-0000-0000426F0000}"/>
    <cellStyle name="Normal 5 4 4 2 5" xfId="6083" xr:uid="{00000000-0005-0000-0000-0000436F0000}"/>
    <cellStyle name="Normal 5 4 4 2 5 2" xfId="14910" xr:uid="{00000000-0005-0000-0000-0000446F0000}"/>
    <cellStyle name="Normal 5 4 4 2 5 2 2" xfId="40465" xr:uid="{00000000-0005-0000-0000-0000456F0000}"/>
    <cellStyle name="Normal 5 4 4 2 5 3" xfId="25161" xr:uid="{00000000-0005-0000-0000-0000466F0000}"/>
    <cellStyle name="Normal 5 4 4 2 5 3 2" xfId="50714" xr:uid="{00000000-0005-0000-0000-0000476F0000}"/>
    <cellStyle name="Normal 5 4 4 2 5 4" xfId="31644" xr:uid="{00000000-0005-0000-0000-0000486F0000}"/>
    <cellStyle name="Normal 5 4 4 2 6" xfId="7528" xr:uid="{00000000-0005-0000-0000-0000496F0000}"/>
    <cellStyle name="Normal 5 4 4 2 6 2" xfId="20258" xr:uid="{00000000-0005-0000-0000-00004A6F0000}"/>
    <cellStyle name="Normal 5 4 4 2 6 2 2" xfId="45811" xr:uid="{00000000-0005-0000-0000-00004B6F0000}"/>
    <cellStyle name="Normal 5 4 4 2 6 3" xfId="33085" xr:uid="{00000000-0005-0000-0000-00004C6F0000}"/>
    <cellStyle name="Normal 5 4 4 2 7" xfId="16769" xr:uid="{00000000-0005-0000-0000-00004D6F0000}"/>
    <cellStyle name="Normal 5 4 4 2 7 2" xfId="42322" xr:uid="{00000000-0005-0000-0000-00004E6F0000}"/>
    <cellStyle name="Normal 5 4 4 2 8" xfId="26741" xr:uid="{00000000-0005-0000-0000-00004F6F0000}"/>
    <cellStyle name="Normal 5 4 4 3" xfId="1253" xr:uid="{00000000-0005-0000-0000-0000506F0000}"/>
    <cellStyle name="Normal 5 4 4 3 2" xfId="3682" xr:uid="{00000000-0005-0000-0000-0000516F0000}"/>
    <cellStyle name="Normal 5 4 4 3 2 2" xfId="12818" xr:uid="{00000000-0005-0000-0000-0000526F0000}"/>
    <cellStyle name="Normal 5 4 4 3 2 2 2" xfId="23037" xr:uid="{00000000-0005-0000-0000-0000536F0000}"/>
    <cellStyle name="Normal 5 4 4 3 2 2 2 2" xfId="48590" xr:uid="{00000000-0005-0000-0000-0000546F0000}"/>
    <cellStyle name="Normal 5 4 4 3 2 2 3" xfId="38373" xr:uid="{00000000-0005-0000-0000-0000556F0000}"/>
    <cellStyle name="Normal 5 4 4 3 2 3" xfId="9239" xr:uid="{00000000-0005-0000-0000-0000566F0000}"/>
    <cellStyle name="Normal 5 4 4 3 2 3 2" xfId="34796" xr:uid="{00000000-0005-0000-0000-0000576F0000}"/>
    <cellStyle name="Normal 5 4 4 3 2 4" xfId="18030" xr:uid="{00000000-0005-0000-0000-0000586F0000}"/>
    <cellStyle name="Normal 5 4 4 3 2 4 2" xfId="43583" xr:uid="{00000000-0005-0000-0000-0000596F0000}"/>
    <cellStyle name="Normal 5 4 4 3 2 5" xfId="29520" xr:uid="{00000000-0005-0000-0000-00005A6F0000}"/>
    <cellStyle name="Normal 5 4 4 3 3" xfId="4976" xr:uid="{00000000-0005-0000-0000-00005B6F0000}"/>
    <cellStyle name="Normal 5 4 4 3 3 2" xfId="13813" xr:uid="{00000000-0005-0000-0000-00005C6F0000}"/>
    <cellStyle name="Normal 5 4 4 3 3 2 2" xfId="24064" xr:uid="{00000000-0005-0000-0000-00005D6F0000}"/>
    <cellStyle name="Normal 5 4 4 3 3 2 2 2" xfId="49617" xr:uid="{00000000-0005-0000-0000-00005E6F0000}"/>
    <cellStyle name="Normal 5 4 4 3 3 2 3" xfId="39368" xr:uid="{00000000-0005-0000-0000-00005F6F0000}"/>
    <cellStyle name="Normal 5 4 4 3 3 3" xfId="10234" xr:uid="{00000000-0005-0000-0000-0000606F0000}"/>
    <cellStyle name="Normal 5 4 4 3 3 3 2" xfId="35791" xr:uid="{00000000-0005-0000-0000-0000616F0000}"/>
    <cellStyle name="Normal 5 4 4 3 3 4" xfId="19057" xr:uid="{00000000-0005-0000-0000-0000626F0000}"/>
    <cellStyle name="Normal 5 4 4 3 3 4 2" xfId="44610" xr:uid="{00000000-0005-0000-0000-0000636F0000}"/>
    <cellStyle name="Normal 5 4 4 3 3 5" xfId="30547" xr:uid="{00000000-0005-0000-0000-0000646F0000}"/>
    <cellStyle name="Normal 5 4 4 3 4" xfId="2076" xr:uid="{00000000-0005-0000-0000-0000656F0000}"/>
    <cellStyle name="Normal 5 4 4 3 4 2" xfId="11441" xr:uid="{00000000-0005-0000-0000-0000666F0000}"/>
    <cellStyle name="Normal 5 4 4 3 4 2 2" xfId="36996" xr:uid="{00000000-0005-0000-0000-0000676F0000}"/>
    <cellStyle name="Normal 5 4 4 3 4 3" xfId="21445" xr:uid="{00000000-0005-0000-0000-0000686F0000}"/>
    <cellStyle name="Normal 5 4 4 3 4 3 2" xfId="46998" xr:uid="{00000000-0005-0000-0000-0000696F0000}"/>
    <cellStyle name="Normal 5 4 4 3 4 4" xfId="27928" xr:uid="{00000000-0005-0000-0000-00006A6F0000}"/>
    <cellStyle name="Normal 5 4 4 3 5" xfId="6431" xr:uid="{00000000-0005-0000-0000-00006B6F0000}"/>
    <cellStyle name="Normal 5 4 4 3 5 2" xfId="15258" xr:uid="{00000000-0005-0000-0000-00006C6F0000}"/>
    <cellStyle name="Normal 5 4 4 3 5 2 2" xfId="40813" xr:uid="{00000000-0005-0000-0000-00006D6F0000}"/>
    <cellStyle name="Normal 5 4 4 3 5 3" xfId="25509" xr:uid="{00000000-0005-0000-0000-00006E6F0000}"/>
    <cellStyle name="Normal 5 4 4 3 5 3 2" xfId="51062" xr:uid="{00000000-0005-0000-0000-00006F6F0000}"/>
    <cellStyle name="Normal 5 4 4 3 5 4" xfId="31992" xr:uid="{00000000-0005-0000-0000-0000706F0000}"/>
    <cellStyle name="Normal 5 4 4 3 6" xfId="7877" xr:uid="{00000000-0005-0000-0000-0000716F0000}"/>
    <cellStyle name="Normal 5 4 4 3 6 2" xfId="20636" xr:uid="{00000000-0005-0000-0000-0000726F0000}"/>
    <cellStyle name="Normal 5 4 4 3 6 2 2" xfId="46189" xr:uid="{00000000-0005-0000-0000-0000736F0000}"/>
    <cellStyle name="Normal 5 4 4 3 6 3" xfId="33434" xr:uid="{00000000-0005-0000-0000-0000746F0000}"/>
    <cellStyle name="Normal 5 4 4 3 7" xfId="16438" xr:uid="{00000000-0005-0000-0000-0000756F0000}"/>
    <cellStyle name="Normal 5 4 4 3 7 2" xfId="41991" xr:uid="{00000000-0005-0000-0000-0000766F0000}"/>
    <cellStyle name="Normal 5 4 4 3 8" xfId="27119" xr:uid="{00000000-0005-0000-0000-0000776F0000}"/>
    <cellStyle name="Normal 5 4 4 4" xfId="2967" xr:uid="{00000000-0005-0000-0000-0000786F0000}"/>
    <cellStyle name="Normal 5 4 4 4 2" xfId="5345" xr:uid="{00000000-0005-0000-0000-0000796F0000}"/>
    <cellStyle name="Normal 5 4 4 4 2 2" xfId="14182" xr:uid="{00000000-0005-0000-0000-00007A6F0000}"/>
    <cellStyle name="Normal 5 4 4 4 2 2 2" xfId="24433" xr:uid="{00000000-0005-0000-0000-00007B6F0000}"/>
    <cellStyle name="Normal 5 4 4 4 2 2 2 2" xfId="49986" xr:uid="{00000000-0005-0000-0000-00007C6F0000}"/>
    <cellStyle name="Normal 5 4 4 4 2 2 3" xfId="39737" xr:uid="{00000000-0005-0000-0000-00007D6F0000}"/>
    <cellStyle name="Normal 5 4 4 4 2 3" xfId="10603" xr:uid="{00000000-0005-0000-0000-00007E6F0000}"/>
    <cellStyle name="Normal 5 4 4 4 2 3 2" xfId="36160" xr:uid="{00000000-0005-0000-0000-00007F6F0000}"/>
    <cellStyle name="Normal 5 4 4 4 2 4" xfId="19426" xr:uid="{00000000-0005-0000-0000-0000806F0000}"/>
    <cellStyle name="Normal 5 4 4 4 2 4 2" xfId="44979" xr:uid="{00000000-0005-0000-0000-0000816F0000}"/>
    <cellStyle name="Normal 5 4 4 4 2 5" xfId="30916" xr:uid="{00000000-0005-0000-0000-0000826F0000}"/>
    <cellStyle name="Normal 5 4 4 4 3" xfId="6800" xr:uid="{00000000-0005-0000-0000-0000836F0000}"/>
    <cellStyle name="Normal 5 4 4 4 3 2" xfId="15627" xr:uid="{00000000-0005-0000-0000-0000846F0000}"/>
    <cellStyle name="Normal 5 4 4 4 3 2 2" xfId="41182" xr:uid="{00000000-0005-0000-0000-0000856F0000}"/>
    <cellStyle name="Normal 5 4 4 4 3 3" xfId="25878" xr:uid="{00000000-0005-0000-0000-0000866F0000}"/>
    <cellStyle name="Normal 5 4 4 4 3 3 2" xfId="51431" xr:uid="{00000000-0005-0000-0000-0000876F0000}"/>
    <cellStyle name="Normal 5 4 4 4 3 4" xfId="32361" xr:uid="{00000000-0005-0000-0000-0000886F0000}"/>
    <cellStyle name="Normal 5 4 4 4 4" xfId="8246" xr:uid="{00000000-0005-0000-0000-0000896F0000}"/>
    <cellStyle name="Normal 5 4 4 4 4 2" xfId="22328" xr:uid="{00000000-0005-0000-0000-00008A6F0000}"/>
    <cellStyle name="Normal 5 4 4 4 4 2 2" xfId="47881" xr:uid="{00000000-0005-0000-0000-00008B6F0000}"/>
    <cellStyle name="Normal 5 4 4 4 4 3" xfId="33803" xr:uid="{00000000-0005-0000-0000-00008C6F0000}"/>
    <cellStyle name="Normal 5 4 4 4 5" xfId="17321" xr:uid="{00000000-0005-0000-0000-00008D6F0000}"/>
    <cellStyle name="Normal 5 4 4 4 5 2" xfId="42874" xr:uid="{00000000-0005-0000-0000-00008E6F0000}"/>
    <cellStyle name="Normal 5 4 4 4 6" xfId="28811" xr:uid="{00000000-0005-0000-0000-00008F6F0000}"/>
    <cellStyle name="Normal 5 4 4 5" xfId="4301" xr:uid="{00000000-0005-0000-0000-0000906F0000}"/>
    <cellStyle name="Normal 5 4 4 5 2" xfId="13139" xr:uid="{00000000-0005-0000-0000-0000916F0000}"/>
    <cellStyle name="Normal 5 4 4 5 2 2" xfId="23390" xr:uid="{00000000-0005-0000-0000-0000926F0000}"/>
    <cellStyle name="Normal 5 4 4 5 2 2 2" xfId="48943" xr:uid="{00000000-0005-0000-0000-0000936F0000}"/>
    <cellStyle name="Normal 5 4 4 5 2 3" xfId="38694" xr:uid="{00000000-0005-0000-0000-0000946F0000}"/>
    <cellStyle name="Normal 5 4 4 5 3" xfId="9560" xr:uid="{00000000-0005-0000-0000-0000956F0000}"/>
    <cellStyle name="Normal 5 4 4 5 3 2" xfId="35117" xr:uid="{00000000-0005-0000-0000-0000966F0000}"/>
    <cellStyle name="Normal 5 4 4 5 4" xfId="18383" xr:uid="{00000000-0005-0000-0000-0000976F0000}"/>
    <cellStyle name="Normal 5 4 4 5 4 2" xfId="43936" xr:uid="{00000000-0005-0000-0000-0000986F0000}"/>
    <cellStyle name="Normal 5 4 4 5 5" xfId="29873" xr:uid="{00000000-0005-0000-0000-0000996F0000}"/>
    <cellStyle name="Normal 5 4 4 6" xfId="1573" xr:uid="{00000000-0005-0000-0000-00009A6F0000}"/>
    <cellStyle name="Normal 5 4 4 6 2" xfId="10950" xr:uid="{00000000-0005-0000-0000-00009B6F0000}"/>
    <cellStyle name="Normal 5 4 4 6 2 2" xfId="36505" xr:uid="{00000000-0005-0000-0000-00009C6F0000}"/>
    <cellStyle name="Normal 5 4 4 6 3" xfId="20954" xr:uid="{00000000-0005-0000-0000-00009D6F0000}"/>
    <cellStyle name="Normal 5 4 4 6 3 2" xfId="46507" xr:uid="{00000000-0005-0000-0000-00009E6F0000}"/>
    <cellStyle name="Normal 5 4 4 6 4" xfId="27437" xr:uid="{00000000-0005-0000-0000-00009F6F0000}"/>
    <cellStyle name="Normal 5 4 4 7" xfId="5757" xr:uid="{00000000-0005-0000-0000-0000A06F0000}"/>
    <cellStyle name="Normal 5 4 4 7 2" xfId="14584" xr:uid="{00000000-0005-0000-0000-0000A16F0000}"/>
    <cellStyle name="Normal 5 4 4 7 2 2" xfId="40139" xr:uid="{00000000-0005-0000-0000-0000A26F0000}"/>
    <cellStyle name="Normal 5 4 4 7 3" xfId="24835" xr:uid="{00000000-0005-0000-0000-0000A36F0000}"/>
    <cellStyle name="Normal 5 4 4 7 3 2" xfId="50388" xr:uid="{00000000-0005-0000-0000-0000A46F0000}"/>
    <cellStyle name="Normal 5 4 4 7 4" xfId="31318" xr:uid="{00000000-0005-0000-0000-0000A56F0000}"/>
    <cellStyle name="Normal 5 4 4 8" xfId="7201" xr:uid="{00000000-0005-0000-0000-0000A66F0000}"/>
    <cellStyle name="Normal 5 4 4 8 2" xfId="19927" xr:uid="{00000000-0005-0000-0000-0000A76F0000}"/>
    <cellStyle name="Normal 5 4 4 8 2 2" xfId="45480" xr:uid="{00000000-0005-0000-0000-0000A86F0000}"/>
    <cellStyle name="Normal 5 4 4 8 3" xfId="32758" xr:uid="{00000000-0005-0000-0000-0000A96F0000}"/>
    <cellStyle name="Normal 5 4 4 9" xfId="15947" xr:uid="{00000000-0005-0000-0000-0000AA6F0000}"/>
    <cellStyle name="Normal 5 4 4 9 2" xfId="41500" xr:uid="{00000000-0005-0000-0000-0000AB6F0000}"/>
    <cellStyle name="Normal 5 4 4_Degree data" xfId="3842" xr:uid="{00000000-0005-0000-0000-0000AC6F0000}"/>
    <cellStyle name="Normal 5 4 5" xfId="322" xr:uid="{00000000-0005-0000-0000-0000AD6F0000}"/>
    <cellStyle name="Normal 5 4 5 10" xfId="26251" xr:uid="{00000000-0005-0000-0000-0000AE6F0000}"/>
    <cellStyle name="Normal 5 4 5 2" xfId="814" xr:uid="{00000000-0005-0000-0000-0000AF6F0000}"/>
    <cellStyle name="Normal 5 4 5 2 2" xfId="3299" xr:uid="{00000000-0005-0000-0000-0000B06F0000}"/>
    <cellStyle name="Normal 5 4 5 2 2 2" xfId="12441" xr:uid="{00000000-0005-0000-0000-0000B16F0000}"/>
    <cellStyle name="Normal 5 4 5 2 2 2 2" xfId="22660" xr:uid="{00000000-0005-0000-0000-0000B26F0000}"/>
    <cellStyle name="Normal 5 4 5 2 2 2 2 2" xfId="48213" xr:uid="{00000000-0005-0000-0000-0000B36F0000}"/>
    <cellStyle name="Normal 5 4 5 2 2 2 3" xfId="37996" xr:uid="{00000000-0005-0000-0000-0000B46F0000}"/>
    <cellStyle name="Normal 5 4 5 2 2 3" xfId="8863" xr:uid="{00000000-0005-0000-0000-0000B56F0000}"/>
    <cellStyle name="Normal 5 4 5 2 2 3 2" xfId="34420" xr:uid="{00000000-0005-0000-0000-0000B66F0000}"/>
    <cellStyle name="Normal 5 4 5 2 2 4" xfId="17653" xr:uid="{00000000-0005-0000-0000-0000B76F0000}"/>
    <cellStyle name="Normal 5 4 5 2 2 4 2" xfId="43206" xr:uid="{00000000-0005-0000-0000-0000B86F0000}"/>
    <cellStyle name="Normal 5 4 5 2 2 5" xfId="29143" xr:uid="{00000000-0005-0000-0000-0000B96F0000}"/>
    <cellStyle name="Normal 5 4 5 2 3" xfId="4628" xr:uid="{00000000-0005-0000-0000-0000BA6F0000}"/>
    <cellStyle name="Normal 5 4 5 2 3 2" xfId="13466" xr:uid="{00000000-0005-0000-0000-0000BB6F0000}"/>
    <cellStyle name="Normal 5 4 5 2 3 2 2" xfId="23717" xr:uid="{00000000-0005-0000-0000-0000BC6F0000}"/>
    <cellStyle name="Normal 5 4 5 2 3 2 2 2" xfId="49270" xr:uid="{00000000-0005-0000-0000-0000BD6F0000}"/>
    <cellStyle name="Normal 5 4 5 2 3 2 3" xfId="39021" xr:uid="{00000000-0005-0000-0000-0000BE6F0000}"/>
    <cellStyle name="Normal 5 4 5 2 3 3" xfId="9887" xr:uid="{00000000-0005-0000-0000-0000BF6F0000}"/>
    <cellStyle name="Normal 5 4 5 2 3 3 2" xfId="35444" xr:uid="{00000000-0005-0000-0000-0000C06F0000}"/>
    <cellStyle name="Normal 5 4 5 2 3 4" xfId="18710" xr:uid="{00000000-0005-0000-0000-0000C16F0000}"/>
    <cellStyle name="Normal 5 4 5 2 3 4 2" xfId="44263" xr:uid="{00000000-0005-0000-0000-0000C26F0000}"/>
    <cellStyle name="Normal 5 4 5 2 3 5" xfId="30200" xr:uid="{00000000-0005-0000-0000-0000C36F0000}"/>
    <cellStyle name="Normal 5 4 5 2 4" xfId="2408" xr:uid="{00000000-0005-0000-0000-0000C46F0000}"/>
    <cellStyle name="Normal 5 4 5 2 4 2" xfId="11773" xr:uid="{00000000-0005-0000-0000-0000C56F0000}"/>
    <cellStyle name="Normal 5 4 5 2 4 2 2" xfId="37328" xr:uid="{00000000-0005-0000-0000-0000C66F0000}"/>
    <cellStyle name="Normal 5 4 5 2 4 3" xfId="21777" xr:uid="{00000000-0005-0000-0000-0000C76F0000}"/>
    <cellStyle name="Normal 5 4 5 2 4 3 2" xfId="47330" xr:uid="{00000000-0005-0000-0000-0000C86F0000}"/>
    <cellStyle name="Normal 5 4 5 2 4 4" xfId="28260" xr:uid="{00000000-0005-0000-0000-0000C96F0000}"/>
    <cellStyle name="Normal 5 4 5 2 5" xfId="6084" xr:uid="{00000000-0005-0000-0000-0000CA6F0000}"/>
    <cellStyle name="Normal 5 4 5 2 5 2" xfId="14911" xr:uid="{00000000-0005-0000-0000-0000CB6F0000}"/>
    <cellStyle name="Normal 5 4 5 2 5 2 2" xfId="40466" xr:uid="{00000000-0005-0000-0000-0000CC6F0000}"/>
    <cellStyle name="Normal 5 4 5 2 5 3" xfId="25162" xr:uid="{00000000-0005-0000-0000-0000CD6F0000}"/>
    <cellStyle name="Normal 5 4 5 2 5 3 2" xfId="50715" xr:uid="{00000000-0005-0000-0000-0000CE6F0000}"/>
    <cellStyle name="Normal 5 4 5 2 5 4" xfId="31645" xr:uid="{00000000-0005-0000-0000-0000CF6F0000}"/>
    <cellStyle name="Normal 5 4 5 2 6" xfId="7529" xr:uid="{00000000-0005-0000-0000-0000D06F0000}"/>
    <cellStyle name="Normal 5 4 5 2 6 2" xfId="20259" xr:uid="{00000000-0005-0000-0000-0000D16F0000}"/>
    <cellStyle name="Normal 5 4 5 2 6 2 2" xfId="45812" xr:uid="{00000000-0005-0000-0000-0000D26F0000}"/>
    <cellStyle name="Normal 5 4 5 2 6 3" xfId="33086" xr:uid="{00000000-0005-0000-0000-0000D36F0000}"/>
    <cellStyle name="Normal 5 4 5 2 7" xfId="16770" xr:uid="{00000000-0005-0000-0000-0000D46F0000}"/>
    <cellStyle name="Normal 5 4 5 2 7 2" xfId="42323" xr:uid="{00000000-0005-0000-0000-0000D56F0000}"/>
    <cellStyle name="Normal 5 4 5 2 8" xfId="26742" xr:uid="{00000000-0005-0000-0000-0000D66F0000}"/>
    <cellStyle name="Normal 5 4 5 3" xfId="1094" xr:uid="{00000000-0005-0000-0000-0000D76F0000}"/>
    <cellStyle name="Normal 5 4 5 3 2" xfId="3523" xr:uid="{00000000-0005-0000-0000-0000D86F0000}"/>
    <cellStyle name="Normal 5 4 5 3 2 2" xfId="12659" xr:uid="{00000000-0005-0000-0000-0000D96F0000}"/>
    <cellStyle name="Normal 5 4 5 3 2 2 2" xfId="22878" xr:uid="{00000000-0005-0000-0000-0000DA6F0000}"/>
    <cellStyle name="Normal 5 4 5 3 2 2 2 2" xfId="48431" xr:uid="{00000000-0005-0000-0000-0000DB6F0000}"/>
    <cellStyle name="Normal 5 4 5 3 2 2 3" xfId="38214" xr:uid="{00000000-0005-0000-0000-0000DC6F0000}"/>
    <cellStyle name="Normal 5 4 5 3 2 3" xfId="9081" xr:uid="{00000000-0005-0000-0000-0000DD6F0000}"/>
    <cellStyle name="Normal 5 4 5 3 2 3 2" xfId="34638" xr:uid="{00000000-0005-0000-0000-0000DE6F0000}"/>
    <cellStyle name="Normal 5 4 5 3 2 4" xfId="17871" xr:uid="{00000000-0005-0000-0000-0000DF6F0000}"/>
    <cellStyle name="Normal 5 4 5 3 2 4 2" xfId="43424" xr:uid="{00000000-0005-0000-0000-0000E06F0000}"/>
    <cellStyle name="Normal 5 4 5 3 2 5" xfId="29361" xr:uid="{00000000-0005-0000-0000-0000E16F0000}"/>
    <cellStyle name="Normal 5 4 5 3 3" xfId="4977" xr:uid="{00000000-0005-0000-0000-0000E26F0000}"/>
    <cellStyle name="Normal 5 4 5 3 3 2" xfId="13814" xr:uid="{00000000-0005-0000-0000-0000E36F0000}"/>
    <cellStyle name="Normal 5 4 5 3 3 2 2" xfId="24065" xr:uid="{00000000-0005-0000-0000-0000E46F0000}"/>
    <cellStyle name="Normal 5 4 5 3 3 2 2 2" xfId="49618" xr:uid="{00000000-0005-0000-0000-0000E56F0000}"/>
    <cellStyle name="Normal 5 4 5 3 3 2 3" xfId="39369" xr:uid="{00000000-0005-0000-0000-0000E66F0000}"/>
    <cellStyle name="Normal 5 4 5 3 3 3" xfId="10235" xr:uid="{00000000-0005-0000-0000-0000E76F0000}"/>
    <cellStyle name="Normal 5 4 5 3 3 3 2" xfId="35792" xr:uid="{00000000-0005-0000-0000-0000E86F0000}"/>
    <cellStyle name="Normal 5 4 5 3 3 4" xfId="19058" xr:uid="{00000000-0005-0000-0000-0000E96F0000}"/>
    <cellStyle name="Normal 5 4 5 3 3 4 2" xfId="44611" xr:uid="{00000000-0005-0000-0000-0000EA6F0000}"/>
    <cellStyle name="Normal 5 4 5 3 3 5" xfId="30548" xr:uid="{00000000-0005-0000-0000-0000EB6F0000}"/>
    <cellStyle name="Normal 5 4 5 3 4" xfId="2576" xr:uid="{00000000-0005-0000-0000-0000EC6F0000}"/>
    <cellStyle name="Normal 5 4 5 3 4 2" xfId="11940" xr:uid="{00000000-0005-0000-0000-0000ED6F0000}"/>
    <cellStyle name="Normal 5 4 5 3 4 2 2" xfId="37495" xr:uid="{00000000-0005-0000-0000-0000EE6F0000}"/>
    <cellStyle name="Normal 5 4 5 3 4 3" xfId="21944" xr:uid="{00000000-0005-0000-0000-0000EF6F0000}"/>
    <cellStyle name="Normal 5 4 5 3 4 3 2" xfId="47497" xr:uid="{00000000-0005-0000-0000-0000F06F0000}"/>
    <cellStyle name="Normal 5 4 5 3 4 4" xfId="28427" xr:uid="{00000000-0005-0000-0000-0000F16F0000}"/>
    <cellStyle name="Normal 5 4 5 3 5" xfId="6432" xr:uid="{00000000-0005-0000-0000-0000F26F0000}"/>
    <cellStyle name="Normal 5 4 5 3 5 2" xfId="15259" xr:uid="{00000000-0005-0000-0000-0000F36F0000}"/>
    <cellStyle name="Normal 5 4 5 3 5 2 2" xfId="40814" xr:uid="{00000000-0005-0000-0000-0000F46F0000}"/>
    <cellStyle name="Normal 5 4 5 3 5 3" xfId="25510" xr:uid="{00000000-0005-0000-0000-0000F56F0000}"/>
    <cellStyle name="Normal 5 4 5 3 5 3 2" xfId="51063" xr:uid="{00000000-0005-0000-0000-0000F66F0000}"/>
    <cellStyle name="Normal 5 4 5 3 5 4" xfId="31993" xr:uid="{00000000-0005-0000-0000-0000F76F0000}"/>
    <cellStyle name="Normal 5 4 5 3 6" xfId="7878" xr:uid="{00000000-0005-0000-0000-0000F86F0000}"/>
    <cellStyle name="Normal 5 4 5 3 6 2" xfId="20477" xr:uid="{00000000-0005-0000-0000-0000F96F0000}"/>
    <cellStyle name="Normal 5 4 5 3 6 2 2" xfId="46030" xr:uid="{00000000-0005-0000-0000-0000FA6F0000}"/>
    <cellStyle name="Normal 5 4 5 3 6 3" xfId="33435" xr:uid="{00000000-0005-0000-0000-0000FB6F0000}"/>
    <cellStyle name="Normal 5 4 5 3 7" xfId="16937" xr:uid="{00000000-0005-0000-0000-0000FC6F0000}"/>
    <cellStyle name="Normal 5 4 5 3 7 2" xfId="42490" xr:uid="{00000000-0005-0000-0000-0000FD6F0000}"/>
    <cellStyle name="Normal 5 4 5 3 8" xfId="26960" xr:uid="{00000000-0005-0000-0000-0000FE6F0000}"/>
    <cellStyle name="Normal 5 4 5 4" xfId="2808" xr:uid="{00000000-0005-0000-0000-0000FF6F0000}"/>
    <cellStyle name="Normal 5 4 5 4 2" xfId="5186" xr:uid="{00000000-0005-0000-0000-000000700000}"/>
    <cellStyle name="Normal 5 4 5 4 2 2" xfId="14023" xr:uid="{00000000-0005-0000-0000-000001700000}"/>
    <cellStyle name="Normal 5 4 5 4 2 2 2" xfId="24274" xr:uid="{00000000-0005-0000-0000-000002700000}"/>
    <cellStyle name="Normal 5 4 5 4 2 2 2 2" xfId="49827" xr:uid="{00000000-0005-0000-0000-000003700000}"/>
    <cellStyle name="Normal 5 4 5 4 2 2 3" xfId="39578" xr:uid="{00000000-0005-0000-0000-000004700000}"/>
    <cellStyle name="Normal 5 4 5 4 2 3" xfId="10444" xr:uid="{00000000-0005-0000-0000-000005700000}"/>
    <cellStyle name="Normal 5 4 5 4 2 3 2" xfId="36001" xr:uid="{00000000-0005-0000-0000-000006700000}"/>
    <cellStyle name="Normal 5 4 5 4 2 4" xfId="19267" xr:uid="{00000000-0005-0000-0000-000007700000}"/>
    <cellStyle name="Normal 5 4 5 4 2 4 2" xfId="44820" xr:uid="{00000000-0005-0000-0000-000008700000}"/>
    <cellStyle name="Normal 5 4 5 4 2 5" xfId="30757" xr:uid="{00000000-0005-0000-0000-000009700000}"/>
    <cellStyle name="Normal 5 4 5 4 3" xfId="6641" xr:uid="{00000000-0005-0000-0000-00000A700000}"/>
    <cellStyle name="Normal 5 4 5 4 3 2" xfId="15468" xr:uid="{00000000-0005-0000-0000-00000B700000}"/>
    <cellStyle name="Normal 5 4 5 4 3 2 2" xfId="41023" xr:uid="{00000000-0005-0000-0000-00000C700000}"/>
    <cellStyle name="Normal 5 4 5 4 3 3" xfId="25719" xr:uid="{00000000-0005-0000-0000-00000D700000}"/>
    <cellStyle name="Normal 5 4 5 4 3 3 2" xfId="51272" xr:uid="{00000000-0005-0000-0000-00000E700000}"/>
    <cellStyle name="Normal 5 4 5 4 3 4" xfId="32202" xr:uid="{00000000-0005-0000-0000-00000F700000}"/>
    <cellStyle name="Normal 5 4 5 4 4" xfId="8087" xr:uid="{00000000-0005-0000-0000-000010700000}"/>
    <cellStyle name="Normal 5 4 5 4 4 2" xfId="22169" xr:uid="{00000000-0005-0000-0000-000011700000}"/>
    <cellStyle name="Normal 5 4 5 4 4 2 2" xfId="47722" xr:uid="{00000000-0005-0000-0000-000012700000}"/>
    <cellStyle name="Normal 5 4 5 4 4 3" xfId="33644" xr:uid="{00000000-0005-0000-0000-000013700000}"/>
    <cellStyle name="Normal 5 4 5 4 5" xfId="17162" xr:uid="{00000000-0005-0000-0000-000014700000}"/>
    <cellStyle name="Normal 5 4 5 4 5 2" xfId="42715" xr:uid="{00000000-0005-0000-0000-000015700000}"/>
    <cellStyle name="Normal 5 4 5 4 6" xfId="28652" xr:uid="{00000000-0005-0000-0000-000016700000}"/>
    <cellStyle name="Normal 5 4 5 5" xfId="4140" xr:uid="{00000000-0005-0000-0000-000017700000}"/>
    <cellStyle name="Normal 5 4 5 5 2" xfId="12978" xr:uid="{00000000-0005-0000-0000-000018700000}"/>
    <cellStyle name="Normal 5 4 5 5 2 2" xfId="23229" xr:uid="{00000000-0005-0000-0000-000019700000}"/>
    <cellStyle name="Normal 5 4 5 5 2 2 2" xfId="48782" xr:uid="{00000000-0005-0000-0000-00001A700000}"/>
    <cellStyle name="Normal 5 4 5 5 2 3" xfId="38533" xr:uid="{00000000-0005-0000-0000-00001B700000}"/>
    <cellStyle name="Normal 5 4 5 5 3" xfId="9399" xr:uid="{00000000-0005-0000-0000-00001C700000}"/>
    <cellStyle name="Normal 5 4 5 5 3 2" xfId="34956" xr:uid="{00000000-0005-0000-0000-00001D700000}"/>
    <cellStyle name="Normal 5 4 5 5 4" xfId="18222" xr:uid="{00000000-0005-0000-0000-00001E700000}"/>
    <cellStyle name="Normal 5 4 5 5 4 2" xfId="43775" xr:uid="{00000000-0005-0000-0000-00001F700000}"/>
    <cellStyle name="Normal 5 4 5 5 5" xfId="29712" xr:uid="{00000000-0005-0000-0000-000020700000}"/>
    <cellStyle name="Normal 5 4 5 6" xfId="1917" xr:uid="{00000000-0005-0000-0000-000021700000}"/>
    <cellStyle name="Normal 5 4 5 6 2" xfId="11282" xr:uid="{00000000-0005-0000-0000-000022700000}"/>
    <cellStyle name="Normal 5 4 5 6 2 2" xfId="36837" xr:uid="{00000000-0005-0000-0000-000023700000}"/>
    <cellStyle name="Normal 5 4 5 6 3" xfId="21286" xr:uid="{00000000-0005-0000-0000-000024700000}"/>
    <cellStyle name="Normal 5 4 5 6 3 2" xfId="46839" xr:uid="{00000000-0005-0000-0000-000025700000}"/>
    <cellStyle name="Normal 5 4 5 6 4" xfId="27769" xr:uid="{00000000-0005-0000-0000-000026700000}"/>
    <cellStyle name="Normal 5 4 5 7" xfId="5598" xr:uid="{00000000-0005-0000-0000-000027700000}"/>
    <cellStyle name="Normal 5 4 5 7 2" xfId="14425" xr:uid="{00000000-0005-0000-0000-000028700000}"/>
    <cellStyle name="Normal 5 4 5 7 2 2" xfId="39980" xr:uid="{00000000-0005-0000-0000-000029700000}"/>
    <cellStyle name="Normal 5 4 5 7 3" xfId="24676" xr:uid="{00000000-0005-0000-0000-00002A700000}"/>
    <cellStyle name="Normal 5 4 5 7 3 2" xfId="50229" xr:uid="{00000000-0005-0000-0000-00002B700000}"/>
    <cellStyle name="Normal 5 4 5 7 4" xfId="31159" xr:uid="{00000000-0005-0000-0000-00002C700000}"/>
    <cellStyle name="Normal 5 4 5 8" xfId="7042" xr:uid="{00000000-0005-0000-0000-00002D700000}"/>
    <cellStyle name="Normal 5 4 5 8 2" xfId="19768" xr:uid="{00000000-0005-0000-0000-00002E700000}"/>
    <cellStyle name="Normal 5 4 5 8 2 2" xfId="45321" xr:uid="{00000000-0005-0000-0000-00002F700000}"/>
    <cellStyle name="Normal 5 4 5 8 3" xfId="32599" xr:uid="{00000000-0005-0000-0000-000030700000}"/>
    <cellStyle name="Normal 5 4 5 9" xfId="16279" xr:uid="{00000000-0005-0000-0000-000031700000}"/>
    <cellStyle name="Normal 5 4 5 9 2" xfId="41832" xr:uid="{00000000-0005-0000-0000-000032700000}"/>
    <cellStyle name="Normal 5 4 5_Degree data" xfId="3921" xr:uid="{00000000-0005-0000-0000-000033700000}"/>
    <cellStyle name="Normal 5 4 6" xfId="808" xr:uid="{00000000-0005-0000-0000-000034700000}"/>
    <cellStyle name="Normal 5 4 6 2" xfId="3293" xr:uid="{00000000-0005-0000-0000-000035700000}"/>
    <cellStyle name="Normal 5 4 6 2 2" xfId="12435" xr:uid="{00000000-0005-0000-0000-000036700000}"/>
    <cellStyle name="Normal 5 4 6 2 2 2" xfId="22654" xr:uid="{00000000-0005-0000-0000-000037700000}"/>
    <cellStyle name="Normal 5 4 6 2 2 2 2" xfId="48207" xr:uid="{00000000-0005-0000-0000-000038700000}"/>
    <cellStyle name="Normal 5 4 6 2 2 3" xfId="37990" xr:uid="{00000000-0005-0000-0000-000039700000}"/>
    <cellStyle name="Normal 5 4 6 2 3" xfId="8857" xr:uid="{00000000-0005-0000-0000-00003A700000}"/>
    <cellStyle name="Normal 5 4 6 2 3 2" xfId="34414" xr:uid="{00000000-0005-0000-0000-00003B700000}"/>
    <cellStyle name="Normal 5 4 6 2 4" xfId="17647" xr:uid="{00000000-0005-0000-0000-00003C700000}"/>
    <cellStyle name="Normal 5 4 6 2 4 2" xfId="43200" xr:uid="{00000000-0005-0000-0000-00003D700000}"/>
    <cellStyle name="Normal 5 4 6 2 5" xfId="29137" xr:uid="{00000000-0005-0000-0000-00003E700000}"/>
    <cellStyle name="Normal 5 4 6 3" xfId="4622" xr:uid="{00000000-0005-0000-0000-00003F700000}"/>
    <cellStyle name="Normal 5 4 6 3 2" xfId="13460" xr:uid="{00000000-0005-0000-0000-000040700000}"/>
    <cellStyle name="Normal 5 4 6 3 2 2" xfId="23711" xr:uid="{00000000-0005-0000-0000-000041700000}"/>
    <cellStyle name="Normal 5 4 6 3 2 2 2" xfId="49264" xr:uid="{00000000-0005-0000-0000-000042700000}"/>
    <cellStyle name="Normal 5 4 6 3 2 3" xfId="39015" xr:uid="{00000000-0005-0000-0000-000043700000}"/>
    <cellStyle name="Normal 5 4 6 3 3" xfId="9881" xr:uid="{00000000-0005-0000-0000-000044700000}"/>
    <cellStyle name="Normal 5 4 6 3 3 2" xfId="35438" xr:uid="{00000000-0005-0000-0000-000045700000}"/>
    <cellStyle name="Normal 5 4 6 3 4" xfId="18704" xr:uid="{00000000-0005-0000-0000-000046700000}"/>
    <cellStyle name="Normal 5 4 6 3 4 2" xfId="44257" xr:uid="{00000000-0005-0000-0000-000047700000}"/>
    <cellStyle name="Normal 5 4 6 3 5" xfId="30194" xr:uid="{00000000-0005-0000-0000-000048700000}"/>
    <cellStyle name="Normal 5 4 6 4" xfId="2402" xr:uid="{00000000-0005-0000-0000-000049700000}"/>
    <cellStyle name="Normal 5 4 6 4 2" xfId="11767" xr:uid="{00000000-0005-0000-0000-00004A700000}"/>
    <cellStyle name="Normal 5 4 6 4 2 2" xfId="37322" xr:uid="{00000000-0005-0000-0000-00004B700000}"/>
    <cellStyle name="Normal 5 4 6 4 3" xfId="21771" xr:uid="{00000000-0005-0000-0000-00004C700000}"/>
    <cellStyle name="Normal 5 4 6 4 3 2" xfId="47324" xr:uid="{00000000-0005-0000-0000-00004D700000}"/>
    <cellStyle name="Normal 5 4 6 4 4" xfId="28254" xr:uid="{00000000-0005-0000-0000-00004E700000}"/>
    <cellStyle name="Normal 5 4 6 5" xfId="6078" xr:uid="{00000000-0005-0000-0000-00004F700000}"/>
    <cellStyle name="Normal 5 4 6 5 2" xfId="14905" xr:uid="{00000000-0005-0000-0000-000050700000}"/>
    <cellStyle name="Normal 5 4 6 5 2 2" xfId="40460" xr:uid="{00000000-0005-0000-0000-000051700000}"/>
    <cellStyle name="Normal 5 4 6 5 3" xfId="25156" xr:uid="{00000000-0005-0000-0000-000052700000}"/>
    <cellStyle name="Normal 5 4 6 5 3 2" xfId="50709" xr:uid="{00000000-0005-0000-0000-000053700000}"/>
    <cellStyle name="Normal 5 4 6 5 4" xfId="31639" xr:uid="{00000000-0005-0000-0000-000054700000}"/>
    <cellStyle name="Normal 5 4 6 6" xfId="7523" xr:uid="{00000000-0005-0000-0000-000055700000}"/>
    <cellStyle name="Normal 5 4 6 6 2" xfId="20253" xr:uid="{00000000-0005-0000-0000-000056700000}"/>
    <cellStyle name="Normal 5 4 6 6 2 2" xfId="45806" xr:uid="{00000000-0005-0000-0000-000057700000}"/>
    <cellStyle name="Normal 5 4 6 6 3" xfId="33080" xr:uid="{00000000-0005-0000-0000-000058700000}"/>
    <cellStyle name="Normal 5 4 6 7" xfId="16764" xr:uid="{00000000-0005-0000-0000-000059700000}"/>
    <cellStyle name="Normal 5 4 6 7 2" xfId="42317" xr:uid="{00000000-0005-0000-0000-00005A700000}"/>
    <cellStyle name="Normal 5 4 6 8" xfId="26736" xr:uid="{00000000-0005-0000-0000-00005B700000}"/>
    <cellStyle name="Normal 5 4 7" xfId="1051" xr:uid="{00000000-0005-0000-0000-00005C700000}"/>
    <cellStyle name="Normal 5 4 7 2" xfId="3480" xr:uid="{00000000-0005-0000-0000-00005D700000}"/>
    <cellStyle name="Normal 5 4 7 2 2" xfId="12616" xr:uid="{00000000-0005-0000-0000-00005E700000}"/>
    <cellStyle name="Normal 5 4 7 2 2 2" xfId="22835" xr:uid="{00000000-0005-0000-0000-00005F700000}"/>
    <cellStyle name="Normal 5 4 7 2 2 2 2" xfId="48388" xr:uid="{00000000-0005-0000-0000-000060700000}"/>
    <cellStyle name="Normal 5 4 7 2 2 3" xfId="38171" xr:uid="{00000000-0005-0000-0000-000061700000}"/>
    <cellStyle name="Normal 5 4 7 2 3" xfId="9038" xr:uid="{00000000-0005-0000-0000-000062700000}"/>
    <cellStyle name="Normal 5 4 7 2 3 2" xfId="34595" xr:uid="{00000000-0005-0000-0000-000063700000}"/>
    <cellStyle name="Normal 5 4 7 2 4" xfId="17828" xr:uid="{00000000-0005-0000-0000-000064700000}"/>
    <cellStyle name="Normal 5 4 7 2 4 2" xfId="43381" xr:uid="{00000000-0005-0000-0000-000065700000}"/>
    <cellStyle name="Normal 5 4 7 2 5" xfId="29318" xr:uid="{00000000-0005-0000-0000-000066700000}"/>
    <cellStyle name="Normal 5 4 7 3" xfId="4971" xr:uid="{00000000-0005-0000-0000-000067700000}"/>
    <cellStyle name="Normal 5 4 7 3 2" xfId="13808" xr:uid="{00000000-0005-0000-0000-000068700000}"/>
    <cellStyle name="Normal 5 4 7 3 2 2" xfId="24059" xr:uid="{00000000-0005-0000-0000-000069700000}"/>
    <cellStyle name="Normal 5 4 7 3 2 2 2" xfId="49612" xr:uid="{00000000-0005-0000-0000-00006A700000}"/>
    <cellStyle name="Normal 5 4 7 3 2 3" xfId="39363" xr:uid="{00000000-0005-0000-0000-00006B700000}"/>
    <cellStyle name="Normal 5 4 7 3 3" xfId="10229" xr:uid="{00000000-0005-0000-0000-00006C700000}"/>
    <cellStyle name="Normal 5 4 7 3 3 2" xfId="35786" xr:uid="{00000000-0005-0000-0000-00006D700000}"/>
    <cellStyle name="Normal 5 4 7 3 4" xfId="19052" xr:uid="{00000000-0005-0000-0000-00006E700000}"/>
    <cellStyle name="Normal 5 4 7 3 4 2" xfId="44605" xr:uid="{00000000-0005-0000-0000-00006F700000}"/>
    <cellStyle name="Normal 5 4 7 3 5" xfId="30542" xr:uid="{00000000-0005-0000-0000-000070700000}"/>
    <cellStyle name="Normal 5 4 7 4" xfId="1752" xr:uid="{00000000-0005-0000-0000-000071700000}"/>
    <cellStyle name="Normal 5 4 7 4 2" xfId="11123" xr:uid="{00000000-0005-0000-0000-000072700000}"/>
    <cellStyle name="Normal 5 4 7 4 2 2" xfId="36678" xr:uid="{00000000-0005-0000-0000-000073700000}"/>
    <cellStyle name="Normal 5 4 7 4 3" xfId="21127" xr:uid="{00000000-0005-0000-0000-000074700000}"/>
    <cellStyle name="Normal 5 4 7 4 3 2" xfId="46680" xr:uid="{00000000-0005-0000-0000-000075700000}"/>
    <cellStyle name="Normal 5 4 7 4 4" xfId="27610" xr:uid="{00000000-0005-0000-0000-000076700000}"/>
    <cellStyle name="Normal 5 4 7 5" xfId="6426" xr:uid="{00000000-0005-0000-0000-000077700000}"/>
    <cellStyle name="Normal 5 4 7 5 2" xfId="15253" xr:uid="{00000000-0005-0000-0000-000078700000}"/>
    <cellStyle name="Normal 5 4 7 5 2 2" xfId="40808" xr:uid="{00000000-0005-0000-0000-000079700000}"/>
    <cellStyle name="Normal 5 4 7 5 3" xfId="25504" xr:uid="{00000000-0005-0000-0000-00007A700000}"/>
    <cellStyle name="Normal 5 4 7 5 3 2" xfId="51057" xr:uid="{00000000-0005-0000-0000-00007B700000}"/>
    <cellStyle name="Normal 5 4 7 5 4" xfId="31987" xr:uid="{00000000-0005-0000-0000-00007C700000}"/>
    <cellStyle name="Normal 5 4 7 6" xfId="7872" xr:uid="{00000000-0005-0000-0000-00007D700000}"/>
    <cellStyle name="Normal 5 4 7 6 2" xfId="20434" xr:uid="{00000000-0005-0000-0000-00007E700000}"/>
    <cellStyle name="Normal 5 4 7 6 2 2" xfId="45987" xr:uid="{00000000-0005-0000-0000-00007F700000}"/>
    <cellStyle name="Normal 5 4 7 6 3" xfId="33429" xr:uid="{00000000-0005-0000-0000-000080700000}"/>
    <cellStyle name="Normal 5 4 7 7" xfId="16120" xr:uid="{00000000-0005-0000-0000-000081700000}"/>
    <cellStyle name="Normal 5 4 7 7 2" xfId="41673" xr:uid="{00000000-0005-0000-0000-000082700000}"/>
    <cellStyle name="Normal 5 4 7 8" xfId="26917" xr:uid="{00000000-0005-0000-0000-000083700000}"/>
    <cellStyle name="Normal 5 4 8" xfId="2650" xr:uid="{00000000-0005-0000-0000-000084700000}"/>
    <cellStyle name="Normal 5 4 8 2" xfId="5143" xr:uid="{00000000-0005-0000-0000-000085700000}"/>
    <cellStyle name="Normal 5 4 8 2 2" xfId="13980" xr:uid="{00000000-0005-0000-0000-000086700000}"/>
    <cellStyle name="Normal 5 4 8 2 2 2" xfId="24231" xr:uid="{00000000-0005-0000-0000-000087700000}"/>
    <cellStyle name="Normal 5 4 8 2 2 2 2" xfId="49784" xr:uid="{00000000-0005-0000-0000-000088700000}"/>
    <cellStyle name="Normal 5 4 8 2 2 3" xfId="39535" xr:uid="{00000000-0005-0000-0000-000089700000}"/>
    <cellStyle name="Normal 5 4 8 2 3" xfId="10401" xr:uid="{00000000-0005-0000-0000-00008A700000}"/>
    <cellStyle name="Normal 5 4 8 2 3 2" xfId="35958" xr:uid="{00000000-0005-0000-0000-00008B700000}"/>
    <cellStyle name="Normal 5 4 8 2 4" xfId="19224" xr:uid="{00000000-0005-0000-0000-00008C700000}"/>
    <cellStyle name="Normal 5 4 8 2 4 2" xfId="44777" xr:uid="{00000000-0005-0000-0000-00008D700000}"/>
    <cellStyle name="Normal 5 4 8 2 5" xfId="30714" xr:uid="{00000000-0005-0000-0000-00008E700000}"/>
    <cellStyle name="Normal 5 4 8 3" xfId="6598" xr:uid="{00000000-0005-0000-0000-00008F700000}"/>
    <cellStyle name="Normal 5 4 8 3 2" xfId="15425" xr:uid="{00000000-0005-0000-0000-000090700000}"/>
    <cellStyle name="Normal 5 4 8 3 2 2" xfId="40980" xr:uid="{00000000-0005-0000-0000-000091700000}"/>
    <cellStyle name="Normal 5 4 8 3 3" xfId="25676" xr:uid="{00000000-0005-0000-0000-000092700000}"/>
    <cellStyle name="Normal 5 4 8 3 3 2" xfId="51229" xr:uid="{00000000-0005-0000-0000-000093700000}"/>
    <cellStyle name="Normal 5 4 8 3 4" xfId="32159" xr:uid="{00000000-0005-0000-0000-000094700000}"/>
    <cellStyle name="Normal 5 4 8 4" xfId="8044" xr:uid="{00000000-0005-0000-0000-000095700000}"/>
    <cellStyle name="Normal 5 4 8 4 2" xfId="22011" xr:uid="{00000000-0005-0000-0000-000096700000}"/>
    <cellStyle name="Normal 5 4 8 4 2 2" xfId="47564" xr:uid="{00000000-0005-0000-0000-000097700000}"/>
    <cellStyle name="Normal 5 4 8 4 3" xfId="33601" xr:uid="{00000000-0005-0000-0000-000098700000}"/>
    <cellStyle name="Normal 5 4 8 5" xfId="17004" xr:uid="{00000000-0005-0000-0000-000099700000}"/>
    <cellStyle name="Normal 5 4 8 5 2" xfId="42557" xr:uid="{00000000-0005-0000-0000-00009A700000}"/>
    <cellStyle name="Normal 5 4 8 6" xfId="28494" xr:uid="{00000000-0005-0000-0000-00009B700000}"/>
    <cellStyle name="Normal 5 4 9" xfId="4097" xr:uid="{00000000-0005-0000-0000-00009C700000}"/>
    <cellStyle name="Normal 5 4 9 2" xfId="5555" xr:uid="{00000000-0005-0000-0000-00009D700000}"/>
    <cellStyle name="Normal 5 4 9 2 2" xfId="14382" xr:uid="{00000000-0005-0000-0000-00009E700000}"/>
    <cellStyle name="Normal 5 4 9 2 2 2" xfId="39937" xr:uid="{00000000-0005-0000-0000-00009F700000}"/>
    <cellStyle name="Normal 5 4 9 2 3" xfId="24633" xr:uid="{00000000-0005-0000-0000-0000A0700000}"/>
    <cellStyle name="Normal 5 4 9 2 3 2" xfId="50186" xr:uid="{00000000-0005-0000-0000-0000A1700000}"/>
    <cellStyle name="Normal 5 4 9 2 4" xfId="31116" xr:uid="{00000000-0005-0000-0000-0000A2700000}"/>
    <cellStyle name="Normal 5 4 9 3" xfId="6999" xr:uid="{00000000-0005-0000-0000-0000A3700000}"/>
    <cellStyle name="Normal 5 4 9 3 2" xfId="23186" xr:uid="{00000000-0005-0000-0000-0000A4700000}"/>
    <cellStyle name="Normal 5 4 9 3 2 2" xfId="48739" xr:uid="{00000000-0005-0000-0000-0000A5700000}"/>
    <cellStyle name="Normal 5 4 9 3 3" xfId="32556" xr:uid="{00000000-0005-0000-0000-0000A6700000}"/>
    <cellStyle name="Normal 5 4 9 4" xfId="18179" xr:uid="{00000000-0005-0000-0000-0000A7700000}"/>
    <cellStyle name="Normal 5 4 9 4 2" xfId="43732" xr:uid="{00000000-0005-0000-0000-0000A8700000}"/>
    <cellStyle name="Normal 5 4 9 5" xfId="29669" xr:uid="{00000000-0005-0000-0000-0000A9700000}"/>
    <cellStyle name="Normal 5 4_Degree data" xfId="3820" xr:uid="{00000000-0005-0000-0000-0000AA700000}"/>
    <cellStyle name="Normal 5 5" xfId="134" xr:uid="{00000000-0005-0000-0000-0000AB700000}"/>
    <cellStyle name="Normal 5 5 10" xfId="1402" xr:uid="{00000000-0005-0000-0000-0000AC700000}"/>
    <cellStyle name="Normal 5 5 10 2" xfId="10779" xr:uid="{00000000-0005-0000-0000-0000AD700000}"/>
    <cellStyle name="Normal 5 5 10 2 2" xfId="36334" xr:uid="{00000000-0005-0000-0000-0000AE700000}"/>
    <cellStyle name="Normal 5 5 10 3" xfId="20783" xr:uid="{00000000-0005-0000-0000-0000AF700000}"/>
    <cellStyle name="Normal 5 5 10 3 2" xfId="46336" xr:uid="{00000000-0005-0000-0000-0000B0700000}"/>
    <cellStyle name="Normal 5 5 10 4" xfId="27266" xr:uid="{00000000-0005-0000-0000-0000B1700000}"/>
    <cellStyle name="Normal 5 5 11" xfId="5513" xr:uid="{00000000-0005-0000-0000-0000B2700000}"/>
    <cellStyle name="Normal 5 5 11 2" xfId="14340" xr:uid="{00000000-0005-0000-0000-0000B3700000}"/>
    <cellStyle name="Normal 5 5 11 2 2" xfId="39895" xr:uid="{00000000-0005-0000-0000-0000B4700000}"/>
    <cellStyle name="Normal 5 5 11 3" xfId="24591" xr:uid="{00000000-0005-0000-0000-0000B5700000}"/>
    <cellStyle name="Normal 5 5 11 3 2" xfId="50144" xr:uid="{00000000-0005-0000-0000-0000B6700000}"/>
    <cellStyle name="Normal 5 5 11 4" xfId="31074" xr:uid="{00000000-0005-0000-0000-0000B7700000}"/>
    <cellStyle name="Normal 5 5 12" xfId="6953" xr:uid="{00000000-0005-0000-0000-0000B8700000}"/>
    <cellStyle name="Normal 5 5 12 2" xfId="19598" xr:uid="{00000000-0005-0000-0000-0000B9700000}"/>
    <cellStyle name="Normal 5 5 12 2 2" xfId="45151" xr:uid="{00000000-0005-0000-0000-0000BA700000}"/>
    <cellStyle name="Normal 5 5 12 3" xfId="32511" xr:uid="{00000000-0005-0000-0000-0000BB700000}"/>
    <cellStyle name="Normal 5 5 13" xfId="15776" xr:uid="{00000000-0005-0000-0000-0000BC700000}"/>
    <cellStyle name="Normal 5 5 13 2" xfId="41329" xr:uid="{00000000-0005-0000-0000-0000BD700000}"/>
    <cellStyle name="Normal 5 5 14" xfId="26081" xr:uid="{00000000-0005-0000-0000-0000BE700000}"/>
    <cellStyle name="Normal 5 5 2" xfId="184" xr:uid="{00000000-0005-0000-0000-0000BF700000}"/>
    <cellStyle name="Normal 5 5 2 10" xfId="7132" xr:uid="{00000000-0005-0000-0000-0000C0700000}"/>
    <cellStyle name="Normal 5 5 2 10 2" xfId="19641" xr:uid="{00000000-0005-0000-0000-0000C1700000}"/>
    <cellStyle name="Normal 5 5 2 10 2 2" xfId="45194" xr:uid="{00000000-0005-0000-0000-0000C2700000}"/>
    <cellStyle name="Normal 5 5 2 10 3" xfId="32689" xr:uid="{00000000-0005-0000-0000-0000C3700000}"/>
    <cellStyle name="Normal 5 5 2 11" xfId="15878" xr:uid="{00000000-0005-0000-0000-0000C4700000}"/>
    <cellStyle name="Normal 5 5 2 11 2" xfId="41431" xr:uid="{00000000-0005-0000-0000-0000C5700000}"/>
    <cellStyle name="Normal 5 5 2 12" xfId="26124" xr:uid="{00000000-0005-0000-0000-0000C6700000}"/>
    <cellStyle name="Normal 5 5 2 2" xfId="512" xr:uid="{00000000-0005-0000-0000-0000C7700000}"/>
    <cellStyle name="Normal 5 5 2 2 10" xfId="26441" xr:uid="{00000000-0005-0000-0000-0000C8700000}"/>
    <cellStyle name="Normal 5 5 2 2 2" xfId="817" xr:uid="{00000000-0005-0000-0000-0000C9700000}"/>
    <cellStyle name="Normal 5 5 2 2 2 2" xfId="3302" xr:uid="{00000000-0005-0000-0000-0000CA700000}"/>
    <cellStyle name="Normal 5 5 2 2 2 2 2" xfId="12444" xr:uid="{00000000-0005-0000-0000-0000CB700000}"/>
    <cellStyle name="Normal 5 5 2 2 2 2 2 2" xfId="22663" xr:uid="{00000000-0005-0000-0000-0000CC700000}"/>
    <cellStyle name="Normal 5 5 2 2 2 2 2 2 2" xfId="48216" xr:uid="{00000000-0005-0000-0000-0000CD700000}"/>
    <cellStyle name="Normal 5 5 2 2 2 2 2 3" xfId="37999" xr:uid="{00000000-0005-0000-0000-0000CE700000}"/>
    <cellStyle name="Normal 5 5 2 2 2 2 3" xfId="8866" xr:uid="{00000000-0005-0000-0000-0000CF700000}"/>
    <cellStyle name="Normal 5 5 2 2 2 2 3 2" xfId="34423" xr:uid="{00000000-0005-0000-0000-0000D0700000}"/>
    <cellStyle name="Normal 5 5 2 2 2 2 4" xfId="17656" xr:uid="{00000000-0005-0000-0000-0000D1700000}"/>
    <cellStyle name="Normal 5 5 2 2 2 2 4 2" xfId="43209" xr:uid="{00000000-0005-0000-0000-0000D2700000}"/>
    <cellStyle name="Normal 5 5 2 2 2 2 5" xfId="29146" xr:uid="{00000000-0005-0000-0000-0000D3700000}"/>
    <cellStyle name="Normal 5 5 2 2 2 3" xfId="4631" xr:uid="{00000000-0005-0000-0000-0000D4700000}"/>
    <cellStyle name="Normal 5 5 2 2 2 3 2" xfId="13469" xr:uid="{00000000-0005-0000-0000-0000D5700000}"/>
    <cellStyle name="Normal 5 5 2 2 2 3 2 2" xfId="23720" xr:uid="{00000000-0005-0000-0000-0000D6700000}"/>
    <cellStyle name="Normal 5 5 2 2 2 3 2 2 2" xfId="49273" xr:uid="{00000000-0005-0000-0000-0000D7700000}"/>
    <cellStyle name="Normal 5 5 2 2 2 3 2 3" xfId="39024" xr:uid="{00000000-0005-0000-0000-0000D8700000}"/>
    <cellStyle name="Normal 5 5 2 2 2 3 3" xfId="9890" xr:uid="{00000000-0005-0000-0000-0000D9700000}"/>
    <cellStyle name="Normal 5 5 2 2 2 3 3 2" xfId="35447" xr:uid="{00000000-0005-0000-0000-0000DA700000}"/>
    <cellStyle name="Normal 5 5 2 2 2 3 4" xfId="18713" xr:uid="{00000000-0005-0000-0000-0000DB700000}"/>
    <cellStyle name="Normal 5 5 2 2 2 3 4 2" xfId="44266" xr:uid="{00000000-0005-0000-0000-0000DC700000}"/>
    <cellStyle name="Normal 5 5 2 2 2 3 5" xfId="30203" xr:uid="{00000000-0005-0000-0000-0000DD700000}"/>
    <cellStyle name="Normal 5 5 2 2 2 4" xfId="2411" xr:uid="{00000000-0005-0000-0000-0000DE700000}"/>
    <cellStyle name="Normal 5 5 2 2 2 4 2" xfId="11776" xr:uid="{00000000-0005-0000-0000-0000DF700000}"/>
    <cellStyle name="Normal 5 5 2 2 2 4 2 2" xfId="37331" xr:uid="{00000000-0005-0000-0000-0000E0700000}"/>
    <cellStyle name="Normal 5 5 2 2 2 4 3" xfId="21780" xr:uid="{00000000-0005-0000-0000-0000E1700000}"/>
    <cellStyle name="Normal 5 5 2 2 2 4 3 2" xfId="47333" xr:uid="{00000000-0005-0000-0000-0000E2700000}"/>
    <cellStyle name="Normal 5 5 2 2 2 4 4" xfId="28263" xr:uid="{00000000-0005-0000-0000-0000E3700000}"/>
    <cellStyle name="Normal 5 5 2 2 2 5" xfId="6087" xr:uid="{00000000-0005-0000-0000-0000E4700000}"/>
    <cellStyle name="Normal 5 5 2 2 2 5 2" xfId="14914" xr:uid="{00000000-0005-0000-0000-0000E5700000}"/>
    <cellStyle name="Normal 5 5 2 2 2 5 2 2" xfId="40469" xr:uid="{00000000-0005-0000-0000-0000E6700000}"/>
    <cellStyle name="Normal 5 5 2 2 2 5 3" xfId="25165" xr:uid="{00000000-0005-0000-0000-0000E7700000}"/>
    <cellStyle name="Normal 5 5 2 2 2 5 3 2" xfId="50718" xr:uid="{00000000-0005-0000-0000-0000E8700000}"/>
    <cellStyle name="Normal 5 5 2 2 2 5 4" xfId="31648" xr:uid="{00000000-0005-0000-0000-0000E9700000}"/>
    <cellStyle name="Normal 5 5 2 2 2 6" xfId="7532" xr:uid="{00000000-0005-0000-0000-0000EA700000}"/>
    <cellStyle name="Normal 5 5 2 2 2 6 2" xfId="20262" xr:uid="{00000000-0005-0000-0000-0000EB700000}"/>
    <cellStyle name="Normal 5 5 2 2 2 6 2 2" xfId="45815" xr:uid="{00000000-0005-0000-0000-0000EC700000}"/>
    <cellStyle name="Normal 5 5 2 2 2 6 3" xfId="33089" xr:uid="{00000000-0005-0000-0000-0000ED700000}"/>
    <cellStyle name="Normal 5 5 2 2 2 7" xfId="16773" xr:uid="{00000000-0005-0000-0000-0000EE700000}"/>
    <cellStyle name="Normal 5 5 2 2 2 7 2" xfId="42326" xr:uid="{00000000-0005-0000-0000-0000EF700000}"/>
    <cellStyle name="Normal 5 5 2 2 2 8" xfId="26745" xr:uid="{00000000-0005-0000-0000-0000F0700000}"/>
    <cellStyle name="Normal 5 5 2 2 3" xfId="1284" xr:uid="{00000000-0005-0000-0000-0000F1700000}"/>
    <cellStyle name="Normal 5 5 2 2 3 2" xfId="3713" xr:uid="{00000000-0005-0000-0000-0000F2700000}"/>
    <cellStyle name="Normal 5 5 2 2 3 2 2" xfId="12849" xr:uid="{00000000-0005-0000-0000-0000F3700000}"/>
    <cellStyle name="Normal 5 5 2 2 3 2 2 2" xfId="23068" xr:uid="{00000000-0005-0000-0000-0000F4700000}"/>
    <cellStyle name="Normal 5 5 2 2 3 2 2 2 2" xfId="48621" xr:uid="{00000000-0005-0000-0000-0000F5700000}"/>
    <cellStyle name="Normal 5 5 2 2 3 2 2 3" xfId="38404" xr:uid="{00000000-0005-0000-0000-0000F6700000}"/>
    <cellStyle name="Normal 5 5 2 2 3 2 3" xfId="9270" xr:uid="{00000000-0005-0000-0000-0000F7700000}"/>
    <cellStyle name="Normal 5 5 2 2 3 2 3 2" xfId="34827" xr:uid="{00000000-0005-0000-0000-0000F8700000}"/>
    <cellStyle name="Normal 5 5 2 2 3 2 4" xfId="18061" xr:uid="{00000000-0005-0000-0000-0000F9700000}"/>
    <cellStyle name="Normal 5 5 2 2 3 2 4 2" xfId="43614" xr:uid="{00000000-0005-0000-0000-0000FA700000}"/>
    <cellStyle name="Normal 5 5 2 2 3 2 5" xfId="29551" xr:uid="{00000000-0005-0000-0000-0000FB700000}"/>
    <cellStyle name="Normal 5 5 2 2 3 3" xfId="4980" xr:uid="{00000000-0005-0000-0000-0000FC700000}"/>
    <cellStyle name="Normal 5 5 2 2 3 3 2" xfId="13817" xr:uid="{00000000-0005-0000-0000-0000FD700000}"/>
    <cellStyle name="Normal 5 5 2 2 3 3 2 2" xfId="24068" xr:uid="{00000000-0005-0000-0000-0000FE700000}"/>
    <cellStyle name="Normal 5 5 2 2 3 3 2 2 2" xfId="49621" xr:uid="{00000000-0005-0000-0000-0000FF700000}"/>
    <cellStyle name="Normal 5 5 2 2 3 3 2 3" xfId="39372" xr:uid="{00000000-0005-0000-0000-000000710000}"/>
    <cellStyle name="Normal 5 5 2 2 3 3 3" xfId="10238" xr:uid="{00000000-0005-0000-0000-000001710000}"/>
    <cellStyle name="Normal 5 5 2 2 3 3 3 2" xfId="35795" xr:uid="{00000000-0005-0000-0000-000002710000}"/>
    <cellStyle name="Normal 5 5 2 2 3 3 4" xfId="19061" xr:uid="{00000000-0005-0000-0000-000003710000}"/>
    <cellStyle name="Normal 5 5 2 2 3 3 4 2" xfId="44614" xr:uid="{00000000-0005-0000-0000-000004710000}"/>
    <cellStyle name="Normal 5 5 2 2 3 3 5" xfId="30551" xr:uid="{00000000-0005-0000-0000-000005710000}"/>
    <cellStyle name="Normal 5 5 2 2 3 4" xfId="2107" xr:uid="{00000000-0005-0000-0000-000006710000}"/>
    <cellStyle name="Normal 5 5 2 2 3 4 2" xfId="11472" xr:uid="{00000000-0005-0000-0000-000007710000}"/>
    <cellStyle name="Normal 5 5 2 2 3 4 2 2" xfId="37027" xr:uid="{00000000-0005-0000-0000-000008710000}"/>
    <cellStyle name="Normal 5 5 2 2 3 4 3" xfId="21476" xr:uid="{00000000-0005-0000-0000-000009710000}"/>
    <cellStyle name="Normal 5 5 2 2 3 4 3 2" xfId="47029" xr:uid="{00000000-0005-0000-0000-00000A710000}"/>
    <cellStyle name="Normal 5 5 2 2 3 4 4" xfId="27959" xr:uid="{00000000-0005-0000-0000-00000B710000}"/>
    <cellStyle name="Normal 5 5 2 2 3 5" xfId="6435" xr:uid="{00000000-0005-0000-0000-00000C710000}"/>
    <cellStyle name="Normal 5 5 2 2 3 5 2" xfId="15262" xr:uid="{00000000-0005-0000-0000-00000D710000}"/>
    <cellStyle name="Normal 5 5 2 2 3 5 2 2" xfId="40817" xr:uid="{00000000-0005-0000-0000-00000E710000}"/>
    <cellStyle name="Normal 5 5 2 2 3 5 3" xfId="25513" xr:uid="{00000000-0005-0000-0000-00000F710000}"/>
    <cellStyle name="Normal 5 5 2 2 3 5 3 2" xfId="51066" xr:uid="{00000000-0005-0000-0000-000010710000}"/>
    <cellStyle name="Normal 5 5 2 2 3 5 4" xfId="31996" xr:uid="{00000000-0005-0000-0000-000011710000}"/>
    <cellStyle name="Normal 5 5 2 2 3 6" xfId="7881" xr:uid="{00000000-0005-0000-0000-000012710000}"/>
    <cellStyle name="Normal 5 5 2 2 3 6 2" xfId="20667" xr:uid="{00000000-0005-0000-0000-000013710000}"/>
    <cellStyle name="Normal 5 5 2 2 3 6 2 2" xfId="46220" xr:uid="{00000000-0005-0000-0000-000014710000}"/>
    <cellStyle name="Normal 5 5 2 2 3 6 3" xfId="33438" xr:uid="{00000000-0005-0000-0000-000015710000}"/>
    <cellStyle name="Normal 5 5 2 2 3 7" xfId="16469" xr:uid="{00000000-0005-0000-0000-000016710000}"/>
    <cellStyle name="Normal 5 5 2 2 3 7 2" xfId="42022" xr:uid="{00000000-0005-0000-0000-000017710000}"/>
    <cellStyle name="Normal 5 5 2 2 3 8" xfId="27150" xr:uid="{00000000-0005-0000-0000-000018710000}"/>
    <cellStyle name="Normal 5 5 2 2 4" xfId="2998" xr:uid="{00000000-0005-0000-0000-000019710000}"/>
    <cellStyle name="Normal 5 5 2 2 4 2" xfId="5376" xr:uid="{00000000-0005-0000-0000-00001A710000}"/>
    <cellStyle name="Normal 5 5 2 2 4 2 2" xfId="14213" xr:uid="{00000000-0005-0000-0000-00001B710000}"/>
    <cellStyle name="Normal 5 5 2 2 4 2 2 2" xfId="24464" xr:uid="{00000000-0005-0000-0000-00001C710000}"/>
    <cellStyle name="Normal 5 5 2 2 4 2 2 2 2" xfId="50017" xr:uid="{00000000-0005-0000-0000-00001D710000}"/>
    <cellStyle name="Normal 5 5 2 2 4 2 2 3" xfId="39768" xr:uid="{00000000-0005-0000-0000-00001E710000}"/>
    <cellStyle name="Normal 5 5 2 2 4 2 3" xfId="10634" xr:uid="{00000000-0005-0000-0000-00001F710000}"/>
    <cellStyle name="Normal 5 5 2 2 4 2 3 2" xfId="36191" xr:uid="{00000000-0005-0000-0000-000020710000}"/>
    <cellStyle name="Normal 5 5 2 2 4 2 4" xfId="19457" xr:uid="{00000000-0005-0000-0000-000021710000}"/>
    <cellStyle name="Normal 5 5 2 2 4 2 4 2" xfId="45010" xr:uid="{00000000-0005-0000-0000-000022710000}"/>
    <cellStyle name="Normal 5 5 2 2 4 2 5" xfId="30947" xr:uid="{00000000-0005-0000-0000-000023710000}"/>
    <cellStyle name="Normal 5 5 2 2 4 3" xfId="6831" xr:uid="{00000000-0005-0000-0000-000024710000}"/>
    <cellStyle name="Normal 5 5 2 2 4 3 2" xfId="15658" xr:uid="{00000000-0005-0000-0000-000025710000}"/>
    <cellStyle name="Normal 5 5 2 2 4 3 2 2" xfId="41213" xr:uid="{00000000-0005-0000-0000-000026710000}"/>
    <cellStyle name="Normal 5 5 2 2 4 3 3" xfId="25909" xr:uid="{00000000-0005-0000-0000-000027710000}"/>
    <cellStyle name="Normal 5 5 2 2 4 3 3 2" xfId="51462" xr:uid="{00000000-0005-0000-0000-000028710000}"/>
    <cellStyle name="Normal 5 5 2 2 4 3 4" xfId="32392" xr:uid="{00000000-0005-0000-0000-000029710000}"/>
    <cellStyle name="Normal 5 5 2 2 4 4" xfId="8277" xr:uid="{00000000-0005-0000-0000-00002A710000}"/>
    <cellStyle name="Normal 5 5 2 2 4 4 2" xfId="22359" xr:uid="{00000000-0005-0000-0000-00002B710000}"/>
    <cellStyle name="Normal 5 5 2 2 4 4 2 2" xfId="47912" xr:uid="{00000000-0005-0000-0000-00002C710000}"/>
    <cellStyle name="Normal 5 5 2 2 4 4 3" xfId="33834" xr:uid="{00000000-0005-0000-0000-00002D710000}"/>
    <cellStyle name="Normal 5 5 2 2 4 5" xfId="17352" xr:uid="{00000000-0005-0000-0000-00002E710000}"/>
    <cellStyle name="Normal 5 5 2 2 4 5 2" xfId="42905" xr:uid="{00000000-0005-0000-0000-00002F710000}"/>
    <cellStyle name="Normal 5 5 2 2 4 6" xfId="28842" xr:uid="{00000000-0005-0000-0000-000030710000}"/>
    <cellStyle name="Normal 5 5 2 2 5" xfId="4332" xr:uid="{00000000-0005-0000-0000-000031710000}"/>
    <cellStyle name="Normal 5 5 2 2 5 2" xfId="13170" xr:uid="{00000000-0005-0000-0000-000032710000}"/>
    <cellStyle name="Normal 5 5 2 2 5 2 2" xfId="23421" xr:uid="{00000000-0005-0000-0000-000033710000}"/>
    <cellStyle name="Normal 5 5 2 2 5 2 2 2" xfId="48974" xr:uid="{00000000-0005-0000-0000-000034710000}"/>
    <cellStyle name="Normal 5 5 2 2 5 2 3" xfId="38725" xr:uid="{00000000-0005-0000-0000-000035710000}"/>
    <cellStyle name="Normal 5 5 2 2 5 3" xfId="9591" xr:uid="{00000000-0005-0000-0000-000036710000}"/>
    <cellStyle name="Normal 5 5 2 2 5 3 2" xfId="35148" xr:uid="{00000000-0005-0000-0000-000037710000}"/>
    <cellStyle name="Normal 5 5 2 2 5 4" xfId="18414" xr:uid="{00000000-0005-0000-0000-000038710000}"/>
    <cellStyle name="Normal 5 5 2 2 5 4 2" xfId="43967" xr:uid="{00000000-0005-0000-0000-000039710000}"/>
    <cellStyle name="Normal 5 5 2 2 5 5" xfId="29904" xr:uid="{00000000-0005-0000-0000-00003A710000}"/>
    <cellStyle name="Normal 5 5 2 2 6" xfId="1604" xr:uid="{00000000-0005-0000-0000-00003B710000}"/>
    <cellStyle name="Normal 5 5 2 2 6 2" xfId="10981" xr:uid="{00000000-0005-0000-0000-00003C710000}"/>
    <cellStyle name="Normal 5 5 2 2 6 2 2" xfId="36536" xr:uid="{00000000-0005-0000-0000-00003D710000}"/>
    <cellStyle name="Normal 5 5 2 2 6 3" xfId="20985" xr:uid="{00000000-0005-0000-0000-00003E710000}"/>
    <cellStyle name="Normal 5 5 2 2 6 3 2" xfId="46538" xr:uid="{00000000-0005-0000-0000-00003F710000}"/>
    <cellStyle name="Normal 5 5 2 2 6 4" xfId="27468" xr:uid="{00000000-0005-0000-0000-000040710000}"/>
    <cellStyle name="Normal 5 5 2 2 7" xfId="5788" xr:uid="{00000000-0005-0000-0000-000041710000}"/>
    <cellStyle name="Normal 5 5 2 2 7 2" xfId="14615" xr:uid="{00000000-0005-0000-0000-000042710000}"/>
    <cellStyle name="Normal 5 5 2 2 7 2 2" xfId="40170" xr:uid="{00000000-0005-0000-0000-000043710000}"/>
    <cellStyle name="Normal 5 5 2 2 7 3" xfId="24866" xr:uid="{00000000-0005-0000-0000-000044710000}"/>
    <cellStyle name="Normal 5 5 2 2 7 3 2" xfId="50419" xr:uid="{00000000-0005-0000-0000-000045710000}"/>
    <cellStyle name="Normal 5 5 2 2 7 4" xfId="31349" xr:uid="{00000000-0005-0000-0000-000046710000}"/>
    <cellStyle name="Normal 5 5 2 2 8" xfId="7232" xr:uid="{00000000-0005-0000-0000-000047710000}"/>
    <cellStyle name="Normal 5 5 2 2 8 2" xfId="19958" xr:uid="{00000000-0005-0000-0000-000048710000}"/>
    <cellStyle name="Normal 5 5 2 2 8 2 2" xfId="45511" xr:uid="{00000000-0005-0000-0000-000049710000}"/>
    <cellStyle name="Normal 5 5 2 2 8 3" xfId="32789" xr:uid="{00000000-0005-0000-0000-00004A710000}"/>
    <cellStyle name="Normal 5 5 2 2 9" xfId="15978" xr:uid="{00000000-0005-0000-0000-00004B710000}"/>
    <cellStyle name="Normal 5 5 2 2 9 2" xfId="41531" xr:uid="{00000000-0005-0000-0000-00004C710000}"/>
    <cellStyle name="Normal 5 5 2 2_Degree data" xfId="3896" xr:uid="{00000000-0005-0000-0000-00004D710000}"/>
    <cellStyle name="Normal 5 5 2 3" xfId="412" xr:uid="{00000000-0005-0000-0000-00004E710000}"/>
    <cellStyle name="Normal 5 5 2 3 2" xfId="2898" xr:uid="{00000000-0005-0000-0000-00004F710000}"/>
    <cellStyle name="Normal 5 5 2 3 2 2" xfId="12186" xr:uid="{00000000-0005-0000-0000-000050710000}"/>
    <cellStyle name="Normal 5 5 2 3 2 2 2" xfId="22259" xr:uid="{00000000-0005-0000-0000-000051710000}"/>
    <cellStyle name="Normal 5 5 2 3 2 2 2 2" xfId="47812" xr:uid="{00000000-0005-0000-0000-000052710000}"/>
    <cellStyle name="Normal 5 5 2 3 2 2 3" xfId="37741" xr:uid="{00000000-0005-0000-0000-000053710000}"/>
    <cellStyle name="Normal 5 5 2 3 2 3" xfId="8442" xr:uid="{00000000-0005-0000-0000-000054710000}"/>
    <cellStyle name="Normal 5 5 2 3 2 3 2" xfId="33999" xr:uid="{00000000-0005-0000-0000-000055710000}"/>
    <cellStyle name="Normal 5 5 2 3 2 4" xfId="17252" xr:uid="{00000000-0005-0000-0000-000056710000}"/>
    <cellStyle name="Normal 5 5 2 3 2 4 2" xfId="42805" xr:uid="{00000000-0005-0000-0000-000057710000}"/>
    <cellStyle name="Normal 5 5 2 3 2 5" xfId="28742" xr:uid="{00000000-0005-0000-0000-000058710000}"/>
    <cellStyle name="Normal 5 5 2 3 3" xfId="4630" xr:uid="{00000000-0005-0000-0000-000059710000}"/>
    <cellStyle name="Normal 5 5 2 3 3 2" xfId="13468" xr:uid="{00000000-0005-0000-0000-00005A710000}"/>
    <cellStyle name="Normal 5 5 2 3 3 2 2" xfId="23719" xr:uid="{00000000-0005-0000-0000-00005B710000}"/>
    <cellStyle name="Normal 5 5 2 3 3 2 2 2" xfId="49272" xr:uid="{00000000-0005-0000-0000-00005C710000}"/>
    <cellStyle name="Normal 5 5 2 3 3 2 3" xfId="39023" xr:uid="{00000000-0005-0000-0000-00005D710000}"/>
    <cellStyle name="Normal 5 5 2 3 3 3" xfId="9889" xr:uid="{00000000-0005-0000-0000-00005E710000}"/>
    <cellStyle name="Normal 5 5 2 3 3 3 2" xfId="35446" xr:uid="{00000000-0005-0000-0000-00005F710000}"/>
    <cellStyle name="Normal 5 5 2 3 3 4" xfId="18712" xr:uid="{00000000-0005-0000-0000-000060710000}"/>
    <cellStyle name="Normal 5 5 2 3 3 4 2" xfId="44265" xr:uid="{00000000-0005-0000-0000-000061710000}"/>
    <cellStyle name="Normal 5 5 2 3 3 5" xfId="30202" xr:uid="{00000000-0005-0000-0000-000062710000}"/>
    <cellStyle name="Normal 5 5 2 3 4" xfId="2007" xr:uid="{00000000-0005-0000-0000-000063710000}"/>
    <cellStyle name="Normal 5 5 2 3 4 2" xfId="11372" xr:uid="{00000000-0005-0000-0000-000064710000}"/>
    <cellStyle name="Normal 5 5 2 3 4 2 2" xfId="36927" xr:uid="{00000000-0005-0000-0000-000065710000}"/>
    <cellStyle name="Normal 5 5 2 3 4 3" xfId="21376" xr:uid="{00000000-0005-0000-0000-000066710000}"/>
    <cellStyle name="Normal 5 5 2 3 4 3 2" xfId="46929" xr:uid="{00000000-0005-0000-0000-000067710000}"/>
    <cellStyle name="Normal 5 5 2 3 4 4" xfId="27859" xr:uid="{00000000-0005-0000-0000-000068710000}"/>
    <cellStyle name="Normal 5 5 2 3 5" xfId="6086" xr:uid="{00000000-0005-0000-0000-000069710000}"/>
    <cellStyle name="Normal 5 5 2 3 5 2" xfId="14913" xr:uid="{00000000-0005-0000-0000-00006A710000}"/>
    <cellStyle name="Normal 5 5 2 3 5 2 2" xfId="40468" xr:uid="{00000000-0005-0000-0000-00006B710000}"/>
    <cellStyle name="Normal 5 5 2 3 5 3" xfId="25164" xr:uid="{00000000-0005-0000-0000-00006C710000}"/>
    <cellStyle name="Normal 5 5 2 3 5 3 2" xfId="50717" xr:uid="{00000000-0005-0000-0000-00006D710000}"/>
    <cellStyle name="Normal 5 5 2 3 5 4" xfId="31647" xr:uid="{00000000-0005-0000-0000-00006E710000}"/>
    <cellStyle name="Normal 5 5 2 3 6" xfId="7531" xr:uid="{00000000-0005-0000-0000-00006F710000}"/>
    <cellStyle name="Normal 5 5 2 3 6 2" xfId="19858" xr:uid="{00000000-0005-0000-0000-000070710000}"/>
    <cellStyle name="Normal 5 5 2 3 6 2 2" xfId="45411" xr:uid="{00000000-0005-0000-0000-000071710000}"/>
    <cellStyle name="Normal 5 5 2 3 6 3" xfId="33088" xr:uid="{00000000-0005-0000-0000-000072710000}"/>
    <cellStyle name="Normal 5 5 2 3 7" xfId="16369" xr:uid="{00000000-0005-0000-0000-000073710000}"/>
    <cellStyle name="Normal 5 5 2 3 7 2" xfId="41922" xr:uid="{00000000-0005-0000-0000-000074710000}"/>
    <cellStyle name="Normal 5 5 2 3 8" xfId="26341" xr:uid="{00000000-0005-0000-0000-000075710000}"/>
    <cellStyle name="Normal 5 5 2 4" xfId="816" xr:uid="{00000000-0005-0000-0000-000076710000}"/>
    <cellStyle name="Normal 5 5 2 4 2" xfId="3301" xr:uid="{00000000-0005-0000-0000-000077710000}"/>
    <cellStyle name="Normal 5 5 2 4 2 2" xfId="12443" xr:uid="{00000000-0005-0000-0000-000078710000}"/>
    <cellStyle name="Normal 5 5 2 4 2 2 2" xfId="22662" xr:uid="{00000000-0005-0000-0000-000079710000}"/>
    <cellStyle name="Normal 5 5 2 4 2 2 2 2" xfId="48215" xr:uid="{00000000-0005-0000-0000-00007A710000}"/>
    <cellStyle name="Normal 5 5 2 4 2 2 3" xfId="37998" xr:uid="{00000000-0005-0000-0000-00007B710000}"/>
    <cellStyle name="Normal 5 5 2 4 2 3" xfId="8865" xr:uid="{00000000-0005-0000-0000-00007C710000}"/>
    <cellStyle name="Normal 5 5 2 4 2 3 2" xfId="34422" xr:uid="{00000000-0005-0000-0000-00007D710000}"/>
    <cellStyle name="Normal 5 5 2 4 2 4" xfId="17655" xr:uid="{00000000-0005-0000-0000-00007E710000}"/>
    <cellStyle name="Normal 5 5 2 4 2 4 2" xfId="43208" xr:uid="{00000000-0005-0000-0000-00007F710000}"/>
    <cellStyle name="Normal 5 5 2 4 2 5" xfId="29145" xr:uid="{00000000-0005-0000-0000-000080710000}"/>
    <cellStyle name="Normal 5 5 2 4 3" xfId="4979" xr:uid="{00000000-0005-0000-0000-000081710000}"/>
    <cellStyle name="Normal 5 5 2 4 3 2" xfId="13816" xr:uid="{00000000-0005-0000-0000-000082710000}"/>
    <cellStyle name="Normal 5 5 2 4 3 2 2" xfId="24067" xr:uid="{00000000-0005-0000-0000-000083710000}"/>
    <cellStyle name="Normal 5 5 2 4 3 2 2 2" xfId="49620" xr:uid="{00000000-0005-0000-0000-000084710000}"/>
    <cellStyle name="Normal 5 5 2 4 3 2 3" xfId="39371" xr:uid="{00000000-0005-0000-0000-000085710000}"/>
    <cellStyle name="Normal 5 5 2 4 3 3" xfId="10237" xr:uid="{00000000-0005-0000-0000-000086710000}"/>
    <cellStyle name="Normal 5 5 2 4 3 3 2" xfId="35794" xr:uid="{00000000-0005-0000-0000-000087710000}"/>
    <cellStyle name="Normal 5 5 2 4 3 4" xfId="19060" xr:uid="{00000000-0005-0000-0000-000088710000}"/>
    <cellStyle name="Normal 5 5 2 4 3 4 2" xfId="44613" xr:uid="{00000000-0005-0000-0000-000089710000}"/>
    <cellStyle name="Normal 5 5 2 4 3 5" xfId="30550" xr:uid="{00000000-0005-0000-0000-00008A710000}"/>
    <cellStyle name="Normal 5 5 2 4 4" xfId="2410" xr:uid="{00000000-0005-0000-0000-00008B710000}"/>
    <cellStyle name="Normal 5 5 2 4 4 2" xfId="11775" xr:uid="{00000000-0005-0000-0000-00008C710000}"/>
    <cellStyle name="Normal 5 5 2 4 4 2 2" xfId="37330" xr:uid="{00000000-0005-0000-0000-00008D710000}"/>
    <cellStyle name="Normal 5 5 2 4 4 3" xfId="21779" xr:uid="{00000000-0005-0000-0000-00008E710000}"/>
    <cellStyle name="Normal 5 5 2 4 4 3 2" xfId="47332" xr:uid="{00000000-0005-0000-0000-00008F710000}"/>
    <cellStyle name="Normal 5 5 2 4 4 4" xfId="28262" xr:uid="{00000000-0005-0000-0000-000090710000}"/>
    <cellStyle name="Normal 5 5 2 4 5" xfId="6434" xr:uid="{00000000-0005-0000-0000-000091710000}"/>
    <cellStyle name="Normal 5 5 2 4 5 2" xfId="15261" xr:uid="{00000000-0005-0000-0000-000092710000}"/>
    <cellStyle name="Normal 5 5 2 4 5 2 2" xfId="40816" xr:uid="{00000000-0005-0000-0000-000093710000}"/>
    <cellStyle name="Normal 5 5 2 4 5 3" xfId="25512" xr:uid="{00000000-0005-0000-0000-000094710000}"/>
    <cellStyle name="Normal 5 5 2 4 5 3 2" xfId="51065" xr:uid="{00000000-0005-0000-0000-000095710000}"/>
    <cellStyle name="Normal 5 5 2 4 5 4" xfId="31995" xr:uid="{00000000-0005-0000-0000-000096710000}"/>
    <cellStyle name="Normal 5 5 2 4 6" xfId="7880" xr:uid="{00000000-0005-0000-0000-000097710000}"/>
    <cellStyle name="Normal 5 5 2 4 6 2" xfId="20261" xr:uid="{00000000-0005-0000-0000-000098710000}"/>
    <cellStyle name="Normal 5 5 2 4 6 2 2" xfId="45814" xr:uid="{00000000-0005-0000-0000-000099710000}"/>
    <cellStyle name="Normal 5 5 2 4 6 3" xfId="33437" xr:uid="{00000000-0005-0000-0000-00009A710000}"/>
    <cellStyle name="Normal 5 5 2 4 7" xfId="16772" xr:uid="{00000000-0005-0000-0000-00009B710000}"/>
    <cellStyle name="Normal 5 5 2 4 7 2" xfId="42325" xr:uid="{00000000-0005-0000-0000-00009C710000}"/>
    <cellStyle name="Normal 5 5 2 4 8" xfId="26744" xr:uid="{00000000-0005-0000-0000-00009D710000}"/>
    <cellStyle name="Normal 5 5 2 5" xfId="1184" xr:uid="{00000000-0005-0000-0000-00009E710000}"/>
    <cellStyle name="Normal 5 5 2 5 2" xfId="3613" xr:uid="{00000000-0005-0000-0000-00009F710000}"/>
    <cellStyle name="Normal 5 5 2 5 2 2" xfId="12749" xr:uid="{00000000-0005-0000-0000-0000A0710000}"/>
    <cellStyle name="Normal 5 5 2 5 2 2 2" xfId="22968" xr:uid="{00000000-0005-0000-0000-0000A1710000}"/>
    <cellStyle name="Normal 5 5 2 5 2 2 2 2" xfId="48521" xr:uid="{00000000-0005-0000-0000-0000A2710000}"/>
    <cellStyle name="Normal 5 5 2 5 2 2 3" xfId="38304" xr:uid="{00000000-0005-0000-0000-0000A3710000}"/>
    <cellStyle name="Normal 5 5 2 5 2 3" xfId="9170" xr:uid="{00000000-0005-0000-0000-0000A4710000}"/>
    <cellStyle name="Normal 5 5 2 5 2 3 2" xfId="34727" xr:uid="{00000000-0005-0000-0000-0000A5710000}"/>
    <cellStyle name="Normal 5 5 2 5 2 4" xfId="17961" xr:uid="{00000000-0005-0000-0000-0000A6710000}"/>
    <cellStyle name="Normal 5 5 2 5 2 4 2" xfId="43514" xr:uid="{00000000-0005-0000-0000-0000A7710000}"/>
    <cellStyle name="Normal 5 5 2 5 2 5" xfId="29451" xr:uid="{00000000-0005-0000-0000-0000A8710000}"/>
    <cellStyle name="Normal 5 5 2 5 3" xfId="5276" xr:uid="{00000000-0005-0000-0000-0000A9710000}"/>
    <cellStyle name="Normal 5 5 2 5 3 2" xfId="14113" xr:uid="{00000000-0005-0000-0000-0000AA710000}"/>
    <cellStyle name="Normal 5 5 2 5 3 2 2" xfId="24364" xr:uid="{00000000-0005-0000-0000-0000AB710000}"/>
    <cellStyle name="Normal 5 5 2 5 3 2 2 2" xfId="49917" xr:uid="{00000000-0005-0000-0000-0000AC710000}"/>
    <cellStyle name="Normal 5 5 2 5 3 2 3" xfId="39668" xr:uid="{00000000-0005-0000-0000-0000AD710000}"/>
    <cellStyle name="Normal 5 5 2 5 3 3" xfId="10534" xr:uid="{00000000-0005-0000-0000-0000AE710000}"/>
    <cellStyle name="Normal 5 5 2 5 3 3 2" xfId="36091" xr:uid="{00000000-0005-0000-0000-0000AF710000}"/>
    <cellStyle name="Normal 5 5 2 5 3 4" xfId="19357" xr:uid="{00000000-0005-0000-0000-0000B0710000}"/>
    <cellStyle name="Normal 5 5 2 5 3 4 2" xfId="44910" xr:uid="{00000000-0005-0000-0000-0000B1710000}"/>
    <cellStyle name="Normal 5 5 2 5 3 5" xfId="30847" xr:uid="{00000000-0005-0000-0000-0000B2710000}"/>
    <cellStyle name="Normal 5 5 2 5 4" xfId="1786" xr:uid="{00000000-0005-0000-0000-0000B3710000}"/>
    <cellStyle name="Normal 5 5 2 5 4 2" xfId="11155" xr:uid="{00000000-0005-0000-0000-0000B4710000}"/>
    <cellStyle name="Normal 5 5 2 5 4 2 2" xfId="36710" xr:uid="{00000000-0005-0000-0000-0000B5710000}"/>
    <cellStyle name="Normal 5 5 2 5 4 3" xfId="21159" xr:uid="{00000000-0005-0000-0000-0000B6710000}"/>
    <cellStyle name="Normal 5 5 2 5 4 3 2" xfId="46712" xr:uid="{00000000-0005-0000-0000-0000B7710000}"/>
    <cellStyle name="Normal 5 5 2 5 4 4" xfId="27642" xr:uid="{00000000-0005-0000-0000-0000B8710000}"/>
    <cellStyle name="Normal 5 5 2 5 5" xfId="6731" xr:uid="{00000000-0005-0000-0000-0000B9710000}"/>
    <cellStyle name="Normal 5 5 2 5 5 2" xfId="15558" xr:uid="{00000000-0005-0000-0000-0000BA710000}"/>
    <cellStyle name="Normal 5 5 2 5 5 2 2" xfId="41113" xr:uid="{00000000-0005-0000-0000-0000BB710000}"/>
    <cellStyle name="Normal 5 5 2 5 5 3" xfId="25809" xr:uid="{00000000-0005-0000-0000-0000BC710000}"/>
    <cellStyle name="Normal 5 5 2 5 5 3 2" xfId="51362" xr:uid="{00000000-0005-0000-0000-0000BD710000}"/>
    <cellStyle name="Normal 5 5 2 5 5 4" xfId="32292" xr:uid="{00000000-0005-0000-0000-0000BE710000}"/>
    <cellStyle name="Normal 5 5 2 5 6" xfId="8177" xr:uid="{00000000-0005-0000-0000-0000BF710000}"/>
    <cellStyle name="Normal 5 5 2 5 6 2" xfId="20567" xr:uid="{00000000-0005-0000-0000-0000C0710000}"/>
    <cellStyle name="Normal 5 5 2 5 6 2 2" xfId="46120" xr:uid="{00000000-0005-0000-0000-0000C1710000}"/>
    <cellStyle name="Normal 5 5 2 5 6 3" xfId="33734" xr:uid="{00000000-0005-0000-0000-0000C2710000}"/>
    <cellStyle name="Normal 5 5 2 5 7" xfId="16152" xr:uid="{00000000-0005-0000-0000-0000C3710000}"/>
    <cellStyle name="Normal 5 5 2 5 7 2" xfId="41705" xr:uid="{00000000-0005-0000-0000-0000C4710000}"/>
    <cellStyle name="Normal 5 5 2 5 8" xfId="27050" xr:uid="{00000000-0005-0000-0000-0000C5710000}"/>
    <cellStyle name="Normal 5 5 2 6" xfId="2681" xr:uid="{00000000-0005-0000-0000-0000C6710000}"/>
    <cellStyle name="Normal 5 5 2 6 2" xfId="11998" xr:uid="{00000000-0005-0000-0000-0000C7710000}"/>
    <cellStyle name="Normal 5 5 2 6 2 2" xfId="22042" xr:uid="{00000000-0005-0000-0000-0000C8710000}"/>
    <cellStyle name="Normal 5 5 2 6 2 2 2" xfId="47595" xr:uid="{00000000-0005-0000-0000-0000C9710000}"/>
    <cellStyle name="Normal 5 5 2 6 2 3" xfId="37553" xr:uid="{00000000-0005-0000-0000-0000CA710000}"/>
    <cellStyle name="Normal 5 5 2 6 3" xfId="8418" xr:uid="{00000000-0005-0000-0000-0000CB710000}"/>
    <cellStyle name="Normal 5 5 2 6 3 2" xfId="33975" xr:uid="{00000000-0005-0000-0000-0000CC710000}"/>
    <cellStyle name="Normal 5 5 2 6 4" xfId="17035" xr:uid="{00000000-0005-0000-0000-0000CD710000}"/>
    <cellStyle name="Normal 5 5 2 6 4 2" xfId="42588" xr:uid="{00000000-0005-0000-0000-0000CE710000}"/>
    <cellStyle name="Normal 5 5 2 6 5" xfId="28525" xr:uid="{00000000-0005-0000-0000-0000CF710000}"/>
    <cellStyle name="Normal 5 5 2 7" xfId="4232" xr:uid="{00000000-0005-0000-0000-0000D0710000}"/>
    <cellStyle name="Normal 5 5 2 7 2" xfId="13070" xr:uid="{00000000-0005-0000-0000-0000D1710000}"/>
    <cellStyle name="Normal 5 5 2 7 2 2" xfId="23321" xr:uid="{00000000-0005-0000-0000-0000D2710000}"/>
    <cellStyle name="Normal 5 5 2 7 2 2 2" xfId="48874" xr:uid="{00000000-0005-0000-0000-0000D3710000}"/>
    <cellStyle name="Normal 5 5 2 7 2 3" xfId="38625" xr:uid="{00000000-0005-0000-0000-0000D4710000}"/>
    <cellStyle name="Normal 5 5 2 7 3" xfId="9491" xr:uid="{00000000-0005-0000-0000-0000D5710000}"/>
    <cellStyle name="Normal 5 5 2 7 3 2" xfId="35048" xr:uid="{00000000-0005-0000-0000-0000D6710000}"/>
    <cellStyle name="Normal 5 5 2 7 4" xfId="18314" xr:uid="{00000000-0005-0000-0000-0000D7710000}"/>
    <cellStyle name="Normal 5 5 2 7 4 2" xfId="43867" xr:uid="{00000000-0005-0000-0000-0000D8710000}"/>
    <cellStyle name="Normal 5 5 2 7 5" xfId="29804" xr:uid="{00000000-0005-0000-0000-0000D9710000}"/>
    <cellStyle name="Normal 5 5 2 8" xfId="1504" xr:uid="{00000000-0005-0000-0000-0000DA710000}"/>
    <cellStyle name="Normal 5 5 2 8 2" xfId="10881" xr:uid="{00000000-0005-0000-0000-0000DB710000}"/>
    <cellStyle name="Normal 5 5 2 8 2 2" xfId="36436" xr:uid="{00000000-0005-0000-0000-0000DC710000}"/>
    <cellStyle name="Normal 5 5 2 8 3" xfId="20885" xr:uid="{00000000-0005-0000-0000-0000DD710000}"/>
    <cellStyle name="Normal 5 5 2 8 3 2" xfId="46438" xr:uid="{00000000-0005-0000-0000-0000DE710000}"/>
    <cellStyle name="Normal 5 5 2 8 4" xfId="27368" xr:uid="{00000000-0005-0000-0000-0000DF710000}"/>
    <cellStyle name="Normal 5 5 2 9" xfId="5688" xr:uid="{00000000-0005-0000-0000-0000E0710000}"/>
    <cellStyle name="Normal 5 5 2 9 2" xfId="14515" xr:uid="{00000000-0005-0000-0000-0000E1710000}"/>
    <cellStyle name="Normal 5 5 2 9 2 2" xfId="40070" xr:uid="{00000000-0005-0000-0000-0000E2710000}"/>
    <cellStyle name="Normal 5 5 2 9 3" xfId="24766" xr:uid="{00000000-0005-0000-0000-0000E3710000}"/>
    <cellStyle name="Normal 5 5 2 9 3 2" xfId="50319" xr:uid="{00000000-0005-0000-0000-0000E4710000}"/>
    <cellStyle name="Normal 5 5 2 9 4" xfId="31249" xr:uid="{00000000-0005-0000-0000-0000E5710000}"/>
    <cellStyle name="Normal 5 5 2_Degree data" xfId="3882" xr:uid="{00000000-0005-0000-0000-0000E6710000}"/>
    <cellStyle name="Normal 5 5 3" xfId="251" xr:uid="{00000000-0005-0000-0000-0000E7710000}"/>
    <cellStyle name="Normal 5 5 3 10" xfId="7089" xr:uid="{00000000-0005-0000-0000-0000E8710000}"/>
    <cellStyle name="Normal 5 5 3 10 2" xfId="19703" xr:uid="{00000000-0005-0000-0000-0000E9710000}"/>
    <cellStyle name="Normal 5 5 3 10 2 2" xfId="45256" xr:uid="{00000000-0005-0000-0000-0000EA710000}"/>
    <cellStyle name="Normal 5 5 3 10 3" xfId="32646" xr:uid="{00000000-0005-0000-0000-0000EB710000}"/>
    <cellStyle name="Normal 5 5 3 11" xfId="15835" xr:uid="{00000000-0005-0000-0000-0000EC710000}"/>
    <cellStyle name="Normal 5 5 3 11 2" xfId="41388" xr:uid="{00000000-0005-0000-0000-0000ED710000}"/>
    <cellStyle name="Normal 5 5 3 12" xfId="26186" xr:uid="{00000000-0005-0000-0000-0000EE710000}"/>
    <cellStyle name="Normal 5 5 3 2" xfId="574" xr:uid="{00000000-0005-0000-0000-0000EF710000}"/>
    <cellStyle name="Normal 5 5 3 2 10" xfId="26503" xr:uid="{00000000-0005-0000-0000-0000F0710000}"/>
    <cellStyle name="Normal 5 5 3 2 2" xfId="819" xr:uid="{00000000-0005-0000-0000-0000F1710000}"/>
    <cellStyle name="Normal 5 5 3 2 2 2" xfId="3304" xr:uid="{00000000-0005-0000-0000-0000F2710000}"/>
    <cellStyle name="Normal 5 5 3 2 2 2 2" xfId="12446" xr:uid="{00000000-0005-0000-0000-0000F3710000}"/>
    <cellStyle name="Normal 5 5 3 2 2 2 2 2" xfId="22665" xr:uid="{00000000-0005-0000-0000-0000F4710000}"/>
    <cellStyle name="Normal 5 5 3 2 2 2 2 2 2" xfId="48218" xr:uid="{00000000-0005-0000-0000-0000F5710000}"/>
    <cellStyle name="Normal 5 5 3 2 2 2 2 3" xfId="38001" xr:uid="{00000000-0005-0000-0000-0000F6710000}"/>
    <cellStyle name="Normal 5 5 3 2 2 2 3" xfId="8868" xr:uid="{00000000-0005-0000-0000-0000F7710000}"/>
    <cellStyle name="Normal 5 5 3 2 2 2 3 2" xfId="34425" xr:uid="{00000000-0005-0000-0000-0000F8710000}"/>
    <cellStyle name="Normal 5 5 3 2 2 2 4" xfId="17658" xr:uid="{00000000-0005-0000-0000-0000F9710000}"/>
    <cellStyle name="Normal 5 5 3 2 2 2 4 2" xfId="43211" xr:uid="{00000000-0005-0000-0000-0000FA710000}"/>
    <cellStyle name="Normal 5 5 3 2 2 2 5" xfId="29148" xr:uid="{00000000-0005-0000-0000-0000FB710000}"/>
    <cellStyle name="Normal 5 5 3 2 2 3" xfId="4633" xr:uid="{00000000-0005-0000-0000-0000FC710000}"/>
    <cellStyle name="Normal 5 5 3 2 2 3 2" xfId="13471" xr:uid="{00000000-0005-0000-0000-0000FD710000}"/>
    <cellStyle name="Normal 5 5 3 2 2 3 2 2" xfId="23722" xr:uid="{00000000-0005-0000-0000-0000FE710000}"/>
    <cellStyle name="Normal 5 5 3 2 2 3 2 2 2" xfId="49275" xr:uid="{00000000-0005-0000-0000-0000FF710000}"/>
    <cellStyle name="Normal 5 5 3 2 2 3 2 3" xfId="39026" xr:uid="{00000000-0005-0000-0000-000000720000}"/>
    <cellStyle name="Normal 5 5 3 2 2 3 3" xfId="9892" xr:uid="{00000000-0005-0000-0000-000001720000}"/>
    <cellStyle name="Normal 5 5 3 2 2 3 3 2" xfId="35449" xr:uid="{00000000-0005-0000-0000-000002720000}"/>
    <cellStyle name="Normal 5 5 3 2 2 3 4" xfId="18715" xr:uid="{00000000-0005-0000-0000-000003720000}"/>
    <cellStyle name="Normal 5 5 3 2 2 3 4 2" xfId="44268" xr:uid="{00000000-0005-0000-0000-000004720000}"/>
    <cellStyle name="Normal 5 5 3 2 2 3 5" xfId="30205" xr:uid="{00000000-0005-0000-0000-000005720000}"/>
    <cellStyle name="Normal 5 5 3 2 2 4" xfId="2413" xr:uid="{00000000-0005-0000-0000-000006720000}"/>
    <cellStyle name="Normal 5 5 3 2 2 4 2" xfId="11778" xr:uid="{00000000-0005-0000-0000-000007720000}"/>
    <cellStyle name="Normal 5 5 3 2 2 4 2 2" xfId="37333" xr:uid="{00000000-0005-0000-0000-000008720000}"/>
    <cellStyle name="Normal 5 5 3 2 2 4 3" xfId="21782" xr:uid="{00000000-0005-0000-0000-000009720000}"/>
    <cellStyle name="Normal 5 5 3 2 2 4 3 2" xfId="47335" xr:uid="{00000000-0005-0000-0000-00000A720000}"/>
    <cellStyle name="Normal 5 5 3 2 2 4 4" xfId="28265" xr:uid="{00000000-0005-0000-0000-00000B720000}"/>
    <cellStyle name="Normal 5 5 3 2 2 5" xfId="6089" xr:uid="{00000000-0005-0000-0000-00000C720000}"/>
    <cellStyle name="Normal 5 5 3 2 2 5 2" xfId="14916" xr:uid="{00000000-0005-0000-0000-00000D720000}"/>
    <cellStyle name="Normal 5 5 3 2 2 5 2 2" xfId="40471" xr:uid="{00000000-0005-0000-0000-00000E720000}"/>
    <cellStyle name="Normal 5 5 3 2 2 5 3" xfId="25167" xr:uid="{00000000-0005-0000-0000-00000F720000}"/>
    <cellStyle name="Normal 5 5 3 2 2 5 3 2" xfId="50720" xr:uid="{00000000-0005-0000-0000-000010720000}"/>
    <cellStyle name="Normal 5 5 3 2 2 5 4" xfId="31650" xr:uid="{00000000-0005-0000-0000-000011720000}"/>
    <cellStyle name="Normal 5 5 3 2 2 6" xfId="7534" xr:uid="{00000000-0005-0000-0000-000012720000}"/>
    <cellStyle name="Normal 5 5 3 2 2 6 2" xfId="20264" xr:uid="{00000000-0005-0000-0000-000013720000}"/>
    <cellStyle name="Normal 5 5 3 2 2 6 2 2" xfId="45817" xr:uid="{00000000-0005-0000-0000-000014720000}"/>
    <cellStyle name="Normal 5 5 3 2 2 6 3" xfId="33091" xr:uid="{00000000-0005-0000-0000-000015720000}"/>
    <cellStyle name="Normal 5 5 3 2 2 7" xfId="16775" xr:uid="{00000000-0005-0000-0000-000016720000}"/>
    <cellStyle name="Normal 5 5 3 2 2 7 2" xfId="42328" xr:uid="{00000000-0005-0000-0000-000017720000}"/>
    <cellStyle name="Normal 5 5 3 2 2 8" xfId="26747" xr:uid="{00000000-0005-0000-0000-000018720000}"/>
    <cellStyle name="Normal 5 5 3 2 3" xfId="1346" xr:uid="{00000000-0005-0000-0000-000019720000}"/>
    <cellStyle name="Normal 5 5 3 2 3 2" xfId="3775" xr:uid="{00000000-0005-0000-0000-00001A720000}"/>
    <cellStyle name="Normal 5 5 3 2 3 2 2" xfId="12911" xr:uid="{00000000-0005-0000-0000-00001B720000}"/>
    <cellStyle name="Normal 5 5 3 2 3 2 2 2" xfId="23130" xr:uid="{00000000-0005-0000-0000-00001C720000}"/>
    <cellStyle name="Normal 5 5 3 2 3 2 2 2 2" xfId="48683" xr:uid="{00000000-0005-0000-0000-00001D720000}"/>
    <cellStyle name="Normal 5 5 3 2 3 2 2 3" xfId="38466" xr:uid="{00000000-0005-0000-0000-00001E720000}"/>
    <cellStyle name="Normal 5 5 3 2 3 2 3" xfId="9332" xr:uid="{00000000-0005-0000-0000-00001F720000}"/>
    <cellStyle name="Normal 5 5 3 2 3 2 3 2" xfId="34889" xr:uid="{00000000-0005-0000-0000-000020720000}"/>
    <cellStyle name="Normal 5 5 3 2 3 2 4" xfId="18123" xr:uid="{00000000-0005-0000-0000-000021720000}"/>
    <cellStyle name="Normal 5 5 3 2 3 2 4 2" xfId="43676" xr:uid="{00000000-0005-0000-0000-000022720000}"/>
    <cellStyle name="Normal 5 5 3 2 3 2 5" xfId="29613" xr:uid="{00000000-0005-0000-0000-000023720000}"/>
    <cellStyle name="Normal 5 5 3 2 3 3" xfId="4982" xr:uid="{00000000-0005-0000-0000-000024720000}"/>
    <cellStyle name="Normal 5 5 3 2 3 3 2" xfId="13819" xr:uid="{00000000-0005-0000-0000-000025720000}"/>
    <cellStyle name="Normal 5 5 3 2 3 3 2 2" xfId="24070" xr:uid="{00000000-0005-0000-0000-000026720000}"/>
    <cellStyle name="Normal 5 5 3 2 3 3 2 2 2" xfId="49623" xr:uid="{00000000-0005-0000-0000-000027720000}"/>
    <cellStyle name="Normal 5 5 3 2 3 3 2 3" xfId="39374" xr:uid="{00000000-0005-0000-0000-000028720000}"/>
    <cellStyle name="Normal 5 5 3 2 3 3 3" xfId="10240" xr:uid="{00000000-0005-0000-0000-000029720000}"/>
    <cellStyle name="Normal 5 5 3 2 3 3 3 2" xfId="35797" xr:uid="{00000000-0005-0000-0000-00002A720000}"/>
    <cellStyle name="Normal 5 5 3 2 3 3 4" xfId="19063" xr:uid="{00000000-0005-0000-0000-00002B720000}"/>
    <cellStyle name="Normal 5 5 3 2 3 3 4 2" xfId="44616" xr:uid="{00000000-0005-0000-0000-00002C720000}"/>
    <cellStyle name="Normal 5 5 3 2 3 3 5" xfId="30553" xr:uid="{00000000-0005-0000-0000-00002D720000}"/>
    <cellStyle name="Normal 5 5 3 2 3 4" xfId="2169" xr:uid="{00000000-0005-0000-0000-00002E720000}"/>
    <cellStyle name="Normal 5 5 3 2 3 4 2" xfId="11534" xr:uid="{00000000-0005-0000-0000-00002F720000}"/>
    <cellStyle name="Normal 5 5 3 2 3 4 2 2" xfId="37089" xr:uid="{00000000-0005-0000-0000-000030720000}"/>
    <cellStyle name="Normal 5 5 3 2 3 4 3" xfId="21538" xr:uid="{00000000-0005-0000-0000-000031720000}"/>
    <cellStyle name="Normal 5 5 3 2 3 4 3 2" xfId="47091" xr:uid="{00000000-0005-0000-0000-000032720000}"/>
    <cellStyle name="Normal 5 5 3 2 3 4 4" xfId="28021" xr:uid="{00000000-0005-0000-0000-000033720000}"/>
    <cellStyle name="Normal 5 5 3 2 3 5" xfId="6437" xr:uid="{00000000-0005-0000-0000-000034720000}"/>
    <cellStyle name="Normal 5 5 3 2 3 5 2" xfId="15264" xr:uid="{00000000-0005-0000-0000-000035720000}"/>
    <cellStyle name="Normal 5 5 3 2 3 5 2 2" xfId="40819" xr:uid="{00000000-0005-0000-0000-000036720000}"/>
    <cellStyle name="Normal 5 5 3 2 3 5 3" xfId="25515" xr:uid="{00000000-0005-0000-0000-000037720000}"/>
    <cellStyle name="Normal 5 5 3 2 3 5 3 2" xfId="51068" xr:uid="{00000000-0005-0000-0000-000038720000}"/>
    <cellStyle name="Normal 5 5 3 2 3 5 4" xfId="31998" xr:uid="{00000000-0005-0000-0000-000039720000}"/>
    <cellStyle name="Normal 5 5 3 2 3 6" xfId="7883" xr:uid="{00000000-0005-0000-0000-00003A720000}"/>
    <cellStyle name="Normal 5 5 3 2 3 6 2" xfId="20729" xr:uid="{00000000-0005-0000-0000-00003B720000}"/>
    <cellStyle name="Normal 5 5 3 2 3 6 2 2" xfId="46282" xr:uid="{00000000-0005-0000-0000-00003C720000}"/>
    <cellStyle name="Normal 5 5 3 2 3 6 3" xfId="33440" xr:uid="{00000000-0005-0000-0000-00003D720000}"/>
    <cellStyle name="Normal 5 5 3 2 3 7" xfId="16531" xr:uid="{00000000-0005-0000-0000-00003E720000}"/>
    <cellStyle name="Normal 5 5 3 2 3 7 2" xfId="42084" xr:uid="{00000000-0005-0000-0000-00003F720000}"/>
    <cellStyle name="Normal 5 5 3 2 3 8" xfId="27212" xr:uid="{00000000-0005-0000-0000-000040720000}"/>
    <cellStyle name="Normal 5 5 3 2 4" xfId="3060" xr:uid="{00000000-0005-0000-0000-000041720000}"/>
    <cellStyle name="Normal 5 5 3 2 4 2" xfId="5438" xr:uid="{00000000-0005-0000-0000-000042720000}"/>
    <cellStyle name="Normal 5 5 3 2 4 2 2" xfId="14275" xr:uid="{00000000-0005-0000-0000-000043720000}"/>
    <cellStyle name="Normal 5 5 3 2 4 2 2 2" xfId="24526" xr:uid="{00000000-0005-0000-0000-000044720000}"/>
    <cellStyle name="Normal 5 5 3 2 4 2 2 2 2" xfId="50079" xr:uid="{00000000-0005-0000-0000-000045720000}"/>
    <cellStyle name="Normal 5 5 3 2 4 2 2 3" xfId="39830" xr:uid="{00000000-0005-0000-0000-000046720000}"/>
    <cellStyle name="Normal 5 5 3 2 4 2 3" xfId="10696" xr:uid="{00000000-0005-0000-0000-000047720000}"/>
    <cellStyle name="Normal 5 5 3 2 4 2 3 2" xfId="36253" xr:uid="{00000000-0005-0000-0000-000048720000}"/>
    <cellStyle name="Normal 5 5 3 2 4 2 4" xfId="19519" xr:uid="{00000000-0005-0000-0000-000049720000}"/>
    <cellStyle name="Normal 5 5 3 2 4 2 4 2" xfId="45072" xr:uid="{00000000-0005-0000-0000-00004A720000}"/>
    <cellStyle name="Normal 5 5 3 2 4 2 5" xfId="31009" xr:uid="{00000000-0005-0000-0000-00004B720000}"/>
    <cellStyle name="Normal 5 5 3 2 4 3" xfId="6893" xr:uid="{00000000-0005-0000-0000-00004C720000}"/>
    <cellStyle name="Normal 5 5 3 2 4 3 2" xfId="15720" xr:uid="{00000000-0005-0000-0000-00004D720000}"/>
    <cellStyle name="Normal 5 5 3 2 4 3 2 2" xfId="41275" xr:uid="{00000000-0005-0000-0000-00004E720000}"/>
    <cellStyle name="Normal 5 5 3 2 4 3 3" xfId="25971" xr:uid="{00000000-0005-0000-0000-00004F720000}"/>
    <cellStyle name="Normal 5 5 3 2 4 3 3 2" xfId="51524" xr:uid="{00000000-0005-0000-0000-000050720000}"/>
    <cellStyle name="Normal 5 5 3 2 4 3 4" xfId="32454" xr:uid="{00000000-0005-0000-0000-000051720000}"/>
    <cellStyle name="Normal 5 5 3 2 4 4" xfId="8339" xr:uid="{00000000-0005-0000-0000-000052720000}"/>
    <cellStyle name="Normal 5 5 3 2 4 4 2" xfId="22421" xr:uid="{00000000-0005-0000-0000-000053720000}"/>
    <cellStyle name="Normal 5 5 3 2 4 4 2 2" xfId="47974" xr:uid="{00000000-0005-0000-0000-000054720000}"/>
    <cellStyle name="Normal 5 5 3 2 4 4 3" xfId="33896" xr:uid="{00000000-0005-0000-0000-000055720000}"/>
    <cellStyle name="Normal 5 5 3 2 4 5" xfId="17414" xr:uid="{00000000-0005-0000-0000-000056720000}"/>
    <cellStyle name="Normal 5 5 3 2 4 5 2" xfId="42967" xr:uid="{00000000-0005-0000-0000-000057720000}"/>
    <cellStyle name="Normal 5 5 3 2 4 6" xfId="28904" xr:uid="{00000000-0005-0000-0000-000058720000}"/>
    <cellStyle name="Normal 5 5 3 2 5" xfId="4394" xr:uid="{00000000-0005-0000-0000-000059720000}"/>
    <cellStyle name="Normal 5 5 3 2 5 2" xfId="13232" xr:uid="{00000000-0005-0000-0000-00005A720000}"/>
    <cellStyle name="Normal 5 5 3 2 5 2 2" xfId="23483" xr:uid="{00000000-0005-0000-0000-00005B720000}"/>
    <cellStyle name="Normal 5 5 3 2 5 2 2 2" xfId="49036" xr:uid="{00000000-0005-0000-0000-00005C720000}"/>
    <cellStyle name="Normal 5 5 3 2 5 2 3" xfId="38787" xr:uid="{00000000-0005-0000-0000-00005D720000}"/>
    <cellStyle name="Normal 5 5 3 2 5 3" xfId="9653" xr:uid="{00000000-0005-0000-0000-00005E720000}"/>
    <cellStyle name="Normal 5 5 3 2 5 3 2" xfId="35210" xr:uid="{00000000-0005-0000-0000-00005F720000}"/>
    <cellStyle name="Normal 5 5 3 2 5 4" xfId="18476" xr:uid="{00000000-0005-0000-0000-000060720000}"/>
    <cellStyle name="Normal 5 5 3 2 5 4 2" xfId="44029" xr:uid="{00000000-0005-0000-0000-000061720000}"/>
    <cellStyle name="Normal 5 5 3 2 5 5" xfId="29966" xr:uid="{00000000-0005-0000-0000-000062720000}"/>
    <cellStyle name="Normal 5 5 3 2 6" xfId="1666" xr:uid="{00000000-0005-0000-0000-000063720000}"/>
    <cellStyle name="Normal 5 5 3 2 6 2" xfId="11043" xr:uid="{00000000-0005-0000-0000-000064720000}"/>
    <cellStyle name="Normal 5 5 3 2 6 2 2" xfId="36598" xr:uid="{00000000-0005-0000-0000-000065720000}"/>
    <cellStyle name="Normal 5 5 3 2 6 3" xfId="21047" xr:uid="{00000000-0005-0000-0000-000066720000}"/>
    <cellStyle name="Normal 5 5 3 2 6 3 2" xfId="46600" xr:uid="{00000000-0005-0000-0000-000067720000}"/>
    <cellStyle name="Normal 5 5 3 2 6 4" xfId="27530" xr:uid="{00000000-0005-0000-0000-000068720000}"/>
    <cellStyle name="Normal 5 5 3 2 7" xfId="5850" xr:uid="{00000000-0005-0000-0000-000069720000}"/>
    <cellStyle name="Normal 5 5 3 2 7 2" xfId="14677" xr:uid="{00000000-0005-0000-0000-00006A720000}"/>
    <cellStyle name="Normal 5 5 3 2 7 2 2" xfId="40232" xr:uid="{00000000-0005-0000-0000-00006B720000}"/>
    <cellStyle name="Normal 5 5 3 2 7 3" xfId="24928" xr:uid="{00000000-0005-0000-0000-00006C720000}"/>
    <cellStyle name="Normal 5 5 3 2 7 3 2" xfId="50481" xr:uid="{00000000-0005-0000-0000-00006D720000}"/>
    <cellStyle name="Normal 5 5 3 2 7 4" xfId="31411" xr:uid="{00000000-0005-0000-0000-00006E720000}"/>
    <cellStyle name="Normal 5 5 3 2 8" xfId="7294" xr:uid="{00000000-0005-0000-0000-00006F720000}"/>
    <cellStyle name="Normal 5 5 3 2 8 2" xfId="20020" xr:uid="{00000000-0005-0000-0000-000070720000}"/>
    <cellStyle name="Normal 5 5 3 2 8 2 2" xfId="45573" xr:uid="{00000000-0005-0000-0000-000071720000}"/>
    <cellStyle name="Normal 5 5 3 2 8 3" xfId="32851" xr:uid="{00000000-0005-0000-0000-000072720000}"/>
    <cellStyle name="Normal 5 5 3 2 9" xfId="16040" xr:uid="{00000000-0005-0000-0000-000073720000}"/>
    <cellStyle name="Normal 5 5 3 2 9 2" xfId="41593" xr:uid="{00000000-0005-0000-0000-000074720000}"/>
    <cellStyle name="Normal 5 5 3 2_Degree data" xfId="3851" xr:uid="{00000000-0005-0000-0000-000075720000}"/>
    <cellStyle name="Normal 5 5 3 3" xfId="369" xr:uid="{00000000-0005-0000-0000-000076720000}"/>
    <cellStyle name="Normal 5 5 3 3 2" xfId="2855" xr:uid="{00000000-0005-0000-0000-000077720000}"/>
    <cellStyle name="Normal 5 5 3 3 2 2" xfId="12143" xr:uid="{00000000-0005-0000-0000-000078720000}"/>
    <cellStyle name="Normal 5 5 3 3 2 2 2" xfId="22216" xr:uid="{00000000-0005-0000-0000-000079720000}"/>
    <cellStyle name="Normal 5 5 3 3 2 2 2 2" xfId="47769" xr:uid="{00000000-0005-0000-0000-00007A720000}"/>
    <cellStyle name="Normal 5 5 3 3 2 2 3" xfId="37698" xr:uid="{00000000-0005-0000-0000-00007B720000}"/>
    <cellStyle name="Normal 5 5 3 3 2 3" xfId="8462" xr:uid="{00000000-0005-0000-0000-00007C720000}"/>
    <cellStyle name="Normal 5 5 3 3 2 3 2" xfId="34019" xr:uid="{00000000-0005-0000-0000-00007D720000}"/>
    <cellStyle name="Normal 5 5 3 3 2 4" xfId="17209" xr:uid="{00000000-0005-0000-0000-00007E720000}"/>
    <cellStyle name="Normal 5 5 3 3 2 4 2" xfId="42762" xr:uid="{00000000-0005-0000-0000-00007F720000}"/>
    <cellStyle name="Normal 5 5 3 3 2 5" xfId="28699" xr:uid="{00000000-0005-0000-0000-000080720000}"/>
    <cellStyle name="Normal 5 5 3 3 3" xfId="4632" xr:uid="{00000000-0005-0000-0000-000081720000}"/>
    <cellStyle name="Normal 5 5 3 3 3 2" xfId="13470" xr:uid="{00000000-0005-0000-0000-000082720000}"/>
    <cellStyle name="Normal 5 5 3 3 3 2 2" xfId="23721" xr:uid="{00000000-0005-0000-0000-000083720000}"/>
    <cellStyle name="Normal 5 5 3 3 3 2 2 2" xfId="49274" xr:uid="{00000000-0005-0000-0000-000084720000}"/>
    <cellStyle name="Normal 5 5 3 3 3 2 3" xfId="39025" xr:uid="{00000000-0005-0000-0000-000085720000}"/>
    <cellStyle name="Normal 5 5 3 3 3 3" xfId="9891" xr:uid="{00000000-0005-0000-0000-000086720000}"/>
    <cellStyle name="Normal 5 5 3 3 3 3 2" xfId="35448" xr:uid="{00000000-0005-0000-0000-000087720000}"/>
    <cellStyle name="Normal 5 5 3 3 3 4" xfId="18714" xr:uid="{00000000-0005-0000-0000-000088720000}"/>
    <cellStyle name="Normal 5 5 3 3 3 4 2" xfId="44267" xr:uid="{00000000-0005-0000-0000-000089720000}"/>
    <cellStyle name="Normal 5 5 3 3 3 5" xfId="30204" xr:uid="{00000000-0005-0000-0000-00008A720000}"/>
    <cellStyle name="Normal 5 5 3 3 4" xfId="1964" xr:uid="{00000000-0005-0000-0000-00008B720000}"/>
    <cellStyle name="Normal 5 5 3 3 4 2" xfId="11329" xr:uid="{00000000-0005-0000-0000-00008C720000}"/>
    <cellStyle name="Normal 5 5 3 3 4 2 2" xfId="36884" xr:uid="{00000000-0005-0000-0000-00008D720000}"/>
    <cellStyle name="Normal 5 5 3 3 4 3" xfId="21333" xr:uid="{00000000-0005-0000-0000-00008E720000}"/>
    <cellStyle name="Normal 5 5 3 3 4 3 2" xfId="46886" xr:uid="{00000000-0005-0000-0000-00008F720000}"/>
    <cellStyle name="Normal 5 5 3 3 4 4" xfId="27816" xr:uid="{00000000-0005-0000-0000-000090720000}"/>
    <cellStyle name="Normal 5 5 3 3 5" xfId="6088" xr:uid="{00000000-0005-0000-0000-000091720000}"/>
    <cellStyle name="Normal 5 5 3 3 5 2" xfId="14915" xr:uid="{00000000-0005-0000-0000-000092720000}"/>
    <cellStyle name="Normal 5 5 3 3 5 2 2" xfId="40470" xr:uid="{00000000-0005-0000-0000-000093720000}"/>
    <cellStyle name="Normal 5 5 3 3 5 3" xfId="25166" xr:uid="{00000000-0005-0000-0000-000094720000}"/>
    <cellStyle name="Normal 5 5 3 3 5 3 2" xfId="50719" xr:uid="{00000000-0005-0000-0000-000095720000}"/>
    <cellStyle name="Normal 5 5 3 3 5 4" xfId="31649" xr:uid="{00000000-0005-0000-0000-000096720000}"/>
    <cellStyle name="Normal 5 5 3 3 6" xfId="7533" xr:uid="{00000000-0005-0000-0000-000097720000}"/>
    <cellStyle name="Normal 5 5 3 3 6 2" xfId="19815" xr:uid="{00000000-0005-0000-0000-000098720000}"/>
    <cellStyle name="Normal 5 5 3 3 6 2 2" xfId="45368" xr:uid="{00000000-0005-0000-0000-000099720000}"/>
    <cellStyle name="Normal 5 5 3 3 6 3" xfId="33090" xr:uid="{00000000-0005-0000-0000-00009A720000}"/>
    <cellStyle name="Normal 5 5 3 3 7" xfId="16326" xr:uid="{00000000-0005-0000-0000-00009B720000}"/>
    <cellStyle name="Normal 5 5 3 3 7 2" xfId="41879" xr:uid="{00000000-0005-0000-0000-00009C720000}"/>
    <cellStyle name="Normal 5 5 3 3 8" xfId="26298" xr:uid="{00000000-0005-0000-0000-00009D720000}"/>
    <cellStyle name="Normal 5 5 3 4" xfId="818" xr:uid="{00000000-0005-0000-0000-00009E720000}"/>
    <cellStyle name="Normal 5 5 3 4 2" xfId="3303" xr:uid="{00000000-0005-0000-0000-00009F720000}"/>
    <cellStyle name="Normal 5 5 3 4 2 2" xfId="12445" xr:uid="{00000000-0005-0000-0000-0000A0720000}"/>
    <cellStyle name="Normal 5 5 3 4 2 2 2" xfId="22664" xr:uid="{00000000-0005-0000-0000-0000A1720000}"/>
    <cellStyle name="Normal 5 5 3 4 2 2 2 2" xfId="48217" xr:uid="{00000000-0005-0000-0000-0000A2720000}"/>
    <cellStyle name="Normal 5 5 3 4 2 2 3" xfId="38000" xr:uid="{00000000-0005-0000-0000-0000A3720000}"/>
    <cellStyle name="Normal 5 5 3 4 2 3" xfId="8867" xr:uid="{00000000-0005-0000-0000-0000A4720000}"/>
    <cellStyle name="Normal 5 5 3 4 2 3 2" xfId="34424" xr:uid="{00000000-0005-0000-0000-0000A5720000}"/>
    <cellStyle name="Normal 5 5 3 4 2 4" xfId="17657" xr:uid="{00000000-0005-0000-0000-0000A6720000}"/>
    <cellStyle name="Normal 5 5 3 4 2 4 2" xfId="43210" xr:uid="{00000000-0005-0000-0000-0000A7720000}"/>
    <cellStyle name="Normal 5 5 3 4 2 5" xfId="29147" xr:uid="{00000000-0005-0000-0000-0000A8720000}"/>
    <cellStyle name="Normal 5 5 3 4 3" xfId="4981" xr:uid="{00000000-0005-0000-0000-0000A9720000}"/>
    <cellStyle name="Normal 5 5 3 4 3 2" xfId="13818" xr:uid="{00000000-0005-0000-0000-0000AA720000}"/>
    <cellStyle name="Normal 5 5 3 4 3 2 2" xfId="24069" xr:uid="{00000000-0005-0000-0000-0000AB720000}"/>
    <cellStyle name="Normal 5 5 3 4 3 2 2 2" xfId="49622" xr:uid="{00000000-0005-0000-0000-0000AC720000}"/>
    <cellStyle name="Normal 5 5 3 4 3 2 3" xfId="39373" xr:uid="{00000000-0005-0000-0000-0000AD720000}"/>
    <cellStyle name="Normal 5 5 3 4 3 3" xfId="10239" xr:uid="{00000000-0005-0000-0000-0000AE720000}"/>
    <cellStyle name="Normal 5 5 3 4 3 3 2" xfId="35796" xr:uid="{00000000-0005-0000-0000-0000AF720000}"/>
    <cellStyle name="Normal 5 5 3 4 3 4" xfId="19062" xr:uid="{00000000-0005-0000-0000-0000B0720000}"/>
    <cellStyle name="Normal 5 5 3 4 3 4 2" xfId="44615" xr:uid="{00000000-0005-0000-0000-0000B1720000}"/>
    <cellStyle name="Normal 5 5 3 4 3 5" xfId="30552" xr:uid="{00000000-0005-0000-0000-0000B2720000}"/>
    <cellStyle name="Normal 5 5 3 4 4" xfId="2412" xr:uid="{00000000-0005-0000-0000-0000B3720000}"/>
    <cellStyle name="Normal 5 5 3 4 4 2" xfId="11777" xr:uid="{00000000-0005-0000-0000-0000B4720000}"/>
    <cellStyle name="Normal 5 5 3 4 4 2 2" xfId="37332" xr:uid="{00000000-0005-0000-0000-0000B5720000}"/>
    <cellStyle name="Normal 5 5 3 4 4 3" xfId="21781" xr:uid="{00000000-0005-0000-0000-0000B6720000}"/>
    <cellStyle name="Normal 5 5 3 4 4 3 2" xfId="47334" xr:uid="{00000000-0005-0000-0000-0000B7720000}"/>
    <cellStyle name="Normal 5 5 3 4 4 4" xfId="28264" xr:uid="{00000000-0005-0000-0000-0000B8720000}"/>
    <cellStyle name="Normal 5 5 3 4 5" xfId="6436" xr:uid="{00000000-0005-0000-0000-0000B9720000}"/>
    <cellStyle name="Normal 5 5 3 4 5 2" xfId="15263" xr:uid="{00000000-0005-0000-0000-0000BA720000}"/>
    <cellStyle name="Normal 5 5 3 4 5 2 2" xfId="40818" xr:uid="{00000000-0005-0000-0000-0000BB720000}"/>
    <cellStyle name="Normal 5 5 3 4 5 3" xfId="25514" xr:uid="{00000000-0005-0000-0000-0000BC720000}"/>
    <cellStyle name="Normal 5 5 3 4 5 3 2" xfId="51067" xr:uid="{00000000-0005-0000-0000-0000BD720000}"/>
    <cellStyle name="Normal 5 5 3 4 5 4" xfId="31997" xr:uid="{00000000-0005-0000-0000-0000BE720000}"/>
    <cellStyle name="Normal 5 5 3 4 6" xfId="7882" xr:uid="{00000000-0005-0000-0000-0000BF720000}"/>
    <cellStyle name="Normal 5 5 3 4 6 2" xfId="20263" xr:uid="{00000000-0005-0000-0000-0000C0720000}"/>
    <cellStyle name="Normal 5 5 3 4 6 2 2" xfId="45816" xr:uid="{00000000-0005-0000-0000-0000C1720000}"/>
    <cellStyle name="Normal 5 5 3 4 6 3" xfId="33439" xr:uid="{00000000-0005-0000-0000-0000C2720000}"/>
    <cellStyle name="Normal 5 5 3 4 7" xfId="16774" xr:uid="{00000000-0005-0000-0000-0000C3720000}"/>
    <cellStyle name="Normal 5 5 3 4 7 2" xfId="42327" xr:uid="{00000000-0005-0000-0000-0000C4720000}"/>
    <cellStyle name="Normal 5 5 3 4 8" xfId="26746" xr:uid="{00000000-0005-0000-0000-0000C5720000}"/>
    <cellStyle name="Normal 5 5 3 5" xfId="1141" xr:uid="{00000000-0005-0000-0000-0000C6720000}"/>
    <cellStyle name="Normal 5 5 3 5 2" xfId="3570" xr:uid="{00000000-0005-0000-0000-0000C7720000}"/>
    <cellStyle name="Normal 5 5 3 5 2 2" xfId="12706" xr:uid="{00000000-0005-0000-0000-0000C8720000}"/>
    <cellStyle name="Normal 5 5 3 5 2 2 2" xfId="22925" xr:uid="{00000000-0005-0000-0000-0000C9720000}"/>
    <cellStyle name="Normal 5 5 3 5 2 2 2 2" xfId="48478" xr:uid="{00000000-0005-0000-0000-0000CA720000}"/>
    <cellStyle name="Normal 5 5 3 5 2 2 3" xfId="38261" xr:uid="{00000000-0005-0000-0000-0000CB720000}"/>
    <cellStyle name="Normal 5 5 3 5 2 3" xfId="9127" xr:uid="{00000000-0005-0000-0000-0000CC720000}"/>
    <cellStyle name="Normal 5 5 3 5 2 3 2" xfId="34684" xr:uid="{00000000-0005-0000-0000-0000CD720000}"/>
    <cellStyle name="Normal 5 5 3 5 2 4" xfId="17918" xr:uid="{00000000-0005-0000-0000-0000CE720000}"/>
    <cellStyle name="Normal 5 5 3 5 2 4 2" xfId="43471" xr:uid="{00000000-0005-0000-0000-0000CF720000}"/>
    <cellStyle name="Normal 5 5 3 5 2 5" xfId="29408" xr:uid="{00000000-0005-0000-0000-0000D0720000}"/>
    <cellStyle name="Normal 5 5 3 5 3" xfId="5233" xr:uid="{00000000-0005-0000-0000-0000D1720000}"/>
    <cellStyle name="Normal 5 5 3 5 3 2" xfId="14070" xr:uid="{00000000-0005-0000-0000-0000D2720000}"/>
    <cellStyle name="Normal 5 5 3 5 3 2 2" xfId="24321" xr:uid="{00000000-0005-0000-0000-0000D3720000}"/>
    <cellStyle name="Normal 5 5 3 5 3 2 2 2" xfId="49874" xr:uid="{00000000-0005-0000-0000-0000D4720000}"/>
    <cellStyle name="Normal 5 5 3 5 3 2 3" xfId="39625" xr:uid="{00000000-0005-0000-0000-0000D5720000}"/>
    <cellStyle name="Normal 5 5 3 5 3 3" xfId="10491" xr:uid="{00000000-0005-0000-0000-0000D6720000}"/>
    <cellStyle name="Normal 5 5 3 5 3 3 2" xfId="36048" xr:uid="{00000000-0005-0000-0000-0000D7720000}"/>
    <cellStyle name="Normal 5 5 3 5 3 4" xfId="19314" xr:uid="{00000000-0005-0000-0000-0000D8720000}"/>
    <cellStyle name="Normal 5 5 3 5 3 4 2" xfId="44867" xr:uid="{00000000-0005-0000-0000-0000D9720000}"/>
    <cellStyle name="Normal 5 5 3 5 3 5" xfId="30804" xr:uid="{00000000-0005-0000-0000-0000DA720000}"/>
    <cellStyle name="Normal 5 5 3 5 4" xfId="1849" xr:uid="{00000000-0005-0000-0000-0000DB720000}"/>
    <cellStyle name="Normal 5 5 3 5 4 2" xfId="11217" xr:uid="{00000000-0005-0000-0000-0000DC720000}"/>
    <cellStyle name="Normal 5 5 3 5 4 2 2" xfId="36772" xr:uid="{00000000-0005-0000-0000-0000DD720000}"/>
    <cellStyle name="Normal 5 5 3 5 4 3" xfId="21221" xr:uid="{00000000-0005-0000-0000-0000DE720000}"/>
    <cellStyle name="Normal 5 5 3 5 4 3 2" xfId="46774" xr:uid="{00000000-0005-0000-0000-0000DF720000}"/>
    <cellStyle name="Normal 5 5 3 5 4 4" xfId="27704" xr:uid="{00000000-0005-0000-0000-0000E0720000}"/>
    <cellStyle name="Normal 5 5 3 5 5" xfId="6688" xr:uid="{00000000-0005-0000-0000-0000E1720000}"/>
    <cellStyle name="Normal 5 5 3 5 5 2" xfId="15515" xr:uid="{00000000-0005-0000-0000-0000E2720000}"/>
    <cellStyle name="Normal 5 5 3 5 5 2 2" xfId="41070" xr:uid="{00000000-0005-0000-0000-0000E3720000}"/>
    <cellStyle name="Normal 5 5 3 5 5 3" xfId="25766" xr:uid="{00000000-0005-0000-0000-0000E4720000}"/>
    <cellStyle name="Normal 5 5 3 5 5 3 2" xfId="51319" xr:uid="{00000000-0005-0000-0000-0000E5720000}"/>
    <cellStyle name="Normal 5 5 3 5 5 4" xfId="32249" xr:uid="{00000000-0005-0000-0000-0000E6720000}"/>
    <cellStyle name="Normal 5 5 3 5 6" xfId="8134" xr:uid="{00000000-0005-0000-0000-0000E7720000}"/>
    <cellStyle name="Normal 5 5 3 5 6 2" xfId="20524" xr:uid="{00000000-0005-0000-0000-0000E8720000}"/>
    <cellStyle name="Normal 5 5 3 5 6 2 2" xfId="46077" xr:uid="{00000000-0005-0000-0000-0000E9720000}"/>
    <cellStyle name="Normal 5 5 3 5 6 3" xfId="33691" xr:uid="{00000000-0005-0000-0000-0000EA720000}"/>
    <cellStyle name="Normal 5 5 3 5 7" xfId="16214" xr:uid="{00000000-0005-0000-0000-0000EB720000}"/>
    <cellStyle name="Normal 5 5 3 5 7 2" xfId="41767" xr:uid="{00000000-0005-0000-0000-0000EC720000}"/>
    <cellStyle name="Normal 5 5 3 5 8" xfId="27007" xr:uid="{00000000-0005-0000-0000-0000ED720000}"/>
    <cellStyle name="Normal 5 5 3 6" xfId="2743" xr:uid="{00000000-0005-0000-0000-0000EE720000}"/>
    <cellStyle name="Normal 5 5 3 6 2" xfId="12060" xr:uid="{00000000-0005-0000-0000-0000EF720000}"/>
    <cellStyle name="Normal 5 5 3 6 2 2" xfId="22104" xr:uid="{00000000-0005-0000-0000-0000F0720000}"/>
    <cellStyle name="Normal 5 5 3 6 2 2 2" xfId="47657" xr:uid="{00000000-0005-0000-0000-0000F1720000}"/>
    <cellStyle name="Normal 5 5 3 6 2 3" xfId="37615" xr:uid="{00000000-0005-0000-0000-0000F2720000}"/>
    <cellStyle name="Normal 5 5 3 6 3" xfId="8483" xr:uid="{00000000-0005-0000-0000-0000F3720000}"/>
    <cellStyle name="Normal 5 5 3 6 3 2" xfId="34040" xr:uid="{00000000-0005-0000-0000-0000F4720000}"/>
    <cellStyle name="Normal 5 5 3 6 4" xfId="17097" xr:uid="{00000000-0005-0000-0000-0000F5720000}"/>
    <cellStyle name="Normal 5 5 3 6 4 2" xfId="42650" xr:uid="{00000000-0005-0000-0000-0000F6720000}"/>
    <cellStyle name="Normal 5 5 3 6 5" xfId="28587" xr:uid="{00000000-0005-0000-0000-0000F7720000}"/>
    <cellStyle name="Normal 5 5 3 7" xfId="4189" xr:uid="{00000000-0005-0000-0000-0000F8720000}"/>
    <cellStyle name="Normal 5 5 3 7 2" xfId="13027" xr:uid="{00000000-0005-0000-0000-0000F9720000}"/>
    <cellStyle name="Normal 5 5 3 7 2 2" xfId="23278" xr:uid="{00000000-0005-0000-0000-0000FA720000}"/>
    <cellStyle name="Normal 5 5 3 7 2 2 2" xfId="48831" xr:uid="{00000000-0005-0000-0000-0000FB720000}"/>
    <cellStyle name="Normal 5 5 3 7 2 3" xfId="38582" xr:uid="{00000000-0005-0000-0000-0000FC720000}"/>
    <cellStyle name="Normal 5 5 3 7 3" xfId="9448" xr:uid="{00000000-0005-0000-0000-0000FD720000}"/>
    <cellStyle name="Normal 5 5 3 7 3 2" xfId="35005" xr:uid="{00000000-0005-0000-0000-0000FE720000}"/>
    <cellStyle name="Normal 5 5 3 7 4" xfId="18271" xr:uid="{00000000-0005-0000-0000-0000FF720000}"/>
    <cellStyle name="Normal 5 5 3 7 4 2" xfId="43824" xr:uid="{00000000-0005-0000-0000-000000730000}"/>
    <cellStyle name="Normal 5 5 3 7 5" xfId="29761" xr:uid="{00000000-0005-0000-0000-000001730000}"/>
    <cellStyle name="Normal 5 5 3 8" xfId="1461" xr:uid="{00000000-0005-0000-0000-000002730000}"/>
    <cellStyle name="Normal 5 5 3 8 2" xfId="10838" xr:uid="{00000000-0005-0000-0000-000003730000}"/>
    <cellStyle name="Normal 5 5 3 8 2 2" xfId="36393" xr:uid="{00000000-0005-0000-0000-000004730000}"/>
    <cellStyle name="Normal 5 5 3 8 3" xfId="20842" xr:uid="{00000000-0005-0000-0000-000005730000}"/>
    <cellStyle name="Normal 5 5 3 8 3 2" xfId="46395" xr:uid="{00000000-0005-0000-0000-000006730000}"/>
    <cellStyle name="Normal 5 5 3 8 4" xfId="27325" xr:uid="{00000000-0005-0000-0000-000007730000}"/>
    <cellStyle name="Normal 5 5 3 9" xfId="5645" xr:uid="{00000000-0005-0000-0000-000008730000}"/>
    <cellStyle name="Normal 5 5 3 9 2" xfId="14472" xr:uid="{00000000-0005-0000-0000-000009730000}"/>
    <cellStyle name="Normal 5 5 3 9 2 2" xfId="40027" xr:uid="{00000000-0005-0000-0000-00000A730000}"/>
    <cellStyle name="Normal 5 5 3 9 3" xfId="24723" xr:uid="{00000000-0005-0000-0000-00000B730000}"/>
    <cellStyle name="Normal 5 5 3 9 3 2" xfId="50276" xr:uid="{00000000-0005-0000-0000-00000C730000}"/>
    <cellStyle name="Normal 5 5 3 9 4" xfId="31206" xr:uid="{00000000-0005-0000-0000-00000D730000}"/>
    <cellStyle name="Normal 5 5 3_Degree data" xfId="3880" xr:uid="{00000000-0005-0000-0000-00000E730000}"/>
    <cellStyle name="Normal 5 5 4" xfId="469" xr:uid="{00000000-0005-0000-0000-00000F730000}"/>
    <cellStyle name="Normal 5 5 4 10" xfId="26398" xr:uid="{00000000-0005-0000-0000-000010730000}"/>
    <cellStyle name="Normal 5 5 4 2" xfId="820" xr:uid="{00000000-0005-0000-0000-000011730000}"/>
    <cellStyle name="Normal 5 5 4 2 2" xfId="3305" xr:uid="{00000000-0005-0000-0000-000012730000}"/>
    <cellStyle name="Normal 5 5 4 2 2 2" xfId="12447" xr:uid="{00000000-0005-0000-0000-000013730000}"/>
    <cellStyle name="Normal 5 5 4 2 2 2 2" xfId="22666" xr:uid="{00000000-0005-0000-0000-000014730000}"/>
    <cellStyle name="Normal 5 5 4 2 2 2 2 2" xfId="48219" xr:uid="{00000000-0005-0000-0000-000015730000}"/>
    <cellStyle name="Normal 5 5 4 2 2 2 3" xfId="38002" xr:uid="{00000000-0005-0000-0000-000016730000}"/>
    <cellStyle name="Normal 5 5 4 2 2 3" xfId="8869" xr:uid="{00000000-0005-0000-0000-000017730000}"/>
    <cellStyle name="Normal 5 5 4 2 2 3 2" xfId="34426" xr:uid="{00000000-0005-0000-0000-000018730000}"/>
    <cellStyle name="Normal 5 5 4 2 2 4" xfId="17659" xr:uid="{00000000-0005-0000-0000-000019730000}"/>
    <cellStyle name="Normal 5 5 4 2 2 4 2" xfId="43212" xr:uid="{00000000-0005-0000-0000-00001A730000}"/>
    <cellStyle name="Normal 5 5 4 2 2 5" xfId="29149" xr:uid="{00000000-0005-0000-0000-00001B730000}"/>
    <cellStyle name="Normal 5 5 4 2 3" xfId="4634" xr:uid="{00000000-0005-0000-0000-00001C730000}"/>
    <cellStyle name="Normal 5 5 4 2 3 2" xfId="13472" xr:uid="{00000000-0005-0000-0000-00001D730000}"/>
    <cellStyle name="Normal 5 5 4 2 3 2 2" xfId="23723" xr:uid="{00000000-0005-0000-0000-00001E730000}"/>
    <cellStyle name="Normal 5 5 4 2 3 2 2 2" xfId="49276" xr:uid="{00000000-0005-0000-0000-00001F730000}"/>
    <cellStyle name="Normal 5 5 4 2 3 2 3" xfId="39027" xr:uid="{00000000-0005-0000-0000-000020730000}"/>
    <cellStyle name="Normal 5 5 4 2 3 3" xfId="9893" xr:uid="{00000000-0005-0000-0000-000021730000}"/>
    <cellStyle name="Normal 5 5 4 2 3 3 2" xfId="35450" xr:uid="{00000000-0005-0000-0000-000022730000}"/>
    <cellStyle name="Normal 5 5 4 2 3 4" xfId="18716" xr:uid="{00000000-0005-0000-0000-000023730000}"/>
    <cellStyle name="Normal 5 5 4 2 3 4 2" xfId="44269" xr:uid="{00000000-0005-0000-0000-000024730000}"/>
    <cellStyle name="Normal 5 5 4 2 3 5" xfId="30206" xr:uid="{00000000-0005-0000-0000-000025730000}"/>
    <cellStyle name="Normal 5 5 4 2 4" xfId="2414" xr:uid="{00000000-0005-0000-0000-000026730000}"/>
    <cellStyle name="Normal 5 5 4 2 4 2" xfId="11779" xr:uid="{00000000-0005-0000-0000-000027730000}"/>
    <cellStyle name="Normal 5 5 4 2 4 2 2" xfId="37334" xr:uid="{00000000-0005-0000-0000-000028730000}"/>
    <cellStyle name="Normal 5 5 4 2 4 3" xfId="21783" xr:uid="{00000000-0005-0000-0000-000029730000}"/>
    <cellStyle name="Normal 5 5 4 2 4 3 2" xfId="47336" xr:uid="{00000000-0005-0000-0000-00002A730000}"/>
    <cellStyle name="Normal 5 5 4 2 4 4" xfId="28266" xr:uid="{00000000-0005-0000-0000-00002B730000}"/>
    <cellStyle name="Normal 5 5 4 2 5" xfId="6090" xr:uid="{00000000-0005-0000-0000-00002C730000}"/>
    <cellStyle name="Normal 5 5 4 2 5 2" xfId="14917" xr:uid="{00000000-0005-0000-0000-00002D730000}"/>
    <cellStyle name="Normal 5 5 4 2 5 2 2" xfId="40472" xr:uid="{00000000-0005-0000-0000-00002E730000}"/>
    <cellStyle name="Normal 5 5 4 2 5 3" xfId="25168" xr:uid="{00000000-0005-0000-0000-00002F730000}"/>
    <cellStyle name="Normal 5 5 4 2 5 3 2" xfId="50721" xr:uid="{00000000-0005-0000-0000-000030730000}"/>
    <cellStyle name="Normal 5 5 4 2 5 4" xfId="31651" xr:uid="{00000000-0005-0000-0000-000031730000}"/>
    <cellStyle name="Normal 5 5 4 2 6" xfId="7535" xr:uid="{00000000-0005-0000-0000-000032730000}"/>
    <cellStyle name="Normal 5 5 4 2 6 2" xfId="20265" xr:uid="{00000000-0005-0000-0000-000033730000}"/>
    <cellStyle name="Normal 5 5 4 2 6 2 2" xfId="45818" xr:uid="{00000000-0005-0000-0000-000034730000}"/>
    <cellStyle name="Normal 5 5 4 2 6 3" xfId="33092" xr:uid="{00000000-0005-0000-0000-000035730000}"/>
    <cellStyle name="Normal 5 5 4 2 7" xfId="16776" xr:uid="{00000000-0005-0000-0000-000036730000}"/>
    <cellStyle name="Normal 5 5 4 2 7 2" xfId="42329" xr:uid="{00000000-0005-0000-0000-000037730000}"/>
    <cellStyle name="Normal 5 5 4 2 8" xfId="26748" xr:uid="{00000000-0005-0000-0000-000038730000}"/>
    <cellStyle name="Normal 5 5 4 3" xfId="1241" xr:uid="{00000000-0005-0000-0000-000039730000}"/>
    <cellStyle name="Normal 5 5 4 3 2" xfId="3670" xr:uid="{00000000-0005-0000-0000-00003A730000}"/>
    <cellStyle name="Normal 5 5 4 3 2 2" xfId="12806" xr:uid="{00000000-0005-0000-0000-00003B730000}"/>
    <cellStyle name="Normal 5 5 4 3 2 2 2" xfId="23025" xr:uid="{00000000-0005-0000-0000-00003C730000}"/>
    <cellStyle name="Normal 5 5 4 3 2 2 2 2" xfId="48578" xr:uid="{00000000-0005-0000-0000-00003D730000}"/>
    <cellStyle name="Normal 5 5 4 3 2 2 3" xfId="38361" xr:uid="{00000000-0005-0000-0000-00003E730000}"/>
    <cellStyle name="Normal 5 5 4 3 2 3" xfId="9227" xr:uid="{00000000-0005-0000-0000-00003F730000}"/>
    <cellStyle name="Normal 5 5 4 3 2 3 2" xfId="34784" xr:uid="{00000000-0005-0000-0000-000040730000}"/>
    <cellStyle name="Normal 5 5 4 3 2 4" xfId="18018" xr:uid="{00000000-0005-0000-0000-000041730000}"/>
    <cellStyle name="Normal 5 5 4 3 2 4 2" xfId="43571" xr:uid="{00000000-0005-0000-0000-000042730000}"/>
    <cellStyle name="Normal 5 5 4 3 2 5" xfId="29508" xr:uid="{00000000-0005-0000-0000-000043730000}"/>
    <cellStyle name="Normal 5 5 4 3 3" xfId="4983" xr:uid="{00000000-0005-0000-0000-000044730000}"/>
    <cellStyle name="Normal 5 5 4 3 3 2" xfId="13820" xr:uid="{00000000-0005-0000-0000-000045730000}"/>
    <cellStyle name="Normal 5 5 4 3 3 2 2" xfId="24071" xr:uid="{00000000-0005-0000-0000-000046730000}"/>
    <cellStyle name="Normal 5 5 4 3 3 2 2 2" xfId="49624" xr:uid="{00000000-0005-0000-0000-000047730000}"/>
    <cellStyle name="Normal 5 5 4 3 3 2 3" xfId="39375" xr:uid="{00000000-0005-0000-0000-000048730000}"/>
    <cellStyle name="Normal 5 5 4 3 3 3" xfId="10241" xr:uid="{00000000-0005-0000-0000-000049730000}"/>
    <cellStyle name="Normal 5 5 4 3 3 3 2" xfId="35798" xr:uid="{00000000-0005-0000-0000-00004A730000}"/>
    <cellStyle name="Normal 5 5 4 3 3 4" xfId="19064" xr:uid="{00000000-0005-0000-0000-00004B730000}"/>
    <cellStyle name="Normal 5 5 4 3 3 4 2" xfId="44617" xr:uid="{00000000-0005-0000-0000-00004C730000}"/>
    <cellStyle name="Normal 5 5 4 3 3 5" xfId="30554" xr:uid="{00000000-0005-0000-0000-00004D730000}"/>
    <cellStyle name="Normal 5 5 4 3 4" xfId="2064" xr:uid="{00000000-0005-0000-0000-00004E730000}"/>
    <cellStyle name="Normal 5 5 4 3 4 2" xfId="11429" xr:uid="{00000000-0005-0000-0000-00004F730000}"/>
    <cellStyle name="Normal 5 5 4 3 4 2 2" xfId="36984" xr:uid="{00000000-0005-0000-0000-000050730000}"/>
    <cellStyle name="Normal 5 5 4 3 4 3" xfId="21433" xr:uid="{00000000-0005-0000-0000-000051730000}"/>
    <cellStyle name="Normal 5 5 4 3 4 3 2" xfId="46986" xr:uid="{00000000-0005-0000-0000-000052730000}"/>
    <cellStyle name="Normal 5 5 4 3 4 4" xfId="27916" xr:uid="{00000000-0005-0000-0000-000053730000}"/>
    <cellStyle name="Normal 5 5 4 3 5" xfId="6438" xr:uid="{00000000-0005-0000-0000-000054730000}"/>
    <cellStyle name="Normal 5 5 4 3 5 2" xfId="15265" xr:uid="{00000000-0005-0000-0000-000055730000}"/>
    <cellStyle name="Normal 5 5 4 3 5 2 2" xfId="40820" xr:uid="{00000000-0005-0000-0000-000056730000}"/>
    <cellStyle name="Normal 5 5 4 3 5 3" xfId="25516" xr:uid="{00000000-0005-0000-0000-000057730000}"/>
    <cellStyle name="Normal 5 5 4 3 5 3 2" xfId="51069" xr:uid="{00000000-0005-0000-0000-000058730000}"/>
    <cellStyle name="Normal 5 5 4 3 5 4" xfId="31999" xr:uid="{00000000-0005-0000-0000-000059730000}"/>
    <cellStyle name="Normal 5 5 4 3 6" xfId="7884" xr:uid="{00000000-0005-0000-0000-00005A730000}"/>
    <cellStyle name="Normal 5 5 4 3 6 2" xfId="20624" xr:uid="{00000000-0005-0000-0000-00005B730000}"/>
    <cellStyle name="Normal 5 5 4 3 6 2 2" xfId="46177" xr:uid="{00000000-0005-0000-0000-00005C730000}"/>
    <cellStyle name="Normal 5 5 4 3 6 3" xfId="33441" xr:uid="{00000000-0005-0000-0000-00005D730000}"/>
    <cellStyle name="Normal 5 5 4 3 7" xfId="16426" xr:uid="{00000000-0005-0000-0000-00005E730000}"/>
    <cellStyle name="Normal 5 5 4 3 7 2" xfId="41979" xr:uid="{00000000-0005-0000-0000-00005F730000}"/>
    <cellStyle name="Normal 5 5 4 3 8" xfId="27107" xr:uid="{00000000-0005-0000-0000-000060730000}"/>
    <cellStyle name="Normal 5 5 4 4" xfId="2955" xr:uid="{00000000-0005-0000-0000-000061730000}"/>
    <cellStyle name="Normal 5 5 4 4 2" xfId="5333" xr:uid="{00000000-0005-0000-0000-000062730000}"/>
    <cellStyle name="Normal 5 5 4 4 2 2" xfId="14170" xr:uid="{00000000-0005-0000-0000-000063730000}"/>
    <cellStyle name="Normal 5 5 4 4 2 2 2" xfId="24421" xr:uid="{00000000-0005-0000-0000-000064730000}"/>
    <cellStyle name="Normal 5 5 4 4 2 2 2 2" xfId="49974" xr:uid="{00000000-0005-0000-0000-000065730000}"/>
    <cellStyle name="Normal 5 5 4 4 2 2 3" xfId="39725" xr:uid="{00000000-0005-0000-0000-000066730000}"/>
    <cellStyle name="Normal 5 5 4 4 2 3" xfId="10591" xr:uid="{00000000-0005-0000-0000-000067730000}"/>
    <cellStyle name="Normal 5 5 4 4 2 3 2" xfId="36148" xr:uid="{00000000-0005-0000-0000-000068730000}"/>
    <cellStyle name="Normal 5 5 4 4 2 4" xfId="19414" xr:uid="{00000000-0005-0000-0000-000069730000}"/>
    <cellStyle name="Normal 5 5 4 4 2 4 2" xfId="44967" xr:uid="{00000000-0005-0000-0000-00006A730000}"/>
    <cellStyle name="Normal 5 5 4 4 2 5" xfId="30904" xr:uid="{00000000-0005-0000-0000-00006B730000}"/>
    <cellStyle name="Normal 5 5 4 4 3" xfId="6788" xr:uid="{00000000-0005-0000-0000-00006C730000}"/>
    <cellStyle name="Normal 5 5 4 4 3 2" xfId="15615" xr:uid="{00000000-0005-0000-0000-00006D730000}"/>
    <cellStyle name="Normal 5 5 4 4 3 2 2" xfId="41170" xr:uid="{00000000-0005-0000-0000-00006E730000}"/>
    <cellStyle name="Normal 5 5 4 4 3 3" xfId="25866" xr:uid="{00000000-0005-0000-0000-00006F730000}"/>
    <cellStyle name="Normal 5 5 4 4 3 3 2" xfId="51419" xr:uid="{00000000-0005-0000-0000-000070730000}"/>
    <cellStyle name="Normal 5 5 4 4 3 4" xfId="32349" xr:uid="{00000000-0005-0000-0000-000071730000}"/>
    <cellStyle name="Normal 5 5 4 4 4" xfId="8234" xr:uid="{00000000-0005-0000-0000-000072730000}"/>
    <cellStyle name="Normal 5 5 4 4 4 2" xfId="22316" xr:uid="{00000000-0005-0000-0000-000073730000}"/>
    <cellStyle name="Normal 5 5 4 4 4 2 2" xfId="47869" xr:uid="{00000000-0005-0000-0000-000074730000}"/>
    <cellStyle name="Normal 5 5 4 4 4 3" xfId="33791" xr:uid="{00000000-0005-0000-0000-000075730000}"/>
    <cellStyle name="Normal 5 5 4 4 5" xfId="17309" xr:uid="{00000000-0005-0000-0000-000076730000}"/>
    <cellStyle name="Normal 5 5 4 4 5 2" xfId="42862" xr:uid="{00000000-0005-0000-0000-000077730000}"/>
    <cellStyle name="Normal 5 5 4 4 6" xfId="28799" xr:uid="{00000000-0005-0000-0000-000078730000}"/>
    <cellStyle name="Normal 5 5 4 5" xfId="4289" xr:uid="{00000000-0005-0000-0000-000079730000}"/>
    <cellStyle name="Normal 5 5 4 5 2" xfId="13127" xr:uid="{00000000-0005-0000-0000-00007A730000}"/>
    <cellStyle name="Normal 5 5 4 5 2 2" xfId="23378" xr:uid="{00000000-0005-0000-0000-00007B730000}"/>
    <cellStyle name="Normal 5 5 4 5 2 2 2" xfId="48931" xr:uid="{00000000-0005-0000-0000-00007C730000}"/>
    <cellStyle name="Normal 5 5 4 5 2 3" xfId="38682" xr:uid="{00000000-0005-0000-0000-00007D730000}"/>
    <cellStyle name="Normal 5 5 4 5 3" xfId="9548" xr:uid="{00000000-0005-0000-0000-00007E730000}"/>
    <cellStyle name="Normal 5 5 4 5 3 2" xfId="35105" xr:uid="{00000000-0005-0000-0000-00007F730000}"/>
    <cellStyle name="Normal 5 5 4 5 4" xfId="18371" xr:uid="{00000000-0005-0000-0000-000080730000}"/>
    <cellStyle name="Normal 5 5 4 5 4 2" xfId="43924" xr:uid="{00000000-0005-0000-0000-000081730000}"/>
    <cellStyle name="Normal 5 5 4 5 5" xfId="29861" xr:uid="{00000000-0005-0000-0000-000082730000}"/>
    <cellStyle name="Normal 5 5 4 6" xfId="1561" xr:uid="{00000000-0005-0000-0000-000083730000}"/>
    <cellStyle name="Normal 5 5 4 6 2" xfId="10938" xr:uid="{00000000-0005-0000-0000-000084730000}"/>
    <cellStyle name="Normal 5 5 4 6 2 2" xfId="36493" xr:uid="{00000000-0005-0000-0000-000085730000}"/>
    <cellStyle name="Normal 5 5 4 6 3" xfId="20942" xr:uid="{00000000-0005-0000-0000-000086730000}"/>
    <cellStyle name="Normal 5 5 4 6 3 2" xfId="46495" xr:uid="{00000000-0005-0000-0000-000087730000}"/>
    <cellStyle name="Normal 5 5 4 6 4" xfId="27425" xr:uid="{00000000-0005-0000-0000-000088730000}"/>
    <cellStyle name="Normal 5 5 4 7" xfId="5745" xr:uid="{00000000-0005-0000-0000-000089730000}"/>
    <cellStyle name="Normal 5 5 4 7 2" xfId="14572" xr:uid="{00000000-0005-0000-0000-00008A730000}"/>
    <cellStyle name="Normal 5 5 4 7 2 2" xfId="40127" xr:uid="{00000000-0005-0000-0000-00008B730000}"/>
    <cellStyle name="Normal 5 5 4 7 3" xfId="24823" xr:uid="{00000000-0005-0000-0000-00008C730000}"/>
    <cellStyle name="Normal 5 5 4 7 3 2" xfId="50376" xr:uid="{00000000-0005-0000-0000-00008D730000}"/>
    <cellStyle name="Normal 5 5 4 7 4" xfId="31306" xr:uid="{00000000-0005-0000-0000-00008E730000}"/>
    <cellStyle name="Normal 5 5 4 8" xfId="7189" xr:uid="{00000000-0005-0000-0000-00008F730000}"/>
    <cellStyle name="Normal 5 5 4 8 2" xfId="19915" xr:uid="{00000000-0005-0000-0000-000090730000}"/>
    <cellStyle name="Normal 5 5 4 8 2 2" xfId="45468" xr:uid="{00000000-0005-0000-0000-000091730000}"/>
    <cellStyle name="Normal 5 5 4 8 3" xfId="32746" xr:uid="{00000000-0005-0000-0000-000092730000}"/>
    <cellStyle name="Normal 5 5 4 9" xfId="15935" xr:uid="{00000000-0005-0000-0000-000093730000}"/>
    <cellStyle name="Normal 5 5 4 9 2" xfId="41488" xr:uid="{00000000-0005-0000-0000-000094730000}"/>
    <cellStyle name="Normal 5 5 4_Degree data" xfId="3889" xr:uid="{00000000-0005-0000-0000-000095730000}"/>
    <cellStyle name="Normal 5 5 5" xfId="310" xr:uid="{00000000-0005-0000-0000-000096730000}"/>
    <cellStyle name="Normal 5 5 5 2" xfId="2796" xr:uid="{00000000-0005-0000-0000-000097730000}"/>
    <cellStyle name="Normal 5 5 5 2 2" xfId="12100" xr:uid="{00000000-0005-0000-0000-000098730000}"/>
    <cellStyle name="Normal 5 5 5 2 2 2" xfId="22157" xr:uid="{00000000-0005-0000-0000-000099730000}"/>
    <cellStyle name="Normal 5 5 5 2 2 2 2" xfId="47710" xr:uid="{00000000-0005-0000-0000-00009A730000}"/>
    <cellStyle name="Normal 5 5 5 2 2 3" xfId="37655" xr:uid="{00000000-0005-0000-0000-00009B730000}"/>
    <cellStyle name="Normal 5 5 5 2 3" xfId="8604" xr:uid="{00000000-0005-0000-0000-00009C730000}"/>
    <cellStyle name="Normal 5 5 5 2 3 2" xfId="34161" xr:uid="{00000000-0005-0000-0000-00009D730000}"/>
    <cellStyle name="Normal 5 5 5 2 4" xfId="17150" xr:uid="{00000000-0005-0000-0000-00009E730000}"/>
    <cellStyle name="Normal 5 5 5 2 4 2" xfId="42703" xr:uid="{00000000-0005-0000-0000-00009F730000}"/>
    <cellStyle name="Normal 5 5 5 2 5" xfId="28640" xr:uid="{00000000-0005-0000-0000-0000A0730000}"/>
    <cellStyle name="Normal 5 5 5 3" xfId="4629" xr:uid="{00000000-0005-0000-0000-0000A1730000}"/>
    <cellStyle name="Normal 5 5 5 3 2" xfId="13467" xr:uid="{00000000-0005-0000-0000-0000A2730000}"/>
    <cellStyle name="Normal 5 5 5 3 2 2" xfId="23718" xr:uid="{00000000-0005-0000-0000-0000A3730000}"/>
    <cellStyle name="Normal 5 5 5 3 2 2 2" xfId="49271" xr:uid="{00000000-0005-0000-0000-0000A4730000}"/>
    <cellStyle name="Normal 5 5 5 3 2 3" xfId="39022" xr:uid="{00000000-0005-0000-0000-0000A5730000}"/>
    <cellStyle name="Normal 5 5 5 3 3" xfId="9888" xr:uid="{00000000-0005-0000-0000-0000A6730000}"/>
    <cellStyle name="Normal 5 5 5 3 3 2" xfId="35445" xr:uid="{00000000-0005-0000-0000-0000A7730000}"/>
    <cellStyle name="Normal 5 5 5 3 4" xfId="18711" xr:uid="{00000000-0005-0000-0000-0000A8730000}"/>
    <cellStyle name="Normal 5 5 5 3 4 2" xfId="44264" xr:uid="{00000000-0005-0000-0000-0000A9730000}"/>
    <cellStyle name="Normal 5 5 5 3 5" xfId="30201" xr:uid="{00000000-0005-0000-0000-0000AA730000}"/>
    <cellStyle name="Normal 5 5 5 4" xfId="1905" xr:uid="{00000000-0005-0000-0000-0000AB730000}"/>
    <cellStyle name="Normal 5 5 5 4 2" xfId="11270" xr:uid="{00000000-0005-0000-0000-0000AC730000}"/>
    <cellStyle name="Normal 5 5 5 4 2 2" xfId="36825" xr:uid="{00000000-0005-0000-0000-0000AD730000}"/>
    <cellStyle name="Normal 5 5 5 4 3" xfId="21274" xr:uid="{00000000-0005-0000-0000-0000AE730000}"/>
    <cellStyle name="Normal 5 5 5 4 3 2" xfId="46827" xr:uid="{00000000-0005-0000-0000-0000AF730000}"/>
    <cellStyle name="Normal 5 5 5 4 4" xfId="27757" xr:uid="{00000000-0005-0000-0000-0000B0730000}"/>
    <cellStyle name="Normal 5 5 5 5" xfId="6085" xr:uid="{00000000-0005-0000-0000-0000B1730000}"/>
    <cellStyle name="Normal 5 5 5 5 2" xfId="14912" xr:uid="{00000000-0005-0000-0000-0000B2730000}"/>
    <cellStyle name="Normal 5 5 5 5 2 2" xfId="40467" xr:uid="{00000000-0005-0000-0000-0000B3730000}"/>
    <cellStyle name="Normal 5 5 5 5 3" xfId="25163" xr:uid="{00000000-0005-0000-0000-0000B4730000}"/>
    <cellStyle name="Normal 5 5 5 5 3 2" xfId="50716" xr:uid="{00000000-0005-0000-0000-0000B5730000}"/>
    <cellStyle name="Normal 5 5 5 5 4" xfId="31646" xr:uid="{00000000-0005-0000-0000-0000B6730000}"/>
    <cellStyle name="Normal 5 5 5 6" xfId="7530" xr:uid="{00000000-0005-0000-0000-0000B7730000}"/>
    <cellStyle name="Normal 5 5 5 6 2" xfId="19756" xr:uid="{00000000-0005-0000-0000-0000B8730000}"/>
    <cellStyle name="Normal 5 5 5 6 2 2" xfId="45309" xr:uid="{00000000-0005-0000-0000-0000B9730000}"/>
    <cellStyle name="Normal 5 5 5 6 3" xfId="33087" xr:uid="{00000000-0005-0000-0000-0000BA730000}"/>
    <cellStyle name="Normal 5 5 5 7" xfId="16267" xr:uid="{00000000-0005-0000-0000-0000BB730000}"/>
    <cellStyle name="Normal 5 5 5 7 2" xfId="41820" xr:uid="{00000000-0005-0000-0000-0000BC730000}"/>
    <cellStyle name="Normal 5 5 5 8" xfId="26239" xr:uid="{00000000-0005-0000-0000-0000BD730000}"/>
    <cellStyle name="Normal 5 5 6" xfId="815" xr:uid="{00000000-0005-0000-0000-0000BE730000}"/>
    <cellStyle name="Normal 5 5 6 2" xfId="3300" xr:uid="{00000000-0005-0000-0000-0000BF730000}"/>
    <cellStyle name="Normal 5 5 6 2 2" xfId="12442" xr:uid="{00000000-0005-0000-0000-0000C0730000}"/>
    <cellStyle name="Normal 5 5 6 2 2 2" xfId="22661" xr:uid="{00000000-0005-0000-0000-0000C1730000}"/>
    <cellStyle name="Normal 5 5 6 2 2 2 2" xfId="48214" xr:uid="{00000000-0005-0000-0000-0000C2730000}"/>
    <cellStyle name="Normal 5 5 6 2 2 3" xfId="37997" xr:uid="{00000000-0005-0000-0000-0000C3730000}"/>
    <cellStyle name="Normal 5 5 6 2 3" xfId="8864" xr:uid="{00000000-0005-0000-0000-0000C4730000}"/>
    <cellStyle name="Normal 5 5 6 2 3 2" xfId="34421" xr:uid="{00000000-0005-0000-0000-0000C5730000}"/>
    <cellStyle name="Normal 5 5 6 2 4" xfId="17654" xr:uid="{00000000-0005-0000-0000-0000C6730000}"/>
    <cellStyle name="Normal 5 5 6 2 4 2" xfId="43207" xr:uid="{00000000-0005-0000-0000-0000C7730000}"/>
    <cellStyle name="Normal 5 5 6 2 5" xfId="29144" xr:uid="{00000000-0005-0000-0000-0000C8730000}"/>
    <cellStyle name="Normal 5 5 6 3" xfId="4978" xr:uid="{00000000-0005-0000-0000-0000C9730000}"/>
    <cellStyle name="Normal 5 5 6 3 2" xfId="13815" xr:uid="{00000000-0005-0000-0000-0000CA730000}"/>
    <cellStyle name="Normal 5 5 6 3 2 2" xfId="24066" xr:uid="{00000000-0005-0000-0000-0000CB730000}"/>
    <cellStyle name="Normal 5 5 6 3 2 2 2" xfId="49619" xr:uid="{00000000-0005-0000-0000-0000CC730000}"/>
    <cellStyle name="Normal 5 5 6 3 2 3" xfId="39370" xr:uid="{00000000-0005-0000-0000-0000CD730000}"/>
    <cellStyle name="Normal 5 5 6 3 3" xfId="10236" xr:uid="{00000000-0005-0000-0000-0000CE730000}"/>
    <cellStyle name="Normal 5 5 6 3 3 2" xfId="35793" xr:uid="{00000000-0005-0000-0000-0000CF730000}"/>
    <cellStyle name="Normal 5 5 6 3 4" xfId="19059" xr:uid="{00000000-0005-0000-0000-0000D0730000}"/>
    <cellStyle name="Normal 5 5 6 3 4 2" xfId="44612" xr:uid="{00000000-0005-0000-0000-0000D1730000}"/>
    <cellStyle name="Normal 5 5 6 3 5" xfId="30549" xr:uid="{00000000-0005-0000-0000-0000D2730000}"/>
    <cellStyle name="Normal 5 5 6 4" xfId="2409" xr:uid="{00000000-0005-0000-0000-0000D3730000}"/>
    <cellStyle name="Normal 5 5 6 4 2" xfId="11774" xr:uid="{00000000-0005-0000-0000-0000D4730000}"/>
    <cellStyle name="Normal 5 5 6 4 2 2" xfId="37329" xr:uid="{00000000-0005-0000-0000-0000D5730000}"/>
    <cellStyle name="Normal 5 5 6 4 3" xfId="21778" xr:uid="{00000000-0005-0000-0000-0000D6730000}"/>
    <cellStyle name="Normal 5 5 6 4 3 2" xfId="47331" xr:uid="{00000000-0005-0000-0000-0000D7730000}"/>
    <cellStyle name="Normal 5 5 6 4 4" xfId="28261" xr:uid="{00000000-0005-0000-0000-0000D8730000}"/>
    <cellStyle name="Normal 5 5 6 5" xfId="6433" xr:uid="{00000000-0005-0000-0000-0000D9730000}"/>
    <cellStyle name="Normal 5 5 6 5 2" xfId="15260" xr:uid="{00000000-0005-0000-0000-0000DA730000}"/>
    <cellStyle name="Normal 5 5 6 5 2 2" xfId="40815" xr:uid="{00000000-0005-0000-0000-0000DB730000}"/>
    <cellStyle name="Normal 5 5 6 5 3" xfId="25511" xr:uid="{00000000-0005-0000-0000-0000DC730000}"/>
    <cellStyle name="Normal 5 5 6 5 3 2" xfId="51064" xr:uid="{00000000-0005-0000-0000-0000DD730000}"/>
    <cellStyle name="Normal 5 5 6 5 4" xfId="31994" xr:uid="{00000000-0005-0000-0000-0000DE730000}"/>
    <cellStyle name="Normal 5 5 6 6" xfId="7879" xr:uid="{00000000-0005-0000-0000-0000DF730000}"/>
    <cellStyle name="Normal 5 5 6 6 2" xfId="20260" xr:uid="{00000000-0005-0000-0000-0000E0730000}"/>
    <cellStyle name="Normal 5 5 6 6 2 2" xfId="45813" xr:uid="{00000000-0005-0000-0000-0000E1730000}"/>
    <cellStyle name="Normal 5 5 6 6 3" xfId="33436" xr:uid="{00000000-0005-0000-0000-0000E2730000}"/>
    <cellStyle name="Normal 5 5 6 7" xfId="16771" xr:uid="{00000000-0005-0000-0000-0000E3730000}"/>
    <cellStyle name="Normal 5 5 6 7 2" xfId="42324" xr:uid="{00000000-0005-0000-0000-0000E4730000}"/>
    <cellStyle name="Normal 5 5 6 8" xfId="26743" xr:uid="{00000000-0005-0000-0000-0000E5730000}"/>
    <cellStyle name="Normal 5 5 7" xfId="1082" xr:uid="{00000000-0005-0000-0000-0000E6730000}"/>
    <cellStyle name="Normal 5 5 7 2" xfId="3511" xr:uid="{00000000-0005-0000-0000-0000E7730000}"/>
    <cellStyle name="Normal 5 5 7 2 2" xfId="12647" xr:uid="{00000000-0005-0000-0000-0000E8730000}"/>
    <cellStyle name="Normal 5 5 7 2 2 2" xfId="22866" xr:uid="{00000000-0005-0000-0000-0000E9730000}"/>
    <cellStyle name="Normal 5 5 7 2 2 2 2" xfId="48419" xr:uid="{00000000-0005-0000-0000-0000EA730000}"/>
    <cellStyle name="Normal 5 5 7 2 2 3" xfId="38202" xr:uid="{00000000-0005-0000-0000-0000EB730000}"/>
    <cellStyle name="Normal 5 5 7 2 3" xfId="9069" xr:uid="{00000000-0005-0000-0000-0000EC730000}"/>
    <cellStyle name="Normal 5 5 7 2 3 2" xfId="34626" xr:uid="{00000000-0005-0000-0000-0000ED730000}"/>
    <cellStyle name="Normal 5 5 7 2 4" xfId="17859" xr:uid="{00000000-0005-0000-0000-0000EE730000}"/>
    <cellStyle name="Normal 5 5 7 2 4 2" xfId="43412" xr:uid="{00000000-0005-0000-0000-0000EF730000}"/>
    <cellStyle name="Normal 5 5 7 2 5" xfId="29349" xr:uid="{00000000-0005-0000-0000-0000F0730000}"/>
    <cellStyle name="Normal 5 5 7 3" xfId="5174" xr:uid="{00000000-0005-0000-0000-0000F1730000}"/>
    <cellStyle name="Normal 5 5 7 3 2" xfId="14011" xr:uid="{00000000-0005-0000-0000-0000F2730000}"/>
    <cellStyle name="Normal 5 5 7 3 2 2" xfId="24262" xr:uid="{00000000-0005-0000-0000-0000F3730000}"/>
    <cellStyle name="Normal 5 5 7 3 2 2 2" xfId="49815" xr:uid="{00000000-0005-0000-0000-0000F4730000}"/>
    <cellStyle name="Normal 5 5 7 3 2 3" xfId="39566" xr:uid="{00000000-0005-0000-0000-0000F5730000}"/>
    <cellStyle name="Normal 5 5 7 3 3" xfId="10432" xr:uid="{00000000-0005-0000-0000-0000F6730000}"/>
    <cellStyle name="Normal 5 5 7 3 3 2" xfId="35989" xr:uid="{00000000-0005-0000-0000-0000F7730000}"/>
    <cellStyle name="Normal 5 5 7 3 4" xfId="19255" xr:uid="{00000000-0005-0000-0000-0000F8730000}"/>
    <cellStyle name="Normal 5 5 7 3 4 2" xfId="44808" xr:uid="{00000000-0005-0000-0000-0000F9730000}"/>
    <cellStyle name="Normal 5 5 7 3 5" xfId="30745" xr:uid="{00000000-0005-0000-0000-0000FA730000}"/>
    <cellStyle name="Normal 5 5 7 4" xfId="1740" xr:uid="{00000000-0005-0000-0000-0000FB730000}"/>
    <cellStyle name="Normal 5 5 7 4 2" xfId="11111" xr:uid="{00000000-0005-0000-0000-0000FC730000}"/>
    <cellStyle name="Normal 5 5 7 4 2 2" xfId="36666" xr:uid="{00000000-0005-0000-0000-0000FD730000}"/>
    <cellStyle name="Normal 5 5 7 4 3" xfId="21115" xr:uid="{00000000-0005-0000-0000-0000FE730000}"/>
    <cellStyle name="Normal 5 5 7 4 3 2" xfId="46668" xr:uid="{00000000-0005-0000-0000-0000FF730000}"/>
    <cellStyle name="Normal 5 5 7 4 4" xfId="27598" xr:uid="{00000000-0005-0000-0000-000000740000}"/>
    <cellStyle name="Normal 5 5 7 5" xfId="6629" xr:uid="{00000000-0005-0000-0000-000001740000}"/>
    <cellStyle name="Normal 5 5 7 5 2" xfId="15456" xr:uid="{00000000-0005-0000-0000-000002740000}"/>
    <cellStyle name="Normal 5 5 7 5 2 2" xfId="41011" xr:uid="{00000000-0005-0000-0000-000003740000}"/>
    <cellStyle name="Normal 5 5 7 5 3" xfId="25707" xr:uid="{00000000-0005-0000-0000-000004740000}"/>
    <cellStyle name="Normal 5 5 7 5 3 2" xfId="51260" xr:uid="{00000000-0005-0000-0000-000005740000}"/>
    <cellStyle name="Normal 5 5 7 5 4" xfId="32190" xr:uid="{00000000-0005-0000-0000-000006740000}"/>
    <cellStyle name="Normal 5 5 7 6" xfId="8075" xr:uid="{00000000-0005-0000-0000-000007740000}"/>
    <cellStyle name="Normal 5 5 7 6 2" xfId="20465" xr:uid="{00000000-0005-0000-0000-000008740000}"/>
    <cellStyle name="Normal 5 5 7 6 2 2" xfId="46018" xr:uid="{00000000-0005-0000-0000-000009740000}"/>
    <cellStyle name="Normal 5 5 7 6 3" xfId="33632" xr:uid="{00000000-0005-0000-0000-00000A740000}"/>
    <cellStyle name="Normal 5 5 7 7" xfId="16108" xr:uid="{00000000-0005-0000-0000-00000B740000}"/>
    <cellStyle name="Normal 5 5 7 7 2" xfId="41661" xr:uid="{00000000-0005-0000-0000-00000C740000}"/>
    <cellStyle name="Normal 5 5 7 8" xfId="26948" xr:uid="{00000000-0005-0000-0000-00000D740000}"/>
    <cellStyle name="Normal 5 5 8" xfId="2638" xr:uid="{00000000-0005-0000-0000-00000E740000}"/>
    <cellStyle name="Normal 5 5 8 2" xfId="5586" xr:uid="{00000000-0005-0000-0000-00000F740000}"/>
    <cellStyle name="Normal 5 5 8 2 2" xfId="14413" xr:uid="{00000000-0005-0000-0000-000010740000}"/>
    <cellStyle name="Normal 5 5 8 2 2 2" xfId="39968" xr:uid="{00000000-0005-0000-0000-000011740000}"/>
    <cellStyle name="Normal 5 5 8 2 3" xfId="24664" xr:uid="{00000000-0005-0000-0000-000012740000}"/>
    <cellStyle name="Normal 5 5 8 2 3 2" xfId="50217" xr:uid="{00000000-0005-0000-0000-000013740000}"/>
    <cellStyle name="Normal 5 5 8 2 4" xfId="31147" xr:uid="{00000000-0005-0000-0000-000014740000}"/>
    <cellStyle name="Normal 5 5 8 3" xfId="7030" xr:uid="{00000000-0005-0000-0000-000015740000}"/>
    <cellStyle name="Normal 5 5 8 3 2" xfId="21999" xr:uid="{00000000-0005-0000-0000-000016740000}"/>
    <cellStyle name="Normal 5 5 8 3 2 2" xfId="47552" xr:uid="{00000000-0005-0000-0000-000017740000}"/>
    <cellStyle name="Normal 5 5 8 3 3" xfId="32587" xr:uid="{00000000-0005-0000-0000-000018740000}"/>
    <cellStyle name="Normal 5 5 8 4" xfId="16992" xr:uid="{00000000-0005-0000-0000-000019740000}"/>
    <cellStyle name="Normal 5 5 8 4 2" xfId="42545" xr:uid="{00000000-0005-0000-0000-00001A740000}"/>
    <cellStyle name="Normal 5 5 8 5" xfId="28482" xr:uid="{00000000-0005-0000-0000-00001B740000}"/>
    <cellStyle name="Normal 5 5 9" xfId="4128" xr:uid="{00000000-0005-0000-0000-00001C740000}"/>
    <cellStyle name="Normal 5 5 9 2" xfId="12966" xr:uid="{00000000-0005-0000-0000-00001D740000}"/>
    <cellStyle name="Normal 5 5 9 2 2" xfId="23217" xr:uid="{00000000-0005-0000-0000-00001E740000}"/>
    <cellStyle name="Normal 5 5 9 2 2 2" xfId="48770" xr:uid="{00000000-0005-0000-0000-00001F740000}"/>
    <cellStyle name="Normal 5 5 9 2 3" xfId="38521" xr:uid="{00000000-0005-0000-0000-000020740000}"/>
    <cellStyle name="Normal 5 5 9 3" xfId="9387" xr:uid="{00000000-0005-0000-0000-000021740000}"/>
    <cellStyle name="Normal 5 5 9 3 2" xfId="34944" xr:uid="{00000000-0005-0000-0000-000022740000}"/>
    <cellStyle name="Normal 5 5 9 4" xfId="18210" xr:uid="{00000000-0005-0000-0000-000023740000}"/>
    <cellStyle name="Normal 5 5 9 4 2" xfId="43763" xr:uid="{00000000-0005-0000-0000-000024740000}"/>
    <cellStyle name="Normal 5 5 9 5" xfId="29700" xr:uid="{00000000-0005-0000-0000-000025740000}"/>
    <cellStyle name="Normal 5 5_Degree data" xfId="3824" xr:uid="{00000000-0005-0000-0000-000026740000}"/>
    <cellStyle name="Normal 5 6" xfId="175" xr:uid="{00000000-0005-0000-0000-000027740000}"/>
    <cellStyle name="Normal 5 6 10" xfId="7123" xr:uid="{00000000-0005-0000-0000-000028740000}"/>
    <cellStyle name="Normal 5 6 10 2" xfId="19632" xr:uid="{00000000-0005-0000-0000-000029740000}"/>
    <cellStyle name="Normal 5 6 10 2 2" xfId="45185" xr:uid="{00000000-0005-0000-0000-00002A740000}"/>
    <cellStyle name="Normal 5 6 10 3" xfId="32680" xr:uid="{00000000-0005-0000-0000-00002B740000}"/>
    <cellStyle name="Normal 5 6 11" xfId="15869" xr:uid="{00000000-0005-0000-0000-00002C740000}"/>
    <cellStyle name="Normal 5 6 11 2" xfId="41422" xr:uid="{00000000-0005-0000-0000-00002D740000}"/>
    <cellStyle name="Normal 5 6 12" xfId="26115" xr:uid="{00000000-0005-0000-0000-00002E740000}"/>
    <cellStyle name="Normal 5 6 2" xfId="503" xr:uid="{00000000-0005-0000-0000-00002F740000}"/>
    <cellStyle name="Normal 5 6 2 10" xfId="26432" xr:uid="{00000000-0005-0000-0000-000030740000}"/>
    <cellStyle name="Normal 5 6 2 2" xfId="822" xr:uid="{00000000-0005-0000-0000-000031740000}"/>
    <cellStyle name="Normal 5 6 2 2 2" xfId="3307" xr:uid="{00000000-0005-0000-0000-000032740000}"/>
    <cellStyle name="Normal 5 6 2 2 2 2" xfId="12449" xr:uid="{00000000-0005-0000-0000-000033740000}"/>
    <cellStyle name="Normal 5 6 2 2 2 2 2" xfId="22668" xr:uid="{00000000-0005-0000-0000-000034740000}"/>
    <cellStyle name="Normal 5 6 2 2 2 2 2 2" xfId="48221" xr:uid="{00000000-0005-0000-0000-000035740000}"/>
    <cellStyle name="Normal 5 6 2 2 2 2 3" xfId="38004" xr:uid="{00000000-0005-0000-0000-000036740000}"/>
    <cellStyle name="Normal 5 6 2 2 2 3" xfId="8871" xr:uid="{00000000-0005-0000-0000-000037740000}"/>
    <cellStyle name="Normal 5 6 2 2 2 3 2" xfId="34428" xr:uid="{00000000-0005-0000-0000-000038740000}"/>
    <cellStyle name="Normal 5 6 2 2 2 4" xfId="17661" xr:uid="{00000000-0005-0000-0000-000039740000}"/>
    <cellStyle name="Normal 5 6 2 2 2 4 2" xfId="43214" xr:uid="{00000000-0005-0000-0000-00003A740000}"/>
    <cellStyle name="Normal 5 6 2 2 2 5" xfId="29151" xr:uid="{00000000-0005-0000-0000-00003B740000}"/>
    <cellStyle name="Normal 5 6 2 2 3" xfId="4636" xr:uid="{00000000-0005-0000-0000-00003C740000}"/>
    <cellStyle name="Normal 5 6 2 2 3 2" xfId="13474" xr:uid="{00000000-0005-0000-0000-00003D740000}"/>
    <cellStyle name="Normal 5 6 2 2 3 2 2" xfId="23725" xr:uid="{00000000-0005-0000-0000-00003E740000}"/>
    <cellStyle name="Normal 5 6 2 2 3 2 2 2" xfId="49278" xr:uid="{00000000-0005-0000-0000-00003F740000}"/>
    <cellStyle name="Normal 5 6 2 2 3 2 3" xfId="39029" xr:uid="{00000000-0005-0000-0000-000040740000}"/>
    <cellStyle name="Normal 5 6 2 2 3 3" xfId="9895" xr:uid="{00000000-0005-0000-0000-000041740000}"/>
    <cellStyle name="Normal 5 6 2 2 3 3 2" xfId="35452" xr:uid="{00000000-0005-0000-0000-000042740000}"/>
    <cellStyle name="Normal 5 6 2 2 3 4" xfId="18718" xr:uid="{00000000-0005-0000-0000-000043740000}"/>
    <cellStyle name="Normal 5 6 2 2 3 4 2" xfId="44271" xr:uid="{00000000-0005-0000-0000-000044740000}"/>
    <cellStyle name="Normal 5 6 2 2 3 5" xfId="30208" xr:uid="{00000000-0005-0000-0000-000045740000}"/>
    <cellStyle name="Normal 5 6 2 2 4" xfId="2416" xr:uid="{00000000-0005-0000-0000-000046740000}"/>
    <cellStyle name="Normal 5 6 2 2 4 2" xfId="11781" xr:uid="{00000000-0005-0000-0000-000047740000}"/>
    <cellStyle name="Normal 5 6 2 2 4 2 2" xfId="37336" xr:uid="{00000000-0005-0000-0000-000048740000}"/>
    <cellStyle name="Normal 5 6 2 2 4 3" xfId="21785" xr:uid="{00000000-0005-0000-0000-000049740000}"/>
    <cellStyle name="Normal 5 6 2 2 4 3 2" xfId="47338" xr:uid="{00000000-0005-0000-0000-00004A740000}"/>
    <cellStyle name="Normal 5 6 2 2 4 4" xfId="28268" xr:uid="{00000000-0005-0000-0000-00004B740000}"/>
    <cellStyle name="Normal 5 6 2 2 5" xfId="6092" xr:uid="{00000000-0005-0000-0000-00004C740000}"/>
    <cellStyle name="Normal 5 6 2 2 5 2" xfId="14919" xr:uid="{00000000-0005-0000-0000-00004D740000}"/>
    <cellStyle name="Normal 5 6 2 2 5 2 2" xfId="40474" xr:uid="{00000000-0005-0000-0000-00004E740000}"/>
    <cellStyle name="Normal 5 6 2 2 5 3" xfId="25170" xr:uid="{00000000-0005-0000-0000-00004F740000}"/>
    <cellStyle name="Normal 5 6 2 2 5 3 2" xfId="50723" xr:uid="{00000000-0005-0000-0000-000050740000}"/>
    <cellStyle name="Normal 5 6 2 2 5 4" xfId="31653" xr:uid="{00000000-0005-0000-0000-000051740000}"/>
    <cellStyle name="Normal 5 6 2 2 6" xfId="7537" xr:uid="{00000000-0005-0000-0000-000052740000}"/>
    <cellStyle name="Normal 5 6 2 2 6 2" xfId="20267" xr:uid="{00000000-0005-0000-0000-000053740000}"/>
    <cellStyle name="Normal 5 6 2 2 6 2 2" xfId="45820" xr:uid="{00000000-0005-0000-0000-000054740000}"/>
    <cellStyle name="Normal 5 6 2 2 6 3" xfId="33094" xr:uid="{00000000-0005-0000-0000-000055740000}"/>
    <cellStyle name="Normal 5 6 2 2 7" xfId="16778" xr:uid="{00000000-0005-0000-0000-000056740000}"/>
    <cellStyle name="Normal 5 6 2 2 7 2" xfId="42331" xr:uid="{00000000-0005-0000-0000-000057740000}"/>
    <cellStyle name="Normal 5 6 2 2 8" xfId="26750" xr:uid="{00000000-0005-0000-0000-000058740000}"/>
    <cellStyle name="Normal 5 6 2 3" xfId="1275" xr:uid="{00000000-0005-0000-0000-000059740000}"/>
    <cellStyle name="Normal 5 6 2 3 2" xfId="3704" xr:uid="{00000000-0005-0000-0000-00005A740000}"/>
    <cellStyle name="Normal 5 6 2 3 2 2" xfId="12840" xr:uid="{00000000-0005-0000-0000-00005B740000}"/>
    <cellStyle name="Normal 5 6 2 3 2 2 2" xfId="23059" xr:uid="{00000000-0005-0000-0000-00005C740000}"/>
    <cellStyle name="Normal 5 6 2 3 2 2 2 2" xfId="48612" xr:uid="{00000000-0005-0000-0000-00005D740000}"/>
    <cellStyle name="Normal 5 6 2 3 2 2 3" xfId="38395" xr:uid="{00000000-0005-0000-0000-00005E740000}"/>
    <cellStyle name="Normal 5 6 2 3 2 3" xfId="9261" xr:uid="{00000000-0005-0000-0000-00005F740000}"/>
    <cellStyle name="Normal 5 6 2 3 2 3 2" xfId="34818" xr:uid="{00000000-0005-0000-0000-000060740000}"/>
    <cellStyle name="Normal 5 6 2 3 2 4" xfId="18052" xr:uid="{00000000-0005-0000-0000-000061740000}"/>
    <cellStyle name="Normal 5 6 2 3 2 4 2" xfId="43605" xr:uid="{00000000-0005-0000-0000-000062740000}"/>
    <cellStyle name="Normal 5 6 2 3 2 5" xfId="29542" xr:uid="{00000000-0005-0000-0000-000063740000}"/>
    <cellStyle name="Normal 5 6 2 3 3" xfId="4985" xr:uid="{00000000-0005-0000-0000-000064740000}"/>
    <cellStyle name="Normal 5 6 2 3 3 2" xfId="13822" xr:uid="{00000000-0005-0000-0000-000065740000}"/>
    <cellStyle name="Normal 5 6 2 3 3 2 2" xfId="24073" xr:uid="{00000000-0005-0000-0000-000066740000}"/>
    <cellStyle name="Normal 5 6 2 3 3 2 2 2" xfId="49626" xr:uid="{00000000-0005-0000-0000-000067740000}"/>
    <cellStyle name="Normal 5 6 2 3 3 2 3" xfId="39377" xr:uid="{00000000-0005-0000-0000-000068740000}"/>
    <cellStyle name="Normal 5 6 2 3 3 3" xfId="10243" xr:uid="{00000000-0005-0000-0000-000069740000}"/>
    <cellStyle name="Normal 5 6 2 3 3 3 2" xfId="35800" xr:uid="{00000000-0005-0000-0000-00006A740000}"/>
    <cellStyle name="Normal 5 6 2 3 3 4" xfId="19066" xr:uid="{00000000-0005-0000-0000-00006B740000}"/>
    <cellStyle name="Normal 5 6 2 3 3 4 2" xfId="44619" xr:uid="{00000000-0005-0000-0000-00006C740000}"/>
    <cellStyle name="Normal 5 6 2 3 3 5" xfId="30556" xr:uid="{00000000-0005-0000-0000-00006D740000}"/>
    <cellStyle name="Normal 5 6 2 3 4" xfId="2098" xr:uid="{00000000-0005-0000-0000-00006E740000}"/>
    <cellStyle name="Normal 5 6 2 3 4 2" xfId="11463" xr:uid="{00000000-0005-0000-0000-00006F740000}"/>
    <cellStyle name="Normal 5 6 2 3 4 2 2" xfId="37018" xr:uid="{00000000-0005-0000-0000-000070740000}"/>
    <cellStyle name="Normal 5 6 2 3 4 3" xfId="21467" xr:uid="{00000000-0005-0000-0000-000071740000}"/>
    <cellStyle name="Normal 5 6 2 3 4 3 2" xfId="47020" xr:uid="{00000000-0005-0000-0000-000072740000}"/>
    <cellStyle name="Normal 5 6 2 3 4 4" xfId="27950" xr:uid="{00000000-0005-0000-0000-000073740000}"/>
    <cellStyle name="Normal 5 6 2 3 5" xfId="6440" xr:uid="{00000000-0005-0000-0000-000074740000}"/>
    <cellStyle name="Normal 5 6 2 3 5 2" xfId="15267" xr:uid="{00000000-0005-0000-0000-000075740000}"/>
    <cellStyle name="Normal 5 6 2 3 5 2 2" xfId="40822" xr:uid="{00000000-0005-0000-0000-000076740000}"/>
    <cellStyle name="Normal 5 6 2 3 5 3" xfId="25518" xr:uid="{00000000-0005-0000-0000-000077740000}"/>
    <cellStyle name="Normal 5 6 2 3 5 3 2" xfId="51071" xr:uid="{00000000-0005-0000-0000-000078740000}"/>
    <cellStyle name="Normal 5 6 2 3 5 4" xfId="32001" xr:uid="{00000000-0005-0000-0000-000079740000}"/>
    <cellStyle name="Normal 5 6 2 3 6" xfId="7886" xr:uid="{00000000-0005-0000-0000-00007A740000}"/>
    <cellStyle name="Normal 5 6 2 3 6 2" xfId="20658" xr:uid="{00000000-0005-0000-0000-00007B740000}"/>
    <cellStyle name="Normal 5 6 2 3 6 2 2" xfId="46211" xr:uid="{00000000-0005-0000-0000-00007C740000}"/>
    <cellStyle name="Normal 5 6 2 3 6 3" xfId="33443" xr:uid="{00000000-0005-0000-0000-00007D740000}"/>
    <cellStyle name="Normal 5 6 2 3 7" xfId="16460" xr:uid="{00000000-0005-0000-0000-00007E740000}"/>
    <cellStyle name="Normal 5 6 2 3 7 2" xfId="42013" xr:uid="{00000000-0005-0000-0000-00007F740000}"/>
    <cellStyle name="Normal 5 6 2 3 8" xfId="27141" xr:uid="{00000000-0005-0000-0000-000080740000}"/>
    <cellStyle name="Normal 5 6 2 4" xfId="2989" xr:uid="{00000000-0005-0000-0000-000081740000}"/>
    <cellStyle name="Normal 5 6 2 4 2" xfId="5367" xr:uid="{00000000-0005-0000-0000-000082740000}"/>
    <cellStyle name="Normal 5 6 2 4 2 2" xfId="14204" xr:uid="{00000000-0005-0000-0000-000083740000}"/>
    <cellStyle name="Normal 5 6 2 4 2 2 2" xfId="24455" xr:uid="{00000000-0005-0000-0000-000084740000}"/>
    <cellStyle name="Normal 5 6 2 4 2 2 2 2" xfId="50008" xr:uid="{00000000-0005-0000-0000-000085740000}"/>
    <cellStyle name="Normal 5 6 2 4 2 2 3" xfId="39759" xr:uid="{00000000-0005-0000-0000-000086740000}"/>
    <cellStyle name="Normal 5 6 2 4 2 3" xfId="10625" xr:uid="{00000000-0005-0000-0000-000087740000}"/>
    <cellStyle name="Normal 5 6 2 4 2 3 2" xfId="36182" xr:uid="{00000000-0005-0000-0000-000088740000}"/>
    <cellStyle name="Normal 5 6 2 4 2 4" xfId="19448" xr:uid="{00000000-0005-0000-0000-000089740000}"/>
    <cellStyle name="Normal 5 6 2 4 2 4 2" xfId="45001" xr:uid="{00000000-0005-0000-0000-00008A740000}"/>
    <cellStyle name="Normal 5 6 2 4 2 5" xfId="30938" xr:uid="{00000000-0005-0000-0000-00008B740000}"/>
    <cellStyle name="Normal 5 6 2 4 3" xfId="6822" xr:uid="{00000000-0005-0000-0000-00008C740000}"/>
    <cellStyle name="Normal 5 6 2 4 3 2" xfId="15649" xr:uid="{00000000-0005-0000-0000-00008D740000}"/>
    <cellStyle name="Normal 5 6 2 4 3 2 2" xfId="41204" xr:uid="{00000000-0005-0000-0000-00008E740000}"/>
    <cellStyle name="Normal 5 6 2 4 3 3" xfId="25900" xr:uid="{00000000-0005-0000-0000-00008F740000}"/>
    <cellStyle name="Normal 5 6 2 4 3 3 2" xfId="51453" xr:uid="{00000000-0005-0000-0000-000090740000}"/>
    <cellStyle name="Normal 5 6 2 4 3 4" xfId="32383" xr:uid="{00000000-0005-0000-0000-000091740000}"/>
    <cellStyle name="Normal 5 6 2 4 4" xfId="8268" xr:uid="{00000000-0005-0000-0000-000092740000}"/>
    <cellStyle name="Normal 5 6 2 4 4 2" xfId="22350" xr:uid="{00000000-0005-0000-0000-000093740000}"/>
    <cellStyle name="Normal 5 6 2 4 4 2 2" xfId="47903" xr:uid="{00000000-0005-0000-0000-000094740000}"/>
    <cellStyle name="Normal 5 6 2 4 4 3" xfId="33825" xr:uid="{00000000-0005-0000-0000-000095740000}"/>
    <cellStyle name="Normal 5 6 2 4 5" xfId="17343" xr:uid="{00000000-0005-0000-0000-000096740000}"/>
    <cellStyle name="Normal 5 6 2 4 5 2" xfId="42896" xr:uid="{00000000-0005-0000-0000-000097740000}"/>
    <cellStyle name="Normal 5 6 2 4 6" xfId="28833" xr:uid="{00000000-0005-0000-0000-000098740000}"/>
    <cellStyle name="Normal 5 6 2 5" xfId="4323" xr:uid="{00000000-0005-0000-0000-000099740000}"/>
    <cellStyle name="Normal 5 6 2 5 2" xfId="13161" xr:uid="{00000000-0005-0000-0000-00009A740000}"/>
    <cellStyle name="Normal 5 6 2 5 2 2" xfId="23412" xr:uid="{00000000-0005-0000-0000-00009B740000}"/>
    <cellStyle name="Normal 5 6 2 5 2 2 2" xfId="48965" xr:uid="{00000000-0005-0000-0000-00009C740000}"/>
    <cellStyle name="Normal 5 6 2 5 2 3" xfId="38716" xr:uid="{00000000-0005-0000-0000-00009D740000}"/>
    <cellStyle name="Normal 5 6 2 5 3" xfId="9582" xr:uid="{00000000-0005-0000-0000-00009E740000}"/>
    <cellStyle name="Normal 5 6 2 5 3 2" xfId="35139" xr:uid="{00000000-0005-0000-0000-00009F740000}"/>
    <cellStyle name="Normal 5 6 2 5 4" xfId="18405" xr:uid="{00000000-0005-0000-0000-0000A0740000}"/>
    <cellStyle name="Normal 5 6 2 5 4 2" xfId="43958" xr:uid="{00000000-0005-0000-0000-0000A1740000}"/>
    <cellStyle name="Normal 5 6 2 5 5" xfId="29895" xr:uid="{00000000-0005-0000-0000-0000A2740000}"/>
    <cellStyle name="Normal 5 6 2 6" xfId="1595" xr:uid="{00000000-0005-0000-0000-0000A3740000}"/>
    <cellStyle name="Normal 5 6 2 6 2" xfId="10972" xr:uid="{00000000-0005-0000-0000-0000A4740000}"/>
    <cellStyle name="Normal 5 6 2 6 2 2" xfId="36527" xr:uid="{00000000-0005-0000-0000-0000A5740000}"/>
    <cellStyle name="Normal 5 6 2 6 3" xfId="20976" xr:uid="{00000000-0005-0000-0000-0000A6740000}"/>
    <cellStyle name="Normal 5 6 2 6 3 2" xfId="46529" xr:uid="{00000000-0005-0000-0000-0000A7740000}"/>
    <cellStyle name="Normal 5 6 2 6 4" xfId="27459" xr:uid="{00000000-0005-0000-0000-0000A8740000}"/>
    <cellStyle name="Normal 5 6 2 7" xfId="5779" xr:uid="{00000000-0005-0000-0000-0000A9740000}"/>
    <cellStyle name="Normal 5 6 2 7 2" xfId="14606" xr:uid="{00000000-0005-0000-0000-0000AA740000}"/>
    <cellStyle name="Normal 5 6 2 7 2 2" xfId="40161" xr:uid="{00000000-0005-0000-0000-0000AB740000}"/>
    <cellStyle name="Normal 5 6 2 7 3" xfId="24857" xr:uid="{00000000-0005-0000-0000-0000AC740000}"/>
    <cellStyle name="Normal 5 6 2 7 3 2" xfId="50410" xr:uid="{00000000-0005-0000-0000-0000AD740000}"/>
    <cellStyle name="Normal 5 6 2 7 4" xfId="31340" xr:uid="{00000000-0005-0000-0000-0000AE740000}"/>
    <cellStyle name="Normal 5 6 2 8" xfId="7223" xr:uid="{00000000-0005-0000-0000-0000AF740000}"/>
    <cellStyle name="Normal 5 6 2 8 2" xfId="19949" xr:uid="{00000000-0005-0000-0000-0000B0740000}"/>
    <cellStyle name="Normal 5 6 2 8 2 2" xfId="45502" xr:uid="{00000000-0005-0000-0000-0000B1740000}"/>
    <cellStyle name="Normal 5 6 2 8 3" xfId="32780" xr:uid="{00000000-0005-0000-0000-0000B2740000}"/>
    <cellStyle name="Normal 5 6 2 9" xfId="15969" xr:uid="{00000000-0005-0000-0000-0000B3740000}"/>
    <cellStyle name="Normal 5 6 2 9 2" xfId="41522" xr:uid="{00000000-0005-0000-0000-0000B4740000}"/>
    <cellStyle name="Normal 5 6 2_Degree data" xfId="3860" xr:uid="{00000000-0005-0000-0000-0000B5740000}"/>
    <cellStyle name="Normal 5 6 3" xfId="403" xr:uid="{00000000-0005-0000-0000-0000B6740000}"/>
    <cellStyle name="Normal 5 6 3 2" xfId="2889" xr:uid="{00000000-0005-0000-0000-0000B7740000}"/>
    <cellStyle name="Normal 5 6 3 2 2" xfId="12177" xr:uid="{00000000-0005-0000-0000-0000B8740000}"/>
    <cellStyle name="Normal 5 6 3 2 2 2" xfId="22250" xr:uid="{00000000-0005-0000-0000-0000B9740000}"/>
    <cellStyle name="Normal 5 6 3 2 2 2 2" xfId="47803" xr:uid="{00000000-0005-0000-0000-0000BA740000}"/>
    <cellStyle name="Normal 5 6 3 2 2 3" xfId="37732" xr:uid="{00000000-0005-0000-0000-0000BB740000}"/>
    <cellStyle name="Normal 5 6 3 2 3" xfId="8453" xr:uid="{00000000-0005-0000-0000-0000BC740000}"/>
    <cellStyle name="Normal 5 6 3 2 3 2" xfId="34010" xr:uid="{00000000-0005-0000-0000-0000BD740000}"/>
    <cellStyle name="Normal 5 6 3 2 4" xfId="17243" xr:uid="{00000000-0005-0000-0000-0000BE740000}"/>
    <cellStyle name="Normal 5 6 3 2 4 2" xfId="42796" xr:uid="{00000000-0005-0000-0000-0000BF740000}"/>
    <cellStyle name="Normal 5 6 3 2 5" xfId="28733" xr:uid="{00000000-0005-0000-0000-0000C0740000}"/>
    <cellStyle name="Normal 5 6 3 3" xfId="4635" xr:uid="{00000000-0005-0000-0000-0000C1740000}"/>
    <cellStyle name="Normal 5 6 3 3 2" xfId="13473" xr:uid="{00000000-0005-0000-0000-0000C2740000}"/>
    <cellStyle name="Normal 5 6 3 3 2 2" xfId="23724" xr:uid="{00000000-0005-0000-0000-0000C3740000}"/>
    <cellStyle name="Normal 5 6 3 3 2 2 2" xfId="49277" xr:uid="{00000000-0005-0000-0000-0000C4740000}"/>
    <cellStyle name="Normal 5 6 3 3 2 3" xfId="39028" xr:uid="{00000000-0005-0000-0000-0000C5740000}"/>
    <cellStyle name="Normal 5 6 3 3 3" xfId="9894" xr:uid="{00000000-0005-0000-0000-0000C6740000}"/>
    <cellStyle name="Normal 5 6 3 3 3 2" xfId="35451" xr:uid="{00000000-0005-0000-0000-0000C7740000}"/>
    <cellStyle name="Normal 5 6 3 3 4" xfId="18717" xr:uid="{00000000-0005-0000-0000-0000C8740000}"/>
    <cellStyle name="Normal 5 6 3 3 4 2" xfId="44270" xr:uid="{00000000-0005-0000-0000-0000C9740000}"/>
    <cellStyle name="Normal 5 6 3 3 5" xfId="30207" xr:uid="{00000000-0005-0000-0000-0000CA740000}"/>
    <cellStyle name="Normal 5 6 3 4" xfId="1998" xr:uid="{00000000-0005-0000-0000-0000CB740000}"/>
    <cellStyle name="Normal 5 6 3 4 2" xfId="11363" xr:uid="{00000000-0005-0000-0000-0000CC740000}"/>
    <cellStyle name="Normal 5 6 3 4 2 2" xfId="36918" xr:uid="{00000000-0005-0000-0000-0000CD740000}"/>
    <cellStyle name="Normal 5 6 3 4 3" xfId="21367" xr:uid="{00000000-0005-0000-0000-0000CE740000}"/>
    <cellStyle name="Normal 5 6 3 4 3 2" xfId="46920" xr:uid="{00000000-0005-0000-0000-0000CF740000}"/>
    <cellStyle name="Normal 5 6 3 4 4" xfId="27850" xr:uid="{00000000-0005-0000-0000-0000D0740000}"/>
    <cellStyle name="Normal 5 6 3 5" xfId="6091" xr:uid="{00000000-0005-0000-0000-0000D1740000}"/>
    <cellStyle name="Normal 5 6 3 5 2" xfId="14918" xr:uid="{00000000-0005-0000-0000-0000D2740000}"/>
    <cellStyle name="Normal 5 6 3 5 2 2" xfId="40473" xr:uid="{00000000-0005-0000-0000-0000D3740000}"/>
    <cellStyle name="Normal 5 6 3 5 3" xfId="25169" xr:uid="{00000000-0005-0000-0000-0000D4740000}"/>
    <cellStyle name="Normal 5 6 3 5 3 2" xfId="50722" xr:uid="{00000000-0005-0000-0000-0000D5740000}"/>
    <cellStyle name="Normal 5 6 3 5 4" xfId="31652" xr:uid="{00000000-0005-0000-0000-0000D6740000}"/>
    <cellStyle name="Normal 5 6 3 6" xfId="7536" xr:uid="{00000000-0005-0000-0000-0000D7740000}"/>
    <cellStyle name="Normal 5 6 3 6 2" xfId="19849" xr:uid="{00000000-0005-0000-0000-0000D8740000}"/>
    <cellStyle name="Normal 5 6 3 6 2 2" xfId="45402" xr:uid="{00000000-0005-0000-0000-0000D9740000}"/>
    <cellStyle name="Normal 5 6 3 6 3" xfId="33093" xr:uid="{00000000-0005-0000-0000-0000DA740000}"/>
    <cellStyle name="Normal 5 6 3 7" xfId="16360" xr:uid="{00000000-0005-0000-0000-0000DB740000}"/>
    <cellStyle name="Normal 5 6 3 7 2" xfId="41913" xr:uid="{00000000-0005-0000-0000-0000DC740000}"/>
    <cellStyle name="Normal 5 6 3 8" xfId="26332" xr:uid="{00000000-0005-0000-0000-0000DD740000}"/>
    <cellStyle name="Normal 5 6 4" xfId="821" xr:uid="{00000000-0005-0000-0000-0000DE740000}"/>
    <cellStyle name="Normal 5 6 4 2" xfId="3306" xr:uid="{00000000-0005-0000-0000-0000DF740000}"/>
    <cellStyle name="Normal 5 6 4 2 2" xfId="12448" xr:uid="{00000000-0005-0000-0000-0000E0740000}"/>
    <cellStyle name="Normal 5 6 4 2 2 2" xfId="22667" xr:uid="{00000000-0005-0000-0000-0000E1740000}"/>
    <cellStyle name="Normal 5 6 4 2 2 2 2" xfId="48220" xr:uid="{00000000-0005-0000-0000-0000E2740000}"/>
    <cellStyle name="Normal 5 6 4 2 2 3" xfId="38003" xr:uid="{00000000-0005-0000-0000-0000E3740000}"/>
    <cellStyle name="Normal 5 6 4 2 3" xfId="8870" xr:uid="{00000000-0005-0000-0000-0000E4740000}"/>
    <cellStyle name="Normal 5 6 4 2 3 2" xfId="34427" xr:uid="{00000000-0005-0000-0000-0000E5740000}"/>
    <cellStyle name="Normal 5 6 4 2 4" xfId="17660" xr:uid="{00000000-0005-0000-0000-0000E6740000}"/>
    <cellStyle name="Normal 5 6 4 2 4 2" xfId="43213" xr:uid="{00000000-0005-0000-0000-0000E7740000}"/>
    <cellStyle name="Normal 5 6 4 2 5" xfId="29150" xr:uid="{00000000-0005-0000-0000-0000E8740000}"/>
    <cellStyle name="Normal 5 6 4 3" xfId="4984" xr:uid="{00000000-0005-0000-0000-0000E9740000}"/>
    <cellStyle name="Normal 5 6 4 3 2" xfId="13821" xr:uid="{00000000-0005-0000-0000-0000EA740000}"/>
    <cellStyle name="Normal 5 6 4 3 2 2" xfId="24072" xr:uid="{00000000-0005-0000-0000-0000EB740000}"/>
    <cellStyle name="Normal 5 6 4 3 2 2 2" xfId="49625" xr:uid="{00000000-0005-0000-0000-0000EC740000}"/>
    <cellStyle name="Normal 5 6 4 3 2 3" xfId="39376" xr:uid="{00000000-0005-0000-0000-0000ED740000}"/>
    <cellStyle name="Normal 5 6 4 3 3" xfId="10242" xr:uid="{00000000-0005-0000-0000-0000EE740000}"/>
    <cellStyle name="Normal 5 6 4 3 3 2" xfId="35799" xr:uid="{00000000-0005-0000-0000-0000EF740000}"/>
    <cellStyle name="Normal 5 6 4 3 4" xfId="19065" xr:uid="{00000000-0005-0000-0000-0000F0740000}"/>
    <cellStyle name="Normal 5 6 4 3 4 2" xfId="44618" xr:uid="{00000000-0005-0000-0000-0000F1740000}"/>
    <cellStyle name="Normal 5 6 4 3 5" xfId="30555" xr:uid="{00000000-0005-0000-0000-0000F2740000}"/>
    <cellStyle name="Normal 5 6 4 4" xfId="2415" xr:uid="{00000000-0005-0000-0000-0000F3740000}"/>
    <cellStyle name="Normal 5 6 4 4 2" xfId="11780" xr:uid="{00000000-0005-0000-0000-0000F4740000}"/>
    <cellStyle name="Normal 5 6 4 4 2 2" xfId="37335" xr:uid="{00000000-0005-0000-0000-0000F5740000}"/>
    <cellStyle name="Normal 5 6 4 4 3" xfId="21784" xr:uid="{00000000-0005-0000-0000-0000F6740000}"/>
    <cellStyle name="Normal 5 6 4 4 3 2" xfId="47337" xr:uid="{00000000-0005-0000-0000-0000F7740000}"/>
    <cellStyle name="Normal 5 6 4 4 4" xfId="28267" xr:uid="{00000000-0005-0000-0000-0000F8740000}"/>
    <cellStyle name="Normal 5 6 4 5" xfId="6439" xr:uid="{00000000-0005-0000-0000-0000F9740000}"/>
    <cellStyle name="Normal 5 6 4 5 2" xfId="15266" xr:uid="{00000000-0005-0000-0000-0000FA740000}"/>
    <cellStyle name="Normal 5 6 4 5 2 2" xfId="40821" xr:uid="{00000000-0005-0000-0000-0000FB740000}"/>
    <cellStyle name="Normal 5 6 4 5 3" xfId="25517" xr:uid="{00000000-0005-0000-0000-0000FC740000}"/>
    <cellStyle name="Normal 5 6 4 5 3 2" xfId="51070" xr:uid="{00000000-0005-0000-0000-0000FD740000}"/>
    <cellStyle name="Normal 5 6 4 5 4" xfId="32000" xr:uid="{00000000-0005-0000-0000-0000FE740000}"/>
    <cellStyle name="Normal 5 6 4 6" xfId="7885" xr:uid="{00000000-0005-0000-0000-0000FF740000}"/>
    <cellStyle name="Normal 5 6 4 6 2" xfId="20266" xr:uid="{00000000-0005-0000-0000-000000750000}"/>
    <cellStyle name="Normal 5 6 4 6 2 2" xfId="45819" xr:uid="{00000000-0005-0000-0000-000001750000}"/>
    <cellStyle name="Normal 5 6 4 6 3" xfId="33442" xr:uid="{00000000-0005-0000-0000-000002750000}"/>
    <cellStyle name="Normal 5 6 4 7" xfId="16777" xr:uid="{00000000-0005-0000-0000-000003750000}"/>
    <cellStyle name="Normal 5 6 4 7 2" xfId="42330" xr:uid="{00000000-0005-0000-0000-000004750000}"/>
    <cellStyle name="Normal 5 6 4 8" xfId="26749" xr:uid="{00000000-0005-0000-0000-000005750000}"/>
    <cellStyle name="Normal 5 6 5" xfId="1175" xr:uid="{00000000-0005-0000-0000-000006750000}"/>
    <cellStyle name="Normal 5 6 5 2" xfId="3604" xr:uid="{00000000-0005-0000-0000-000007750000}"/>
    <cellStyle name="Normal 5 6 5 2 2" xfId="12740" xr:uid="{00000000-0005-0000-0000-000008750000}"/>
    <cellStyle name="Normal 5 6 5 2 2 2" xfId="22959" xr:uid="{00000000-0005-0000-0000-000009750000}"/>
    <cellStyle name="Normal 5 6 5 2 2 2 2" xfId="48512" xr:uid="{00000000-0005-0000-0000-00000A750000}"/>
    <cellStyle name="Normal 5 6 5 2 2 3" xfId="38295" xr:uid="{00000000-0005-0000-0000-00000B750000}"/>
    <cellStyle name="Normal 5 6 5 2 3" xfId="9161" xr:uid="{00000000-0005-0000-0000-00000C750000}"/>
    <cellStyle name="Normal 5 6 5 2 3 2" xfId="34718" xr:uid="{00000000-0005-0000-0000-00000D750000}"/>
    <cellStyle name="Normal 5 6 5 2 4" xfId="17952" xr:uid="{00000000-0005-0000-0000-00000E750000}"/>
    <cellStyle name="Normal 5 6 5 2 4 2" xfId="43505" xr:uid="{00000000-0005-0000-0000-00000F750000}"/>
    <cellStyle name="Normal 5 6 5 2 5" xfId="29442" xr:uid="{00000000-0005-0000-0000-000010750000}"/>
    <cellStyle name="Normal 5 6 5 3" xfId="5267" xr:uid="{00000000-0005-0000-0000-000011750000}"/>
    <cellStyle name="Normal 5 6 5 3 2" xfId="14104" xr:uid="{00000000-0005-0000-0000-000012750000}"/>
    <cellStyle name="Normal 5 6 5 3 2 2" xfId="24355" xr:uid="{00000000-0005-0000-0000-000013750000}"/>
    <cellStyle name="Normal 5 6 5 3 2 2 2" xfId="49908" xr:uid="{00000000-0005-0000-0000-000014750000}"/>
    <cellStyle name="Normal 5 6 5 3 2 3" xfId="39659" xr:uid="{00000000-0005-0000-0000-000015750000}"/>
    <cellStyle name="Normal 5 6 5 3 3" xfId="10525" xr:uid="{00000000-0005-0000-0000-000016750000}"/>
    <cellStyle name="Normal 5 6 5 3 3 2" xfId="36082" xr:uid="{00000000-0005-0000-0000-000017750000}"/>
    <cellStyle name="Normal 5 6 5 3 4" xfId="19348" xr:uid="{00000000-0005-0000-0000-000018750000}"/>
    <cellStyle name="Normal 5 6 5 3 4 2" xfId="44901" xr:uid="{00000000-0005-0000-0000-000019750000}"/>
    <cellStyle name="Normal 5 6 5 3 5" xfId="30838" xr:uid="{00000000-0005-0000-0000-00001A750000}"/>
    <cellStyle name="Normal 5 6 5 4" xfId="1777" xr:uid="{00000000-0005-0000-0000-00001B750000}"/>
    <cellStyle name="Normal 5 6 5 4 2" xfId="11146" xr:uid="{00000000-0005-0000-0000-00001C750000}"/>
    <cellStyle name="Normal 5 6 5 4 2 2" xfId="36701" xr:uid="{00000000-0005-0000-0000-00001D750000}"/>
    <cellStyle name="Normal 5 6 5 4 3" xfId="21150" xr:uid="{00000000-0005-0000-0000-00001E750000}"/>
    <cellStyle name="Normal 5 6 5 4 3 2" xfId="46703" xr:uid="{00000000-0005-0000-0000-00001F750000}"/>
    <cellStyle name="Normal 5 6 5 4 4" xfId="27633" xr:uid="{00000000-0005-0000-0000-000020750000}"/>
    <cellStyle name="Normal 5 6 5 5" xfId="6722" xr:uid="{00000000-0005-0000-0000-000021750000}"/>
    <cellStyle name="Normal 5 6 5 5 2" xfId="15549" xr:uid="{00000000-0005-0000-0000-000022750000}"/>
    <cellStyle name="Normal 5 6 5 5 2 2" xfId="41104" xr:uid="{00000000-0005-0000-0000-000023750000}"/>
    <cellStyle name="Normal 5 6 5 5 3" xfId="25800" xr:uid="{00000000-0005-0000-0000-000024750000}"/>
    <cellStyle name="Normal 5 6 5 5 3 2" xfId="51353" xr:uid="{00000000-0005-0000-0000-000025750000}"/>
    <cellStyle name="Normal 5 6 5 5 4" xfId="32283" xr:uid="{00000000-0005-0000-0000-000026750000}"/>
    <cellStyle name="Normal 5 6 5 6" xfId="8168" xr:uid="{00000000-0005-0000-0000-000027750000}"/>
    <cellStyle name="Normal 5 6 5 6 2" xfId="20558" xr:uid="{00000000-0005-0000-0000-000028750000}"/>
    <cellStyle name="Normal 5 6 5 6 2 2" xfId="46111" xr:uid="{00000000-0005-0000-0000-000029750000}"/>
    <cellStyle name="Normal 5 6 5 6 3" xfId="33725" xr:uid="{00000000-0005-0000-0000-00002A750000}"/>
    <cellStyle name="Normal 5 6 5 7" xfId="16143" xr:uid="{00000000-0005-0000-0000-00002B750000}"/>
    <cellStyle name="Normal 5 6 5 7 2" xfId="41696" xr:uid="{00000000-0005-0000-0000-00002C750000}"/>
    <cellStyle name="Normal 5 6 5 8" xfId="27041" xr:uid="{00000000-0005-0000-0000-00002D750000}"/>
    <cellStyle name="Normal 5 6 6" xfId="2672" xr:uid="{00000000-0005-0000-0000-00002E750000}"/>
    <cellStyle name="Normal 5 6 6 2" xfId="11989" xr:uid="{00000000-0005-0000-0000-00002F750000}"/>
    <cellStyle name="Normal 5 6 6 2 2" xfId="22033" xr:uid="{00000000-0005-0000-0000-000030750000}"/>
    <cellStyle name="Normal 5 6 6 2 2 2" xfId="47586" xr:uid="{00000000-0005-0000-0000-000031750000}"/>
    <cellStyle name="Normal 5 6 6 2 3" xfId="37544" xr:uid="{00000000-0005-0000-0000-000032750000}"/>
    <cellStyle name="Normal 5 6 6 3" xfId="8566" xr:uid="{00000000-0005-0000-0000-000033750000}"/>
    <cellStyle name="Normal 5 6 6 3 2" xfId="34123" xr:uid="{00000000-0005-0000-0000-000034750000}"/>
    <cellStyle name="Normal 5 6 6 4" xfId="17026" xr:uid="{00000000-0005-0000-0000-000035750000}"/>
    <cellStyle name="Normal 5 6 6 4 2" xfId="42579" xr:uid="{00000000-0005-0000-0000-000036750000}"/>
    <cellStyle name="Normal 5 6 6 5" xfId="28516" xr:uid="{00000000-0005-0000-0000-000037750000}"/>
    <cellStyle name="Normal 5 6 7" xfId="4223" xr:uid="{00000000-0005-0000-0000-000038750000}"/>
    <cellStyle name="Normal 5 6 7 2" xfId="13061" xr:uid="{00000000-0005-0000-0000-000039750000}"/>
    <cellStyle name="Normal 5 6 7 2 2" xfId="23312" xr:uid="{00000000-0005-0000-0000-00003A750000}"/>
    <cellStyle name="Normal 5 6 7 2 2 2" xfId="48865" xr:uid="{00000000-0005-0000-0000-00003B750000}"/>
    <cellStyle name="Normal 5 6 7 2 3" xfId="38616" xr:uid="{00000000-0005-0000-0000-00003C750000}"/>
    <cellStyle name="Normal 5 6 7 3" xfId="9482" xr:uid="{00000000-0005-0000-0000-00003D750000}"/>
    <cellStyle name="Normal 5 6 7 3 2" xfId="35039" xr:uid="{00000000-0005-0000-0000-00003E750000}"/>
    <cellStyle name="Normal 5 6 7 4" xfId="18305" xr:uid="{00000000-0005-0000-0000-00003F750000}"/>
    <cellStyle name="Normal 5 6 7 4 2" xfId="43858" xr:uid="{00000000-0005-0000-0000-000040750000}"/>
    <cellStyle name="Normal 5 6 7 5" xfId="29795" xr:uid="{00000000-0005-0000-0000-000041750000}"/>
    <cellStyle name="Normal 5 6 8" xfId="1495" xr:uid="{00000000-0005-0000-0000-000042750000}"/>
    <cellStyle name="Normal 5 6 8 2" xfId="10872" xr:uid="{00000000-0005-0000-0000-000043750000}"/>
    <cellStyle name="Normal 5 6 8 2 2" xfId="36427" xr:uid="{00000000-0005-0000-0000-000044750000}"/>
    <cellStyle name="Normal 5 6 8 3" xfId="20876" xr:uid="{00000000-0005-0000-0000-000045750000}"/>
    <cellStyle name="Normal 5 6 8 3 2" xfId="46429" xr:uid="{00000000-0005-0000-0000-000046750000}"/>
    <cellStyle name="Normal 5 6 8 4" xfId="27359" xr:uid="{00000000-0005-0000-0000-000047750000}"/>
    <cellStyle name="Normal 5 6 9" xfId="5679" xr:uid="{00000000-0005-0000-0000-000048750000}"/>
    <cellStyle name="Normal 5 6 9 2" xfId="14506" xr:uid="{00000000-0005-0000-0000-000049750000}"/>
    <cellStyle name="Normal 5 6 9 2 2" xfId="40061" xr:uid="{00000000-0005-0000-0000-00004A750000}"/>
    <cellStyle name="Normal 5 6 9 3" xfId="24757" xr:uid="{00000000-0005-0000-0000-00004B750000}"/>
    <cellStyle name="Normal 5 6 9 3 2" xfId="50310" xr:uid="{00000000-0005-0000-0000-00004C750000}"/>
    <cellStyle name="Normal 5 6 9 4" xfId="31240" xr:uid="{00000000-0005-0000-0000-00004D750000}"/>
    <cellStyle name="Normal 5 6_Degree data" xfId="3853" xr:uid="{00000000-0005-0000-0000-00004E750000}"/>
    <cellStyle name="Normal 5 7" xfId="287" xr:uid="{00000000-0005-0000-0000-00004F750000}"/>
    <cellStyle name="Normal 5 7 10" xfId="16074" xr:uid="{00000000-0005-0000-0000-000050750000}"/>
    <cellStyle name="Normal 5 7 10 2" xfId="41627" xr:uid="{00000000-0005-0000-0000-000051750000}"/>
    <cellStyle name="Normal 5 7 11" xfId="26220" xr:uid="{00000000-0005-0000-0000-000052750000}"/>
    <cellStyle name="Normal 5 7 2" xfId="608" xr:uid="{00000000-0005-0000-0000-000053750000}"/>
    <cellStyle name="Normal 5 7 2 2" xfId="3094" xr:uid="{00000000-0005-0000-0000-000054750000}"/>
    <cellStyle name="Normal 5 7 2 2 2" xfId="12237" xr:uid="{00000000-0005-0000-0000-000055750000}"/>
    <cellStyle name="Normal 5 7 2 2 2 2" xfId="22455" xr:uid="{00000000-0005-0000-0000-000056750000}"/>
    <cellStyle name="Normal 5 7 2 2 2 2 2" xfId="48008" xr:uid="{00000000-0005-0000-0000-000057750000}"/>
    <cellStyle name="Normal 5 7 2 2 2 3" xfId="37792" xr:uid="{00000000-0005-0000-0000-000058750000}"/>
    <cellStyle name="Normal 5 7 2 2 3" xfId="8659" xr:uid="{00000000-0005-0000-0000-000059750000}"/>
    <cellStyle name="Normal 5 7 2 2 3 2" xfId="34216" xr:uid="{00000000-0005-0000-0000-00005A750000}"/>
    <cellStyle name="Normal 5 7 2 2 4" xfId="17448" xr:uid="{00000000-0005-0000-0000-00005B750000}"/>
    <cellStyle name="Normal 5 7 2 2 4 2" xfId="43001" xr:uid="{00000000-0005-0000-0000-00005C750000}"/>
    <cellStyle name="Normal 5 7 2 2 5" xfId="28938" xr:uid="{00000000-0005-0000-0000-00005D750000}"/>
    <cellStyle name="Normal 5 7 2 3" xfId="4637" xr:uid="{00000000-0005-0000-0000-00005E750000}"/>
    <cellStyle name="Normal 5 7 2 3 2" xfId="13475" xr:uid="{00000000-0005-0000-0000-00005F750000}"/>
    <cellStyle name="Normal 5 7 2 3 2 2" xfId="23726" xr:uid="{00000000-0005-0000-0000-000060750000}"/>
    <cellStyle name="Normal 5 7 2 3 2 2 2" xfId="49279" xr:uid="{00000000-0005-0000-0000-000061750000}"/>
    <cellStyle name="Normal 5 7 2 3 2 3" xfId="39030" xr:uid="{00000000-0005-0000-0000-000062750000}"/>
    <cellStyle name="Normal 5 7 2 3 3" xfId="9896" xr:uid="{00000000-0005-0000-0000-000063750000}"/>
    <cellStyle name="Normal 5 7 2 3 3 2" xfId="35453" xr:uid="{00000000-0005-0000-0000-000064750000}"/>
    <cellStyle name="Normal 5 7 2 3 4" xfId="18719" xr:uid="{00000000-0005-0000-0000-000065750000}"/>
    <cellStyle name="Normal 5 7 2 3 4 2" xfId="44272" xr:uid="{00000000-0005-0000-0000-000066750000}"/>
    <cellStyle name="Normal 5 7 2 3 5" xfId="30209" xr:uid="{00000000-0005-0000-0000-000067750000}"/>
    <cellStyle name="Normal 5 7 2 4" xfId="2203" xr:uid="{00000000-0005-0000-0000-000068750000}"/>
    <cellStyle name="Normal 5 7 2 4 2" xfId="11568" xr:uid="{00000000-0005-0000-0000-000069750000}"/>
    <cellStyle name="Normal 5 7 2 4 2 2" xfId="37123" xr:uid="{00000000-0005-0000-0000-00006A750000}"/>
    <cellStyle name="Normal 5 7 2 4 3" xfId="21572" xr:uid="{00000000-0005-0000-0000-00006B750000}"/>
    <cellStyle name="Normal 5 7 2 4 3 2" xfId="47125" xr:uid="{00000000-0005-0000-0000-00006C750000}"/>
    <cellStyle name="Normal 5 7 2 4 4" xfId="28055" xr:uid="{00000000-0005-0000-0000-00006D750000}"/>
    <cellStyle name="Normal 5 7 2 5" xfId="6093" xr:uid="{00000000-0005-0000-0000-00006E750000}"/>
    <cellStyle name="Normal 5 7 2 5 2" xfId="14920" xr:uid="{00000000-0005-0000-0000-00006F750000}"/>
    <cellStyle name="Normal 5 7 2 5 2 2" xfId="40475" xr:uid="{00000000-0005-0000-0000-000070750000}"/>
    <cellStyle name="Normal 5 7 2 5 3" xfId="25171" xr:uid="{00000000-0005-0000-0000-000071750000}"/>
    <cellStyle name="Normal 5 7 2 5 3 2" xfId="50724" xr:uid="{00000000-0005-0000-0000-000072750000}"/>
    <cellStyle name="Normal 5 7 2 5 4" xfId="31654" xr:uid="{00000000-0005-0000-0000-000073750000}"/>
    <cellStyle name="Normal 5 7 2 6" xfId="7538" xr:uid="{00000000-0005-0000-0000-000074750000}"/>
    <cellStyle name="Normal 5 7 2 6 2" xfId="20054" xr:uid="{00000000-0005-0000-0000-000075750000}"/>
    <cellStyle name="Normal 5 7 2 6 2 2" xfId="45607" xr:uid="{00000000-0005-0000-0000-000076750000}"/>
    <cellStyle name="Normal 5 7 2 6 3" xfId="33095" xr:uid="{00000000-0005-0000-0000-000077750000}"/>
    <cellStyle name="Normal 5 7 2 7" xfId="16565" xr:uid="{00000000-0005-0000-0000-000078750000}"/>
    <cellStyle name="Normal 5 7 2 7 2" xfId="42118" xr:uid="{00000000-0005-0000-0000-000079750000}"/>
    <cellStyle name="Normal 5 7 2 8" xfId="26537" xr:uid="{00000000-0005-0000-0000-00007A750000}"/>
    <cellStyle name="Normal 5 7 3" xfId="823" xr:uid="{00000000-0005-0000-0000-00007B750000}"/>
    <cellStyle name="Normal 5 7 3 2" xfId="3308" xr:uid="{00000000-0005-0000-0000-00007C750000}"/>
    <cellStyle name="Normal 5 7 3 2 2" xfId="12450" xr:uid="{00000000-0005-0000-0000-00007D750000}"/>
    <cellStyle name="Normal 5 7 3 2 2 2" xfId="22669" xr:uid="{00000000-0005-0000-0000-00007E750000}"/>
    <cellStyle name="Normal 5 7 3 2 2 2 2" xfId="48222" xr:uid="{00000000-0005-0000-0000-00007F750000}"/>
    <cellStyle name="Normal 5 7 3 2 2 3" xfId="38005" xr:uid="{00000000-0005-0000-0000-000080750000}"/>
    <cellStyle name="Normal 5 7 3 2 3" xfId="8872" xr:uid="{00000000-0005-0000-0000-000081750000}"/>
    <cellStyle name="Normal 5 7 3 2 3 2" xfId="34429" xr:uid="{00000000-0005-0000-0000-000082750000}"/>
    <cellStyle name="Normal 5 7 3 2 4" xfId="17662" xr:uid="{00000000-0005-0000-0000-000083750000}"/>
    <cellStyle name="Normal 5 7 3 2 4 2" xfId="43215" xr:uid="{00000000-0005-0000-0000-000084750000}"/>
    <cellStyle name="Normal 5 7 3 2 5" xfId="29152" xr:uid="{00000000-0005-0000-0000-000085750000}"/>
    <cellStyle name="Normal 5 7 3 3" xfId="4986" xr:uid="{00000000-0005-0000-0000-000086750000}"/>
    <cellStyle name="Normal 5 7 3 3 2" xfId="13823" xr:uid="{00000000-0005-0000-0000-000087750000}"/>
    <cellStyle name="Normal 5 7 3 3 2 2" xfId="24074" xr:uid="{00000000-0005-0000-0000-000088750000}"/>
    <cellStyle name="Normal 5 7 3 3 2 2 2" xfId="49627" xr:uid="{00000000-0005-0000-0000-000089750000}"/>
    <cellStyle name="Normal 5 7 3 3 2 3" xfId="39378" xr:uid="{00000000-0005-0000-0000-00008A750000}"/>
    <cellStyle name="Normal 5 7 3 3 3" xfId="10244" xr:uid="{00000000-0005-0000-0000-00008B750000}"/>
    <cellStyle name="Normal 5 7 3 3 3 2" xfId="35801" xr:uid="{00000000-0005-0000-0000-00008C750000}"/>
    <cellStyle name="Normal 5 7 3 3 4" xfId="19067" xr:uid="{00000000-0005-0000-0000-00008D750000}"/>
    <cellStyle name="Normal 5 7 3 3 4 2" xfId="44620" xr:uid="{00000000-0005-0000-0000-00008E750000}"/>
    <cellStyle name="Normal 5 7 3 3 5" xfId="30557" xr:uid="{00000000-0005-0000-0000-00008F750000}"/>
    <cellStyle name="Normal 5 7 3 4" xfId="2417" xr:uid="{00000000-0005-0000-0000-000090750000}"/>
    <cellStyle name="Normal 5 7 3 4 2" xfId="11782" xr:uid="{00000000-0005-0000-0000-000091750000}"/>
    <cellStyle name="Normal 5 7 3 4 2 2" xfId="37337" xr:uid="{00000000-0005-0000-0000-000092750000}"/>
    <cellStyle name="Normal 5 7 3 4 3" xfId="21786" xr:uid="{00000000-0005-0000-0000-000093750000}"/>
    <cellStyle name="Normal 5 7 3 4 3 2" xfId="47339" xr:uid="{00000000-0005-0000-0000-000094750000}"/>
    <cellStyle name="Normal 5 7 3 4 4" xfId="28269" xr:uid="{00000000-0005-0000-0000-000095750000}"/>
    <cellStyle name="Normal 5 7 3 5" xfId="6441" xr:uid="{00000000-0005-0000-0000-000096750000}"/>
    <cellStyle name="Normal 5 7 3 5 2" xfId="15268" xr:uid="{00000000-0005-0000-0000-000097750000}"/>
    <cellStyle name="Normal 5 7 3 5 2 2" xfId="40823" xr:uid="{00000000-0005-0000-0000-000098750000}"/>
    <cellStyle name="Normal 5 7 3 5 3" xfId="25519" xr:uid="{00000000-0005-0000-0000-000099750000}"/>
    <cellStyle name="Normal 5 7 3 5 3 2" xfId="51072" xr:uid="{00000000-0005-0000-0000-00009A750000}"/>
    <cellStyle name="Normal 5 7 3 5 4" xfId="32002" xr:uid="{00000000-0005-0000-0000-00009B750000}"/>
    <cellStyle name="Normal 5 7 3 6" xfId="7887" xr:uid="{00000000-0005-0000-0000-00009C750000}"/>
    <cellStyle name="Normal 5 7 3 6 2" xfId="20268" xr:uid="{00000000-0005-0000-0000-00009D750000}"/>
    <cellStyle name="Normal 5 7 3 6 2 2" xfId="45821" xr:uid="{00000000-0005-0000-0000-00009E750000}"/>
    <cellStyle name="Normal 5 7 3 6 3" xfId="33444" xr:uid="{00000000-0005-0000-0000-00009F750000}"/>
    <cellStyle name="Normal 5 7 3 7" xfId="16779" xr:uid="{00000000-0005-0000-0000-0000A0750000}"/>
    <cellStyle name="Normal 5 7 3 7 2" xfId="42332" xr:uid="{00000000-0005-0000-0000-0000A1750000}"/>
    <cellStyle name="Normal 5 7 3 8" xfId="26751" xr:uid="{00000000-0005-0000-0000-0000A2750000}"/>
    <cellStyle name="Normal 5 7 4" xfId="1380" xr:uid="{00000000-0005-0000-0000-0000A3750000}"/>
    <cellStyle name="Normal 5 7 4 2" xfId="3809" xr:uid="{00000000-0005-0000-0000-0000A4750000}"/>
    <cellStyle name="Normal 5 7 4 2 2" xfId="12945" xr:uid="{00000000-0005-0000-0000-0000A5750000}"/>
    <cellStyle name="Normal 5 7 4 2 2 2" xfId="23164" xr:uid="{00000000-0005-0000-0000-0000A6750000}"/>
    <cellStyle name="Normal 5 7 4 2 2 2 2" xfId="48717" xr:uid="{00000000-0005-0000-0000-0000A7750000}"/>
    <cellStyle name="Normal 5 7 4 2 2 3" xfId="38500" xr:uid="{00000000-0005-0000-0000-0000A8750000}"/>
    <cellStyle name="Normal 5 7 4 2 3" xfId="9366" xr:uid="{00000000-0005-0000-0000-0000A9750000}"/>
    <cellStyle name="Normal 5 7 4 2 3 2" xfId="34923" xr:uid="{00000000-0005-0000-0000-0000AA750000}"/>
    <cellStyle name="Normal 5 7 4 2 4" xfId="18157" xr:uid="{00000000-0005-0000-0000-0000AB750000}"/>
    <cellStyle name="Normal 5 7 4 2 4 2" xfId="43710" xr:uid="{00000000-0005-0000-0000-0000AC750000}"/>
    <cellStyle name="Normal 5 7 4 2 5" xfId="29647" xr:uid="{00000000-0005-0000-0000-0000AD750000}"/>
    <cellStyle name="Normal 5 7 4 3" xfId="5472" xr:uid="{00000000-0005-0000-0000-0000AE750000}"/>
    <cellStyle name="Normal 5 7 4 3 2" xfId="14309" xr:uid="{00000000-0005-0000-0000-0000AF750000}"/>
    <cellStyle name="Normal 5 7 4 3 2 2" xfId="24560" xr:uid="{00000000-0005-0000-0000-0000B0750000}"/>
    <cellStyle name="Normal 5 7 4 3 2 2 2" xfId="50113" xr:uid="{00000000-0005-0000-0000-0000B1750000}"/>
    <cellStyle name="Normal 5 7 4 3 2 3" xfId="39864" xr:uid="{00000000-0005-0000-0000-0000B2750000}"/>
    <cellStyle name="Normal 5 7 4 3 3" xfId="10730" xr:uid="{00000000-0005-0000-0000-0000B3750000}"/>
    <cellStyle name="Normal 5 7 4 3 3 2" xfId="36287" xr:uid="{00000000-0005-0000-0000-0000B4750000}"/>
    <cellStyle name="Normal 5 7 4 3 4" xfId="19553" xr:uid="{00000000-0005-0000-0000-0000B5750000}"/>
    <cellStyle name="Normal 5 7 4 3 4 2" xfId="45106" xr:uid="{00000000-0005-0000-0000-0000B6750000}"/>
    <cellStyle name="Normal 5 7 4 3 5" xfId="31043" xr:uid="{00000000-0005-0000-0000-0000B7750000}"/>
    <cellStyle name="Normal 5 7 4 4" xfId="1883" xr:uid="{00000000-0005-0000-0000-0000B8750000}"/>
    <cellStyle name="Normal 5 7 4 4 2" xfId="11251" xr:uid="{00000000-0005-0000-0000-0000B9750000}"/>
    <cellStyle name="Normal 5 7 4 4 2 2" xfId="36806" xr:uid="{00000000-0005-0000-0000-0000BA750000}"/>
    <cellStyle name="Normal 5 7 4 4 3" xfId="21255" xr:uid="{00000000-0005-0000-0000-0000BB750000}"/>
    <cellStyle name="Normal 5 7 4 4 3 2" xfId="46808" xr:uid="{00000000-0005-0000-0000-0000BC750000}"/>
    <cellStyle name="Normal 5 7 4 4 4" xfId="27738" xr:uid="{00000000-0005-0000-0000-0000BD750000}"/>
    <cellStyle name="Normal 5 7 4 5" xfId="6927" xr:uid="{00000000-0005-0000-0000-0000BE750000}"/>
    <cellStyle name="Normal 5 7 4 5 2" xfId="15754" xr:uid="{00000000-0005-0000-0000-0000BF750000}"/>
    <cellStyle name="Normal 5 7 4 5 2 2" xfId="41309" xr:uid="{00000000-0005-0000-0000-0000C0750000}"/>
    <cellStyle name="Normal 5 7 4 5 3" xfId="26005" xr:uid="{00000000-0005-0000-0000-0000C1750000}"/>
    <cellStyle name="Normal 5 7 4 5 3 2" xfId="51558" xr:uid="{00000000-0005-0000-0000-0000C2750000}"/>
    <cellStyle name="Normal 5 7 4 5 4" xfId="32488" xr:uid="{00000000-0005-0000-0000-0000C3750000}"/>
    <cellStyle name="Normal 5 7 4 6" xfId="8373" xr:uid="{00000000-0005-0000-0000-0000C4750000}"/>
    <cellStyle name="Normal 5 7 4 6 2" xfId="20763" xr:uid="{00000000-0005-0000-0000-0000C5750000}"/>
    <cellStyle name="Normal 5 7 4 6 2 2" xfId="46316" xr:uid="{00000000-0005-0000-0000-0000C6750000}"/>
    <cellStyle name="Normal 5 7 4 6 3" xfId="33930" xr:uid="{00000000-0005-0000-0000-0000C7750000}"/>
    <cellStyle name="Normal 5 7 4 7" xfId="16248" xr:uid="{00000000-0005-0000-0000-0000C8750000}"/>
    <cellStyle name="Normal 5 7 4 7 2" xfId="41801" xr:uid="{00000000-0005-0000-0000-0000C9750000}"/>
    <cellStyle name="Normal 5 7 4 8" xfId="27246" xr:uid="{00000000-0005-0000-0000-0000CA750000}"/>
    <cellStyle name="Normal 5 7 5" xfId="2777" xr:uid="{00000000-0005-0000-0000-0000CB750000}"/>
    <cellStyle name="Normal 5 7 5 2" xfId="12094" xr:uid="{00000000-0005-0000-0000-0000CC750000}"/>
    <cellStyle name="Normal 5 7 5 2 2" xfId="22138" xr:uid="{00000000-0005-0000-0000-0000CD750000}"/>
    <cellStyle name="Normal 5 7 5 2 2 2" xfId="47691" xr:uid="{00000000-0005-0000-0000-0000CE750000}"/>
    <cellStyle name="Normal 5 7 5 2 3" xfId="37649" xr:uid="{00000000-0005-0000-0000-0000CF750000}"/>
    <cellStyle name="Normal 5 7 5 3" xfId="8474" xr:uid="{00000000-0005-0000-0000-0000D0750000}"/>
    <cellStyle name="Normal 5 7 5 3 2" xfId="34031" xr:uid="{00000000-0005-0000-0000-0000D1750000}"/>
    <cellStyle name="Normal 5 7 5 4" xfId="17131" xr:uid="{00000000-0005-0000-0000-0000D2750000}"/>
    <cellStyle name="Normal 5 7 5 4 2" xfId="42684" xr:uid="{00000000-0005-0000-0000-0000D3750000}"/>
    <cellStyle name="Normal 5 7 5 5" xfId="28621" xr:uid="{00000000-0005-0000-0000-0000D4750000}"/>
    <cellStyle name="Normal 5 7 6" xfId="4428" xr:uid="{00000000-0005-0000-0000-0000D5750000}"/>
    <cellStyle name="Normal 5 7 6 2" xfId="13266" xr:uid="{00000000-0005-0000-0000-0000D6750000}"/>
    <cellStyle name="Normal 5 7 6 2 2" xfId="23517" xr:uid="{00000000-0005-0000-0000-0000D7750000}"/>
    <cellStyle name="Normal 5 7 6 2 2 2" xfId="49070" xr:uid="{00000000-0005-0000-0000-0000D8750000}"/>
    <cellStyle name="Normal 5 7 6 2 3" xfId="38821" xr:uid="{00000000-0005-0000-0000-0000D9750000}"/>
    <cellStyle name="Normal 5 7 6 3" xfId="9687" xr:uid="{00000000-0005-0000-0000-0000DA750000}"/>
    <cellStyle name="Normal 5 7 6 3 2" xfId="35244" xr:uid="{00000000-0005-0000-0000-0000DB750000}"/>
    <cellStyle name="Normal 5 7 6 4" xfId="18510" xr:uid="{00000000-0005-0000-0000-0000DC750000}"/>
    <cellStyle name="Normal 5 7 6 4 2" xfId="44063" xr:uid="{00000000-0005-0000-0000-0000DD750000}"/>
    <cellStyle name="Normal 5 7 6 5" xfId="30000" xr:uid="{00000000-0005-0000-0000-0000DE750000}"/>
    <cellStyle name="Normal 5 7 7" xfId="1700" xr:uid="{00000000-0005-0000-0000-0000DF750000}"/>
    <cellStyle name="Normal 5 7 7 2" xfId="11077" xr:uid="{00000000-0005-0000-0000-0000E0750000}"/>
    <cellStyle name="Normal 5 7 7 2 2" xfId="36632" xr:uid="{00000000-0005-0000-0000-0000E1750000}"/>
    <cellStyle name="Normal 5 7 7 3" xfId="21081" xr:uid="{00000000-0005-0000-0000-0000E2750000}"/>
    <cellStyle name="Normal 5 7 7 3 2" xfId="46634" xr:uid="{00000000-0005-0000-0000-0000E3750000}"/>
    <cellStyle name="Normal 5 7 7 4" xfId="27564" xr:uid="{00000000-0005-0000-0000-0000E4750000}"/>
    <cellStyle name="Normal 5 7 8" xfId="5884" xr:uid="{00000000-0005-0000-0000-0000E5750000}"/>
    <cellStyle name="Normal 5 7 8 2" xfId="14711" xr:uid="{00000000-0005-0000-0000-0000E6750000}"/>
    <cellStyle name="Normal 5 7 8 2 2" xfId="40266" xr:uid="{00000000-0005-0000-0000-0000E7750000}"/>
    <cellStyle name="Normal 5 7 8 3" xfId="24962" xr:uid="{00000000-0005-0000-0000-0000E8750000}"/>
    <cellStyle name="Normal 5 7 8 3 2" xfId="50515" xr:uid="{00000000-0005-0000-0000-0000E9750000}"/>
    <cellStyle name="Normal 5 7 8 4" xfId="31445" xr:uid="{00000000-0005-0000-0000-0000EA750000}"/>
    <cellStyle name="Normal 5 7 9" xfId="7328" xr:uid="{00000000-0005-0000-0000-0000EB750000}"/>
    <cellStyle name="Normal 5 7 9 2" xfId="19737" xr:uid="{00000000-0005-0000-0000-0000EC750000}"/>
    <cellStyle name="Normal 5 7 9 2 2" xfId="45290" xr:uid="{00000000-0005-0000-0000-0000ED750000}"/>
    <cellStyle name="Normal 5 7 9 3" xfId="32885" xr:uid="{00000000-0005-0000-0000-0000EE750000}"/>
    <cellStyle name="Normal 5 7_Degree data" xfId="3897" xr:uid="{00000000-0005-0000-0000-0000EF750000}"/>
    <cellStyle name="Normal 5 8" xfId="299" xr:uid="{00000000-0005-0000-0000-0000F0750000}"/>
    <cellStyle name="Normal 5 8 10" xfId="26228" xr:uid="{00000000-0005-0000-0000-0000F1750000}"/>
    <cellStyle name="Normal 5 8 2" xfId="824" xr:uid="{00000000-0005-0000-0000-0000F2750000}"/>
    <cellStyle name="Normal 5 8 2 2" xfId="3309" xr:uid="{00000000-0005-0000-0000-0000F3750000}"/>
    <cellStyle name="Normal 5 8 2 2 2" xfId="12451" xr:uid="{00000000-0005-0000-0000-0000F4750000}"/>
    <cellStyle name="Normal 5 8 2 2 2 2" xfId="22670" xr:uid="{00000000-0005-0000-0000-0000F5750000}"/>
    <cellStyle name="Normal 5 8 2 2 2 2 2" xfId="48223" xr:uid="{00000000-0005-0000-0000-0000F6750000}"/>
    <cellStyle name="Normal 5 8 2 2 2 3" xfId="38006" xr:uid="{00000000-0005-0000-0000-0000F7750000}"/>
    <cellStyle name="Normal 5 8 2 2 3" xfId="8873" xr:uid="{00000000-0005-0000-0000-0000F8750000}"/>
    <cellStyle name="Normal 5 8 2 2 3 2" xfId="34430" xr:uid="{00000000-0005-0000-0000-0000F9750000}"/>
    <cellStyle name="Normal 5 8 2 2 4" xfId="17663" xr:uid="{00000000-0005-0000-0000-0000FA750000}"/>
    <cellStyle name="Normal 5 8 2 2 4 2" xfId="43216" xr:uid="{00000000-0005-0000-0000-0000FB750000}"/>
    <cellStyle name="Normal 5 8 2 2 5" xfId="29153" xr:uid="{00000000-0005-0000-0000-0000FC750000}"/>
    <cellStyle name="Normal 5 8 2 3" xfId="4638" xr:uid="{00000000-0005-0000-0000-0000FD750000}"/>
    <cellStyle name="Normal 5 8 2 3 2" xfId="13476" xr:uid="{00000000-0005-0000-0000-0000FE750000}"/>
    <cellStyle name="Normal 5 8 2 3 2 2" xfId="23727" xr:uid="{00000000-0005-0000-0000-0000FF750000}"/>
    <cellStyle name="Normal 5 8 2 3 2 2 2" xfId="49280" xr:uid="{00000000-0005-0000-0000-000000760000}"/>
    <cellStyle name="Normal 5 8 2 3 2 3" xfId="39031" xr:uid="{00000000-0005-0000-0000-000001760000}"/>
    <cellStyle name="Normal 5 8 2 3 3" xfId="9897" xr:uid="{00000000-0005-0000-0000-000002760000}"/>
    <cellStyle name="Normal 5 8 2 3 3 2" xfId="35454" xr:uid="{00000000-0005-0000-0000-000003760000}"/>
    <cellStyle name="Normal 5 8 2 3 4" xfId="18720" xr:uid="{00000000-0005-0000-0000-000004760000}"/>
    <cellStyle name="Normal 5 8 2 3 4 2" xfId="44273" xr:uid="{00000000-0005-0000-0000-000005760000}"/>
    <cellStyle name="Normal 5 8 2 3 5" xfId="30210" xr:uid="{00000000-0005-0000-0000-000006760000}"/>
    <cellStyle name="Normal 5 8 2 4" xfId="2418" xr:uid="{00000000-0005-0000-0000-000007760000}"/>
    <cellStyle name="Normal 5 8 2 4 2" xfId="11783" xr:uid="{00000000-0005-0000-0000-000008760000}"/>
    <cellStyle name="Normal 5 8 2 4 2 2" xfId="37338" xr:uid="{00000000-0005-0000-0000-000009760000}"/>
    <cellStyle name="Normal 5 8 2 4 3" xfId="21787" xr:uid="{00000000-0005-0000-0000-00000A760000}"/>
    <cellStyle name="Normal 5 8 2 4 3 2" xfId="47340" xr:uid="{00000000-0005-0000-0000-00000B760000}"/>
    <cellStyle name="Normal 5 8 2 4 4" xfId="28270" xr:uid="{00000000-0005-0000-0000-00000C760000}"/>
    <cellStyle name="Normal 5 8 2 5" xfId="6094" xr:uid="{00000000-0005-0000-0000-00000D760000}"/>
    <cellStyle name="Normal 5 8 2 5 2" xfId="14921" xr:uid="{00000000-0005-0000-0000-00000E760000}"/>
    <cellStyle name="Normal 5 8 2 5 2 2" xfId="40476" xr:uid="{00000000-0005-0000-0000-00000F760000}"/>
    <cellStyle name="Normal 5 8 2 5 3" xfId="25172" xr:uid="{00000000-0005-0000-0000-000010760000}"/>
    <cellStyle name="Normal 5 8 2 5 3 2" xfId="50725" xr:uid="{00000000-0005-0000-0000-000011760000}"/>
    <cellStyle name="Normal 5 8 2 5 4" xfId="31655" xr:uid="{00000000-0005-0000-0000-000012760000}"/>
    <cellStyle name="Normal 5 8 2 6" xfId="7539" xr:uid="{00000000-0005-0000-0000-000013760000}"/>
    <cellStyle name="Normal 5 8 2 6 2" xfId="20269" xr:uid="{00000000-0005-0000-0000-000014760000}"/>
    <cellStyle name="Normal 5 8 2 6 2 2" xfId="45822" xr:uid="{00000000-0005-0000-0000-000015760000}"/>
    <cellStyle name="Normal 5 8 2 6 3" xfId="33096" xr:uid="{00000000-0005-0000-0000-000016760000}"/>
    <cellStyle name="Normal 5 8 2 7" xfId="16780" xr:uid="{00000000-0005-0000-0000-000017760000}"/>
    <cellStyle name="Normal 5 8 2 7 2" xfId="42333" xr:uid="{00000000-0005-0000-0000-000018760000}"/>
    <cellStyle name="Normal 5 8 2 8" xfId="26752" xr:uid="{00000000-0005-0000-0000-000019760000}"/>
    <cellStyle name="Normal 5 8 3" xfId="1071" xr:uid="{00000000-0005-0000-0000-00001A760000}"/>
    <cellStyle name="Normal 5 8 3 2" xfId="3500" xr:uid="{00000000-0005-0000-0000-00001B760000}"/>
    <cellStyle name="Normal 5 8 3 2 2" xfId="12636" xr:uid="{00000000-0005-0000-0000-00001C760000}"/>
    <cellStyle name="Normal 5 8 3 2 2 2" xfId="22855" xr:uid="{00000000-0005-0000-0000-00001D760000}"/>
    <cellStyle name="Normal 5 8 3 2 2 2 2" xfId="48408" xr:uid="{00000000-0005-0000-0000-00001E760000}"/>
    <cellStyle name="Normal 5 8 3 2 2 3" xfId="38191" xr:uid="{00000000-0005-0000-0000-00001F760000}"/>
    <cellStyle name="Normal 5 8 3 2 3" xfId="9058" xr:uid="{00000000-0005-0000-0000-000020760000}"/>
    <cellStyle name="Normal 5 8 3 2 3 2" xfId="34615" xr:uid="{00000000-0005-0000-0000-000021760000}"/>
    <cellStyle name="Normal 5 8 3 2 4" xfId="17848" xr:uid="{00000000-0005-0000-0000-000022760000}"/>
    <cellStyle name="Normal 5 8 3 2 4 2" xfId="43401" xr:uid="{00000000-0005-0000-0000-000023760000}"/>
    <cellStyle name="Normal 5 8 3 2 5" xfId="29338" xr:uid="{00000000-0005-0000-0000-000024760000}"/>
    <cellStyle name="Normal 5 8 3 3" xfId="4987" xr:uid="{00000000-0005-0000-0000-000025760000}"/>
    <cellStyle name="Normal 5 8 3 3 2" xfId="13824" xr:uid="{00000000-0005-0000-0000-000026760000}"/>
    <cellStyle name="Normal 5 8 3 3 2 2" xfId="24075" xr:uid="{00000000-0005-0000-0000-000027760000}"/>
    <cellStyle name="Normal 5 8 3 3 2 2 2" xfId="49628" xr:uid="{00000000-0005-0000-0000-000028760000}"/>
    <cellStyle name="Normal 5 8 3 3 2 3" xfId="39379" xr:uid="{00000000-0005-0000-0000-000029760000}"/>
    <cellStyle name="Normal 5 8 3 3 3" xfId="10245" xr:uid="{00000000-0005-0000-0000-00002A760000}"/>
    <cellStyle name="Normal 5 8 3 3 3 2" xfId="35802" xr:uid="{00000000-0005-0000-0000-00002B760000}"/>
    <cellStyle name="Normal 5 8 3 3 4" xfId="19068" xr:uid="{00000000-0005-0000-0000-00002C760000}"/>
    <cellStyle name="Normal 5 8 3 3 4 2" xfId="44621" xr:uid="{00000000-0005-0000-0000-00002D760000}"/>
    <cellStyle name="Normal 5 8 3 3 5" xfId="30558" xr:uid="{00000000-0005-0000-0000-00002E760000}"/>
    <cellStyle name="Normal 5 8 3 4" xfId="2580" xr:uid="{00000000-0005-0000-0000-00002F760000}"/>
    <cellStyle name="Normal 5 8 3 4 2" xfId="11944" xr:uid="{00000000-0005-0000-0000-000030760000}"/>
    <cellStyle name="Normal 5 8 3 4 2 2" xfId="37499" xr:uid="{00000000-0005-0000-0000-000031760000}"/>
    <cellStyle name="Normal 5 8 3 4 3" xfId="21948" xr:uid="{00000000-0005-0000-0000-000032760000}"/>
    <cellStyle name="Normal 5 8 3 4 3 2" xfId="47501" xr:uid="{00000000-0005-0000-0000-000033760000}"/>
    <cellStyle name="Normal 5 8 3 4 4" xfId="28431" xr:uid="{00000000-0005-0000-0000-000034760000}"/>
    <cellStyle name="Normal 5 8 3 5" xfId="6442" xr:uid="{00000000-0005-0000-0000-000035760000}"/>
    <cellStyle name="Normal 5 8 3 5 2" xfId="15269" xr:uid="{00000000-0005-0000-0000-000036760000}"/>
    <cellStyle name="Normal 5 8 3 5 2 2" xfId="40824" xr:uid="{00000000-0005-0000-0000-000037760000}"/>
    <cellStyle name="Normal 5 8 3 5 3" xfId="25520" xr:uid="{00000000-0005-0000-0000-000038760000}"/>
    <cellStyle name="Normal 5 8 3 5 3 2" xfId="51073" xr:uid="{00000000-0005-0000-0000-000039760000}"/>
    <cellStyle name="Normal 5 8 3 5 4" xfId="32003" xr:uid="{00000000-0005-0000-0000-00003A760000}"/>
    <cellStyle name="Normal 5 8 3 6" xfId="7888" xr:uid="{00000000-0005-0000-0000-00003B760000}"/>
    <cellStyle name="Normal 5 8 3 6 2" xfId="20454" xr:uid="{00000000-0005-0000-0000-00003C760000}"/>
    <cellStyle name="Normal 5 8 3 6 2 2" xfId="46007" xr:uid="{00000000-0005-0000-0000-00003D760000}"/>
    <cellStyle name="Normal 5 8 3 6 3" xfId="33445" xr:uid="{00000000-0005-0000-0000-00003E760000}"/>
    <cellStyle name="Normal 5 8 3 7" xfId="16941" xr:uid="{00000000-0005-0000-0000-00003F760000}"/>
    <cellStyle name="Normal 5 8 3 7 2" xfId="42494" xr:uid="{00000000-0005-0000-0000-000040760000}"/>
    <cellStyle name="Normal 5 8 3 8" xfId="26937" xr:uid="{00000000-0005-0000-0000-000041760000}"/>
    <cellStyle name="Normal 5 8 4" xfId="2785" xr:uid="{00000000-0005-0000-0000-000042760000}"/>
    <cellStyle name="Normal 5 8 4 2" xfId="5163" xr:uid="{00000000-0005-0000-0000-000043760000}"/>
    <cellStyle name="Normal 5 8 4 2 2" xfId="14000" xr:uid="{00000000-0005-0000-0000-000044760000}"/>
    <cellStyle name="Normal 5 8 4 2 2 2" xfId="24251" xr:uid="{00000000-0005-0000-0000-000045760000}"/>
    <cellStyle name="Normal 5 8 4 2 2 2 2" xfId="49804" xr:uid="{00000000-0005-0000-0000-000046760000}"/>
    <cellStyle name="Normal 5 8 4 2 2 3" xfId="39555" xr:uid="{00000000-0005-0000-0000-000047760000}"/>
    <cellStyle name="Normal 5 8 4 2 3" xfId="10421" xr:uid="{00000000-0005-0000-0000-000048760000}"/>
    <cellStyle name="Normal 5 8 4 2 3 2" xfId="35978" xr:uid="{00000000-0005-0000-0000-000049760000}"/>
    <cellStyle name="Normal 5 8 4 2 4" xfId="19244" xr:uid="{00000000-0005-0000-0000-00004A760000}"/>
    <cellStyle name="Normal 5 8 4 2 4 2" xfId="44797" xr:uid="{00000000-0005-0000-0000-00004B760000}"/>
    <cellStyle name="Normal 5 8 4 2 5" xfId="30734" xr:uid="{00000000-0005-0000-0000-00004C760000}"/>
    <cellStyle name="Normal 5 8 4 3" xfId="6618" xr:uid="{00000000-0005-0000-0000-00004D760000}"/>
    <cellStyle name="Normal 5 8 4 3 2" xfId="15445" xr:uid="{00000000-0005-0000-0000-00004E760000}"/>
    <cellStyle name="Normal 5 8 4 3 2 2" xfId="41000" xr:uid="{00000000-0005-0000-0000-00004F760000}"/>
    <cellStyle name="Normal 5 8 4 3 3" xfId="25696" xr:uid="{00000000-0005-0000-0000-000050760000}"/>
    <cellStyle name="Normal 5 8 4 3 3 2" xfId="51249" xr:uid="{00000000-0005-0000-0000-000051760000}"/>
    <cellStyle name="Normal 5 8 4 3 4" xfId="32179" xr:uid="{00000000-0005-0000-0000-000052760000}"/>
    <cellStyle name="Normal 5 8 4 4" xfId="8064" xr:uid="{00000000-0005-0000-0000-000053760000}"/>
    <cellStyle name="Normal 5 8 4 4 2" xfId="22146" xr:uid="{00000000-0005-0000-0000-000054760000}"/>
    <cellStyle name="Normal 5 8 4 4 2 2" xfId="47699" xr:uid="{00000000-0005-0000-0000-000055760000}"/>
    <cellStyle name="Normal 5 8 4 4 3" xfId="33621" xr:uid="{00000000-0005-0000-0000-000056760000}"/>
    <cellStyle name="Normal 5 8 4 5" xfId="17139" xr:uid="{00000000-0005-0000-0000-000057760000}"/>
    <cellStyle name="Normal 5 8 4 5 2" xfId="42692" xr:uid="{00000000-0005-0000-0000-000058760000}"/>
    <cellStyle name="Normal 5 8 4 6" xfId="28629" xr:uid="{00000000-0005-0000-0000-000059760000}"/>
    <cellStyle name="Normal 5 8 5" xfId="4117" xr:uid="{00000000-0005-0000-0000-00005A760000}"/>
    <cellStyle name="Normal 5 8 5 2" xfId="12955" xr:uid="{00000000-0005-0000-0000-00005B760000}"/>
    <cellStyle name="Normal 5 8 5 2 2" xfId="23206" xr:uid="{00000000-0005-0000-0000-00005C760000}"/>
    <cellStyle name="Normal 5 8 5 2 2 2" xfId="48759" xr:uid="{00000000-0005-0000-0000-00005D760000}"/>
    <cellStyle name="Normal 5 8 5 2 3" xfId="38510" xr:uid="{00000000-0005-0000-0000-00005E760000}"/>
    <cellStyle name="Normal 5 8 5 3" xfId="9376" xr:uid="{00000000-0005-0000-0000-00005F760000}"/>
    <cellStyle name="Normal 5 8 5 3 2" xfId="34933" xr:uid="{00000000-0005-0000-0000-000060760000}"/>
    <cellStyle name="Normal 5 8 5 4" xfId="18199" xr:uid="{00000000-0005-0000-0000-000061760000}"/>
    <cellStyle name="Normal 5 8 5 4 2" xfId="43752" xr:uid="{00000000-0005-0000-0000-000062760000}"/>
    <cellStyle name="Normal 5 8 5 5" xfId="29689" xr:uid="{00000000-0005-0000-0000-000063760000}"/>
    <cellStyle name="Normal 5 8 6" xfId="1894" xr:uid="{00000000-0005-0000-0000-000064760000}"/>
    <cellStyle name="Normal 5 8 6 2" xfId="11259" xr:uid="{00000000-0005-0000-0000-000065760000}"/>
    <cellStyle name="Normal 5 8 6 2 2" xfId="36814" xr:uid="{00000000-0005-0000-0000-000066760000}"/>
    <cellStyle name="Normal 5 8 6 3" xfId="21263" xr:uid="{00000000-0005-0000-0000-000067760000}"/>
    <cellStyle name="Normal 5 8 6 3 2" xfId="46816" xr:uid="{00000000-0005-0000-0000-000068760000}"/>
    <cellStyle name="Normal 5 8 6 4" xfId="27746" xr:uid="{00000000-0005-0000-0000-000069760000}"/>
    <cellStyle name="Normal 5 8 7" xfId="5575" xr:uid="{00000000-0005-0000-0000-00006A760000}"/>
    <cellStyle name="Normal 5 8 7 2" xfId="14402" xr:uid="{00000000-0005-0000-0000-00006B760000}"/>
    <cellStyle name="Normal 5 8 7 2 2" xfId="39957" xr:uid="{00000000-0005-0000-0000-00006C760000}"/>
    <cellStyle name="Normal 5 8 7 3" xfId="24653" xr:uid="{00000000-0005-0000-0000-00006D760000}"/>
    <cellStyle name="Normal 5 8 7 3 2" xfId="50206" xr:uid="{00000000-0005-0000-0000-00006E760000}"/>
    <cellStyle name="Normal 5 8 7 4" xfId="31136" xr:uid="{00000000-0005-0000-0000-00006F760000}"/>
    <cellStyle name="Normal 5 8 8" xfId="7019" xr:uid="{00000000-0005-0000-0000-000070760000}"/>
    <cellStyle name="Normal 5 8 8 2" xfId="19745" xr:uid="{00000000-0005-0000-0000-000071760000}"/>
    <cellStyle name="Normal 5 8 8 2 2" xfId="45298" xr:uid="{00000000-0005-0000-0000-000072760000}"/>
    <cellStyle name="Normal 5 8 8 3" xfId="32576" xr:uid="{00000000-0005-0000-0000-000073760000}"/>
    <cellStyle name="Normal 5 8 9" xfId="16256" xr:uid="{00000000-0005-0000-0000-000074760000}"/>
    <cellStyle name="Normal 5 8 9 2" xfId="41809" xr:uid="{00000000-0005-0000-0000-000075760000}"/>
    <cellStyle name="Normal 5 8_Degree data" xfId="3930" xr:uid="{00000000-0005-0000-0000-000076760000}"/>
    <cellStyle name="Normal 5 9" xfId="782" xr:uid="{00000000-0005-0000-0000-000077760000}"/>
    <cellStyle name="Normal 5 9 2" xfId="3267" xr:uid="{00000000-0005-0000-0000-000078760000}"/>
    <cellStyle name="Normal 5 9 2 2" xfId="12409" xr:uid="{00000000-0005-0000-0000-000079760000}"/>
    <cellStyle name="Normal 5 9 2 2 2" xfId="22628" xr:uid="{00000000-0005-0000-0000-00007A760000}"/>
    <cellStyle name="Normal 5 9 2 2 2 2" xfId="48181" xr:uid="{00000000-0005-0000-0000-00007B760000}"/>
    <cellStyle name="Normal 5 9 2 2 3" xfId="37964" xr:uid="{00000000-0005-0000-0000-00007C760000}"/>
    <cellStyle name="Normal 5 9 2 3" xfId="8831" xr:uid="{00000000-0005-0000-0000-00007D760000}"/>
    <cellStyle name="Normal 5 9 2 3 2" xfId="34388" xr:uid="{00000000-0005-0000-0000-00007E760000}"/>
    <cellStyle name="Normal 5 9 2 4" xfId="17621" xr:uid="{00000000-0005-0000-0000-00007F760000}"/>
    <cellStyle name="Normal 5 9 2 4 2" xfId="43174" xr:uid="{00000000-0005-0000-0000-000080760000}"/>
    <cellStyle name="Normal 5 9 2 5" xfId="29111" xr:uid="{00000000-0005-0000-0000-000081760000}"/>
    <cellStyle name="Normal 5 9 3" xfId="4596" xr:uid="{00000000-0005-0000-0000-000082760000}"/>
    <cellStyle name="Normal 5 9 3 2" xfId="13434" xr:uid="{00000000-0005-0000-0000-000083760000}"/>
    <cellStyle name="Normal 5 9 3 2 2" xfId="23685" xr:uid="{00000000-0005-0000-0000-000084760000}"/>
    <cellStyle name="Normal 5 9 3 2 2 2" xfId="49238" xr:uid="{00000000-0005-0000-0000-000085760000}"/>
    <cellStyle name="Normal 5 9 3 2 3" xfId="38989" xr:uid="{00000000-0005-0000-0000-000086760000}"/>
    <cellStyle name="Normal 5 9 3 3" xfId="9855" xr:uid="{00000000-0005-0000-0000-000087760000}"/>
    <cellStyle name="Normal 5 9 3 3 2" xfId="35412" xr:uid="{00000000-0005-0000-0000-000088760000}"/>
    <cellStyle name="Normal 5 9 3 4" xfId="18678" xr:uid="{00000000-0005-0000-0000-000089760000}"/>
    <cellStyle name="Normal 5 9 3 4 2" xfId="44231" xr:uid="{00000000-0005-0000-0000-00008A760000}"/>
    <cellStyle name="Normal 5 9 3 5" xfId="30168" xr:uid="{00000000-0005-0000-0000-00008B760000}"/>
    <cellStyle name="Normal 5 9 4" xfId="2376" xr:uid="{00000000-0005-0000-0000-00008C760000}"/>
    <cellStyle name="Normal 5 9 4 2" xfId="11741" xr:uid="{00000000-0005-0000-0000-00008D760000}"/>
    <cellStyle name="Normal 5 9 4 2 2" xfId="37296" xr:uid="{00000000-0005-0000-0000-00008E760000}"/>
    <cellStyle name="Normal 5 9 4 3" xfId="21745" xr:uid="{00000000-0005-0000-0000-00008F760000}"/>
    <cellStyle name="Normal 5 9 4 3 2" xfId="47298" xr:uid="{00000000-0005-0000-0000-000090760000}"/>
    <cellStyle name="Normal 5 9 4 4" xfId="28228" xr:uid="{00000000-0005-0000-0000-000091760000}"/>
    <cellStyle name="Normal 5 9 5" xfId="6052" xr:uid="{00000000-0005-0000-0000-000092760000}"/>
    <cellStyle name="Normal 5 9 5 2" xfId="14879" xr:uid="{00000000-0005-0000-0000-000093760000}"/>
    <cellStyle name="Normal 5 9 5 2 2" xfId="40434" xr:uid="{00000000-0005-0000-0000-000094760000}"/>
    <cellStyle name="Normal 5 9 5 3" xfId="25130" xr:uid="{00000000-0005-0000-0000-000095760000}"/>
    <cellStyle name="Normal 5 9 5 3 2" xfId="50683" xr:uid="{00000000-0005-0000-0000-000096760000}"/>
    <cellStyle name="Normal 5 9 5 4" xfId="31613" xr:uid="{00000000-0005-0000-0000-000097760000}"/>
    <cellStyle name="Normal 5 9 6" xfId="7497" xr:uid="{00000000-0005-0000-0000-000098760000}"/>
    <cellStyle name="Normal 5 9 6 2" xfId="20227" xr:uid="{00000000-0005-0000-0000-000099760000}"/>
    <cellStyle name="Normal 5 9 6 2 2" xfId="45780" xr:uid="{00000000-0005-0000-0000-00009A760000}"/>
    <cellStyle name="Normal 5 9 6 3" xfId="33054" xr:uid="{00000000-0005-0000-0000-00009B760000}"/>
    <cellStyle name="Normal 5 9 7" xfId="16738" xr:uid="{00000000-0005-0000-0000-00009C760000}"/>
    <cellStyle name="Normal 5 9 7 2" xfId="42291" xr:uid="{00000000-0005-0000-0000-00009D760000}"/>
    <cellStyle name="Normal 5 9 8" xfId="26710" xr:uid="{00000000-0005-0000-0000-00009E760000}"/>
    <cellStyle name="Normal 5_Degree data" xfId="3833" xr:uid="{00000000-0005-0000-0000-00009F760000}"/>
    <cellStyle name="Normal 50" xfId="90" xr:uid="{00000000-0005-0000-0000-0000A0760000}"/>
    <cellStyle name="Normal 51" xfId="91" xr:uid="{00000000-0005-0000-0000-0000A1760000}"/>
    <cellStyle name="Normal 510" xfId="26040" xr:uid="{00000000-0005-0000-0000-0000A2760000}"/>
    <cellStyle name="Normal 510 2" xfId="51593" xr:uid="{00000000-0005-0000-0000-0000A3760000}"/>
    <cellStyle name="Normal 511" xfId="26038" xr:uid="{00000000-0005-0000-0000-0000A4760000}"/>
    <cellStyle name="Normal 511 2" xfId="51591" xr:uid="{00000000-0005-0000-0000-0000A5760000}"/>
    <cellStyle name="Normal 512" xfId="26039" xr:uid="{00000000-0005-0000-0000-0000A6760000}"/>
    <cellStyle name="Normal 512 2" xfId="51592" xr:uid="{00000000-0005-0000-0000-0000A7760000}"/>
    <cellStyle name="Normal 514" xfId="26041" xr:uid="{00000000-0005-0000-0000-0000A8760000}"/>
    <cellStyle name="Normal 514 2" xfId="51594" xr:uid="{00000000-0005-0000-0000-0000A9760000}"/>
    <cellStyle name="Normal 515" xfId="26042" xr:uid="{00000000-0005-0000-0000-0000AA760000}"/>
    <cellStyle name="Normal 515 2" xfId="51595" xr:uid="{00000000-0005-0000-0000-0000AB760000}"/>
    <cellStyle name="Normal 516" xfId="26043" xr:uid="{00000000-0005-0000-0000-0000AC760000}"/>
    <cellStyle name="Normal 516 2" xfId="51596" xr:uid="{00000000-0005-0000-0000-0000AD760000}"/>
    <cellStyle name="Normal 517" xfId="26044" xr:uid="{00000000-0005-0000-0000-0000AE760000}"/>
    <cellStyle name="Normal 517 2" xfId="51597" xr:uid="{00000000-0005-0000-0000-0000AF760000}"/>
    <cellStyle name="Normal 518" xfId="26045" xr:uid="{00000000-0005-0000-0000-0000B0760000}"/>
    <cellStyle name="Normal 518 2" xfId="51598" xr:uid="{00000000-0005-0000-0000-0000B1760000}"/>
    <cellStyle name="Normal 52" xfId="86" xr:uid="{00000000-0005-0000-0000-0000B2760000}"/>
    <cellStyle name="Normal 520" xfId="26047" xr:uid="{00000000-0005-0000-0000-0000B3760000}"/>
    <cellStyle name="Normal 520 2" xfId="51600" xr:uid="{00000000-0005-0000-0000-0000B4760000}"/>
    <cellStyle name="Normal 521" xfId="26046" xr:uid="{00000000-0005-0000-0000-0000B5760000}"/>
    <cellStyle name="Normal 521 2" xfId="51599" xr:uid="{00000000-0005-0000-0000-0000B6760000}"/>
    <cellStyle name="Normal 53" xfId="9" xr:uid="{00000000-0005-0000-0000-0000B7760000}"/>
    <cellStyle name="Normal 54" xfId="10" xr:uid="{00000000-0005-0000-0000-0000B8760000}"/>
    <cellStyle name="Normal 55" xfId="11" xr:uid="{00000000-0005-0000-0000-0000B9760000}"/>
    <cellStyle name="Normal 56" xfId="43" xr:uid="{00000000-0005-0000-0000-0000BA760000}"/>
    <cellStyle name="Normal 57" xfId="26" xr:uid="{00000000-0005-0000-0000-0000BB760000}"/>
    <cellStyle name="Normal 57 10" xfId="279" xr:uid="{00000000-0005-0000-0000-0000BC760000}"/>
    <cellStyle name="Normal 57 10 10" xfId="16067" xr:uid="{00000000-0005-0000-0000-0000BD760000}"/>
    <cellStyle name="Normal 57 10 10 2" xfId="41620" xr:uid="{00000000-0005-0000-0000-0000BE760000}"/>
    <cellStyle name="Normal 57 10 11" xfId="26213" xr:uid="{00000000-0005-0000-0000-0000BF760000}"/>
    <cellStyle name="Normal 57 10 2" xfId="601" xr:uid="{00000000-0005-0000-0000-0000C0760000}"/>
    <cellStyle name="Normal 57 10 2 2" xfId="3087" xr:uid="{00000000-0005-0000-0000-0000C1760000}"/>
    <cellStyle name="Normal 57 10 2 2 2" xfId="12230" xr:uid="{00000000-0005-0000-0000-0000C2760000}"/>
    <cellStyle name="Normal 57 10 2 2 2 2" xfId="22448" xr:uid="{00000000-0005-0000-0000-0000C3760000}"/>
    <cellStyle name="Normal 57 10 2 2 2 2 2" xfId="48001" xr:uid="{00000000-0005-0000-0000-0000C4760000}"/>
    <cellStyle name="Normal 57 10 2 2 2 3" xfId="37785" xr:uid="{00000000-0005-0000-0000-0000C5760000}"/>
    <cellStyle name="Normal 57 10 2 2 3" xfId="8652" xr:uid="{00000000-0005-0000-0000-0000C6760000}"/>
    <cellStyle name="Normal 57 10 2 2 3 2" xfId="34209" xr:uid="{00000000-0005-0000-0000-0000C7760000}"/>
    <cellStyle name="Normal 57 10 2 2 4" xfId="17441" xr:uid="{00000000-0005-0000-0000-0000C8760000}"/>
    <cellStyle name="Normal 57 10 2 2 4 2" xfId="42994" xr:uid="{00000000-0005-0000-0000-0000C9760000}"/>
    <cellStyle name="Normal 57 10 2 2 5" xfId="28931" xr:uid="{00000000-0005-0000-0000-0000CA760000}"/>
    <cellStyle name="Normal 57 10 2 3" xfId="4640" xr:uid="{00000000-0005-0000-0000-0000CB760000}"/>
    <cellStyle name="Normal 57 10 2 3 2" xfId="13478" xr:uid="{00000000-0005-0000-0000-0000CC760000}"/>
    <cellStyle name="Normal 57 10 2 3 2 2" xfId="23729" xr:uid="{00000000-0005-0000-0000-0000CD760000}"/>
    <cellStyle name="Normal 57 10 2 3 2 2 2" xfId="49282" xr:uid="{00000000-0005-0000-0000-0000CE760000}"/>
    <cellStyle name="Normal 57 10 2 3 2 3" xfId="39033" xr:uid="{00000000-0005-0000-0000-0000CF760000}"/>
    <cellStyle name="Normal 57 10 2 3 3" xfId="9899" xr:uid="{00000000-0005-0000-0000-0000D0760000}"/>
    <cellStyle name="Normal 57 10 2 3 3 2" xfId="35456" xr:uid="{00000000-0005-0000-0000-0000D1760000}"/>
    <cellStyle name="Normal 57 10 2 3 4" xfId="18722" xr:uid="{00000000-0005-0000-0000-0000D2760000}"/>
    <cellStyle name="Normal 57 10 2 3 4 2" xfId="44275" xr:uid="{00000000-0005-0000-0000-0000D3760000}"/>
    <cellStyle name="Normal 57 10 2 3 5" xfId="30212" xr:uid="{00000000-0005-0000-0000-0000D4760000}"/>
    <cellStyle name="Normal 57 10 2 4" xfId="2196" xr:uid="{00000000-0005-0000-0000-0000D5760000}"/>
    <cellStyle name="Normal 57 10 2 4 2" xfId="11561" xr:uid="{00000000-0005-0000-0000-0000D6760000}"/>
    <cellStyle name="Normal 57 10 2 4 2 2" xfId="37116" xr:uid="{00000000-0005-0000-0000-0000D7760000}"/>
    <cellStyle name="Normal 57 10 2 4 3" xfId="21565" xr:uid="{00000000-0005-0000-0000-0000D8760000}"/>
    <cellStyle name="Normal 57 10 2 4 3 2" xfId="47118" xr:uid="{00000000-0005-0000-0000-0000D9760000}"/>
    <cellStyle name="Normal 57 10 2 4 4" xfId="28048" xr:uid="{00000000-0005-0000-0000-0000DA760000}"/>
    <cellStyle name="Normal 57 10 2 5" xfId="6096" xr:uid="{00000000-0005-0000-0000-0000DB760000}"/>
    <cellStyle name="Normal 57 10 2 5 2" xfId="14923" xr:uid="{00000000-0005-0000-0000-0000DC760000}"/>
    <cellStyle name="Normal 57 10 2 5 2 2" xfId="40478" xr:uid="{00000000-0005-0000-0000-0000DD760000}"/>
    <cellStyle name="Normal 57 10 2 5 3" xfId="25174" xr:uid="{00000000-0005-0000-0000-0000DE760000}"/>
    <cellStyle name="Normal 57 10 2 5 3 2" xfId="50727" xr:uid="{00000000-0005-0000-0000-0000DF760000}"/>
    <cellStyle name="Normal 57 10 2 5 4" xfId="31657" xr:uid="{00000000-0005-0000-0000-0000E0760000}"/>
    <cellStyle name="Normal 57 10 2 6" xfId="7541" xr:uid="{00000000-0005-0000-0000-0000E1760000}"/>
    <cellStyle name="Normal 57 10 2 6 2" xfId="20047" xr:uid="{00000000-0005-0000-0000-0000E2760000}"/>
    <cellStyle name="Normal 57 10 2 6 2 2" xfId="45600" xr:uid="{00000000-0005-0000-0000-0000E3760000}"/>
    <cellStyle name="Normal 57 10 2 6 3" xfId="33098" xr:uid="{00000000-0005-0000-0000-0000E4760000}"/>
    <cellStyle name="Normal 57 10 2 7" xfId="16558" xr:uid="{00000000-0005-0000-0000-0000E5760000}"/>
    <cellStyle name="Normal 57 10 2 7 2" xfId="42111" xr:uid="{00000000-0005-0000-0000-0000E6760000}"/>
    <cellStyle name="Normal 57 10 2 8" xfId="26530" xr:uid="{00000000-0005-0000-0000-0000E7760000}"/>
    <cellStyle name="Normal 57 10 3" xfId="826" xr:uid="{00000000-0005-0000-0000-0000E8760000}"/>
    <cellStyle name="Normal 57 10 3 2" xfId="3311" xr:uid="{00000000-0005-0000-0000-0000E9760000}"/>
    <cellStyle name="Normal 57 10 3 2 2" xfId="12453" xr:uid="{00000000-0005-0000-0000-0000EA760000}"/>
    <cellStyle name="Normal 57 10 3 2 2 2" xfId="22672" xr:uid="{00000000-0005-0000-0000-0000EB760000}"/>
    <cellStyle name="Normal 57 10 3 2 2 2 2" xfId="48225" xr:uid="{00000000-0005-0000-0000-0000EC760000}"/>
    <cellStyle name="Normal 57 10 3 2 2 3" xfId="38008" xr:uid="{00000000-0005-0000-0000-0000ED760000}"/>
    <cellStyle name="Normal 57 10 3 2 3" xfId="8875" xr:uid="{00000000-0005-0000-0000-0000EE760000}"/>
    <cellStyle name="Normal 57 10 3 2 3 2" xfId="34432" xr:uid="{00000000-0005-0000-0000-0000EF760000}"/>
    <cellStyle name="Normal 57 10 3 2 4" xfId="17665" xr:uid="{00000000-0005-0000-0000-0000F0760000}"/>
    <cellStyle name="Normal 57 10 3 2 4 2" xfId="43218" xr:uid="{00000000-0005-0000-0000-0000F1760000}"/>
    <cellStyle name="Normal 57 10 3 2 5" xfId="29155" xr:uid="{00000000-0005-0000-0000-0000F2760000}"/>
    <cellStyle name="Normal 57 10 3 3" xfId="4989" xr:uid="{00000000-0005-0000-0000-0000F3760000}"/>
    <cellStyle name="Normal 57 10 3 3 2" xfId="13826" xr:uid="{00000000-0005-0000-0000-0000F4760000}"/>
    <cellStyle name="Normal 57 10 3 3 2 2" xfId="24077" xr:uid="{00000000-0005-0000-0000-0000F5760000}"/>
    <cellStyle name="Normal 57 10 3 3 2 2 2" xfId="49630" xr:uid="{00000000-0005-0000-0000-0000F6760000}"/>
    <cellStyle name="Normal 57 10 3 3 2 3" xfId="39381" xr:uid="{00000000-0005-0000-0000-0000F7760000}"/>
    <cellStyle name="Normal 57 10 3 3 3" xfId="10247" xr:uid="{00000000-0005-0000-0000-0000F8760000}"/>
    <cellStyle name="Normal 57 10 3 3 3 2" xfId="35804" xr:uid="{00000000-0005-0000-0000-0000F9760000}"/>
    <cellStyle name="Normal 57 10 3 3 4" xfId="19070" xr:uid="{00000000-0005-0000-0000-0000FA760000}"/>
    <cellStyle name="Normal 57 10 3 3 4 2" xfId="44623" xr:uid="{00000000-0005-0000-0000-0000FB760000}"/>
    <cellStyle name="Normal 57 10 3 3 5" xfId="30560" xr:uid="{00000000-0005-0000-0000-0000FC760000}"/>
    <cellStyle name="Normal 57 10 3 4" xfId="2420" xr:uid="{00000000-0005-0000-0000-0000FD760000}"/>
    <cellStyle name="Normal 57 10 3 4 2" xfId="11785" xr:uid="{00000000-0005-0000-0000-0000FE760000}"/>
    <cellStyle name="Normal 57 10 3 4 2 2" xfId="37340" xr:uid="{00000000-0005-0000-0000-0000FF760000}"/>
    <cellStyle name="Normal 57 10 3 4 3" xfId="21789" xr:uid="{00000000-0005-0000-0000-000000770000}"/>
    <cellStyle name="Normal 57 10 3 4 3 2" xfId="47342" xr:uid="{00000000-0005-0000-0000-000001770000}"/>
    <cellStyle name="Normal 57 10 3 4 4" xfId="28272" xr:uid="{00000000-0005-0000-0000-000002770000}"/>
    <cellStyle name="Normal 57 10 3 5" xfId="6444" xr:uid="{00000000-0005-0000-0000-000003770000}"/>
    <cellStyle name="Normal 57 10 3 5 2" xfId="15271" xr:uid="{00000000-0005-0000-0000-000004770000}"/>
    <cellStyle name="Normal 57 10 3 5 2 2" xfId="40826" xr:uid="{00000000-0005-0000-0000-000005770000}"/>
    <cellStyle name="Normal 57 10 3 5 3" xfId="25522" xr:uid="{00000000-0005-0000-0000-000006770000}"/>
    <cellStyle name="Normal 57 10 3 5 3 2" xfId="51075" xr:uid="{00000000-0005-0000-0000-000007770000}"/>
    <cellStyle name="Normal 57 10 3 5 4" xfId="32005" xr:uid="{00000000-0005-0000-0000-000008770000}"/>
    <cellStyle name="Normal 57 10 3 6" xfId="7890" xr:uid="{00000000-0005-0000-0000-000009770000}"/>
    <cellStyle name="Normal 57 10 3 6 2" xfId="20271" xr:uid="{00000000-0005-0000-0000-00000A770000}"/>
    <cellStyle name="Normal 57 10 3 6 2 2" xfId="45824" xr:uid="{00000000-0005-0000-0000-00000B770000}"/>
    <cellStyle name="Normal 57 10 3 6 3" xfId="33447" xr:uid="{00000000-0005-0000-0000-00000C770000}"/>
    <cellStyle name="Normal 57 10 3 7" xfId="16782" xr:uid="{00000000-0005-0000-0000-00000D770000}"/>
    <cellStyle name="Normal 57 10 3 7 2" xfId="42335" xr:uid="{00000000-0005-0000-0000-00000E770000}"/>
    <cellStyle name="Normal 57 10 3 8" xfId="26754" xr:uid="{00000000-0005-0000-0000-00000F770000}"/>
    <cellStyle name="Normal 57 10 4" xfId="1373" xr:uid="{00000000-0005-0000-0000-000010770000}"/>
    <cellStyle name="Normal 57 10 4 2" xfId="3802" xr:uid="{00000000-0005-0000-0000-000011770000}"/>
    <cellStyle name="Normal 57 10 4 2 2" xfId="12938" xr:uid="{00000000-0005-0000-0000-000012770000}"/>
    <cellStyle name="Normal 57 10 4 2 2 2" xfId="23157" xr:uid="{00000000-0005-0000-0000-000013770000}"/>
    <cellStyle name="Normal 57 10 4 2 2 2 2" xfId="48710" xr:uid="{00000000-0005-0000-0000-000014770000}"/>
    <cellStyle name="Normal 57 10 4 2 2 3" xfId="38493" xr:uid="{00000000-0005-0000-0000-000015770000}"/>
    <cellStyle name="Normal 57 10 4 2 3" xfId="9359" xr:uid="{00000000-0005-0000-0000-000016770000}"/>
    <cellStyle name="Normal 57 10 4 2 3 2" xfId="34916" xr:uid="{00000000-0005-0000-0000-000017770000}"/>
    <cellStyle name="Normal 57 10 4 2 4" xfId="18150" xr:uid="{00000000-0005-0000-0000-000018770000}"/>
    <cellStyle name="Normal 57 10 4 2 4 2" xfId="43703" xr:uid="{00000000-0005-0000-0000-000019770000}"/>
    <cellStyle name="Normal 57 10 4 2 5" xfId="29640" xr:uid="{00000000-0005-0000-0000-00001A770000}"/>
    <cellStyle name="Normal 57 10 4 3" xfId="5465" xr:uid="{00000000-0005-0000-0000-00001B770000}"/>
    <cellStyle name="Normal 57 10 4 3 2" xfId="14302" xr:uid="{00000000-0005-0000-0000-00001C770000}"/>
    <cellStyle name="Normal 57 10 4 3 2 2" xfId="24553" xr:uid="{00000000-0005-0000-0000-00001D770000}"/>
    <cellStyle name="Normal 57 10 4 3 2 2 2" xfId="50106" xr:uid="{00000000-0005-0000-0000-00001E770000}"/>
    <cellStyle name="Normal 57 10 4 3 2 3" xfId="39857" xr:uid="{00000000-0005-0000-0000-00001F770000}"/>
    <cellStyle name="Normal 57 10 4 3 3" xfId="10723" xr:uid="{00000000-0005-0000-0000-000020770000}"/>
    <cellStyle name="Normal 57 10 4 3 3 2" xfId="36280" xr:uid="{00000000-0005-0000-0000-000021770000}"/>
    <cellStyle name="Normal 57 10 4 3 4" xfId="19546" xr:uid="{00000000-0005-0000-0000-000022770000}"/>
    <cellStyle name="Normal 57 10 4 3 4 2" xfId="45099" xr:uid="{00000000-0005-0000-0000-000023770000}"/>
    <cellStyle name="Normal 57 10 4 3 5" xfId="31036" xr:uid="{00000000-0005-0000-0000-000024770000}"/>
    <cellStyle name="Normal 57 10 4 4" xfId="1876" xr:uid="{00000000-0005-0000-0000-000025770000}"/>
    <cellStyle name="Normal 57 10 4 4 2" xfId="11244" xr:uid="{00000000-0005-0000-0000-000026770000}"/>
    <cellStyle name="Normal 57 10 4 4 2 2" xfId="36799" xr:uid="{00000000-0005-0000-0000-000027770000}"/>
    <cellStyle name="Normal 57 10 4 4 3" xfId="21248" xr:uid="{00000000-0005-0000-0000-000028770000}"/>
    <cellStyle name="Normal 57 10 4 4 3 2" xfId="46801" xr:uid="{00000000-0005-0000-0000-000029770000}"/>
    <cellStyle name="Normal 57 10 4 4 4" xfId="27731" xr:uid="{00000000-0005-0000-0000-00002A770000}"/>
    <cellStyle name="Normal 57 10 4 5" xfId="6920" xr:uid="{00000000-0005-0000-0000-00002B770000}"/>
    <cellStyle name="Normal 57 10 4 5 2" xfId="15747" xr:uid="{00000000-0005-0000-0000-00002C770000}"/>
    <cellStyle name="Normal 57 10 4 5 2 2" xfId="41302" xr:uid="{00000000-0005-0000-0000-00002D770000}"/>
    <cellStyle name="Normal 57 10 4 5 3" xfId="25998" xr:uid="{00000000-0005-0000-0000-00002E770000}"/>
    <cellStyle name="Normal 57 10 4 5 3 2" xfId="51551" xr:uid="{00000000-0005-0000-0000-00002F770000}"/>
    <cellStyle name="Normal 57 10 4 5 4" xfId="32481" xr:uid="{00000000-0005-0000-0000-000030770000}"/>
    <cellStyle name="Normal 57 10 4 6" xfId="8366" xr:uid="{00000000-0005-0000-0000-000031770000}"/>
    <cellStyle name="Normal 57 10 4 6 2" xfId="20756" xr:uid="{00000000-0005-0000-0000-000032770000}"/>
    <cellStyle name="Normal 57 10 4 6 2 2" xfId="46309" xr:uid="{00000000-0005-0000-0000-000033770000}"/>
    <cellStyle name="Normal 57 10 4 6 3" xfId="33923" xr:uid="{00000000-0005-0000-0000-000034770000}"/>
    <cellStyle name="Normal 57 10 4 7" xfId="16241" xr:uid="{00000000-0005-0000-0000-000035770000}"/>
    <cellStyle name="Normal 57 10 4 7 2" xfId="41794" xr:uid="{00000000-0005-0000-0000-000036770000}"/>
    <cellStyle name="Normal 57 10 4 8" xfId="27239" xr:uid="{00000000-0005-0000-0000-000037770000}"/>
    <cellStyle name="Normal 57 10 5" xfId="2770" xr:uid="{00000000-0005-0000-0000-000038770000}"/>
    <cellStyle name="Normal 57 10 5 2" xfId="12087" xr:uid="{00000000-0005-0000-0000-000039770000}"/>
    <cellStyle name="Normal 57 10 5 2 2" xfId="22131" xr:uid="{00000000-0005-0000-0000-00003A770000}"/>
    <cellStyle name="Normal 57 10 5 2 2 2" xfId="47684" xr:uid="{00000000-0005-0000-0000-00003B770000}"/>
    <cellStyle name="Normal 57 10 5 2 3" xfId="37642" xr:uid="{00000000-0005-0000-0000-00003C770000}"/>
    <cellStyle name="Normal 57 10 5 3" xfId="8429" xr:uid="{00000000-0005-0000-0000-00003D770000}"/>
    <cellStyle name="Normal 57 10 5 3 2" xfId="33986" xr:uid="{00000000-0005-0000-0000-00003E770000}"/>
    <cellStyle name="Normal 57 10 5 4" xfId="17124" xr:uid="{00000000-0005-0000-0000-00003F770000}"/>
    <cellStyle name="Normal 57 10 5 4 2" xfId="42677" xr:uid="{00000000-0005-0000-0000-000040770000}"/>
    <cellStyle name="Normal 57 10 5 5" xfId="28614" xr:uid="{00000000-0005-0000-0000-000041770000}"/>
    <cellStyle name="Normal 57 10 6" xfId="4421" xr:uid="{00000000-0005-0000-0000-000042770000}"/>
    <cellStyle name="Normal 57 10 6 2" xfId="13259" xr:uid="{00000000-0005-0000-0000-000043770000}"/>
    <cellStyle name="Normal 57 10 6 2 2" xfId="23510" xr:uid="{00000000-0005-0000-0000-000044770000}"/>
    <cellStyle name="Normal 57 10 6 2 2 2" xfId="49063" xr:uid="{00000000-0005-0000-0000-000045770000}"/>
    <cellStyle name="Normal 57 10 6 2 3" xfId="38814" xr:uid="{00000000-0005-0000-0000-000046770000}"/>
    <cellStyle name="Normal 57 10 6 3" xfId="9680" xr:uid="{00000000-0005-0000-0000-000047770000}"/>
    <cellStyle name="Normal 57 10 6 3 2" xfId="35237" xr:uid="{00000000-0005-0000-0000-000048770000}"/>
    <cellStyle name="Normal 57 10 6 4" xfId="18503" xr:uid="{00000000-0005-0000-0000-000049770000}"/>
    <cellStyle name="Normal 57 10 6 4 2" xfId="44056" xr:uid="{00000000-0005-0000-0000-00004A770000}"/>
    <cellStyle name="Normal 57 10 6 5" xfId="29993" xr:uid="{00000000-0005-0000-0000-00004B770000}"/>
    <cellStyle name="Normal 57 10 7" xfId="1693" xr:uid="{00000000-0005-0000-0000-00004C770000}"/>
    <cellStyle name="Normal 57 10 7 2" xfId="11070" xr:uid="{00000000-0005-0000-0000-00004D770000}"/>
    <cellStyle name="Normal 57 10 7 2 2" xfId="36625" xr:uid="{00000000-0005-0000-0000-00004E770000}"/>
    <cellStyle name="Normal 57 10 7 3" xfId="21074" xr:uid="{00000000-0005-0000-0000-00004F770000}"/>
    <cellStyle name="Normal 57 10 7 3 2" xfId="46627" xr:uid="{00000000-0005-0000-0000-000050770000}"/>
    <cellStyle name="Normal 57 10 7 4" xfId="27557" xr:uid="{00000000-0005-0000-0000-000051770000}"/>
    <cellStyle name="Normal 57 10 8" xfId="5877" xr:uid="{00000000-0005-0000-0000-000052770000}"/>
    <cellStyle name="Normal 57 10 8 2" xfId="14704" xr:uid="{00000000-0005-0000-0000-000053770000}"/>
    <cellStyle name="Normal 57 10 8 2 2" xfId="40259" xr:uid="{00000000-0005-0000-0000-000054770000}"/>
    <cellStyle name="Normal 57 10 8 3" xfId="24955" xr:uid="{00000000-0005-0000-0000-000055770000}"/>
    <cellStyle name="Normal 57 10 8 3 2" xfId="50508" xr:uid="{00000000-0005-0000-0000-000056770000}"/>
    <cellStyle name="Normal 57 10 8 4" xfId="31438" xr:uid="{00000000-0005-0000-0000-000057770000}"/>
    <cellStyle name="Normal 57 10 9" xfId="7321" xr:uid="{00000000-0005-0000-0000-000058770000}"/>
    <cellStyle name="Normal 57 10 9 2" xfId="19730" xr:uid="{00000000-0005-0000-0000-000059770000}"/>
    <cellStyle name="Normal 57 10 9 2 2" xfId="45283" xr:uid="{00000000-0005-0000-0000-00005A770000}"/>
    <cellStyle name="Normal 57 10 9 3" xfId="32878" xr:uid="{00000000-0005-0000-0000-00005B770000}"/>
    <cellStyle name="Normal 57 10_Degree data" xfId="3932" xr:uid="{00000000-0005-0000-0000-00005C770000}"/>
    <cellStyle name="Normal 57 11" xfId="440" xr:uid="{00000000-0005-0000-0000-00005D770000}"/>
    <cellStyle name="Normal 57 11 10" xfId="26369" xr:uid="{00000000-0005-0000-0000-00005E770000}"/>
    <cellStyle name="Normal 57 11 2" xfId="827" xr:uid="{00000000-0005-0000-0000-00005F770000}"/>
    <cellStyle name="Normal 57 11 2 2" xfId="3312" xr:uid="{00000000-0005-0000-0000-000060770000}"/>
    <cellStyle name="Normal 57 11 2 2 2" xfId="12454" xr:uid="{00000000-0005-0000-0000-000061770000}"/>
    <cellStyle name="Normal 57 11 2 2 2 2" xfId="22673" xr:uid="{00000000-0005-0000-0000-000062770000}"/>
    <cellStyle name="Normal 57 11 2 2 2 2 2" xfId="48226" xr:uid="{00000000-0005-0000-0000-000063770000}"/>
    <cellStyle name="Normal 57 11 2 2 2 3" xfId="38009" xr:uid="{00000000-0005-0000-0000-000064770000}"/>
    <cellStyle name="Normal 57 11 2 2 3" xfId="8876" xr:uid="{00000000-0005-0000-0000-000065770000}"/>
    <cellStyle name="Normal 57 11 2 2 3 2" xfId="34433" xr:uid="{00000000-0005-0000-0000-000066770000}"/>
    <cellStyle name="Normal 57 11 2 2 4" xfId="17666" xr:uid="{00000000-0005-0000-0000-000067770000}"/>
    <cellStyle name="Normal 57 11 2 2 4 2" xfId="43219" xr:uid="{00000000-0005-0000-0000-000068770000}"/>
    <cellStyle name="Normal 57 11 2 2 5" xfId="29156" xr:uid="{00000000-0005-0000-0000-000069770000}"/>
    <cellStyle name="Normal 57 11 2 3" xfId="4641" xr:uid="{00000000-0005-0000-0000-00006A770000}"/>
    <cellStyle name="Normal 57 11 2 3 2" xfId="13479" xr:uid="{00000000-0005-0000-0000-00006B770000}"/>
    <cellStyle name="Normal 57 11 2 3 2 2" xfId="23730" xr:uid="{00000000-0005-0000-0000-00006C770000}"/>
    <cellStyle name="Normal 57 11 2 3 2 2 2" xfId="49283" xr:uid="{00000000-0005-0000-0000-00006D770000}"/>
    <cellStyle name="Normal 57 11 2 3 2 3" xfId="39034" xr:uid="{00000000-0005-0000-0000-00006E770000}"/>
    <cellStyle name="Normal 57 11 2 3 3" xfId="9900" xr:uid="{00000000-0005-0000-0000-00006F770000}"/>
    <cellStyle name="Normal 57 11 2 3 3 2" xfId="35457" xr:uid="{00000000-0005-0000-0000-000070770000}"/>
    <cellStyle name="Normal 57 11 2 3 4" xfId="18723" xr:uid="{00000000-0005-0000-0000-000071770000}"/>
    <cellStyle name="Normal 57 11 2 3 4 2" xfId="44276" xr:uid="{00000000-0005-0000-0000-000072770000}"/>
    <cellStyle name="Normal 57 11 2 3 5" xfId="30213" xr:uid="{00000000-0005-0000-0000-000073770000}"/>
    <cellStyle name="Normal 57 11 2 4" xfId="2421" xr:uid="{00000000-0005-0000-0000-000074770000}"/>
    <cellStyle name="Normal 57 11 2 4 2" xfId="11786" xr:uid="{00000000-0005-0000-0000-000075770000}"/>
    <cellStyle name="Normal 57 11 2 4 2 2" xfId="37341" xr:uid="{00000000-0005-0000-0000-000076770000}"/>
    <cellStyle name="Normal 57 11 2 4 3" xfId="21790" xr:uid="{00000000-0005-0000-0000-000077770000}"/>
    <cellStyle name="Normal 57 11 2 4 3 2" xfId="47343" xr:uid="{00000000-0005-0000-0000-000078770000}"/>
    <cellStyle name="Normal 57 11 2 4 4" xfId="28273" xr:uid="{00000000-0005-0000-0000-000079770000}"/>
    <cellStyle name="Normal 57 11 2 5" xfId="6097" xr:uid="{00000000-0005-0000-0000-00007A770000}"/>
    <cellStyle name="Normal 57 11 2 5 2" xfId="14924" xr:uid="{00000000-0005-0000-0000-00007B770000}"/>
    <cellStyle name="Normal 57 11 2 5 2 2" xfId="40479" xr:uid="{00000000-0005-0000-0000-00007C770000}"/>
    <cellStyle name="Normal 57 11 2 5 3" xfId="25175" xr:uid="{00000000-0005-0000-0000-00007D770000}"/>
    <cellStyle name="Normal 57 11 2 5 3 2" xfId="50728" xr:uid="{00000000-0005-0000-0000-00007E770000}"/>
    <cellStyle name="Normal 57 11 2 5 4" xfId="31658" xr:uid="{00000000-0005-0000-0000-00007F770000}"/>
    <cellStyle name="Normal 57 11 2 6" xfId="7542" xr:uid="{00000000-0005-0000-0000-000080770000}"/>
    <cellStyle name="Normal 57 11 2 6 2" xfId="20272" xr:uid="{00000000-0005-0000-0000-000081770000}"/>
    <cellStyle name="Normal 57 11 2 6 2 2" xfId="45825" xr:uid="{00000000-0005-0000-0000-000082770000}"/>
    <cellStyle name="Normal 57 11 2 6 3" xfId="33099" xr:uid="{00000000-0005-0000-0000-000083770000}"/>
    <cellStyle name="Normal 57 11 2 7" xfId="16783" xr:uid="{00000000-0005-0000-0000-000084770000}"/>
    <cellStyle name="Normal 57 11 2 7 2" xfId="42336" xr:uid="{00000000-0005-0000-0000-000085770000}"/>
    <cellStyle name="Normal 57 11 2 8" xfId="26755" xr:uid="{00000000-0005-0000-0000-000086770000}"/>
    <cellStyle name="Normal 57 11 3" xfId="1212" xr:uid="{00000000-0005-0000-0000-000087770000}"/>
    <cellStyle name="Normal 57 11 3 2" xfId="3641" xr:uid="{00000000-0005-0000-0000-000088770000}"/>
    <cellStyle name="Normal 57 11 3 2 2" xfId="12777" xr:uid="{00000000-0005-0000-0000-000089770000}"/>
    <cellStyle name="Normal 57 11 3 2 2 2" xfId="22996" xr:uid="{00000000-0005-0000-0000-00008A770000}"/>
    <cellStyle name="Normal 57 11 3 2 2 2 2" xfId="48549" xr:uid="{00000000-0005-0000-0000-00008B770000}"/>
    <cellStyle name="Normal 57 11 3 2 2 3" xfId="38332" xr:uid="{00000000-0005-0000-0000-00008C770000}"/>
    <cellStyle name="Normal 57 11 3 2 3" xfId="9198" xr:uid="{00000000-0005-0000-0000-00008D770000}"/>
    <cellStyle name="Normal 57 11 3 2 3 2" xfId="34755" xr:uid="{00000000-0005-0000-0000-00008E770000}"/>
    <cellStyle name="Normal 57 11 3 2 4" xfId="17989" xr:uid="{00000000-0005-0000-0000-00008F770000}"/>
    <cellStyle name="Normal 57 11 3 2 4 2" xfId="43542" xr:uid="{00000000-0005-0000-0000-000090770000}"/>
    <cellStyle name="Normal 57 11 3 2 5" xfId="29479" xr:uid="{00000000-0005-0000-0000-000091770000}"/>
    <cellStyle name="Normal 57 11 3 3" xfId="4990" xr:uid="{00000000-0005-0000-0000-000092770000}"/>
    <cellStyle name="Normal 57 11 3 3 2" xfId="13827" xr:uid="{00000000-0005-0000-0000-000093770000}"/>
    <cellStyle name="Normal 57 11 3 3 2 2" xfId="24078" xr:uid="{00000000-0005-0000-0000-000094770000}"/>
    <cellStyle name="Normal 57 11 3 3 2 2 2" xfId="49631" xr:uid="{00000000-0005-0000-0000-000095770000}"/>
    <cellStyle name="Normal 57 11 3 3 2 3" xfId="39382" xr:uid="{00000000-0005-0000-0000-000096770000}"/>
    <cellStyle name="Normal 57 11 3 3 3" xfId="10248" xr:uid="{00000000-0005-0000-0000-000097770000}"/>
    <cellStyle name="Normal 57 11 3 3 3 2" xfId="35805" xr:uid="{00000000-0005-0000-0000-000098770000}"/>
    <cellStyle name="Normal 57 11 3 3 4" xfId="19071" xr:uid="{00000000-0005-0000-0000-000099770000}"/>
    <cellStyle name="Normal 57 11 3 3 4 2" xfId="44624" xr:uid="{00000000-0005-0000-0000-00009A770000}"/>
    <cellStyle name="Normal 57 11 3 3 5" xfId="30561" xr:uid="{00000000-0005-0000-0000-00009B770000}"/>
    <cellStyle name="Normal 57 11 3 4" xfId="2035" xr:uid="{00000000-0005-0000-0000-00009C770000}"/>
    <cellStyle name="Normal 57 11 3 4 2" xfId="11400" xr:uid="{00000000-0005-0000-0000-00009D770000}"/>
    <cellStyle name="Normal 57 11 3 4 2 2" xfId="36955" xr:uid="{00000000-0005-0000-0000-00009E770000}"/>
    <cellStyle name="Normal 57 11 3 4 3" xfId="21404" xr:uid="{00000000-0005-0000-0000-00009F770000}"/>
    <cellStyle name="Normal 57 11 3 4 3 2" xfId="46957" xr:uid="{00000000-0005-0000-0000-0000A0770000}"/>
    <cellStyle name="Normal 57 11 3 4 4" xfId="27887" xr:uid="{00000000-0005-0000-0000-0000A1770000}"/>
    <cellStyle name="Normal 57 11 3 5" xfId="6445" xr:uid="{00000000-0005-0000-0000-0000A2770000}"/>
    <cellStyle name="Normal 57 11 3 5 2" xfId="15272" xr:uid="{00000000-0005-0000-0000-0000A3770000}"/>
    <cellStyle name="Normal 57 11 3 5 2 2" xfId="40827" xr:uid="{00000000-0005-0000-0000-0000A4770000}"/>
    <cellStyle name="Normal 57 11 3 5 3" xfId="25523" xr:uid="{00000000-0005-0000-0000-0000A5770000}"/>
    <cellStyle name="Normal 57 11 3 5 3 2" xfId="51076" xr:uid="{00000000-0005-0000-0000-0000A6770000}"/>
    <cellStyle name="Normal 57 11 3 5 4" xfId="32006" xr:uid="{00000000-0005-0000-0000-0000A7770000}"/>
    <cellStyle name="Normal 57 11 3 6" xfId="7891" xr:uid="{00000000-0005-0000-0000-0000A8770000}"/>
    <cellStyle name="Normal 57 11 3 6 2" xfId="20595" xr:uid="{00000000-0005-0000-0000-0000A9770000}"/>
    <cellStyle name="Normal 57 11 3 6 2 2" xfId="46148" xr:uid="{00000000-0005-0000-0000-0000AA770000}"/>
    <cellStyle name="Normal 57 11 3 6 3" xfId="33448" xr:uid="{00000000-0005-0000-0000-0000AB770000}"/>
    <cellStyle name="Normal 57 11 3 7" xfId="16397" xr:uid="{00000000-0005-0000-0000-0000AC770000}"/>
    <cellStyle name="Normal 57 11 3 7 2" xfId="41950" xr:uid="{00000000-0005-0000-0000-0000AD770000}"/>
    <cellStyle name="Normal 57 11 3 8" xfId="27078" xr:uid="{00000000-0005-0000-0000-0000AE770000}"/>
    <cellStyle name="Normal 57 11 4" xfId="2926" xr:uid="{00000000-0005-0000-0000-0000AF770000}"/>
    <cellStyle name="Normal 57 11 4 2" xfId="5304" xr:uid="{00000000-0005-0000-0000-0000B0770000}"/>
    <cellStyle name="Normal 57 11 4 2 2" xfId="14141" xr:uid="{00000000-0005-0000-0000-0000B1770000}"/>
    <cellStyle name="Normal 57 11 4 2 2 2" xfId="24392" xr:uid="{00000000-0005-0000-0000-0000B2770000}"/>
    <cellStyle name="Normal 57 11 4 2 2 2 2" xfId="49945" xr:uid="{00000000-0005-0000-0000-0000B3770000}"/>
    <cellStyle name="Normal 57 11 4 2 2 3" xfId="39696" xr:uid="{00000000-0005-0000-0000-0000B4770000}"/>
    <cellStyle name="Normal 57 11 4 2 3" xfId="10562" xr:uid="{00000000-0005-0000-0000-0000B5770000}"/>
    <cellStyle name="Normal 57 11 4 2 3 2" xfId="36119" xr:uid="{00000000-0005-0000-0000-0000B6770000}"/>
    <cellStyle name="Normal 57 11 4 2 4" xfId="19385" xr:uid="{00000000-0005-0000-0000-0000B7770000}"/>
    <cellStyle name="Normal 57 11 4 2 4 2" xfId="44938" xr:uid="{00000000-0005-0000-0000-0000B8770000}"/>
    <cellStyle name="Normal 57 11 4 2 5" xfId="30875" xr:uid="{00000000-0005-0000-0000-0000B9770000}"/>
    <cellStyle name="Normal 57 11 4 3" xfId="6759" xr:uid="{00000000-0005-0000-0000-0000BA770000}"/>
    <cellStyle name="Normal 57 11 4 3 2" xfId="15586" xr:uid="{00000000-0005-0000-0000-0000BB770000}"/>
    <cellStyle name="Normal 57 11 4 3 2 2" xfId="41141" xr:uid="{00000000-0005-0000-0000-0000BC770000}"/>
    <cellStyle name="Normal 57 11 4 3 3" xfId="25837" xr:uid="{00000000-0005-0000-0000-0000BD770000}"/>
    <cellStyle name="Normal 57 11 4 3 3 2" xfId="51390" xr:uid="{00000000-0005-0000-0000-0000BE770000}"/>
    <cellStyle name="Normal 57 11 4 3 4" xfId="32320" xr:uid="{00000000-0005-0000-0000-0000BF770000}"/>
    <cellStyle name="Normal 57 11 4 4" xfId="8205" xr:uid="{00000000-0005-0000-0000-0000C0770000}"/>
    <cellStyle name="Normal 57 11 4 4 2" xfId="22287" xr:uid="{00000000-0005-0000-0000-0000C1770000}"/>
    <cellStyle name="Normal 57 11 4 4 2 2" xfId="47840" xr:uid="{00000000-0005-0000-0000-0000C2770000}"/>
    <cellStyle name="Normal 57 11 4 4 3" xfId="33762" xr:uid="{00000000-0005-0000-0000-0000C3770000}"/>
    <cellStyle name="Normal 57 11 4 5" xfId="17280" xr:uid="{00000000-0005-0000-0000-0000C4770000}"/>
    <cellStyle name="Normal 57 11 4 5 2" xfId="42833" xr:uid="{00000000-0005-0000-0000-0000C5770000}"/>
    <cellStyle name="Normal 57 11 4 6" xfId="28770" xr:uid="{00000000-0005-0000-0000-0000C6770000}"/>
    <cellStyle name="Normal 57 11 5" xfId="4260" xr:uid="{00000000-0005-0000-0000-0000C7770000}"/>
    <cellStyle name="Normal 57 11 5 2" xfId="13098" xr:uid="{00000000-0005-0000-0000-0000C8770000}"/>
    <cellStyle name="Normal 57 11 5 2 2" xfId="23349" xr:uid="{00000000-0005-0000-0000-0000C9770000}"/>
    <cellStyle name="Normal 57 11 5 2 2 2" xfId="48902" xr:uid="{00000000-0005-0000-0000-0000CA770000}"/>
    <cellStyle name="Normal 57 11 5 2 3" xfId="38653" xr:uid="{00000000-0005-0000-0000-0000CB770000}"/>
    <cellStyle name="Normal 57 11 5 3" xfId="9519" xr:uid="{00000000-0005-0000-0000-0000CC770000}"/>
    <cellStyle name="Normal 57 11 5 3 2" xfId="35076" xr:uid="{00000000-0005-0000-0000-0000CD770000}"/>
    <cellStyle name="Normal 57 11 5 4" xfId="18342" xr:uid="{00000000-0005-0000-0000-0000CE770000}"/>
    <cellStyle name="Normal 57 11 5 4 2" xfId="43895" xr:uid="{00000000-0005-0000-0000-0000CF770000}"/>
    <cellStyle name="Normal 57 11 5 5" xfId="29832" xr:uid="{00000000-0005-0000-0000-0000D0770000}"/>
    <cellStyle name="Normal 57 11 6" xfId="1532" xr:uid="{00000000-0005-0000-0000-0000D1770000}"/>
    <cellStyle name="Normal 57 11 6 2" xfId="10909" xr:uid="{00000000-0005-0000-0000-0000D2770000}"/>
    <cellStyle name="Normal 57 11 6 2 2" xfId="36464" xr:uid="{00000000-0005-0000-0000-0000D3770000}"/>
    <cellStyle name="Normal 57 11 6 3" xfId="20913" xr:uid="{00000000-0005-0000-0000-0000D4770000}"/>
    <cellStyle name="Normal 57 11 6 3 2" xfId="46466" xr:uid="{00000000-0005-0000-0000-0000D5770000}"/>
    <cellStyle name="Normal 57 11 6 4" xfId="27396" xr:uid="{00000000-0005-0000-0000-0000D6770000}"/>
    <cellStyle name="Normal 57 11 7" xfId="5716" xr:uid="{00000000-0005-0000-0000-0000D7770000}"/>
    <cellStyle name="Normal 57 11 7 2" xfId="14543" xr:uid="{00000000-0005-0000-0000-0000D8770000}"/>
    <cellStyle name="Normal 57 11 7 2 2" xfId="40098" xr:uid="{00000000-0005-0000-0000-0000D9770000}"/>
    <cellStyle name="Normal 57 11 7 3" xfId="24794" xr:uid="{00000000-0005-0000-0000-0000DA770000}"/>
    <cellStyle name="Normal 57 11 7 3 2" xfId="50347" xr:uid="{00000000-0005-0000-0000-0000DB770000}"/>
    <cellStyle name="Normal 57 11 7 4" xfId="31277" xr:uid="{00000000-0005-0000-0000-0000DC770000}"/>
    <cellStyle name="Normal 57 11 8" xfId="7160" xr:uid="{00000000-0005-0000-0000-0000DD770000}"/>
    <cellStyle name="Normal 57 11 8 2" xfId="19886" xr:uid="{00000000-0005-0000-0000-0000DE770000}"/>
    <cellStyle name="Normal 57 11 8 2 2" xfId="45439" xr:uid="{00000000-0005-0000-0000-0000DF770000}"/>
    <cellStyle name="Normal 57 11 8 3" xfId="32717" xr:uid="{00000000-0005-0000-0000-0000E0770000}"/>
    <cellStyle name="Normal 57 11 9" xfId="15906" xr:uid="{00000000-0005-0000-0000-0000E1770000}"/>
    <cellStyle name="Normal 57 11 9 2" xfId="41459" xr:uid="{00000000-0005-0000-0000-0000E2770000}"/>
    <cellStyle name="Normal 57 11_Degree data" xfId="3933" xr:uid="{00000000-0005-0000-0000-0000E3770000}"/>
    <cellStyle name="Normal 57 12" xfId="295" xr:uid="{00000000-0005-0000-0000-0000E4770000}"/>
    <cellStyle name="Normal 57 12 10" xfId="26224" xr:uid="{00000000-0005-0000-0000-0000E5770000}"/>
    <cellStyle name="Normal 57 12 2" xfId="828" xr:uid="{00000000-0005-0000-0000-0000E6770000}"/>
    <cellStyle name="Normal 57 12 2 2" xfId="3313" xr:uid="{00000000-0005-0000-0000-0000E7770000}"/>
    <cellStyle name="Normal 57 12 2 2 2" xfId="12455" xr:uid="{00000000-0005-0000-0000-0000E8770000}"/>
    <cellStyle name="Normal 57 12 2 2 2 2" xfId="22674" xr:uid="{00000000-0005-0000-0000-0000E9770000}"/>
    <cellStyle name="Normal 57 12 2 2 2 2 2" xfId="48227" xr:uid="{00000000-0005-0000-0000-0000EA770000}"/>
    <cellStyle name="Normal 57 12 2 2 2 3" xfId="38010" xr:uid="{00000000-0005-0000-0000-0000EB770000}"/>
    <cellStyle name="Normal 57 12 2 2 3" xfId="8877" xr:uid="{00000000-0005-0000-0000-0000EC770000}"/>
    <cellStyle name="Normal 57 12 2 2 3 2" xfId="34434" xr:uid="{00000000-0005-0000-0000-0000ED770000}"/>
    <cellStyle name="Normal 57 12 2 2 4" xfId="17667" xr:uid="{00000000-0005-0000-0000-0000EE770000}"/>
    <cellStyle name="Normal 57 12 2 2 4 2" xfId="43220" xr:uid="{00000000-0005-0000-0000-0000EF770000}"/>
    <cellStyle name="Normal 57 12 2 2 5" xfId="29157" xr:uid="{00000000-0005-0000-0000-0000F0770000}"/>
    <cellStyle name="Normal 57 12 2 3" xfId="4642" xr:uid="{00000000-0005-0000-0000-0000F1770000}"/>
    <cellStyle name="Normal 57 12 2 3 2" xfId="13480" xr:uid="{00000000-0005-0000-0000-0000F2770000}"/>
    <cellStyle name="Normal 57 12 2 3 2 2" xfId="23731" xr:uid="{00000000-0005-0000-0000-0000F3770000}"/>
    <cellStyle name="Normal 57 12 2 3 2 2 2" xfId="49284" xr:uid="{00000000-0005-0000-0000-0000F4770000}"/>
    <cellStyle name="Normal 57 12 2 3 2 3" xfId="39035" xr:uid="{00000000-0005-0000-0000-0000F5770000}"/>
    <cellStyle name="Normal 57 12 2 3 3" xfId="9901" xr:uid="{00000000-0005-0000-0000-0000F6770000}"/>
    <cellStyle name="Normal 57 12 2 3 3 2" xfId="35458" xr:uid="{00000000-0005-0000-0000-0000F7770000}"/>
    <cellStyle name="Normal 57 12 2 3 4" xfId="18724" xr:uid="{00000000-0005-0000-0000-0000F8770000}"/>
    <cellStyle name="Normal 57 12 2 3 4 2" xfId="44277" xr:uid="{00000000-0005-0000-0000-0000F9770000}"/>
    <cellStyle name="Normal 57 12 2 3 5" xfId="30214" xr:uid="{00000000-0005-0000-0000-0000FA770000}"/>
    <cellStyle name="Normal 57 12 2 4" xfId="2422" xr:uid="{00000000-0005-0000-0000-0000FB770000}"/>
    <cellStyle name="Normal 57 12 2 4 2" xfId="11787" xr:uid="{00000000-0005-0000-0000-0000FC770000}"/>
    <cellStyle name="Normal 57 12 2 4 2 2" xfId="37342" xr:uid="{00000000-0005-0000-0000-0000FD770000}"/>
    <cellStyle name="Normal 57 12 2 4 3" xfId="21791" xr:uid="{00000000-0005-0000-0000-0000FE770000}"/>
    <cellStyle name="Normal 57 12 2 4 3 2" xfId="47344" xr:uid="{00000000-0005-0000-0000-0000FF770000}"/>
    <cellStyle name="Normal 57 12 2 4 4" xfId="28274" xr:uid="{00000000-0005-0000-0000-000000780000}"/>
    <cellStyle name="Normal 57 12 2 5" xfId="6098" xr:uid="{00000000-0005-0000-0000-000001780000}"/>
    <cellStyle name="Normal 57 12 2 5 2" xfId="14925" xr:uid="{00000000-0005-0000-0000-000002780000}"/>
    <cellStyle name="Normal 57 12 2 5 2 2" xfId="40480" xr:uid="{00000000-0005-0000-0000-000003780000}"/>
    <cellStyle name="Normal 57 12 2 5 3" xfId="25176" xr:uid="{00000000-0005-0000-0000-000004780000}"/>
    <cellStyle name="Normal 57 12 2 5 3 2" xfId="50729" xr:uid="{00000000-0005-0000-0000-000005780000}"/>
    <cellStyle name="Normal 57 12 2 5 4" xfId="31659" xr:uid="{00000000-0005-0000-0000-000006780000}"/>
    <cellStyle name="Normal 57 12 2 6" xfId="7543" xr:uid="{00000000-0005-0000-0000-000007780000}"/>
    <cellStyle name="Normal 57 12 2 6 2" xfId="20273" xr:uid="{00000000-0005-0000-0000-000008780000}"/>
    <cellStyle name="Normal 57 12 2 6 2 2" xfId="45826" xr:uid="{00000000-0005-0000-0000-000009780000}"/>
    <cellStyle name="Normal 57 12 2 6 3" xfId="33100" xr:uid="{00000000-0005-0000-0000-00000A780000}"/>
    <cellStyle name="Normal 57 12 2 7" xfId="16784" xr:uid="{00000000-0005-0000-0000-00000B780000}"/>
    <cellStyle name="Normal 57 12 2 7 2" xfId="42337" xr:uid="{00000000-0005-0000-0000-00000C780000}"/>
    <cellStyle name="Normal 57 12 2 8" xfId="26756" xr:uid="{00000000-0005-0000-0000-00000D780000}"/>
    <cellStyle name="Normal 57 12 3" xfId="1067" xr:uid="{00000000-0005-0000-0000-00000E780000}"/>
    <cellStyle name="Normal 57 12 3 2" xfId="3496" xr:uid="{00000000-0005-0000-0000-00000F780000}"/>
    <cellStyle name="Normal 57 12 3 2 2" xfId="12632" xr:uid="{00000000-0005-0000-0000-000010780000}"/>
    <cellStyle name="Normal 57 12 3 2 2 2" xfId="22851" xr:uid="{00000000-0005-0000-0000-000011780000}"/>
    <cellStyle name="Normal 57 12 3 2 2 2 2" xfId="48404" xr:uid="{00000000-0005-0000-0000-000012780000}"/>
    <cellStyle name="Normal 57 12 3 2 2 3" xfId="38187" xr:uid="{00000000-0005-0000-0000-000013780000}"/>
    <cellStyle name="Normal 57 12 3 2 3" xfId="9054" xr:uid="{00000000-0005-0000-0000-000014780000}"/>
    <cellStyle name="Normal 57 12 3 2 3 2" xfId="34611" xr:uid="{00000000-0005-0000-0000-000015780000}"/>
    <cellStyle name="Normal 57 12 3 2 4" xfId="17844" xr:uid="{00000000-0005-0000-0000-000016780000}"/>
    <cellStyle name="Normal 57 12 3 2 4 2" xfId="43397" xr:uid="{00000000-0005-0000-0000-000017780000}"/>
    <cellStyle name="Normal 57 12 3 2 5" xfId="29334" xr:uid="{00000000-0005-0000-0000-000018780000}"/>
    <cellStyle name="Normal 57 12 3 3" xfId="4991" xr:uid="{00000000-0005-0000-0000-000019780000}"/>
    <cellStyle name="Normal 57 12 3 3 2" xfId="13828" xr:uid="{00000000-0005-0000-0000-00001A780000}"/>
    <cellStyle name="Normal 57 12 3 3 2 2" xfId="24079" xr:uid="{00000000-0005-0000-0000-00001B780000}"/>
    <cellStyle name="Normal 57 12 3 3 2 2 2" xfId="49632" xr:uid="{00000000-0005-0000-0000-00001C780000}"/>
    <cellStyle name="Normal 57 12 3 3 2 3" xfId="39383" xr:uid="{00000000-0005-0000-0000-00001D780000}"/>
    <cellStyle name="Normal 57 12 3 3 3" xfId="10249" xr:uid="{00000000-0005-0000-0000-00001E780000}"/>
    <cellStyle name="Normal 57 12 3 3 3 2" xfId="35806" xr:uid="{00000000-0005-0000-0000-00001F780000}"/>
    <cellStyle name="Normal 57 12 3 3 4" xfId="19072" xr:uid="{00000000-0005-0000-0000-000020780000}"/>
    <cellStyle name="Normal 57 12 3 3 4 2" xfId="44625" xr:uid="{00000000-0005-0000-0000-000021780000}"/>
    <cellStyle name="Normal 57 12 3 3 5" xfId="30562" xr:uid="{00000000-0005-0000-0000-000022780000}"/>
    <cellStyle name="Normal 57 12 3 4" xfId="2574" xr:uid="{00000000-0005-0000-0000-000023780000}"/>
    <cellStyle name="Normal 57 12 3 4 2" xfId="11938" xr:uid="{00000000-0005-0000-0000-000024780000}"/>
    <cellStyle name="Normal 57 12 3 4 2 2" xfId="37493" xr:uid="{00000000-0005-0000-0000-000025780000}"/>
    <cellStyle name="Normal 57 12 3 4 3" xfId="21942" xr:uid="{00000000-0005-0000-0000-000026780000}"/>
    <cellStyle name="Normal 57 12 3 4 3 2" xfId="47495" xr:uid="{00000000-0005-0000-0000-000027780000}"/>
    <cellStyle name="Normal 57 12 3 4 4" xfId="28425" xr:uid="{00000000-0005-0000-0000-000028780000}"/>
    <cellStyle name="Normal 57 12 3 5" xfId="6446" xr:uid="{00000000-0005-0000-0000-000029780000}"/>
    <cellStyle name="Normal 57 12 3 5 2" xfId="15273" xr:uid="{00000000-0005-0000-0000-00002A780000}"/>
    <cellStyle name="Normal 57 12 3 5 2 2" xfId="40828" xr:uid="{00000000-0005-0000-0000-00002B780000}"/>
    <cellStyle name="Normal 57 12 3 5 3" xfId="25524" xr:uid="{00000000-0005-0000-0000-00002C780000}"/>
    <cellStyle name="Normal 57 12 3 5 3 2" xfId="51077" xr:uid="{00000000-0005-0000-0000-00002D780000}"/>
    <cellStyle name="Normal 57 12 3 5 4" xfId="32007" xr:uid="{00000000-0005-0000-0000-00002E780000}"/>
    <cellStyle name="Normal 57 12 3 6" xfId="7892" xr:uid="{00000000-0005-0000-0000-00002F780000}"/>
    <cellStyle name="Normal 57 12 3 6 2" xfId="20450" xr:uid="{00000000-0005-0000-0000-000030780000}"/>
    <cellStyle name="Normal 57 12 3 6 2 2" xfId="46003" xr:uid="{00000000-0005-0000-0000-000031780000}"/>
    <cellStyle name="Normal 57 12 3 6 3" xfId="33449" xr:uid="{00000000-0005-0000-0000-000032780000}"/>
    <cellStyle name="Normal 57 12 3 7" xfId="16935" xr:uid="{00000000-0005-0000-0000-000033780000}"/>
    <cellStyle name="Normal 57 12 3 7 2" xfId="42488" xr:uid="{00000000-0005-0000-0000-000034780000}"/>
    <cellStyle name="Normal 57 12 3 8" xfId="26933" xr:uid="{00000000-0005-0000-0000-000035780000}"/>
    <cellStyle name="Normal 57 12 4" xfId="2781" xr:uid="{00000000-0005-0000-0000-000036780000}"/>
    <cellStyle name="Normal 57 12 4 2" xfId="5159" xr:uid="{00000000-0005-0000-0000-000037780000}"/>
    <cellStyle name="Normal 57 12 4 2 2" xfId="13996" xr:uid="{00000000-0005-0000-0000-000038780000}"/>
    <cellStyle name="Normal 57 12 4 2 2 2" xfId="24247" xr:uid="{00000000-0005-0000-0000-000039780000}"/>
    <cellStyle name="Normal 57 12 4 2 2 2 2" xfId="49800" xr:uid="{00000000-0005-0000-0000-00003A780000}"/>
    <cellStyle name="Normal 57 12 4 2 2 3" xfId="39551" xr:uid="{00000000-0005-0000-0000-00003B780000}"/>
    <cellStyle name="Normal 57 12 4 2 3" xfId="10417" xr:uid="{00000000-0005-0000-0000-00003C780000}"/>
    <cellStyle name="Normal 57 12 4 2 3 2" xfId="35974" xr:uid="{00000000-0005-0000-0000-00003D780000}"/>
    <cellStyle name="Normal 57 12 4 2 4" xfId="19240" xr:uid="{00000000-0005-0000-0000-00003E780000}"/>
    <cellStyle name="Normal 57 12 4 2 4 2" xfId="44793" xr:uid="{00000000-0005-0000-0000-00003F780000}"/>
    <cellStyle name="Normal 57 12 4 2 5" xfId="30730" xr:uid="{00000000-0005-0000-0000-000040780000}"/>
    <cellStyle name="Normal 57 12 4 3" xfId="6614" xr:uid="{00000000-0005-0000-0000-000041780000}"/>
    <cellStyle name="Normal 57 12 4 3 2" xfId="15441" xr:uid="{00000000-0005-0000-0000-000042780000}"/>
    <cellStyle name="Normal 57 12 4 3 2 2" xfId="40996" xr:uid="{00000000-0005-0000-0000-000043780000}"/>
    <cellStyle name="Normal 57 12 4 3 3" xfId="25692" xr:uid="{00000000-0005-0000-0000-000044780000}"/>
    <cellStyle name="Normal 57 12 4 3 3 2" xfId="51245" xr:uid="{00000000-0005-0000-0000-000045780000}"/>
    <cellStyle name="Normal 57 12 4 3 4" xfId="32175" xr:uid="{00000000-0005-0000-0000-000046780000}"/>
    <cellStyle name="Normal 57 12 4 4" xfId="8060" xr:uid="{00000000-0005-0000-0000-000047780000}"/>
    <cellStyle name="Normal 57 12 4 4 2" xfId="22142" xr:uid="{00000000-0005-0000-0000-000048780000}"/>
    <cellStyle name="Normal 57 12 4 4 2 2" xfId="47695" xr:uid="{00000000-0005-0000-0000-000049780000}"/>
    <cellStyle name="Normal 57 12 4 4 3" xfId="33617" xr:uid="{00000000-0005-0000-0000-00004A780000}"/>
    <cellStyle name="Normal 57 12 4 5" xfId="17135" xr:uid="{00000000-0005-0000-0000-00004B780000}"/>
    <cellStyle name="Normal 57 12 4 5 2" xfId="42688" xr:uid="{00000000-0005-0000-0000-00004C780000}"/>
    <cellStyle name="Normal 57 12 4 6" xfId="28625" xr:uid="{00000000-0005-0000-0000-00004D780000}"/>
    <cellStyle name="Normal 57 12 5" xfId="4113" xr:uid="{00000000-0005-0000-0000-00004E780000}"/>
    <cellStyle name="Normal 57 12 5 2" xfId="12951" xr:uid="{00000000-0005-0000-0000-00004F780000}"/>
    <cellStyle name="Normal 57 12 5 2 2" xfId="23202" xr:uid="{00000000-0005-0000-0000-000050780000}"/>
    <cellStyle name="Normal 57 12 5 2 2 2" xfId="48755" xr:uid="{00000000-0005-0000-0000-000051780000}"/>
    <cellStyle name="Normal 57 12 5 2 3" xfId="38506" xr:uid="{00000000-0005-0000-0000-000052780000}"/>
    <cellStyle name="Normal 57 12 5 3" xfId="9372" xr:uid="{00000000-0005-0000-0000-000053780000}"/>
    <cellStyle name="Normal 57 12 5 3 2" xfId="34929" xr:uid="{00000000-0005-0000-0000-000054780000}"/>
    <cellStyle name="Normal 57 12 5 4" xfId="18195" xr:uid="{00000000-0005-0000-0000-000055780000}"/>
    <cellStyle name="Normal 57 12 5 4 2" xfId="43748" xr:uid="{00000000-0005-0000-0000-000056780000}"/>
    <cellStyle name="Normal 57 12 5 5" xfId="29685" xr:uid="{00000000-0005-0000-0000-000057780000}"/>
    <cellStyle name="Normal 57 12 6" xfId="1890" xr:uid="{00000000-0005-0000-0000-000058780000}"/>
    <cellStyle name="Normal 57 12 6 2" xfId="11255" xr:uid="{00000000-0005-0000-0000-000059780000}"/>
    <cellStyle name="Normal 57 12 6 2 2" xfId="36810" xr:uid="{00000000-0005-0000-0000-00005A780000}"/>
    <cellStyle name="Normal 57 12 6 3" xfId="21259" xr:uid="{00000000-0005-0000-0000-00005B780000}"/>
    <cellStyle name="Normal 57 12 6 3 2" xfId="46812" xr:uid="{00000000-0005-0000-0000-00005C780000}"/>
    <cellStyle name="Normal 57 12 6 4" xfId="27742" xr:uid="{00000000-0005-0000-0000-00005D780000}"/>
    <cellStyle name="Normal 57 12 7" xfId="5571" xr:uid="{00000000-0005-0000-0000-00005E780000}"/>
    <cellStyle name="Normal 57 12 7 2" xfId="14398" xr:uid="{00000000-0005-0000-0000-00005F780000}"/>
    <cellStyle name="Normal 57 12 7 2 2" xfId="39953" xr:uid="{00000000-0005-0000-0000-000060780000}"/>
    <cellStyle name="Normal 57 12 7 3" xfId="24649" xr:uid="{00000000-0005-0000-0000-000061780000}"/>
    <cellStyle name="Normal 57 12 7 3 2" xfId="50202" xr:uid="{00000000-0005-0000-0000-000062780000}"/>
    <cellStyle name="Normal 57 12 7 4" xfId="31132" xr:uid="{00000000-0005-0000-0000-000063780000}"/>
    <cellStyle name="Normal 57 12 8" xfId="7015" xr:uid="{00000000-0005-0000-0000-000064780000}"/>
    <cellStyle name="Normal 57 12 8 2" xfId="19741" xr:uid="{00000000-0005-0000-0000-000065780000}"/>
    <cellStyle name="Normal 57 12 8 2 2" xfId="45294" xr:uid="{00000000-0005-0000-0000-000066780000}"/>
    <cellStyle name="Normal 57 12 8 3" xfId="32572" xr:uid="{00000000-0005-0000-0000-000067780000}"/>
    <cellStyle name="Normal 57 12 9" xfId="16252" xr:uid="{00000000-0005-0000-0000-000068780000}"/>
    <cellStyle name="Normal 57 12 9 2" xfId="41805" xr:uid="{00000000-0005-0000-0000-000069780000}"/>
    <cellStyle name="Normal 57 12_Degree data" xfId="3934" xr:uid="{00000000-0005-0000-0000-00006A780000}"/>
    <cellStyle name="Normal 57 13" xfId="825" xr:uid="{00000000-0005-0000-0000-00006B780000}"/>
    <cellStyle name="Normal 57 13 2" xfId="3310" xr:uid="{00000000-0005-0000-0000-00006C780000}"/>
    <cellStyle name="Normal 57 13 2 2" xfId="12452" xr:uid="{00000000-0005-0000-0000-00006D780000}"/>
    <cellStyle name="Normal 57 13 2 2 2" xfId="22671" xr:uid="{00000000-0005-0000-0000-00006E780000}"/>
    <cellStyle name="Normal 57 13 2 2 2 2" xfId="48224" xr:uid="{00000000-0005-0000-0000-00006F780000}"/>
    <cellStyle name="Normal 57 13 2 2 3" xfId="38007" xr:uid="{00000000-0005-0000-0000-000070780000}"/>
    <cellStyle name="Normal 57 13 2 3" xfId="8874" xr:uid="{00000000-0005-0000-0000-000071780000}"/>
    <cellStyle name="Normal 57 13 2 3 2" xfId="34431" xr:uid="{00000000-0005-0000-0000-000072780000}"/>
    <cellStyle name="Normal 57 13 2 4" xfId="17664" xr:uid="{00000000-0005-0000-0000-000073780000}"/>
    <cellStyle name="Normal 57 13 2 4 2" xfId="43217" xr:uid="{00000000-0005-0000-0000-000074780000}"/>
    <cellStyle name="Normal 57 13 2 5" xfId="29154" xr:uid="{00000000-0005-0000-0000-000075780000}"/>
    <cellStyle name="Normal 57 13 3" xfId="4639" xr:uid="{00000000-0005-0000-0000-000076780000}"/>
    <cellStyle name="Normal 57 13 3 2" xfId="13477" xr:uid="{00000000-0005-0000-0000-000077780000}"/>
    <cellStyle name="Normal 57 13 3 2 2" xfId="23728" xr:uid="{00000000-0005-0000-0000-000078780000}"/>
    <cellStyle name="Normal 57 13 3 2 2 2" xfId="49281" xr:uid="{00000000-0005-0000-0000-000079780000}"/>
    <cellStyle name="Normal 57 13 3 2 3" xfId="39032" xr:uid="{00000000-0005-0000-0000-00007A780000}"/>
    <cellStyle name="Normal 57 13 3 3" xfId="9898" xr:uid="{00000000-0005-0000-0000-00007B780000}"/>
    <cellStyle name="Normal 57 13 3 3 2" xfId="35455" xr:uid="{00000000-0005-0000-0000-00007C780000}"/>
    <cellStyle name="Normal 57 13 3 4" xfId="18721" xr:uid="{00000000-0005-0000-0000-00007D780000}"/>
    <cellStyle name="Normal 57 13 3 4 2" xfId="44274" xr:uid="{00000000-0005-0000-0000-00007E780000}"/>
    <cellStyle name="Normal 57 13 3 5" xfId="30211" xr:uid="{00000000-0005-0000-0000-00007F780000}"/>
    <cellStyle name="Normal 57 13 4" xfId="2419" xr:uid="{00000000-0005-0000-0000-000080780000}"/>
    <cellStyle name="Normal 57 13 4 2" xfId="11784" xr:uid="{00000000-0005-0000-0000-000081780000}"/>
    <cellStyle name="Normal 57 13 4 2 2" xfId="37339" xr:uid="{00000000-0005-0000-0000-000082780000}"/>
    <cellStyle name="Normal 57 13 4 3" xfId="21788" xr:uid="{00000000-0005-0000-0000-000083780000}"/>
    <cellStyle name="Normal 57 13 4 3 2" xfId="47341" xr:uid="{00000000-0005-0000-0000-000084780000}"/>
    <cellStyle name="Normal 57 13 4 4" xfId="28271" xr:uid="{00000000-0005-0000-0000-000085780000}"/>
    <cellStyle name="Normal 57 13 5" xfId="6095" xr:uid="{00000000-0005-0000-0000-000086780000}"/>
    <cellStyle name="Normal 57 13 5 2" xfId="14922" xr:uid="{00000000-0005-0000-0000-000087780000}"/>
    <cellStyle name="Normal 57 13 5 2 2" xfId="40477" xr:uid="{00000000-0005-0000-0000-000088780000}"/>
    <cellStyle name="Normal 57 13 5 3" xfId="25173" xr:uid="{00000000-0005-0000-0000-000089780000}"/>
    <cellStyle name="Normal 57 13 5 3 2" xfId="50726" xr:uid="{00000000-0005-0000-0000-00008A780000}"/>
    <cellStyle name="Normal 57 13 5 4" xfId="31656" xr:uid="{00000000-0005-0000-0000-00008B780000}"/>
    <cellStyle name="Normal 57 13 6" xfId="7540" xr:uid="{00000000-0005-0000-0000-00008C780000}"/>
    <cellStyle name="Normal 57 13 6 2" xfId="20270" xr:uid="{00000000-0005-0000-0000-00008D780000}"/>
    <cellStyle name="Normal 57 13 6 2 2" xfId="45823" xr:uid="{00000000-0005-0000-0000-00008E780000}"/>
    <cellStyle name="Normal 57 13 6 3" xfId="33097" xr:uid="{00000000-0005-0000-0000-00008F780000}"/>
    <cellStyle name="Normal 57 13 7" xfId="16781" xr:uid="{00000000-0005-0000-0000-000090780000}"/>
    <cellStyle name="Normal 57 13 7 2" xfId="42334" xr:uid="{00000000-0005-0000-0000-000091780000}"/>
    <cellStyle name="Normal 57 13 8" xfId="26753" xr:uid="{00000000-0005-0000-0000-000092780000}"/>
    <cellStyle name="Normal 57 14" xfId="1037" xr:uid="{00000000-0005-0000-0000-000093780000}"/>
    <cellStyle name="Normal 57 14 2" xfId="3466" xr:uid="{00000000-0005-0000-0000-000094780000}"/>
    <cellStyle name="Normal 57 14 2 2" xfId="12602" xr:uid="{00000000-0005-0000-0000-000095780000}"/>
    <cellStyle name="Normal 57 14 2 2 2" xfId="22821" xr:uid="{00000000-0005-0000-0000-000096780000}"/>
    <cellStyle name="Normal 57 14 2 2 2 2" xfId="48374" xr:uid="{00000000-0005-0000-0000-000097780000}"/>
    <cellStyle name="Normal 57 14 2 2 3" xfId="38157" xr:uid="{00000000-0005-0000-0000-000098780000}"/>
    <cellStyle name="Normal 57 14 2 3" xfId="9024" xr:uid="{00000000-0005-0000-0000-000099780000}"/>
    <cellStyle name="Normal 57 14 2 3 2" xfId="34581" xr:uid="{00000000-0005-0000-0000-00009A780000}"/>
    <cellStyle name="Normal 57 14 2 4" xfId="17814" xr:uid="{00000000-0005-0000-0000-00009B780000}"/>
    <cellStyle name="Normal 57 14 2 4 2" xfId="43367" xr:uid="{00000000-0005-0000-0000-00009C780000}"/>
    <cellStyle name="Normal 57 14 2 5" xfId="29304" xr:uid="{00000000-0005-0000-0000-00009D780000}"/>
    <cellStyle name="Normal 57 14 3" xfId="4988" xr:uid="{00000000-0005-0000-0000-00009E780000}"/>
    <cellStyle name="Normal 57 14 3 2" xfId="13825" xr:uid="{00000000-0005-0000-0000-00009F780000}"/>
    <cellStyle name="Normal 57 14 3 2 2" xfId="24076" xr:uid="{00000000-0005-0000-0000-0000A0780000}"/>
    <cellStyle name="Normal 57 14 3 2 2 2" xfId="49629" xr:uid="{00000000-0005-0000-0000-0000A1780000}"/>
    <cellStyle name="Normal 57 14 3 2 3" xfId="39380" xr:uid="{00000000-0005-0000-0000-0000A2780000}"/>
    <cellStyle name="Normal 57 14 3 3" xfId="10246" xr:uid="{00000000-0005-0000-0000-0000A3780000}"/>
    <cellStyle name="Normal 57 14 3 3 2" xfId="35803" xr:uid="{00000000-0005-0000-0000-0000A4780000}"/>
    <cellStyle name="Normal 57 14 3 4" xfId="19069" xr:uid="{00000000-0005-0000-0000-0000A5780000}"/>
    <cellStyle name="Normal 57 14 3 4 2" xfId="44622" xr:uid="{00000000-0005-0000-0000-0000A6780000}"/>
    <cellStyle name="Normal 57 14 3 5" xfId="30559" xr:uid="{00000000-0005-0000-0000-0000A7780000}"/>
    <cellStyle name="Normal 57 14 4" xfId="1704" xr:uid="{00000000-0005-0000-0000-0000A8780000}"/>
    <cellStyle name="Normal 57 14 4 2" xfId="11081" xr:uid="{00000000-0005-0000-0000-0000A9780000}"/>
    <cellStyle name="Normal 57 14 4 2 2" xfId="36636" xr:uid="{00000000-0005-0000-0000-0000AA780000}"/>
    <cellStyle name="Normal 57 14 4 3" xfId="21085" xr:uid="{00000000-0005-0000-0000-0000AB780000}"/>
    <cellStyle name="Normal 57 14 4 3 2" xfId="46638" xr:uid="{00000000-0005-0000-0000-0000AC780000}"/>
    <cellStyle name="Normal 57 14 4 4" xfId="27568" xr:uid="{00000000-0005-0000-0000-0000AD780000}"/>
    <cellStyle name="Normal 57 14 5" xfId="6443" xr:uid="{00000000-0005-0000-0000-0000AE780000}"/>
    <cellStyle name="Normal 57 14 5 2" xfId="15270" xr:uid="{00000000-0005-0000-0000-0000AF780000}"/>
    <cellStyle name="Normal 57 14 5 2 2" xfId="40825" xr:uid="{00000000-0005-0000-0000-0000B0780000}"/>
    <cellStyle name="Normal 57 14 5 3" xfId="25521" xr:uid="{00000000-0005-0000-0000-0000B1780000}"/>
    <cellStyle name="Normal 57 14 5 3 2" xfId="51074" xr:uid="{00000000-0005-0000-0000-0000B2780000}"/>
    <cellStyle name="Normal 57 14 5 4" xfId="32004" xr:uid="{00000000-0005-0000-0000-0000B3780000}"/>
    <cellStyle name="Normal 57 14 6" xfId="7889" xr:uid="{00000000-0005-0000-0000-0000B4780000}"/>
    <cellStyle name="Normal 57 14 6 2" xfId="20420" xr:uid="{00000000-0005-0000-0000-0000B5780000}"/>
    <cellStyle name="Normal 57 14 6 2 2" xfId="45973" xr:uid="{00000000-0005-0000-0000-0000B6780000}"/>
    <cellStyle name="Normal 57 14 6 3" xfId="33446" xr:uid="{00000000-0005-0000-0000-0000B7780000}"/>
    <cellStyle name="Normal 57 14 7" xfId="16078" xr:uid="{00000000-0005-0000-0000-0000B8780000}"/>
    <cellStyle name="Normal 57 14 7 2" xfId="41631" xr:uid="{00000000-0005-0000-0000-0000B9780000}"/>
    <cellStyle name="Normal 57 14 8" xfId="26903" xr:uid="{00000000-0005-0000-0000-0000BA780000}"/>
    <cellStyle name="Normal 57 15" xfId="2604" xr:uid="{00000000-0005-0000-0000-0000BB780000}"/>
    <cellStyle name="Normal 57 15 2" xfId="5129" xr:uid="{00000000-0005-0000-0000-0000BC780000}"/>
    <cellStyle name="Normal 57 15 2 2" xfId="13966" xr:uid="{00000000-0005-0000-0000-0000BD780000}"/>
    <cellStyle name="Normal 57 15 2 2 2" xfId="24217" xr:uid="{00000000-0005-0000-0000-0000BE780000}"/>
    <cellStyle name="Normal 57 15 2 2 2 2" xfId="49770" xr:uid="{00000000-0005-0000-0000-0000BF780000}"/>
    <cellStyle name="Normal 57 15 2 2 3" xfId="39521" xr:uid="{00000000-0005-0000-0000-0000C0780000}"/>
    <cellStyle name="Normal 57 15 2 3" xfId="10387" xr:uid="{00000000-0005-0000-0000-0000C1780000}"/>
    <cellStyle name="Normal 57 15 2 3 2" xfId="35944" xr:uid="{00000000-0005-0000-0000-0000C2780000}"/>
    <cellStyle name="Normal 57 15 2 4" xfId="19210" xr:uid="{00000000-0005-0000-0000-0000C3780000}"/>
    <cellStyle name="Normal 57 15 2 4 2" xfId="44763" xr:uid="{00000000-0005-0000-0000-0000C4780000}"/>
    <cellStyle name="Normal 57 15 2 5" xfId="30700" xr:uid="{00000000-0005-0000-0000-0000C5780000}"/>
    <cellStyle name="Normal 57 15 3" xfId="6584" xr:uid="{00000000-0005-0000-0000-0000C6780000}"/>
    <cellStyle name="Normal 57 15 3 2" xfId="15411" xr:uid="{00000000-0005-0000-0000-0000C7780000}"/>
    <cellStyle name="Normal 57 15 3 2 2" xfId="40966" xr:uid="{00000000-0005-0000-0000-0000C8780000}"/>
    <cellStyle name="Normal 57 15 3 3" xfId="25662" xr:uid="{00000000-0005-0000-0000-0000C9780000}"/>
    <cellStyle name="Normal 57 15 3 3 2" xfId="51215" xr:uid="{00000000-0005-0000-0000-0000CA780000}"/>
    <cellStyle name="Normal 57 15 3 4" xfId="32145" xr:uid="{00000000-0005-0000-0000-0000CB780000}"/>
    <cellStyle name="Normal 57 15 4" xfId="8030" xr:uid="{00000000-0005-0000-0000-0000CC780000}"/>
    <cellStyle name="Normal 57 15 4 2" xfId="21969" xr:uid="{00000000-0005-0000-0000-0000CD780000}"/>
    <cellStyle name="Normal 57 15 4 2 2" xfId="47522" xr:uid="{00000000-0005-0000-0000-0000CE780000}"/>
    <cellStyle name="Normal 57 15 4 3" xfId="33587" xr:uid="{00000000-0005-0000-0000-0000CF780000}"/>
    <cellStyle name="Normal 57 15 5" xfId="16962" xr:uid="{00000000-0005-0000-0000-0000D0780000}"/>
    <cellStyle name="Normal 57 15 5 2" xfId="42515" xr:uid="{00000000-0005-0000-0000-0000D1780000}"/>
    <cellStyle name="Normal 57 15 6" xfId="28452" xr:uid="{00000000-0005-0000-0000-0000D2780000}"/>
    <cellStyle name="Normal 57 16" xfId="4082" xr:uid="{00000000-0005-0000-0000-0000D3780000}"/>
    <cellStyle name="Normal 57 16 2" xfId="5541" xr:uid="{00000000-0005-0000-0000-0000D4780000}"/>
    <cellStyle name="Normal 57 16 2 2" xfId="14368" xr:uid="{00000000-0005-0000-0000-0000D5780000}"/>
    <cellStyle name="Normal 57 16 2 2 2" xfId="39923" xr:uid="{00000000-0005-0000-0000-0000D6780000}"/>
    <cellStyle name="Normal 57 16 2 3" xfId="24619" xr:uid="{00000000-0005-0000-0000-0000D7780000}"/>
    <cellStyle name="Normal 57 16 2 3 2" xfId="50172" xr:uid="{00000000-0005-0000-0000-0000D8780000}"/>
    <cellStyle name="Normal 57 16 2 4" xfId="31102" xr:uid="{00000000-0005-0000-0000-0000D9780000}"/>
    <cellStyle name="Normal 57 16 3" xfId="6985" xr:uid="{00000000-0005-0000-0000-0000DA780000}"/>
    <cellStyle name="Normal 57 16 3 2" xfId="23171" xr:uid="{00000000-0005-0000-0000-0000DB780000}"/>
    <cellStyle name="Normal 57 16 3 2 2" xfId="48724" xr:uid="{00000000-0005-0000-0000-0000DC780000}"/>
    <cellStyle name="Normal 57 16 3 3" xfId="32542" xr:uid="{00000000-0005-0000-0000-0000DD780000}"/>
    <cellStyle name="Normal 57 16 4" xfId="18164" xr:uid="{00000000-0005-0000-0000-0000DE780000}"/>
    <cellStyle name="Normal 57 16 4 2" xfId="43717" xr:uid="{00000000-0005-0000-0000-0000DF780000}"/>
    <cellStyle name="Normal 57 16 5" xfId="29654" xr:uid="{00000000-0005-0000-0000-0000E0780000}"/>
    <cellStyle name="Normal 57 17" xfId="1387" xr:uid="{00000000-0005-0000-0000-0000E1780000}"/>
    <cellStyle name="Normal 57 17 2" xfId="10764" xr:uid="{00000000-0005-0000-0000-0000E2780000}"/>
    <cellStyle name="Normal 57 17 2 2" xfId="36319" xr:uid="{00000000-0005-0000-0000-0000E3780000}"/>
    <cellStyle name="Normal 57 17 3" xfId="20768" xr:uid="{00000000-0005-0000-0000-0000E4780000}"/>
    <cellStyle name="Normal 57 17 3 2" xfId="46321" xr:uid="{00000000-0005-0000-0000-0000E5780000}"/>
    <cellStyle name="Normal 57 17 4" xfId="27251" xr:uid="{00000000-0005-0000-0000-0000E6780000}"/>
    <cellStyle name="Normal 57 18" xfId="5498" xr:uid="{00000000-0005-0000-0000-0000E7780000}"/>
    <cellStyle name="Normal 57 18 2" xfId="14325" xr:uid="{00000000-0005-0000-0000-0000E8780000}"/>
    <cellStyle name="Normal 57 18 2 2" xfId="39880" xr:uid="{00000000-0005-0000-0000-0000E9780000}"/>
    <cellStyle name="Normal 57 18 3" xfId="24576" xr:uid="{00000000-0005-0000-0000-0000EA780000}"/>
    <cellStyle name="Normal 57 18 3 2" xfId="50129" xr:uid="{00000000-0005-0000-0000-0000EB780000}"/>
    <cellStyle name="Normal 57 18 4" xfId="31059" xr:uid="{00000000-0005-0000-0000-0000EC780000}"/>
    <cellStyle name="Normal 57 19" xfId="6936" xr:uid="{00000000-0005-0000-0000-0000ED780000}"/>
    <cellStyle name="Normal 57 19 2" xfId="19569" xr:uid="{00000000-0005-0000-0000-0000EE780000}"/>
    <cellStyle name="Normal 57 19 2 2" xfId="45122" xr:uid="{00000000-0005-0000-0000-0000EF780000}"/>
    <cellStyle name="Normal 57 19 3" xfId="32494" xr:uid="{00000000-0005-0000-0000-0000F0780000}"/>
    <cellStyle name="Normal 57 2" xfId="36" xr:uid="{00000000-0005-0000-0000-0000F1780000}"/>
    <cellStyle name="Normal 57 20" xfId="15761" xr:uid="{00000000-0005-0000-0000-0000F2780000}"/>
    <cellStyle name="Normal 57 20 2" xfId="41314" xr:uid="{00000000-0005-0000-0000-0000F3780000}"/>
    <cellStyle name="Normal 57 21" xfId="26052" xr:uid="{00000000-0005-0000-0000-0000F4780000}"/>
    <cellStyle name="Normal 57 3" xfId="109" xr:uid="{00000000-0005-0000-0000-0000F5780000}"/>
    <cellStyle name="Normal 57 3 10" xfId="2619" xr:uid="{00000000-0005-0000-0000-0000F6780000}"/>
    <cellStyle name="Normal 57 3 10 2" xfId="5133" xr:uid="{00000000-0005-0000-0000-0000F7780000}"/>
    <cellStyle name="Normal 57 3 10 2 2" xfId="13970" xr:uid="{00000000-0005-0000-0000-0000F8780000}"/>
    <cellStyle name="Normal 57 3 10 2 2 2" xfId="24221" xr:uid="{00000000-0005-0000-0000-0000F9780000}"/>
    <cellStyle name="Normal 57 3 10 2 2 2 2" xfId="49774" xr:uid="{00000000-0005-0000-0000-0000FA780000}"/>
    <cellStyle name="Normal 57 3 10 2 2 3" xfId="39525" xr:uid="{00000000-0005-0000-0000-0000FB780000}"/>
    <cellStyle name="Normal 57 3 10 2 3" xfId="10391" xr:uid="{00000000-0005-0000-0000-0000FC780000}"/>
    <cellStyle name="Normal 57 3 10 2 3 2" xfId="35948" xr:uid="{00000000-0005-0000-0000-0000FD780000}"/>
    <cellStyle name="Normal 57 3 10 2 4" xfId="19214" xr:uid="{00000000-0005-0000-0000-0000FE780000}"/>
    <cellStyle name="Normal 57 3 10 2 4 2" xfId="44767" xr:uid="{00000000-0005-0000-0000-0000FF780000}"/>
    <cellStyle name="Normal 57 3 10 2 5" xfId="30704" xr:uid="{00000000-0005-0000-0000-000000790000}"/>
    <cellStyle name="Normal 57 3 10 3" xfId="6588" xr:uid="{00000000-0005-0000-0000-000001790000}"/>
    <cellStyle name="Normal 57 3 10 3 2" xfId="15415" xr:uid="{00000000-0005-0000-0000-000002790000}"/>
    <cellStyle name="Normal 57 3 10 3 2 2" xfId="40970" xr:uid="{00000000-0005-0000-0000-000003790000}"/>
    <cellStyle name="Normal 57 3 10 3 3" xfId="25666" xr:uid="{00000000-0005-0000-0000-000004790000}"/>
    <cellStyle name="Normal 57 3 10 3 3 2" xfId="51219" xr:uid="{00000000-0005-0000-0000-000005790000}"/>
    <cellStyle name="Normal 57 3 10 3 4" xfId="32149" xr:uid="{00000000-0005-0000-0000-000006790000}"/>
    <cellStyle name="Normal 57 3 10 4" xfId="8034" xr:uid="{00000000-0005-0000-0000-000007790000}"/>
    <cellStyle name="Normal 57 3 10 4 2" xfId="21982" xr:uid="{00000000-0005-0000-0000-000008790000}"/>
    <cellStyle name="Normal 57 3 10 4 2 2" xfId="47535" xr:uid="{00000000-0005-0000-0000-000009790000}"/>
    <cellStyle name="Normal 57 3 10 4 3" xfId="33591" xr:uid="{00000000-0005-0000-0000-00000A790000}"/>
    <cellStyle name="Normal 57 3 10 5" xfId="16975" xr:uid="{00000000-0005-0000-0000-00000B790000}"/>
    <cellStyle name="Normal 57 3 10 5 2" xfId="42528" xr:uid="{00000000-0005-0000-0000-00000C790000}"/>
    <cellStyle name="Normal 57 3 10 6" xfId="28465" xr:uid="{00000000-0005-0000-0000-00000D790000}"/>
    <cellStyle name="Normal 57 3 11" xfId="4086" xr:uid="{00000000-0005-0000-0000-00000E790000}"/>
    <cellStyle name="Normal 57 3 11 2" xfId="5545" xr:uid="{00000000-0005-0000-0000-00000F790000}"/>
    <cellStyle name="Normal 57 3 11 2 2" xfId="14372" xr:uid="{00000000-0005-0000-0000-000010790000}"/>
    <cellStyle name="Normal 57 3 11 2 2 2" xfId="39927" xr:uid="{00000000-0005-0000-0000-000011790000}"/>
    <cellStyle name="Normal 57 3 11 2 3" xfId="24623" xr:uid="{00000000-0005-0000-0000-000012790000}"/>
    <cellStyle name="Normal 57 3 11 2 3 2" xfId="50176" xr:uid="{00000000-0005-0000-0000-000013790000}"/>
    <cellStyle name="Normal 57 3 11 2 4" xfId="31106" xr:uid="{00000000-0005-0000-0000-000014790000}"/>
    <cellStyle name="Normal 57 3 11 3" xfId="6989" xr:uid="{00000000-0005-0000-0000-000015790000}"/>
    <cellStyle name="Normal 57 3 11 3 2" xfId="23175" xr:uid="{00000000-0005-0000-0000-000016790000}"/>
    <cellStyle name="Normal 57 3 11 3 2 2" xfId="48728" xr:uid="{00000000-0005-0000-0000-000017790000}"/>
    <cellStyle name="Normal 57 3 11 3 3" xfId="32546" xr:uid="{00000000-0005-0000-0000-000018790000}"/>
    <cellStyle name="Normal 57 3 11 4" xfId="18168" xr:uid="{00000000-0005-0000-0000-000019790000}"/>
    <cellStyle name="Normal 57 3 11 4 2" xfId="43721" xr:uid="{00000000-0005-0000-0000-00001A790000}"/>
    <cellStyle name="Normal 57 3 11 5" xfId="29658" xr:uid="{00000000-0005-0000-0000-00001B790000}"/>
    <cellStyle name="Normal 57 3 12" xfId="1393" xr:uid="{00000000-0005-0000-0000-00001C790000}"/>
    <cellStyle name="Normal 57 3 12 2" xfId="10770" xr:uid="{00000000-0005-0000-0000-00001D790000}"/>
    <cellStyle name="Normal 57 3 12 2 2" xfId="36325" xr:uid="{00000000-0005-0000-0000-00001E790000}"/>
    <cellStyle name="Normal 57 3 12 3" xfId="20774" xr:uid="{00000000-0005-0000-0000-00001F790000}"/>
    <cellStyle name="Normal 57 3 12 3 2" xfId="46327" xr:uid="{00000000-0005-0000-0000-000020790000}"/>
    <cellStyle name="Normal 57 3 12 4" xfId="27257" xr:uid="{00000000-0005-0000-0000-000021790000}"/>
    <cellStyle name="Normal 57 3 13" xfId="5505" xr:uid="{00000000-0005-0000-0000-000022790000}"/>
    <cellStyle name="Normal 57 3 13 2" xfId="14332" xr:uid="{00000000-0005-0000-0000-000023790000}"/>
    <cellStyle name="Normal 57 3 13 2 2" xfId="39887" xr:uid="{00000000-0005-0000-0000-000024790000}"/>
    <cellStyle name="Normal 57 3 13 3" xfId="24583" xr:uid="{00000000-0005-0000-0000-000025790000}"/>
    <cellStyle name="Normal 57 3 13 3 2" xfId="50136" xr:uid="{00000000-0005-0000-0000-000026790000}"/>
    <cellStyle name="Normal 57 3 13 4" xfId="31066" xr:uid="{00000000-0005-0000-0000-000027790000}"/>
    <cellStyle name="Normal 57 3 14" xfId="6944" xr:uid="{00000000-0005-0000-0000-000028790000}"/>
    <cellStyle name="Normal 57 3 14 2" xfId="19582" xr:uid="{00000000-0005-0000-0000-000029790000}"/>
    <cellStyle name="Normal 57 3 14 2 2" xfId="45135" xr:uid="{00000000-0005-0000-0000-00002A790000}"/>
    <cellStyle name="Normal 57 3 14 3" xfId="32502" xr:uid="{00000000-0005-0000-0000-00002B790000}"/>
    <cellStyle name="Normal 57 3 15" xfId="15767" xr:uid="{00000000-0005-0000-0000-00002C790000}"/>
    <cellStyle name="Normal 57 3 15 2" xfId="41320" xr:uid="{00000000-0005-0000-0000-00002D790000}"/>
    <cellStyle name="Normal 57 3 16" xfId="26065" xr:uid="{00000000-0005-0000-0000-00002E790000}"/>
    <cellStyle name="Normal 57 3 2" xfId="153" xr:uid="{00000000-0005-0000-0000-00002F790000}"/>
    <cellStyle name="Normal 57 3 2 10" xfId="1418" xr:uid="{00000000-0005-0000-0000-000030790000}"/>
    <cellStyle name="Normal 57 3 2 10 2" xfId="10795" xr:uid="{00000000-0005-0000-0000-000031790000}"/>
    <cellStyle name="Normal 57 3 2 10 2 2" xfId="36350" xr:uid="{00000000-0005-0000-0000-000032790000}"/>
    <cellStyle name="Normal 57 3 2 10 3" xfId="20799" xr:uid="{00000000-0005-0000-0000-000033790000}"/>
    <cellStyle name="Normal 57 3 2 10 3 2" xfId="46352" xr:uid="{00000000-0005-0000-0000-000034790000}"/>
    <cellStyle name="Normal 57 3 2 10 4" xfId="27282" xr:uid="{00000000-0005-0000-0000-000035790000}"/>
    <cellStyle name="Normal 57 3 2 11" xfId="5527" xr:uid="{00000000-0005-0000-0000-000036790000}"/>
    <cellStyle name="Normal 57 3 2 11 2" xfId="14354" xr:uid="{00000000-0005-0000-0000-000037790000}"/>
    <cellStyle name="Normal 57 3 2 11 2 2" xfId="39909" xr:uid="{00000000-0005-0000-0000-000038790000}"/>
    <cellStyle name="Normal 57 3 2 11 3" xfId="24605" xr:uid="{00000000-0005-0000-0000-000039790000}"/>
    <cellStyle name="Normal 57 3 2 11 3 2" xfId="50158" xr:uid="{00000000-0005-0000-0000-00003A790000}"/>
    <cellStyle name="Normal 57 3 2 11 4" xfId="31088" xr:uid="{00000000-0005-0000-0000-00003B790000}"/>
    <cellStyle name="Normal 57 3 2 12" xfId="6971" xr:uid="{00000000-0005-0000-0000-00003C790000}"/>
    <cellStyle name="Normal 57 3 2 12 2" xfId="19612" xr:uid="{00000000-0005-0000-0000-00003D790000}"/>
    <cellStyle name="Normal 57 3 2 12 2 2" xfId="45165" xr:uid="{00000000-0005-0000-0000-00003E790000}"/>
    <cellStyle name="Normal 57 3 2 12 3" xfId="32528" xr:uid="{00000000-0005-0000-0000-00003F790000}"/>
    <cellStyle name="Normal 57 3 2 13" xfId="15792" xr:uid="{00000000-0005-0000-0000-000040790000}"/>
    <cellStyle name="Normal 57 3 2 13 2" xfId="41345" xr:uid="{00000000-0005-0000-0000-000041790000}"/>
    <cellStyle name="Normal 57 3 2 14" xfId="26095" xr:uid="{00000000-0005-0000-0000-000042790000}"/>
    <cellStyle name="Normal 57 3 2 2" xfId="200" xr:uid="{00000000-0005-0000-0000-000043790000}"/>
    <cellStyle name="Normal 57 3 2 2 10" xfId="7146" xr:uid="{00000000-0005-0000-0000-000044790000}"/>
    <cellStyle name="Normal 57 3 2 2 10 2" xfId="19655" xr:uid="{00000000-0005-0000-0000-000045790000}"/>
    <cellStyle name="Normal 57 3 2 2 10 2 2" xfId="45208" xr:uid="{00000000-0005-0000-0000-000046790000}"/>
    <cellStyle name="Normal 57 3 2 2 10 3" xfId="32703" xr:uid="{00000000-0005-0000-0000-000047790000}"/>
    <cellStyle name="Normal 57 3 2 2 11" xfId="15892" xr:uid="{00000000-0005-0000-0000-000048790000}"/>
    <cellStyle name="Normal 57 3 2 2 11 2" xfId="41445" xr:uid="{00000000-0005-0000-0000-000049790000}"/>
    <cellStyle name="Normal 57 3 2 2 12" xfId="26138" xr:uid="{00000000-0005-0000-0000-00004A790000}"/>
    <cellStyle name="Normal 57 3 2 2 2" xfId="526" xr:uid="{00000000-0005-0000-0000-00004B790000}"/>
    <cellStyle name="Normal 57 3 2 2 2 10" xfId="26455" xr:uid="{00000000-0005-0000-0000-00004C790000}"/>
    <cellStyle name="Normal 57 3 2 2 2 2" xfId="832" xr:uid="{00000000-0005-0000-0000-00004D790000}"/>
    <cellStyle name="Normal 57 3 2 2 2 2 2" xfId="3317" xr:uid="{00000000-0005-0000-0000-00004E790000}"/>
    <cellStyle name="Normal 57 3 2 2 2 2 2 2" xfId="12459" xr:uid="{00000000-0005-0000-0000-00004F790000}"/>
    <cellStyle name="Normal 57 3 2 2 2 2 2 2 2" xfId="22678" xr:uid="{00000000-0005-0000-0000-000050790000}"/>
    <cellStyle name="Normal 57 3 2 2 2 2 2 2 2 2" xfId="48231" xr:uid="{00000000-0005-0000-0000-000051790000}"/>
    <cellStyle name="Normal 57 3 2 2 2 2 2 2 3" xfId="38014" xr:uid="{00000000-0005-0000-0000-000052790000}"/>
    <cellStyle name="Normal 57 3 2 2 2 2 2 3" xfId="8881" xr:uid="{00000000-0005-0000-0000-000053790000}"/>
    <cellStyle name="Normal 57 3 2 2 2 2 2 3 2" xfId="34438" xr:uid="{00000000-0005-0000-0000-000054790000}"/>
    <cellStyle name="Normal 57 3 2 2 2 2 2 4" xfId="17671" xr:uid="{00000000-0005-0000-0000-000055790000}"/>
    <cellStyle name="Normal 57 3 2 2 2 2 2 4 2" xfId="43224" xr:uid="{00000000-0005-0000-0000-000056790000}"/>
    <cellStyle name="Normal 57 3 2 2 2 2 2 5" xfId="29161" xr:uid="{00000000-0005-0000-0000-000057790000}"/>
    <cellStyle name="Normal 57 3 2 2 2 2 3" xfId="4646" xr:uid="{00000000-0005-0000-0000-000058790000}"/>
    <cellStyle name="Normal 57 3 2 2 2 2 3 2" xfId="13484" xr:uid="{00000000-0005-0000-0000-000059790000}"/>
    <cellStyle name="Normal 57 3 2 2 2 2 3 2 2" xfId="23735" xr:uid="{00000000-0005-0000-0000-00005A790000}"/>
    <cellStyle name="Normal 57 3 2 2 2 2 3 2 2 2" xfId="49288" xr:uid="{00000000-0005-0000-0000-00005B790000}"/>
    <cellStyle name="Normal 57 3 2 2 2 2 3 2 3" xfId="39039" xr:uid="{00000000-0005-0000-0000-00005C790000}"/>
    <cellStyle name="Normal 57 3 2 2 2 2 3 3" xfId="9905" xr:uid="{00000000-0005-0000-0000-00005D790000}"/>
    <cellStyle name="Normal 57 3 2 2 2 2 3 3 2" xfId="35462" xr:uid="{00000000-0005-0000-0000-00005E790000}"/>
    <cellStyle name="Normal 57 3 2 2 2 2 3 4" xfId="18728" xr:uid="{00000000-0005-0000-0000-00005F790000}"/>
    <cellStyle name="Normal 57 3 2 2 2 2 3 4 2" xfId="44281" xr:uid="{00000000-0005-0000-0000-000060790000}"/>
    <cellStyle name="Normal 57 3 2 2 2 2 3 5" xfId="30218" xr:uid="{00000000-0005-0000-0000-000061790000}"/>
    <cellStyle name="Normal 57 3 2 2 2 2 4" xfId="2426" xr:uid="{00000000-0005-0000-0000-000062790000}"/>
    <cellStyle name="Normal 57 3 2 2 2 2 4 2" xfId="11791" xr:uid="{00000000-0005-0000-0000-000063790000}"/>
    <cellStyle name="Normal 57 3 2 2 2 2 4 2 2" xfId="37346" xr:uid="{00000000-0005-0000-0000-000064790000}"/>
    <cellStyle name="Normal 57 3 2 2 2 2 4 3" xfId="21795" xr:uid="{00000000-0005-0000-0000-000065790000}"/>
    <cellStyle name="Normal 57 3 2 2 2 2 4 3 2" xfId="47348" xr:uid="{00000000-0005-0000-0000-000066790000}"/>
    <cellStyle name="Normal 57 3 2 2 2 2 4 4" xfId="28278" xr:uid="{00000000-0005-0000-0000-000067790000}"/>
    <cellStyle name="Normal 57 3 2 2 2 2 5" xfId="6102" xr:uid="{00000000-0005-0000-0000-000068790000}"/>
    <cellStyle name="Normal 57 3 2 2 2 2 5 2" xfId="14929" xr:uid="{00000000-0005-0000-0000-000069790000}"/>
    <cellStyle name="Normal 57 3 2 2 2 2 5 2 2" xfId="40484" xr:uid="{00000000-0005-0000-0000-00006A790000}"/>
    <cellStyle name="Normal 57 3 2 2 2 2 5 3" xfId="25180" xr:uid="{00000000-0005-0000-0000-00006B790000}"/>
    <cellStyle name="Normal 57 3 2 2 2 2 5 3 2" xfId="50733" xr:uid="{00000000-0005-0000-0000-00006C790000}"/>
    <cellStyle name="Normal 57 3 2 2 2 2 5 4" xfId="31663" xr:uid="{00000000-0005-0000-0000-00006D790000}"/>
    <cellStyle name="Normal 57 3 2 2 2 2 6" xfId="7547" xr:uid="{00000000-0005-0000-0000-00006E790000}"/>
    <cellStyle name="Normal 57 3 2 2 2 2 6 2" xfId="20277" xr:uid="{00000000-0005-0000-0000-00006F790000}"/>
    <cellStyle name="Normal 57 3 2 2 2 2 6 2 2" xfId="45830" xr:uid="{00000000-0005-0000-0000-000070790000}"/>
    <cellStyle name="Normal 57 3 2 2 2 2 6 3" xfId="33104" xr:uid="{00000000-0005-0000-0000-000071790000}"/>
    <cellStyle name="Normal 57 3 2 2 2 2 7" xfId="16788" xr:uid="{00000000-0005-0000-0000-000072790000}"/>
    <cellStyle name="Normal 57 3 2 2 2 2 7 2" xfId="42341" xr:uid="{00000000-0005-0000-0000-000073790000}"/>
    <cellStyle name="Normal 57 3 2 2 2 2 8" xfId="26760" xr:uid="{00000000-0005-0000-0000-000074790000}"/>
    <cellStyle name="Normal 57 3 2 2 2 3" xfId="1298" xr:uid="{00000000-0005-0000-0000-000075790000}"/>
    <cellStyle name="Normal 57 3 2 2 2 3 2" xfId="3727" xr:uid="{00000000-0005-0000-0000-000076790000}"/>
    <cellStyle name="Normal 57 3 2 2 2 3 2 2" xfId="12863" xr:uid="{00000000-0005-0000-0000-000077790000}"/>
    <cellStyle name="Normal 57 3 2 2 2 3 2 2 2" xfId="23082" xr:uid="{00000000-0005-0000-0000-000078790000}"/>
    <cellStyle name="Normal 57 3 2 2 2 3 2 2 2 2" xfId="48635" xr:uid="{00000000-0005-0000-0000-000079790000}"/>
    <cellStyle name="Normal 57 3 2 2 2 3 2 2 3" xfId="38418" xr:uid="{00000000-0005-0000-0000-00007A790000}"/>
    <cellStyle name="Normal 57 3 2 2 2 3 2 3" xfId="9284" xr:uid="{00000000-0005-0000-0000-00007B790000}"/>
    <cellStyle name="Normal 57 3 2 2 2 3 2 3 2" xfId="34841" xr:uid="{00000000-0005-0000-0000-00007C790000}"/>
    <cellStyle name="Normal 57 3 2 2 2 3 2 4" xfId="18075" xr:uid="{00000000-0005-0000-0000-00007D790000}"/>
    <cellStyle name="Normal 57 3 2 2 2 3 2 4 2" xfId="43628" xr:uid="{00000000-0005-0000-0000-00007E790000}"/>
    <cellStyle name="Normal 57 3 2 2 2 3 2 5" xfId="29565" xr:uid="{00000000-0005-0000-0000-00007F790000}"/>
    <cellStyle name="Normal 57 3 2 2 2 3 3" xfId="4995" xr:uid="{00000000-0005-0000-0000-000080790000}"/>
    <cellStyle name="Normal 57 3 2 2 2 3 3 2" xfId="13832" xr:uid="{00000000-0005-0000-0000-000081790000}"/>
    <cellStyle name="Normal 57 3 2 2 2 3 3 2 2" xfId="24083" xr:uid="{00000000-0005-0000-0000-000082790000}"/>
    <cellStyle name="Normal 57 3 2 2 2 3 3 2 2 2" xfId="49636" xr:uid="{00000000-0005-0000-0000-000083790000}"/>
    <cellStyle name="Normal 57 3 2 2 2 3 3 2 3" xfId="39387" xr:uid="{00000000-0005-0000-0000-000084790000}"/>
    <cellStyle name="Normal 57 3 2 2 2 3 3 3" xfId="10253" xr:uid="{00000000-0005-0000-0000-000085790000}"/>
    <cellStyle name="Normal 57 3 2 2 2 3 3 3 2" xfId="35810" xr:uid="{00000000-0005-0000-0000-000086790000}"/>
    <cellStyle name="Normal 57 3 2 2 2 3 3 4" xfId="19076" xr:uid="{00000000-0005-0000-0000-000087790000}"/>
    <cellStyle name="Normal 57 3 2 2 2 3 3 4 2" xfId="44629" xr:uid="{00000000-0005-0000-0000-000088790000}"/>
    <cellStyle name="Normal 57 3 2 2 2 3 3 5" xfId="30566" xr:uid="{00000000-0005-0000-0000-000089790000}"/>
    <cellStyle name="Normal 57 3 2 2 2 3 4" xfId="2121" xr:uid="{00000000-0005-0000-0000-00008A790000}"/>
    <cellStyle name="Normal 57 3 2 2 2 3 4 2" xfId="11486" xr:uid="{00000000-0005-0000-0000-00008B790000}"/>
    <cellStyle name="Normal 57 3 2 2 2 3 4 2 2" xfId="37041" xr:uid="{00000000-0005-0000-0000-00008C790000}"/>
    <cellStyle name="Normal 57 3 2 2 2 3 4 3" xfId="21490" xr:uid="{00000000-0005-0000-0000-00008D790000}"/>
    <cellStyle name="Normal 57 3 2 2 2 3 4 3 2" xfId="47043" xr:uid="{00000000-0005-0000-0000-00008E790000}"/>
    <cellStyle name="Normal 57 3 2 2 2 3 4 4" xfId="27973" xr:uid="{00000000-0005-0000-0000-00008F790000}"/>
    <cellStyle name="Normal 57 3 2 2 2 3 5" xfId="6450" xr:uid="{00000000-0005-0000-0000-000090790000}"/>
    <cellStyle name="Normal 57 3 2 2 2 3 5 2" xfId="15277" xr:uid="{00000000-0005-0000-0000-000091790000}"/>
    <cellStyle name="Normal 57 3 2 2 2 3 5 2 2" xfId="40832" xr:uid="{00000000-0005-0000-0000-000092790000}"/>
    <cellStyle name="Normal 57 3 2 2 2 3 5 3" xfId="25528" xr:uid="{00000000-0005-0000-0000-000093790000}"/>
    <cellStyle name="Normal 57 3 2 2 2 3 5 3 2" xfId="51081" xr:uid="{00000000-0005-0000-0000-000094790000}"/>
    <cellStyle name="Normal 57 3 2 2 2 3 5 4" xfId="32011" xr:uid="{00000000-0005-0000-0000-000095790000}"/>
    <cellStyle name="Normal 57 3 2 2 2 3 6" xfId="7896" xr:uid="{00000000-0005-0000-0000-000096790000}"/>
    <cellStyle name="Normal 57 3 2 2 2 3 6 2" xfId="20681" xr:uid="{00000000-0005-0000-0000-000097790000}"/>
    <cellStyle name="Normal 57 3 2 2 2 3 6 2 2" xfId="46234" xr:uid="{00000000-0005-0000-0000-000098790000}"/>
    <cellStyle name="Normal 57 3 2 2 2 3 6 3" xfId="33453" xr:uid="{00000000-0005-0000-0000-000099790000}"/>
    <cellStyle name="Normal 57 3 2 2 2 3 7" xfId="16483" xr:uid="{00000000-0005-0000-0000-00009A790000}"/>
    <cellStyle name="Normal 57 3 2 2 2 3 7 2" xfId="42036" xr:uid="{00000000-0005-0000-0000-00009B790000}"/>
    <cellStyle name="Normal 57 3 2 2 2 3 8" xfId="27164" xr:uid="{00000000-0005-0000-0000-00009C790000}"/>
    <cellStyle name="Normal 57 3 2 2 2 4" xfId="3012" xr:uid="{00000000-0005-0000-0000-00009D790000}"/>
    <cellStyle name="Normal 57 3 2 2 2 4 2" xfId="5390" xr:uid="{00000000-0005-0000-0000-00009E790000}"/>
    <cellStyle name="Normal 57 3 2 2 2 4 2 2" xfId="14227" xr:uid="{00000000-0005-0000-0000-00009F790000}"/>
    <cellStyle name="Normal 57 3 2 2 2 4 2 2 2" xfId="24478" xr:uid="{00000000-0005-0000-0000-0000A0790000}"/>
    <cellStyle name="Normal 57 3 2 2 2 4 2 2 2 2" xfId="50031" xr:uid="{00000000-0005-0000-0000-0000A1790000}"/>
    <cellStyle name="Normal 57 3 2 2 2 4 2 2 3" xfId="39782" xr:uid="{00000000-0005-0000-0000-0000A2790000}"/>
    <cellStyle name="Normal 57 3 2 2 2 4 2 3" xfId="10648" xr:uid="{00000000-0005-0000-0000-0000A3790000}"/>
    <cellStyle name="Normal 57 3 2 2 2 4 2 3 2" xfId="36205" xr:uid="{00000000-0005-0000-0000-0000A4790000}"/>
    <cellStyle name="Normal 57 3 2 2 2 4 2 4" xfId="19471" xr:uid="{00000000-0005-0000-0000-0000A5790000}"/>
    <cellStyle name="Normal 57 3 2 2 2 4 2 4 2" xfId="45024" xr:uid="{00000000-0005-0000-0000-0000A6790000}"/>
    <cellStyle name="Normal 57 3 2 2 2 4 2 5" xfId="30961" xr:uid="{00000000-0005-0000-0000-0000A7790000}"/>
    <cellStyle name="Normal 57 3 2 2 2 4 3" xfId="6845" xr:uid="{00000000-0005-0000-0000-0000A8790000}"/>
    <cellStyle name="Normal 57 3 2 2 2 4 3 2" xfId="15672" xr:uid="{00000000-0005-0000-0000-0000A9790000}"/>
    <cellStyle name="Normal 57 3 2 2 2 4 3 2 2" xfId="41227" xr:uid="{00000000-0005-0000-0000-0000AA790000}"/>
    <cellStyle name="Normal 57 3 2 2 2 4 3 3" xfId="25923" xr:uid="{00000000-0005-0000-0000-0000AB790000}"/>
    <cellStyle name="Normal 57 3 2 2 2 4 3 3 2" xfId="51476" xr:uid="{00000000-0005-0000-0000-0000AC790000}"/>
    <cellStyle name="Normal 57 3 2 2 2 4 3 4" xfId="32406" xr:uid="{00000000-0005-0000-0000-0000AD790000}"/>
    <cellStyle name="Normal 57 3 2 2 2 4 4" xfId="8291" xr:uid="{00000000-0005-0000-0000-0000AE790000}"/>
    <cellStyle name="Normal 57 3 2 2 2 4 4 2" xfId="22373" xr:uid="{00000000-0005-0000-0000-0000AF790000}"/>
    <cellStyle name="Normal 57 3 2 2 2 4 4 2 2" xfId="47926" xr:uid="{00000000-0005-0000-0000-0000B0790000}"/>
    <cellStyle name="Normal 57 3 2 2 2 4 4 3" xfId="33848" xr:uid="{00000000-0005-0000-0000-0000B1790000}"/>
    <cellStyle name="Normal 57 3 2 2 2 4 5" xfId="17366" xr:uid="{00000000-0005-0000-0000-0000B2790000}"/>
    <cellStyle name="Normal 57 3 2 2 2 4 5 2" xfId="42919" xr:uid="{00000000-0005-0000-0000-0000B3790000}"/>
    <cellStyle name="Normal 57 3 2 2 2 4 6" xfId="28856" xr:uid="{00000000-0005-0000-0000-0000B4790000}"/>
    <cellStyle name="Normal 57 3 2 2 2 5" xfId="4346" xr:uid="{00000000-0005-0000-0000-0000B5790000}"/>
    <cellStyle name="Normal 57 3 2 2 2 5 2" xfId="13184" xr:uid="{00000000-0005-0000-0000-0000B6790000}"/>
    <cellStyle name="Normal 57 3 2 2 2 5 2 2" xfId="23435" xr:uid="{00000000-0005-0000-0000-0000B7790000}"/>
    <cellStyle name="Normal 57 3 2 2 2 5 2 2 2" xfId="48988" xr:uid="{00000000-0005-0000-0000-0000B8790000}"/>
    <cellStyle name="Normal 57 3 2 2 2 5 2 3" xfId="38739" xr:uid="{00000000-0005-0000-0000-0000B9790000}"/>
    <cellStyle name="Normal 57 3 2 2 2 5 3" xfId="9605" xr:uid="{00000000-0005-0000-0000-0000BA790000}"/>
    <cellStyle name="Normal 57 3 2 2 2 5 3 2" xfId="35162" xr:uid="{00000000-0005-0000-0000-0000BB790000}"/>
    <cellStyle name="Normal 57 3 2 2 2 5 4" xfId="18428" xr:uid="{00000000-0005-0000-0000-0000BC790000}"/>
    <cellStyle name="Normal 57 3 2 2 2 5 4 2" xfId="43981" xr:uid="{00000000-0005-0000-0000-0000BD790000}"/>
    <cellStyle name="Normal 57 3 2 2 2 5 5" xfId="29918" xr:uid="{00000000-0005-0000-0000-0000BE790000}"/>
    <cellStyle name="Normal 57 3 2 2 2 6" xfId="1618" xr:uid="{00000000-0005-0000-0000-0000BF790000}"/>
    <cellStyle name="Normal 57 3 2 2 2 6 2" xfId="10995" xr:uid="{00000000-0005-0000-0000-0000C0790000}"/>
    <cellStyle name="Normal 57 3 2 2 2 6 2 2" xfId="36550" xr:uid="{00000000-0005-0000-0000-0000C1790000}"/>
    <cellStyle name="Normal 57 3 2 2 2 6 3" xfId="20999" xr:uid="{00000000-0005-0000-0000-0000C2790000}"/>
    <cellStyle name="Normal 57 3 2 2 2 6 3 2" xfId="46552" xr:uid="{00000000-0005-0000-0000-0000C3790000}"/>
    <cellStyle name="Normal 57 3 2 2 2 6 4" xfId="27482" xr:uid="{00000000-0005-0000-0000-0000C4790000}"/>
    <cellStyle name="Normal 57 3 2 2 2 7" xfId="5802" xr:uid="{00000000-0005-0000-0000-0000C5790000}"/>
    <cellStyle name="Normal 57 3 2 2 2 7 2" xfId="14629" xr:uid="{00000000-0005-0000-0000-0000C6790000}"/>
    <cellStyle name="Normal 57 3 2 2 2 7 2 2" xfId="40184" xr:uid="{00000000-0005-0000-0000-0000C7790000}"/>
    <cellStyle name="Normal 57 3 2 2 2 7 3" xfId="24880" xr:uid="{00000000-0005-0000-0000-0000C8790000}"/>
    <cellStyle name="Normal 57 3 2 2 2 7 3 2" xfId="50433" xr:uid="{00000000-0005-0000-0000-0000C9790000}"/>
    <cellStyle name="Normal 57 3 2 2 2 7 4" xfId="31363" xr:uid="{00000000-0005-0000-0000-0000CA790000}"/>
    <cellStyle name="Normal 57 3 2 2 2 8" xfId="7246" xr:uid="{00000000-0005-0000-0000-0000CB790000}"/>
    <cellStyle name="Normal 57 3 2 2 2 8 2" xfId="19972" xr:uid="{00000000-0005-0000-0000-0000CC790000}"/>
    <cellStyle name="Normal 57 3 2 2 2 8 2 2" xfId="45525" xr:uid="{00000000-0005-0000-0000-0000CD790000}"/>
    <cellStyle name="Normal 57 3 2 2 2 8 3" xfId="32803" xr:uid="{00000000-0005-0000-0000-0000CE790000}"/>
    <cellStyle name="Normal 57 3 2 2 2 9" xfId="15992" xr:uid="{00000000-0005-0000-0000-0000CF790000}"/>
    <cellStyle name="Normal 57 3 2 2 2 9 2" xfId="41545" xr:uid="{00000000-0005-0000-0000-0000D0790000}"/>
    <cellStyle name="Normal 57 3 2 2 2_Degree data" xfId="3938" xr:uid="{00000000-0005-0000-0000-0000D1790000}"/>
    <cellStyle name="Normal 57 3 2 2 3" xfId="426" xr:uid="{00000000-0005-0000-0000-0000D2790000}"/>
    <cellStyle name="Normal 57 3 2 2 3 2" xfId="2912" xr:uid="{00000000-0005-0000-0000-0000D3790000}"/>
    <cellStyle name="Normal 57 3 2 2 3 2 2" xfId="12200" xr:uid="{00000000-0005-0000-0000-0000D4790000}"/>
    <cellStyle name="Normal 57 3 2 2 3 2 2 2" xfId="22273" xr:uid="{00000000-0005-0000-0000-0000D5790000}"/>
    <cellStyle name="Normal 57 3 2 2 3 2 2 2 2" xfId="47826" xr:uid="{00000000-0005-0000-0000-0000D6790000}"/>
    <cellStyle name="Normal 57 3 2 2 3 2 2 3" xfId="37755" xr:uid="{00000000-0005-0000-0000-0000D7790000}"/>
    <cellStyle name="Normal 57 3 2 2 3 2 3" xfId="8448" xr:uid="{00000000-0005-0000-0000-0000D8790000}"/>
    <cellStyle name="Normal 57 3 2 2 3 2 3 2" xfId="34005" xr:uid="{00000000-0005-0000-0000-0000D9790000}"/>
    <cellStyle name="Normal 57 3 2 2 3 2 4" xfId="17266" xr:uid="{00000000-0005-0000-0000-0000DA790000}"/>
    <cellStyle name="Normal 57 3 2 2 3 2 4 2" xfId="42819" xr:uid="{00000000-0005-0000-0000-0000DB790000}"/>
    <cellStyle name="Normal 57 3 2 2 3 2 5" xfId="28756" xr:uid="{00000000-0005-0000-0000-0000DC790000}"/>
    <cellStyle name="Normal 57 3 2 2 3 3" xfId="4645" xr:uid="{00000000-0005-0000-0000-0000DD790000}"/>
    <cellStyle name="Normal 57 3 2 2 3 3 2" xfId="13483" xr:uid="{00000000-0005-0000-0000-0000DE790000}"/>
    <cellStyle name="Normal 57 3 2 2 3 3 2 2" xfId="23734" xr:uid="{00000000-0005-0000-0000-0000DF790000}"/>
    <cellStyle name="Normal 57 3 2 2 3 3 2 2 2" xfId="49287" xr:uid="{00000000-0005-0000-0000-0000E0790000}"/>
    <cellStyle name="Normal 57 3 2 2 3 3 2 3" xfId="39038" xr:uid="{00000000-0005-0000-0000-0000E1790000}"/>
    <cellStyle name="Normal 57 3 2 2 3 3 3" xfId="9904" xr:uid="{00000000-0005-0000-0000-0000E2790000}"/>
    <cellStyle name="Normal 57 3 2 2 3 3 3 2" xfId="35461" xr:uid="{00000000-0005-0000-0000-0000E3790000}"/>
    <cellStyle name="Normal 57 3 2 2 3 3 4" xfId="18727" xr:uid="{00000000-0005-0000-0000-0000E4790000}"/>
    <cellStyle name="Normal 57 3 2 2 3 3 4 2" xfId="44280" xr:uid="{00000000-0005-0000-0000-0000E5790000}"/>
    <cellStyle name="Normal 57 3 2 2 3 3 5" xfId="30217" xr:uid="{00000000-0005-0000-0000-0000E6790000}"/>
    <cellStyle name="Normal 57 3 2 2 3 4" xfId="2021" xr:uid="{00000000-0005-0000-0000-0000E7790000}"/>
    <cellStyle name="Normal 57 3 2 2 3 4 2" xfId="11386" xr:uid="{00000000-0005-0000-0000-0000E8790000}"/>
    <cellStyle name="Normal 57 3 2 2 3 4 2 2" xfId="36941" xr:uid="{00000000-0005-0000-0000-0000E9790000}"/>
    <cellStyle name="Normal 57 3 2 2 3 4 3" xfId="21390" xr:uid="{00000000-0005-0000-0000-0000EA790000}"/>
    <cellStyle name="Normal 57 3 2 2 3 4 3 2" xfId="46943" xr:uid="{00000000-0005-0000-0000-0000EB790000}"/>
    <cellStyle name="Normal 57 3 2 2 3 4 4" xfId="27873" xr:uid="{00000000-0005-0000-0000-0000EC790000}"/>
    <cellStyle name="Normal 57 3 2 2 3 5" xfId="6101" xr:uid="{00000000-0005-0000-0000-0000ED790000}"/>
    <cellStyle name="Normal 57 3 2 2 3 5 2" xfId="14928" xr:uid="{00000000-0005-0000-0000-0000EE790000}"/>
    <cellStyle name="Normal 57 3 2 2 3 5 2 2" xfId="40483" xr:uid="{00000000-0005-0000-0000-0000EF790000}"/>
    <cellStyle name="Normal 57 3 2 2 3 5 3" xfId="25179" xr:uid="{00000000-0005-0000-0000-0000F0790000}"/>
    <cellStyle name="Normal 57 3 2 2 3 5 3 2" xfId="50732" xr:uid="{00000000-0005-0000-0000-0000F1790000}"/>
    <cellStyle name="Normal 57 3 2 2 3 5 4" xfId="31662" xr:uid="{00000000-0005-0000-0000-0000F2790000}"/>
    <cellStyle name="Normal 57 3 2 2 3 6" xfId="7546" xr:uid="{00000000-0005-0000-0000-0000F3790000}"/>
    <cellStyle name="Normal 57 3 2 2 3 6 2" xfId="19872" xr:uid="{00000000-0005-0000-0000-0000F4790000}"/>
    <cellStyle name="Normal 57 3 2 2 3 6 2 2" xfId="45425" xr:uid="{00000000-0005-0000-0000-0000F5790000}"/>
    <cellStyle name="Normal 57 3 2 2 3 6 3" xfId="33103" xr:uid="{00000000-0005-0000-0000-0000F6790000}"/>
    <cellStyle name="Normal 57 3 2 2 3 7" xfId="16383" xr:uid="{00000000-0005-0000-0000-0000F7790000}"/>
    <cellStyle name="Normal 57 3 2 2 3 7 2" xfId="41936" xr:uid="{00000000-0005-0000-0000-0000F8790000}"/>
    <cellStyle name="Normal 57 3 2 2 3 8" xfId="26355" xr:uid="{00000000-0005-0000-0000-0000F9790000}"/>
    <cellStyle name="Normal 57 3 2 2 4" xfId="831" xr:uid="{00000000-0005-0000-0000-0000FA790000}"/>
    <cellStyle name="Normal 57 3 2 2 4 2" xfId="3316" xr:uid="{00000000-0005-0000-0000-0000FB790000}"/>
    <cellStyle name="Normal 57 3 2 2 4 2 2" xfId="12458" xr:uid="{00000000-0005-0000-0000-0000FC790000}"/>
    <cellStyle name="Normal 57 3 2 2 4 2 2 2" xfId="22677" xr:uid="{00000000-0005-0000-0000-0000FD790000}"/>
    <cellStyle name="Normal 57 3 2 2 4 2 2 2 2" xfId="48230" xr:uid="{00000000-0005-0000-0000-0000FE790000}"/>
    <cellStyle name="Normal 57 3 2 2 4 2 2 3" xfId="38013" xr:uid="{00000000-0005-0000-0000-0000FF790000}"/>
    <cellStyle name="Normal 57 3 2 2 4 2 3" xfId="8880" xr:uid="{00000000-0005-0000-0000-0000007A0000}"/>
    <cellStyle name="Normal 57 3 2 2 4 2 3 2" xfId="34437" xr:uid="{00000000-0005-0000-0000-0000017A0000}"/>
    <cellStyle name="Normal 57 3 2 2 4 2 4" xfId="17670" xr:uid="{00000000-0005-0000-0000-0000027A0000}"/>
    <cellStyle name="Normal 57 3 2 2 4 2 4 2" xfId="43223" xr:uid="{00000000-0005-0000-0000-0000037A0000}"/>
    <cellStyle name="Normal 57 3 2 2 4 2 5" xfId="29160" xr:uid="{00000000-0005-0000-0000-0000047A0000}"/>
    <cellStyle name="Normal 57 3 2 2 4 3" xfId="4994" xr:uid="{00000000-0005-0000-0000-0000057A0000}"/>
    <cellStyle name="Normal 57 3 2 2 4 3 2" xfId="13831" xr:uid="{00000000-0005-0000-0000-0000067A0000}"/>
    <cellStyle name="Normal 57 3 2 2 4 3 2 2" xfId="24082" xr:uid="{00000000-0005-0000-0000-0000077A0000}"/>
    <cellStyle name="Normal 57 3 2 2 4 3 2 2 2" xfId="49635" xr:uid="{00000000-0005-0000-0000-0000087A0000}"/>
    <cellStyle name="Normal 57 3 2 2 4 3 2 3" xfId="39386" xr:uid="{00000000-0005-0000-0000-0000097A0000}"/>
    <cellStyle name="Normal 57 3 2 2 4 3 3" xfId="10252" xr:uid="{00000000-0005-0000-0000-00000A7A0000}"/>
    <cellStyle name="Normal 57 3 2 2 4 3 3 2" xfId="35809" xr:uid="{00000000-0005-0000-0000-00000B7A0000}"/>
    <cellStyle name="Normal 57 3 2 2 4 3 4" xfId="19075" xr:uid="{00000000-0005-0000-0000-00000C7A0000}"/>
    <cellStyle name="Normal 57 3 2 2 4 3 4 2" xfId="44628" xr:uid="{00000000-0005-0000-0000-00000D7A0000}"/>
    <cellStyle name="Normal 57 3 2 2 4 3 5" xfId="30565" xr:uid="{00000000-0005-0000-0000-00000E7A0000}"/>
    <cellStyle name="Normal 57 3 2 2 4 4" xfId="2425" xr:uid="{00000000-0005-0000-0000-00000F7A0000}"/>
    <cellStyle name="Normal 57 3 2 2 4 4 2" xfId="11790" xr:uid="{00000000-0005-0000-0000-0000107A0000}"/>
    <cellStyle name="Normal 57 3 2 2 4 4 2 2" xfId="37345" xr:uid="{00000000-0005-0000-0000-0000117A0000}"/>
    <cellStyle name="Normal 57 3 2 2 4 4 3" xfId="21794" xr:uid="{00000000-0005-0000-0000-0000127A0000}"/>
    <cellStyle name="Normal 57 3 2 2 4 4 3 2" xfId="47347" xr:uid="{00000000-0005-0000-0000-0000137A0000}"/>
    <cellStyle name="Normal 57 3 2 2 4 4 4" xfId="28277" xr:uid="{00000000-0005-0000-0000-0000147A0000}"/>
    <cellStyle name="Normal 57 3 2 2 4 5" xfId="6449" xr:uid="{00000000-0005-0000-0000-0000157A0000}"/>
    <cellStyle name="Normal 57 3 2 2 4 5 2" xfId="15276" xr:uid="{00000000-0005-0000-0000-0000167A0000}"/>
    <cellStyle name="Normal 57 3 2 2 4 5 2 2" xfId="40831" xr:uid="{00000000-0005-0000-0000-0000177A0000}"/>
    <cellStyle name="Normal 57 3 2 2 4 5 3" xfId="25527" xr:uid="{00000000-0005-0000-0000-0000187A0000}"/>
    <cellStyle name="Normal 57 3 2 2 4 5 3 2" xfId="51080" xr:uid="{00000000-0005-0000-0000-0000197A0000}"/>
    <cellStyle name="Normal 57 3 2 2 4 5 4" xfId="32010" xr:uid="{00000000-0005-0000-0000-00001A7A0000}"/>
    <cellStyle name="Normal 57 3 2 2 4 6" xfId="7895" xr:uid="{00000000-0005-0000-0000-00001B7A0000}"/>
    <cellStyle name="Normal 57 3 2 2 4 6 2" xfId="20276" xr:uid="{00000000-0005-0000-0000-00001C7A0000}"/>
    <cellStyle name="Normal 57 3 2 2 4 6 2 2" xfId="45829" xr:uid="{00000000-0005-0000-0000-00001D7A0000}"/>
    <cellStyle name="Normal 57 3 2 2 4 6 3" xfId="33452" xr:uid="{00000000-0005-0000-0000-00001E7A0000}"/>
    <cellStyle name="Normal 57 3 2 2 4 7" xfId="16787" xr:uid="{00000000-0005-0000-0000-00001F7A0000}"/>
    <cellStyle name="Normal 57 3 2 2 4 7 2" xfId="42340" xr:uid="{00000000-0005-0000-0000-0000207A0000}"/>
    <cellStyle name="Normal 57 3 2 2 4 8" xfId="26759" xr:uid="{00000000-0005-0000-0000-0000217A0000}"/>
    <cellStyle name="Normal 57 3 2 2 5" xfId="1198" xr:uid="{00000000-0005-0000-0000-0000227A0000}"/>
    <cellStyle name="Normal 57 3 2 2 5 2" xfId="3627" xr:uid="{00000000-0005-0000-0000-0000237A0000}"/>
    <cellStyle name="Normal 57 3 2 2 5 2 2" xfId="12763" xr:uid="{00000000-0005-0000-0000-0000247A0000}"/>
    <cellStyle name="Normal 57 3 2 2 5 2 2 2" xfId="22982" xr:uid="{00000000-0005-0000-0000-0000257A0000}"/>
    <cellStyle name="Normal 57 3 2 2 5 2 2 2 2" xfId="48535" xr:uid="{00000000-0005-0000-0000-0000267A0000}"/>
    <cellStyle name="Normal 57 3 2 2 5 2 2 3" xfId="38318" xr:uid="{00000000-0005-0000-0000-0000277A0000}"/>
    <cellStyle name="Normal 57 3 2 2 5 2 3" xfId="9184" xr:uid="{00000000-0005-0000-0000-0000287A0000}"/>
    <cellStyle name="Normal 57 3 2 2 5 2 3 2" xfId="34741" xr:uid="{00000000-0005-0000-0000-0000297A0000}"/>
    <cellStyle name="Normal 57 3 2 2 5 2 4" xfId="17975" xr:uid="{00000000-0005-0000-0000-00002A7A0000}"/>
    <cellStyle name="Normal 57 3 2 2 5 2 4 2" xfId="43528" xr:uid="{00000000-0005-0000-0000-00002B7A0000}"/>
    <cellStyle name="Normal 57 3 2 2 5 2 5" xfId="29465" xr:uid="{00000000-0005-0000-0000-00002C7A0000}"/>
    <cellStyle name="Normal 57 3 2 2 5 3" xfId="5290" xr:uid="{00000000-0005-0000-0000-00002D7A0000}"/>
    <cellStyle name="Normal 57 3 2 2 5 3 2" xfId="14127" xr:uid="{00000000-0005-0000-0000-00002E7A0000}"/>
    <cellStyle name="Normal 57 3 2 2 5 3 2 2" xfId="24378" xr:uid="{00000000-0005-0000-0000-00002F7A0000}"/>
    <cellStyle name="Normal 57 3 2 2 5 3 2 2 2" xfId="49931" xr:uid="{00000000-0005-0000-0000-0000307A0000}"/>
    <cellStyle name="Normal 57 3 2 2 5 3 2 3" xfId="39682" xr:uid="{00000000-0005-0000-0000-0000317A0000}"/>
    <cellStyle name="Normal 57 3 2 2 5 3 3" xfId="10548" xr:uid="{00000000-0005-0000-0000-0000327A0000}"/>
    <cellStyle name="Normal 57 3 2 2 5 3 3 2" xfId="36105" xr:uid="{00000000-0005-0000-0000-0000337A0000}"/>
    <cellStyle name="Normal 57 3 2 2 5 3 4" xfId="19371" xr:uid="{00000000-0005-0000-0000-0000347A0000}"/>
    <cellStyle name="Normal 57 3 2 2 5 3 4 2" xfId="44924" xr:uid="{00000000-0005-0000-0000-0000357A0000}"/>
    <cellStyle name="Normal 57 3 2 2 5 3 5" xfId="30861" xr:uid="{00000000-0005-0000-0000-0000367A0000}"/>
    <cellStyle name="Normal 57 3 2 2 5 4" xfId="1801" xr:uid="{00000000-0005-0000-0000-0000377A0000}"/>
    <cellStyle name="Normal 57 3 2 2 5 4 2" xfId="11169" xr:uid="{00000000-0005-0000-0000-0000387A0000}"/>
    <cellStyle name="Normal 57 3 2 2 5 4 2 2" xfId="36724" xr:uid="{00000000-0005-0000-0000-0000397A0000}"/>
    <cellStyle name="Normal 57 3 2 2 5 4 3" xfId="21173" xr:uid="{00000000-0005-0000-0000-00003A7A0000}"/>
    <cellStyle name="Normal 57 3 2 2 5 4 3 2" xfId="46726" xr:uid="{00000000-0005-0000-0000-00003B7A0000}"/>
    <cellStyle name="Normal 57 3 2 2 5 4 4" xfId="27656" xr:uid="{00000000-0005-0000-0000-00003C7A0000}"/>
    <cellStyle name="Normal 57 3 2 2 5 5" xfId="6745" xr:uid="{00000000-0005-0000-0000-00003D7A0000}"/>
    <cellStyle name="Normal 57 3 2 2 5 5 2" xfId="15572" xr:uid="{00000000-0005-0000-0000-00003E7A0000}"/>
    <cellStyle name="Normal 57 3 2 2 5 5 2 2" xfId="41127" xr:uid="{00000000-0005-0000-0000-00003F7A0000}"/>
    <cellStyle name="Normal 57 3 2 2 5 5 3" xfId="25823" xr:uid="{00000000-0005-0000-0000-0000407A0000}"/>
    <cellStyle name="Normal 57 3 2 2 5 5 3 2" xfId="51376" xr:uid="{00000000-0005-0000-0000-0000417A0000}"/>
    <cellStyle name="Normal 57 3 2 2 5 5 4" xfId="32306" xr:uid="{00000000-0005-0000-0000-0000427A0000}"/>
    <cellStyle name="Normal 57 3 2 2 5 6" xfId="8191" xr:uid="{00000000-0005-0000-0000-0000437A0000}"/>
    <cellStyle name="Normal 57 3 2 2 5 6 2" xfId="20581" xr:uid="{00000000-0005-0000-0000-0000447A0000}"/>
    <cellStyle name="Normal 57 3 2 2 5 6 2 2" xfId="46134" xr:uid="{00000000-0005-0000-0000-0000457A0000}"/>
    <cellStyle name="Normal 57 3 2 2 5 6 3" xfId="33748" xr:uid="{00000000-0005-0000-0000-0000467A0000}"/>
    <cellStyle name="Normal 57 3 2 2 5 7" xfId="16166" xr:uid="{00000000-0005-0000-0000-0000477A0000}"/>
    <cellStyle name="Normal 57 3 2 2 5 7 2" xfId="41719" xr:uid="{00000000-0005-0000-0000-0000487A0000}"/>
    <cellStyle name="Normal 57 3 2 2 5 8" xfId="27064" xr:uid="{00000000-0005-0000-0000-0000497A0000}"/>
    <cellStyle name="Normal 57 3 2 2 6" xfId="2695" xr:uid="{00000000-0005-0000-0000-00004A7A0000}"/>
    <cellStyle name="Normal 57 3 2 2 6 2" xfId="12012" xr:uid="{00000000-0005-0000-0000-00004B7A0000}"/>
    <cellStyle name="Normal 57 3 2 2 6 2 2" xfId="22056" xr:uid="{00000000-0005-0000-0000-00004C7A0000}"/>
    <cellStyle name="Normal 57 3 2 2 6 2 2 2" xfId="47609" xr:uid="{00000000-0005-0000-0000-00004D7A0000}"/>
    <cellStyle name="Normal 57 3 2 2 6 2 3" xfId="37567" xr:uid="{00000000-0005-0000-0000-00004E7A0000}"/>
    <cellStyle name="Normal 57 3 2 2 6 3" xfId="8492" xr:uid="{00000000-0005-0000-0000-00004F7A0000}"/>
    <cellStyle name="Normal 57 3 2 2 6 3 2" xfId="34049" xr:uid="{00000000-0005-0000-0000-0000507A0000}"/>
    <cellStyle name="Normal 57 3 2 2 6 4" xfId="17049" xr:uid="{00000000-0005-0000-0000-0000517A0000}"/>
    <cellStyle name="Normal 57 3 2 2 6 4 2" xfId="42602" xr:uid="{00000000-0005-0000-0000-0000527A0000}"/>
    <cellStyle name="Normal 57 3 2 2 6 5" xfId="28539" xr:uid="{00000000-0005-0000-0000-0000537A0000}"/>
    <cellStyle name="Normal 57 3 2 2 7" xfId="4246" xr:uid="{00000000-0005-0000-0000-0000547A0000}"/>
    <cellStyle name="Normal 57 3 2 2 7 2" xfId="13084" xr:uid="{00000000-0005-0000-0000-0000557A0000}"/>
    <cellStyle name="Normal 57 3 2 2 7 2 2" xfId="23335" xr:uid="{00000000-0005-0000-0000-0000567A0000}"/>
    <cellStyle name="Normal 57 3 2 2 7 2 2 2" xfId="48888" xr:uid="{00000000-0005-0000-0000-0000577A0000}"/>
    <cellStyle name="Normal 57 3 2 2 7 2 3" xfId="38639" xr:uid="{00000000-0005-0000-0000-0000587A0000}"/>
    <cellStyle name="Normal 57 3 2 2 7 3" xfId="9505" xr:uid="{00000000-0005-0000-0000-0000597A0000}"/>
    <cellStyle name="Normal 57 3 2 2 7 3 2" xfId="35062" xr:uid="{00000000-0005-0000-0000-00005A7A0000}"/>
    <cellStyle name="Normal 57 3 2 2 7 4" xfId="18328" xr:uid="{00000000-0005-0000-0000-00005B7A0000}"/>
    <cellStyle name="Normal 57 3 2 2 7 4 2" xfId="43881" xr:uid="{00000000-0005-0000-0000-00005C7A0000}"/>
    <cellStyle name="Normal 57 3 2 2 7 5" xfId="29818" xr:uid="{00000000-0005-0000-0000-00005D7A0000}"/>
    <cellStyle name="Normal 57 3 2 2 8" xfId="1518" xr:uid="{00000000-0005-0000-0000-00005E7A0000}"/>
    <cellStyle name="Normal 57 3 2 2 8 2" xfId="10895" xr:uid="{00000000-0005-0000-0000-00005F7A0000}"/>
    <cellStyle name="Normal 57 3 2 2 8 2 2" xfId="36450" xr:uid="{00000000-0005-0000-0000-0000607A0000}"/>
    <cellStyle name="Normal 57 3 2 2 8 3" xfId="20899" xr:uid="{00000000-0005-0000-0000-0000617A0000}"/>
    <cellStyle name="Normal 57 3 2 2 8 3 2" xfId="46452" xr:uid="{00000000-0005-0000-0000-0000627A0000}"/>
    <cellStyle name="Normal 57 3 2 2 8 4" xfId="27382" xr:uid="{00000000-0005-0000-0000-0000637A0000}"/>
    <cellStyle name="Normal 57 3 2 2 9" xfId="5702" xr:uid="{00000000-0005-0000-0000-0000647A0000}"/>
    <cellStyle name="Normal 57 3 2 2 9 2" xfId="14529" xr:uid="{00000000-0005-0000-0000-0000657A0000}"/>
    <cellStyle name="Normal 57 3 2 2 9 2 2" xfId="40084" xr:uid="{00000000-0005-0000-0000-0000667A0000}"/>
    <cellStyle name="Normal 57 3 2 2 9 3" xfId="24780" xr:uid="{00000000-0005-0000-0000-0000677A0000}"/>
    <cellStyle name="Normal 57 3 2 2 9 3 2" xfId="50333" xr:uid="{00000000-0005-0000-0000-0000687A0000}"/>
    <cellStyle name="Normal 57 3 2 2 9 4" xfId="31263" xr:uid="{00000000-0005-0000-0000-0000697A0000}"/>
    <cellStyle name="Normal 57 3 2 2_Degree data" xfId="3937" xr:uid="{00000000-0005-0000-0000-00006A7A0000}"/>
    <cellStyle name="Normal 57 3 2 3" xfId="265" xr:uid="{00000000-0005-0000-0000-00006B7A0000}"/>
    <cellStyle name="Normal 57 3 2 3 10" xfId="7103" xr:uid="{00000000-0005-0000-0000-00006C7A0000}"/>
    <cellStyle name="Normal 57 3 2 3 10 2" xfId="19716" xr:uid="{00000000-0005-0000-0000-00006D7A0000}"/>
    <cellStyle name="Normal 57 3 2 3 10 2 2" xfId="45269" xr:uid="{00000000-0005-0000-0000-00006E7A0000}"/>
    <cellStyle name="Normal 57 3 2 3 10 3" xfId="32660" xr:uid="{00000000-0005-0000-0000-00006F7A0000}"/>
    <cellStyle name="Normal 57 3 2 3 11" xfId="15849" xr:uid="{00000000-0005-0000-0000-0000707A0000}"/>
    <cellStyle name="Normal 57 3 2 3 11 2" xfId="41402" xr:uid="{00000000-0005-0000-0000-0000717A0000}"/>
    <cellStyle name="Normal 57 3 2 3 12" xfId="26199" xr:uid="{00000000-0005-0000-0000-0000727A0000}"/>
    <cellStyle name="Normal 57 3 2 3 2" xfId="587" xr:uid="{00000000-0005-0000-0000-0000737A0000}"/>
    <cellStyle name="Normal 57 3 2 3 2 10" xfId="26516" xr:uid="{00000000-0005-0000-0000-0000747A0000}"/>
    <cellStyle name="Normal 57 3 2 3 2 2" xfId="834" xr:uid="{00000000-0005-0000-0000-0000757A0000}"/>
    <cellStyle name="Normal 57 3 2 3 2 2 2" xfId="3319" xr:uid="{00000000-0005-0000-0000-0000767A0000}"/>
    <cellStyle name="Normal 57 3 2 3 2 2 2 2" xfId="12461" xr:uid="{00000000-0005-0000-0000-0000777A0000}"/>
    <cellStyle name="Normal 57 3 2 3 2 2 2 2 2" xfId="22680" xr:uid="{00000000-0005-0000-0000-0000787A0000}"/>
    <cellStyle name="Normal 57 3 2 3 2 2 2 2 2 2" xfId="48233" xr:uid="{00000000-0005-0000-0000-0000797A0000}"/>
    <cellStyle name="Normal 57 3 2 3 2 2 2 2 3" xfId="38016" xr:uid="{00000000-0005-0000-0000-00007A7A0000}"/>
    <cellStyle name="Normal 57 3 2 3 2 2 2 3" xfId="8883" xr:uid="{00000000-0005-0000-0000-00007B7A0000}"/>
    <cellStyle name="Normal 57 3 2 3 2 2 2 3 2" xfId="34440" xr:uid="{00000000-0005-0000-0000-00007C7A0000}"/>
    <cellStyle name="Normal 57 3 2 3 2 2 2 4" xfId="17673" xr:uid="{00000000-0005-0000-0000-00007D7A0000}"/>
    <cellStyle name="Normal 57 3 2 3 2 2 2 4 2" xfId="43226" xr:uid="{00000000-0005-0000-0000-00007E7A0000}"/>
    <cellStyle name="Normal 57 3 2 3 2 2 2 5" xfId="29163" xr:uid="{00000000-0005-0000-0000-00007F7A0000}"/>
    <cellStyle name="Normal 57 3 2 3 2 2 3" xfId="4648" xr:uid="{00000000-0005-0000-0000-0000807A0000}"/>
    <cellStyle name="Normal 57 3 2 3 2 2 3 2" xfId="13486" xr:uid="{00000000-0005-0000-0000-0000817A0000}"/>
    <cellStyle name="Normal 57 3 2 3 2 2 3 2 2" xfId="23737" xr:uid="{00000000-0005-0000-0000-0000827A0000}"/>
    <cellStyle name="Normal 57 3 2 3 2 2 3 2 2 2" xfId="49290" xr:uid="{00000000-0005-0000-0000-0000837A0000}"/>
    <cellStyle name="Normal 57 3 2 3 2 2 3 2 3" xfId="39041" xr:uid="{00000000-0005-0000-0000-0000847A0000}"/>
    <cellStyle name="Normal 57 3 2 3 2 2 3 3" xfId="9907" xr:uid="{00000000-0005-0000-0000-0000857A0000}"/>
    <cellStyle name="Normal 57 3 2 3 2 2 3 3 2" xfId="35464" xr:uid="{00000000-0005-0000-0000-0000867A0000}"/>
    <cellStyle name="Normal 57 3 2 3 2 2 3 4" xfId="18730" xr:uid="{00000000-0005-0000-0000-0000877A0000}"/>
    <cellStyle name="Normal 57 3 2 3 2 2 3 4 2" xfId="44283" xr:uid="{00000000-0005-0000-0000-0000887A0000}"/>
    <cellStyle name="Normal 57 3 2 3 2 2 3 5" xfId="30220" xr:uid="{00000000-0005-0000-0000-0000897A0000}"/>
    <cellStyle name="Normal 57 3 2 3 2 2 4" xfId="2428" xr:uid="{00000000-0005-0000-0000-00008A7A0000}"/>
    <cellStyle name="Normal 57 3 2 3 2 2 4 2" xfId="11793" xr:uid="{00000000-0005-0000-0000-00008B7A0000}"/>
    <cellStyle name="Normal 57 3 2 3 2 2 4 2 2" xfId="37348" xr:uid="{00000000-0005-0000-0000-00008C7A0000}"/>
    <cellStyle name="Normal 57 3 2 3 2 2 4 3" xfId="21797" xr:uid="{00000000-0005-0000-0000-00008D7A0000}"/>
    <cellStyle name="Normal 57 3 2 3 2 2 4 3 2" xfId="47350" xr:uid="{00000000-0005-0000-0000-00008E7A0000}"/>
    <cellStyle name="Normal 57 3 2 3 2 2 4 4" xfId="28280" xr:uid="{00000000-0005-0000-0000-00008F7A0000}"/>
    <cellStyle name="Normal 57 3 2 3 2 2 5" xfId="6104" xr:uid="{00000000-0005-0000-0000-0000907A0000}"/>
    <cellStyle name="Normal 57 3 2 3 2 2 5 2" xfId="14931" xr:uid="{00000000-0005-0000-0000-0000917A0000}"/>
    <cellStyle name="Normal 57 3 2 3 2 2 5 2 2" xfId="40486" xr:uid="{00000000-0005-0000-0000-0000927A0000}"/>
    <cellStyle name="Normal 57 3 2 3 2 2 5 3" xfId="25182" xr:uid="{00000000-0005-0000-0000-0000937A0000}"/>
    <cellStyle name="Normal 57 3 2 3 2 2 5 3 2" xfId="50735" xr:uid="{00000000-0005-0000-0000-0000947A0000}"/>
    <cellStyle name="Normal 57 3 2 3 2 2 5 4" xfId="31665" xr:uid="{00000000-0005-0000-0000-0000957A0000}"/>
    <cellStyle name="Normal 57 3 2 3 2 2 6" xfId="7549" xr:uid="{00000000-0005-0000-0000-0000967A0000}"/>
    <cellStyle name="Normal 57 3 2 3 2 2 6 2" xfId="20279" xr:uid="{00000000-0005-0000-0000-0000977A0000}"/>
    <cellStyle name="Normal 57 3 2 3 2 2 6 2 2" xfId="45832" xr:uid="{00000000-0005-0000-0000-0000987A0000}"/>
    <cellStyle name="Normal 57 3 2 3 2 2 6 3" xfId="33106" xr:uid="{00000000-0005-0000-0000-0000997A0000}"/>
    <cellStyle name="Normal 57 3 2 3 2 2 7" xfId="16790" xr:uid="{00000000-0005-0000-0000-00009A7A0000}"/>
    <cellStyle name="Normal 57 3 2 3 2 2 7 2" xfId="42343" xr:uid="{00000000-0005-0000-0000-00009B7A0000}"/>
    <cellStyle name="Normal 57 3 2 3 2 2 8" xfId="26762" xr:uid="{00000000-0005-0000-0000-00009C7A0000}"/>
    <cellStyle name="Normal 57 3 2 3 2 3" xfId="1359" xr:uid="{00000000-0005-0000-0000-00009D7A0000}"/>
    <cellStyle name="Normal 57 3 2 3 2 3 2" xfId="3788" xr:uid="{00000000-0005-0000-0000-00009E7A0000}"/>
    <cellStyle name="Normal 57 3 2 3 2 3 2 2" xfId="12924" xr:uid="{00000000-0005-0000-0000-00009F7A0000}"/>
    <cellStyle name="Normal 57 3 2 3 2 3 2 2 2" xfId="23143" xr:uid="{00000000-0005-0000-0000-0000A07A0000}"/>
    <cellStyle name="Normal 57 3 2 3 2 3 2 2 2 2" xfId="48696" xr:uid="{00000000-0005-0000-0000-0000A17A0000}"/>
    <cellStyle name="Normal 57 3 2 3 2 3 2 2 3" xfId="38479" xr:uid="{00000000-0005-0000-0000-0000A27A0000}"/>
    <cellStyle name="Normal 57 3 2 3 2 3 2 3" xfId="9345" xr:uid="{00000000-0005-0000-0000-0000A37A0000}"/>
    <cellStyle name="Normal 57 3 2 3 2 3 2 3 2" xfId="34902" xr:uid="{00000000-0005-0000-0000-0000A47A0000}"/>
    <cellStyle name="Normal 57 3 2 3 2 3 2 4" xfId="18136" xr:uid="{00000000-0005-0000-0000-0000A57A0000}"/>
    <cellStyle name="Normal 57 3 2 3 2 3 2 4 2" xfId="43689" xr:uid="{00000000-0005-0000-0000-0000A67A0000}"/>
    <cellStyle name="Normal 57 3 2 3 2 3 2 5" xfId="29626" xr:uid="{00000000-0005-0000-0000-0000A77A0000}"/>
    <cellStyle name="Normal 57 3 2 3 2 3 3" xfId="4997" xr:uid="{00000000-0005-0000-0000-0000A87A0000}"/>
    <cellStyle name="Normal 57 3 2 3 2 3 3 2" xfId="13834" xr:uid="{00000000-0005-0000-0000-0000A97A0000}"/>
    <cellStyle name="Normal 57 3 2 3 2 3 3 2 2" xfId="24085" xr:uid="{00000000-0005-0000-0000-0000AA7A0000}"/>
    <cellStyle name="Normal 57 3 2 3 2 3 3 2 2 2" xfId="49638" xr:uid="{00000000-0005-0000-0000-0000AB7A0000}"/>
    <cellStyle name="Normal 57 3 2 3 2 3 3 2 3" xfId="39389" xr:uid="{00000000-0005-0000-0000-0000AC7A0000}"/>
    <cellStyle name="Normal 57 3 2 3 2 3 3 3" xfId="10255" xr:uid="{00000000-0005-0000-0000-0000AD7A0000}"/>
    <cellStyle name="Normal 57 3 2 3 2 3 3 3 2" xfId="35812" xr:uid="{00000000-0005-0000-0000-0000AE7A0000}"/>
    <cellStyle name="Normal 57 3 2 3 2 3 3 4" xfId="19078" xr:uid="{00000000-0005-0000-0000-0000AF7A0000}"/>
    <cellStyle name="Normal 57 3 2 3 2 3 3 4 2" xfId="44631" xr:uid="{00000000-0005-0000-0000-0000B07A0000}"/>
    <cellStyle name="Normal 57 3 2 3 2 3 3 5" xfId="30568" xr:uid="{00000000-0005-0000-0000-0000B17A0000}"/>
    <cellStyle name="Normal 57 3 2 3 2 3 4" xfId="2182" xr:uid="{00000000-0005-0000-0000-0000B27A0000}"/>
    <cellStyle name="Normal 57 3 2 3 2 3 4 2" xfId="11547" xr:uid="{00000000-0005-0000-0000-0000B37A0000}"/>
    <cellStyle name="Normal 57 3 2 3 2 3 4 2 2" xfId="37102" xr:uid="{00000000-0005-0000-0000-0000B47A0000}"/>
    <cellStyle name="Normal 57 3 2 3 2 3 4 3" xfId="21551" xr:uid="{00000000-0005-0000-0000-0000B57A0000}"/>
    <cellStyle name="Normal 57 3 2 3 2 3 4 3 2" xfId="47104" xr:uid="{00000000-0005-0000-0000-0000B67A0000}"/>
    <cellStyle name="Normal 57 3 2 3 2 3 4 4" xfId="28034" xr:uid="{00000000-0005-0000-0000-0000B77A0000}"/>
    <cellStyle name="Normal 57 3 2 3 2 3 5" xfId="6452" xr:uid="{00000000-0005-0000-0000-0000B87A0000}"/>
    <cellStyle name="Normal 57 3 2 3 2 3 5 2" xfId="15279" xr:uid="{00000000-0005-0000-0000-0000B97A0000}"/>
    <cellStyle name="Normal 57 3 2 3 2 3 5 2 2" xfId="40834" xr:uid="{00000000-0005-0000-0000-0000BA7A0000}"/>
    <cellStyle name="Normal 57 3 2 3 2 3 5 3" xfId="25530" xr:uid="{00000000-0005-0000-0000-0000BB7A0000}"/>
    <cellStyle name="Normal 57 3 2 3 2 3 5 3 2" xfId="51083" xr:uid="{00000000-0005-0000-0000-0000BC7A0000}"/>
    <cellStyle name="Normal 57 3 2 3 2 3 5 4" xfId="32013" xr:uid="{00000000-0005-0000-0000-0000BD7A0000}"/>
    <cellStyle name="Normal 57 3 2 3 2 3 6" xfId="7898" xr:uid="{00000000-0005-0000-0000-0000BE7A0000}"/>
    <cellStyle name="Normal 57 3 2 3 2 3 6 2" xfId="20742" xr:uid="{00000000-0005-0000-0000-0000BF7A0000}"/>
    <cellStyle name="Normal 57 3 2 3 2 3 6 2 2" xfId="46295" xr:uid="{00000000-0005-0000-0000-0000C07A0000}"/>
    <cellStyle name="Normal 57 3 2 3 2 3 6 3" xfId="33455" xr:uid="{00000000-0005-0000-0000-0000C17A0000}"/>
    <cellStyle name="Normal 57 3 2 3 2 3 7" xfId="16544" xr:uid="{00000000-0005-0000-0000-0000C27A0000}"/>
    <cellStyle name="Normal 57 3 2 3 2 3 7 2" xfId="42097" xr:uid="{00000000-0005-0000-0000-0000C37A0000}"/>
    <cellStyle name="Normal 57 3 2 3 2 3 8" xfId="27225" xr:uid="{00000000-0005-0000-0000-0000C47A0000}"/>
    <cellStyle name="Normal 57 3 2 3 2 4" xfId="3073" xr:uid="{00000000-0005-0000-0000-0000C57A0000}"/>
    <cellStyle name="Normal 57 3 2 3 2 4 2" xfId="5451" xr:uid="{00000000-0005-0000-0000-0000C67A0000}"/>
    <cellStyle name="Normal 57 3 2 3 2 4 2 2" xfId="14288" xr:uid="{00000000-0005-0000-0000-0000C77A0000}"/>
    <cellStyle name="Normal 57 3 2 3 2 4 2 2 2" xfId="24539" xr:uid="{00000000-0005-0000-0000-0000C87A0000}"/>
    <cellStyle name="Normal 57 3 2 3 2 4 2 2 2 2" xfId="50092" xr:uid="{00000000-0005-0000-0000-0000C97A0000}"/>
    <cellStyle name="Normal 57 3 2 3 2 4 2 2 3" xfId="39843" xr:uid="{00000000-0005-0000-0000-0000CA7A0000}"/>
    <cellStyle name="Normal 57 3 2 3 2 4 2 3" xfId="10709" xr:uid="{00000000-0005-0000-0000-0000CB7A0000}"/>
    <cellStyle name="Normal 57 3 2 3 2 4 2 3 2" xfId="36266" xr:uid="{00000000-0005-0000-0000-0000CC7A0000}"/>
    <cellStyle name="Normal 57 3 2 3 2 4 2 4" xfId="19532" xr:uid="{00000000-0005-0000-0000-0000CD7A0000}"/>
    <cellStyle name="Normal 57 3 2 3 2 4 2 4 2" xfId="45085" xr:uid="{00000000-0005-0000-0000-0000CE7A0000}"/>
    <cellStyle name="Normal 57 3 2 3 2 4 2 5" xfId="31022" xr:uid="{00000000-0005-0000-0000-0000CF7A0000}"/>
    <cellStyle name="Normal 57 3 2 3 2 4 3" xfId="6906" xr:uid="{00000000-0005-0000-0000-0000D07A0000}"/>
    <cellStyle name="Normal 57 3 2 3 2 4 3 2" xfId="15733" xr:uid="{00000000-0005-0000-0000-0000D17A0000}"/>
    <cellStyle name="Normal 57 3 2 3 2 4 3 2 2" xfId="41288" xr:uid="{00000000-0005-0000-0000-0000D27A0000}"/>
    <cellStyle name="Normal 57 3 2 3 2 4 3 3" xfId="25984" xr:uid="{00000000-0005-0000-0000-0000D37A0000}"/>
    <cellStyle name="Normal 57 3 2 3 2 4 3 3 2" xfId="51537" xr:uid="{00000000-0005-0000-0000-0000D47A0000}"/>
    <cellStyle name="Normal 57 3 2 3 2 4 3 4" xfId="32467" xr:uid="{00000000-0005-0000-0000-0000D57A0000}"/>
    <cellStyle name="Normal 57 3 2 3 2 4 4" xfId="8352" xr:uid="{00000000-0005-0000-0000-0000D67A0000}"/>
    <cellStyle name="Normal 57 3 2 3 2 4 4 2" xfId="22434" xr:uid="{00000000-0005-0000-0000-0000D77A0000}"/>
    <cellStyle name="Normal 57 3 2 3 2 4 4 2 2" xfId="47987" xr:uid="{00000000-0005-0000-0000-0000D87A0000}"/>
    <cellStyle name="Normal 57 3 2 3 2 4 4 3" xfId="33909" xr:uid="{00000000-0005-0000-0000-0000D97A0000}"/>
    <cellStyle name="Normal 57 3 2 3 2 4 5" xfId="17427" xr:uid="{00000000-0005-0000-0000-0000DA7A0000}"/>
    <cellStyle name="Normal 57 3 2 3 2 4 5 2" xfId="42980" xr:uid="{00000000-0005-0000-0000-0000DB7A0000}"/>
    <cellStyle name="Normal 57 3 2 3 2 4 6" xfId="28917" xr:uid="{00000000-0005-0000-0000-0000DC7A0000}"/>
    <cellStyle name="Normal 57 3 2 3 2 5" xfId="4407" xr:uid="{00000000-0005-0000-0000-0000DD7A0000}"/>
    <cellStyle name="Normal 57 3 2 3 2 5 2" xfId="13245" xr:uid="{00000000-0005-0000-0000-0000DE7A0000}"/>
    <cellStyle name="Normal 57 3 2 3 2 5 2 2" xfId="23496" xr:uid="{00000000-0005-0000-0000-0000DF7A0000}"/>
    <cellStyle name="Normal 57 3 2 3 2 5 2 2 2" xfId="49049" xr:uid="{00000000-0005-0000-0000-0000E07A0000}"/>
    <cellStyle name="Normal 57 3 2 3 2 5 2 3" xfId="38800" xr:uid="{00000000-0005-0000-0000-0000E17A0000}"/>
    <cellStyle name="Normal 57 3 2 3 2 5 3" xfId="9666" xr:uid="{00000000-0005-0000-0000-0000E27A0000}"/>
    <cellStyle name="Normal 57 3 2 3 2 5 3 2" xfId="35223" xr:uid="{00000000-0005-0000-0000-0000E37A0000}"/>
    <cellStyle name="Normal 57 3 2 3 2 5 4" xfId="18489" xr:uid="{00000000-0005-0000-0000-0000E47A0000}"/>
    <cellStyle name="Normal 57 3 2 3 2 5 4 2" xfId="44042" xr:uid="{00000000-0005-0000-0000-0000E57A0000}"/>
    <cellStyle name="Normal 57 3 2 3 2 5 5" xfId="29979" xr:uid="{00000000-0005-0000-0000-0000E67A0000}"/>
    <cellStyle name="Normal 57 3 2 3 2 6" xfId="1679" xr:uid="{00000000-0005-0000-0000-0000E77A0000}"/>
    <cellStyle name="Normal 57 3 2 3 2 6 2" xfId="11056" xr:uid="{00000000-0005-0000-0000-0000E87A0000}"/>
    <cellStyle name="Normal 57 3 2 3 2 6 2 2" xfId="36611" xr:uid="{00000000-0005-0000-0000-0000E97A0000}"/>
    <cellStyle name="Normal 57 3 2 3 2 6 3" xfId="21060" xr:uid="{00000000-0005-0000-0000-0000EA7A0000}"/>
    <cellStyle name="Normal 57 3 2 3 2 6 3 2" xfId="46613" xr:uid="{00000000-0005-0000-0000-0000EB7A0000}"/>
    <cellStyle name="Normal 57 3 2 3 2 6 4" xfId="27543" xr:uid="{00000000-0005-0000-0000-0000EC7A0000}"/>
    <cellStyle name="Normal 57 3 2 3 2 7" xfId="5863" xr:uid="{00000000-0005-0000-0000-0000ED7A0000}"/>
    <cellStyle name="Normal 57 3 2 3 2 7 2" xfId="14690" xr:uid="{00000000-0005-0000-0000-0000EE7A0000}"/>
    <cellStyle name="Normal 57 3 2 3 2 7 2 2" xfId="40245" xr:uid="{00000000-0005-0000-0000-0000EF7A0000}"/>
    <cellStyle name="Normal 57 3 2 3 2 7 3" xfId="24941" xr:uid="{00000000-0005-0000-0000-0000F07A0000}"/>
    <cellStyle name="Normal 57 3 2 3 2 7 3 2" xfId="50494" xr:uid="{00000000-0005-0000-0000-0000F17A0000}"/>
    <cellStyle name="Normal 57 3 2 3 2 7 4" xfId="31424" xr:uid="{00000000-0005-0000-0000-0000F27A0000}"/>
    <cellStyle name="Normal 57 3 2 3 2 8" xfId="7307" xr:uid="{00000000-0005-0000-0000-0000F37A0000}"/>
    <cellStyle name="Normal 57 3 2 3 2 8 2" xfId="20033" xr:uid="{00000000-0005-0000-0000-0000F47A0000}"/>
    <cellStyle name="Normal 57 3 2 3 2 8 2 2" xfId="45586" xr:uid="{00000000-0005-0000-0000-0000F57A0000}"/>
    <cellStyle name="Normal 57 3 2 3 2 8 3" xfId="32864" xr:uid="{00000000-0005-0000-0000-0000F67A0000}"/>
    <cellStyle name="Normal 57 3 2 3 2 9" xfId="16053" xr:uid="{00000000-0005-0000-0000-0000F77A0000}"/>
    <cellStyle name="Normal 57 3 2 3 2 9 2" xfId="41606" xr:uid="{00000000-0005-0000-0000-0000F87A0000}"/>
    <cellStyle name="Normal 57 3 2 3 2_Degree data" xfId="3940" xr:uid="{00000000-0005-0000-0000-0000F97A0000}"/>
    <cellStyle name="Normal 57 3 2 3 3" xfId="383" xr:uid="{00000000-0005-0000-0000-0000FA7A0000}"/>
    <cellStyle name="Normal 57 3 2 3 3 2" xfId="2869" xr:uid="{00000000-0005-0000-0000-0000FB7A0000}"/>
    <cellStyle name="Normal 57 3 2 3 3 2 2" xfId="12157" xr:uid="{00000000-0005-0000-0000-0000FC7A0000}"/>
    <cellStyle name="Normal 57 3 2 3 3 2 2 2" xfId="22230" xr:uid="{00000000-0005-0000-0000-0000FD7A0000}"/>
    <cellStyle name="Normal 57 3 2 3 3 2 2 2 2" xfId="47783" xr:uid="{00000000-0005-0000-0000-0000FE7A0000}"/>
    <cellStyle name="Normal 57 3 2 3 3 2 2 3" xfId="37712" xr:uid="{00000000-0005-0000-0000-0000FF7A0000}"/>
    <cellStyle name="Normal 57 3 2 3 3 2 3" xfId="8521" xr:uid="{00000000-0005-0000-0000-0000007B0000}"/>
    <cellStyle name="Normal 57 3 2 3 3 2 3 2" xfId="34078" xr:uid="{00000000-0005-0000-0000-0000017B0000}"/>
    <cellStyle name="Normal 57 3 2 3 3 2 4" xfId="17223" xr:uid="{00000000-0005-0000-0000-0000027B0000}"/>
    <cellStyle name="Normal 57 3 2 3 3 2 4 2" xfId="42776" xr:uid="{00000000-0005-0000-0000-0000037B0000}"/>
    <cellStyle name="Normal 57 3 2 3 3 2 5" xfId="28713" xr:uid="{00000000-0005-0000-0000-0000047B0000}"/>
    <cellStyle name="Normal 57 3 2 3 3 3" xfId="4647" xr:uid="{00000000-0005-0000-0000-0000057B0000}"/>
    <cellStyle name="Normal 57 3 2 3 3 3 2" xfId="13485" xr:uid="{00000000-0005-0000-0000-0000067B0000}"/>
    <cellStyle name="Normal 57 3 2 3 3 3 2 2" xfId="23736" xr:uid="{00000000-0005-0000-0000-0000077B0000}"/>
    <cellStyle name="Normal 57 3 2 3 3 3 2 2 2" xfId="49289" xr:uid="{00000000-0005-0000-0000-0000087B0000}"/>
    <cellStyle name="Normal 57 3 2 3 3 3 2 3" xfId="39040" xr:uid="{00000000-0005-0000-0000-0000097B0000}"/>
    <cellStyle name="Normal 57 3 2 3 3 3 3" xfId="9906" xr:uid="{00000000-0005-0000-0000-00000A7B0000}"/>
    <cellStyle name="Normal 57 3 2 3 3 3 3 2" xfId="35463" xr:uid="{00000000-0005-0000-0000-00000B7B0000}"/>
    <cellStyle name="Normal 57 3 2 3 3 3 4" xfId="18729" xr:uid="{00000000-0005-0000-0000-00000C7B0000}"/>
    <cellStyle name="Normal 57 3 2 3 3 3 4 2" xfId="44282" xr:uid="{00000000-0005-0000-0000-00000D7B0000}"/>
    <cellStyle name="Normal 57 3 2 3 3 3 5" xfId="30219" xr:uid="{00000000-0005-0000-0000-00000E7B0000}"/>
    <cellStyle name="Normal 57 3 2 3 3 4" xfId="1978" xr:uid="{00000000-0005-0000-0000-00000F7B0000}"/>
    <cellStyle name="Normal 57 3 2 3 3 4 2" xfId="11343" xr:uid="{00000000-0005-0000-0000-0000107B0000}"/>
    <cellStyle name="Normal 57 3 2 3 3 4 2 2" xfId="36898" xr:uid="{00000000-0005-0000-0000-0000117B0000}"/>
    <cellStyle name="Normal 57 3 2 3 3 4 3" xfId="21347" xr:uid="{00000000-0005-0000-0000-0000127B0000}"/>
    <cellStyle name="Normal 57 3 2 3 3 4 3 2" xfId="46900" xr:uid="{00000000-0005-0000-0000-0000137B0000}"/>
    <cellStyle name="Normal 57 3 2 3 3 4 4" xfId="27830" xr:uid="{00000000-0005-0000-0000-0000147B0000}"/>
    <cellStyle name="Normal 57 3 2 3 3 5" xfId="6103" xr:uid="{00000000-0005-0000-0000-0000157B0000}"/>
    <cellStyle name="Normal 57 3 2 3 3 5 2" xfId="14930" xr:uid="{00000000-0005-0000-0000-0000167B0000}"/>
    <cellStyle name="Normal 57 3 2 3 3 5 2 2" xfId="40485" xr:uid="{00000000-0005-0000-0000-0000177B0000}"/>
    <cellStyle name="Normal 57 3 2 3 3 5 3" xfId="25181" xr:uid="{00000000-0005-0000-0000-0000187B0000}"/>
    <cellStyle name="Normal 57 3 2 3 3 5 3 2" xfId="50734" xr:uid="{00000000-0005-0000-0000-0000197B0000}"/>
    <cellStyle name="Normal 57 3 2 3 3 5 4" xfId="31664" xr:uid="{00000000-0005-0000-0000-00001A7B0000}"/>
    <cellStyle name="Normal 57 3 2 3 3 6" xfId="7548" xr:uid="{00000000-0005-0000-0000-00001B7B0000}"/>
    <cellStyle name="Normal 57 3 2 3 3 6 2" xfId="19829" xr:uid="{00000000-0005-0000-0000-00001C7B0000}"/>
    <cellStyle name="Normal 57 3 2 3 3 6 2 2" xfId="45382" xr:uid="{00000000-0005-0000-0000-00001D7B0000}"/>
    <cellStyle name="Normal 57 3 2 3 3 6 3" xfId="33105" xr:uid="{00000000-0005-0000-0000-00001E7B0000}"/>
    <cellStyle name="Normal 57 3 2 3 3 7" xfId="16340" xr:uid="{00000000-0005-0000-0000-00001F7B0000}"/>
    <cellStyle name="Normal 57 3 2 3 3 7 2" xfId="41893" xr:uid="{00000000-0005-0000-0000-0000207B0000}"/>
    <cellStyle name="Normal 57 3 2 3 3 8" xfId="26312" xr:uid="{00000000-0005-0000-0000-0000217B0000}"/>
    <cellStyle name="Normal 57 3 2 3 4" xfId="833" xr:uid="{00000000-0005-0000-0000-0000227B0000}"/>
    <cellStyle name="Normal 57 3 2 3 4 2" xfId="3318" xr:uid="{00000000-0005-0000-0000-0000237B0000}"/>
    <cellStyle name="Normal 57 3 2 3 4 2 2" xfId="12460" xr:uid="{00000000-0005-0000-0000-0000247B0000}"/>
    <cellStyle name="Normal 57 3 2 3 4 2 2 2" xfId="22679" xr:uid="{00000000-0005-0000-0000-0000257B0000}"/>
    <cellStyle name="Normal 57 3 2 3 4 2 2 2 2" xfId="48232" xr:uid="{00000000-0005-0000-0000-0000267B0000}"/>
    <cellStyle name="Normal 57 3 2 3 4 2 2 3" xfId="38015" xr:uid="{00000000-0005-0000-0000-0000277B0000}"/>
    <cellStyle name="Normal 57 3 2 3 4 2 3" xfId="8882" xr:uid="{00000000-0005-0000-0000-0000287B0000}"/>
    <cellStyle name="Normal 57 3 2 3 4 2 3 2" xfId="34439" xr:uid="{00000000-0005-0000-0000-0000297B0000}"/>
    <cellStyle name="Normal 57 3 2 3 4 2 4" xfId="17672" xr:uid="{00000000-0005-0000-0000-00002A7B0000}"/>
    <cellStyle name="Normal 57 3 2 3 4 2 4 2" xfId="43225" xr:uid="{00000000-0005-0000-0000-00002B7B0000}"/>
    <cellStyle name="Normal 57 3 2 3 4 2 5" xfId="29162" xr:uid="{00000000-0005-0000-0000-00002C7B0000}"/>
    <cellStyle name="Normal 57 3 2 3 4 3" xfId="4996" xr:uid="{00000000-0005-0000-0000-00002D7B0000}"/>
    <cellStyle name="Normal 57 3 2 3 4 3 2" xfId="13833" xr:uid="{00000000-0005-0000-0000-00002E7B0000}"/>
    <cellStyle name="Normal 57 3 2 3 4 3 2 2" xfId="24084" xr:uid="{00000000-0005-0000-0000-00002F7B0000}"/>
    <cellStyle name="Normal 57 3 2 3 4 3 2 2 2" xfId="49637" xr:uid="{00000000-0005-0000-0000-0000307B0000}"/>
    <cellStyle name="Normal 57 3 2 3 4 3 2 3" xfId="39388" xr:uid="{00000000-0005-0000-0000-0000317B0000}"/>
    <cellStyle name="Normal 57 3 2 3 4 3 3" xfId="10254" xr:uid="{00000000-0005-0000-0000-0000327B0000}"/>
    <cellStyle name="Normal 57 3 2 3 4 3 3 2" xfId="35811" xr:uid="{00000000-0005-0000-0000-0000337B0000}"/>
    <cellStyle name="Normal 57 3 2 3 4 3 4" xfId="19077" xr:uid="{00000000-0005-0000-0000-0000347B0000}"/>
    <cellStyle name="Normal 57 3 2 3 4 3 4 2" xfId="44630" xr:uid="{00000000-0005-0000-0000-0000357B0000}"/>
    <cellStyle name="Normal 57 3 2 3 4 3 5" xfId="30567" xr:uid="{00000000-0005-0000-0000-0000367B0000}"/>
    <cellStyle name="Normal 57 3 2 3 4 4" xfId="2427" xr:uid="{00000000-0005-0000-0000-0000377B0000}"/>
    <cellStyle name="Normal 57 3 2 3 4 4 2" xfId="11792" xr:uid="{00000000-0005-0000-0000-0000387B0000}"/>
    <cellStyle name="Normal 57 3 2 3 4 4 2 2" xfId="37347" xr:uid="{00000000-0005-0000-0000-0000397B0000}"/>
    <cellStyle name="Normal 57 3 2 3 4 4 3" xfId="21796" xr:uid="{00000000-0005-0000-0000-00003A7B0000}"/>
    <cellStyle name="Normal 57 3 2 3 4 4 3 2" xfId="47349" xr:uid="{00000000-0005-0000-0000-00003B7B0000}"/>
    <cellStyle name="Normal 57 3 2 3 4 4 4" xfId="28279" xr:uid="{00000000-0005-0000-0000-00003C7B0000}"/>
    <cellStyle name="Normal 57 3 2 3 4 5" xfId="6451" xr:uid="{00000000-0005-0000-0000-00003D7B0000}"/>
    <cellStyle name="Normal 57 3 2 3 4 5 2" xfId="15278" xr:uid="{00000000-0005-0000-0000-00003E7B0000}"/>
    <cellStyle name="Normal 57 3 2 3 4 5 2 2" xfId="40833" xr:uid="{00000000-0005-0000-0000-00003F7B0000}"/>
    <cellStyle name="Normal 57 3 2 3 4 5 3" xfId="25529" xr:uid="{00000000-0005-0000-0000-0000407B0000}"/>
    <cellStyle name="Normal 57 3 2 3 4 5 3 2" xfId="51082" xr:uid="{00000000-0005-0000-0000-0000417B0000}"/>
    <cellStyle name="Normal 57 3 2 3 4 5 4" xfId="32012" xr:uid="{00000000-0005-0000-0000-0000427B0000}"/>
    <cellStyle name="Normal 57 3 2 3 4 6" xfId="7897" xr:uid="{00000000-0005-0000-0000-0000437B0000}"/>
    <cellStyle name="Normal 57 3 2 3 4 6 2" xfId="20278" xr:uid="{00000000-0005-0000-0000-0000447B0000}"/>
    <cellStyle name="Normal 57 3 2 3 4 6 2 2" xfId="45831" xr:uid="{00000000-0005-0000-0000-0000457B0000}"/>
    <cellStyle name="Normal 57 3 2 3 4 6 3" xfId="33454" xr:uid="{00000000-0005-0000-0000-0000467B0000}"/>
    <cellStyle name="Normal 57 3 2 3 4 7" xfId="16789" xr:uid="{00000000-0005-0000-0000-0000477B0000}"/>
    <cellStyle name="Normal 57 3 2 3 4 7 2" xfId="42342" xr:uid="{00000000-0005-0000-0000-0000487B0000}"/>
    <cellStyle name="Normal 57 3 2 3 4 8" xfId="26761" xr:uid="{00000000-0005-0000-0000-0000497B0000}"/>
    <cellStyle name="Normal 57 3 2 3 5" xfId="1155" xr:uid="{00000000-0005-0000-0000-00004A7B0000}"/>
    <cellStyle name="Normal 57 3 2 3 5 2" xfId="3584" xr:uid="{00000000-0005-0000-0000-00004B7B0000}"/>
    <cellStyle name="Normal 57 3 2 3 5 2 2" xfId="12720" xr:uid="{00000000-0005-0000-0000-00004C7B0000}"/>
    <cellStyle name="Normal 57 3 2 3 5 2 2 2" xfId="22939" xr:uid="{00000000-0005-0000-0000-00004D7B0000}"/>
    <cellStyle name="Normal 57 3 2 3 5 2 2 2 2" xfId="48492" xr:uid="{00000000-0005-0000-0000-00004E7B0000}"/>
    <cellStyle name="Normal 57 3 2 3 5 2 2 3" xfId="38275" xr:uid="{00000000-0005-0000-0000-00004F7B0000}"/>
    <cellStyle name="Normal 57 3 2 3 5 2 3" xfId="9141" xr:uid="{00000000-0005-0000-0000-0000507B0000}"/>
    <cellStyle name="Normal 57 3 2 3 5 2 3 2" xfId="34698" xr:uid="{00000000-0005-0000-0000-0000517B0000}"/>
    <cellStyle name="Normal 57 3 2 3 5 2 4" xfId="17932" xr:uid="{00000000-0005-0000-0000-0000527B0000}"/>
    <cellStyle name="Normal 57 3 2 3 5 2 4 2" xfId="43485" xr:uid="{00000000-0005-0000-0000-0000537B0000}"/>
    <cellStyle name="Normal 57 3 2 3 5 2 5" xfId="29422" xr:uid="{00000000-0005-0000-0000-0000547B0000}"/>
    <cellStyle name="Normal 57 3 2 3 5 3" xfId="5247" xr:uid="{00000000-0005-0000-0000-0000557B0000}"/>
    <cellStyle name="Normal 57 3 2 3 5 3 2" xfId="14084" xr:uid="{00000000-0005-0000-0000-0000567B0000}"/>
    <cellStyle name="Normal 57 3 2 3 5 3 2 2" xfId="24335" xr:uid="{00000000-0005-0000-0000-0000577B0000}"/>
    <cellStyle name="Normal 57 3 2 3 5 3 2 2 2" xfId="49888" xr:uid="{00000000-0005-0000-0000-0000587B0000}"/>
    <cellStyle name="Normal 57 3 2 3 5 3 2 3" xfId="39639" xr:uid="{00000000-0005-0000-0000-0000597B0000}"/>
    <cellStyle name="Normal 57 3 2 3 5 3 3" xfId="10505" xr:uid="{00000000-0005-0000-0000-00005A7B0000}"/>
    <cellStyle name="Normal 57 3 2 3 5 3 3 2" xfId="36062" xr:uid="{00000000-0005-0000-0000-00005B7B0000}"/>
    <cellStyle name="Normal 57 3 2 3 5 3 4" xfId="19328" xr:uid="{00000000-0005-0000-0000-00005C7B0000}"/>
    <cellStyle name="Normal 57 3 2 3 5 3 4 2" xfId="44881" xr:uid="{00000000-0005-0000-0000-00005D7B0000}"/>
    <cellStyle name="Normal 57 3 2 3 5 3 5" xfId="30818" xr:uid="{00000000-0005-0000-0000-00005E7B0000}"/>
    <cellStyle name="Normal 57 3 2 3 5 4" xfId="1862" xr:uid="{00000000-0005-0000-0000-00005F7B0000}"/>
    <cellStyle name="Normal 57 3 2 3 5 4 2" xfId="11230" xr:uid="{00000000-0005-0000-0000-0000607B0000}"/>
    <cellStyle name="Normal 57 3 2 3 5 4 2 2" xfId="36785" xr:uid="{00000000-0005-0000-0000-0000617B0000}"/>
    <cellStyle name="Normal 57 3 2 3 5 4 3" xfId="21234" xr:uid="{00000000-0005-0000-0000-0000627B0000}"/>
    <cellStyle name="Normal 57 3 2 3 5 4 3 2" xfId="46787" xr:uid="{00000000-0005-0000-0000-0000637B0000}"/>
    <cellStyle name="Normal 57 3 2 3 5 4 4" xfId="27717" xr:uid="{00000000-0005-0000-0000-0000647B0000}"/>
    <cellStyle name="Normal 57 3 2 3 5 5" xfId="6702" xr:uid="{00000000-0005-0000-0000-0000657B0000}"/>
    <cellStyle name="Normal 57 3 2 3 5 5 2" xfId="15529" xr:uid="{00000000-0005-0000-0000-0000667B0000}"/>
    <cellStyle name="Normal 57 3 2 3 5 5 2 2" xfId="41084" xr:uid="{00000000-0005-0000-0000-0000677B0000}"/>
    <cellStyle name="Normal 57 3 2 3 5 5 3" xfId="25780" xr:uid="{00000000-0005-0000-0000-0000687B0000}"/>
    <cellStyle name="Normal 57 3 2 3 5 5 3 2" xfId="51333" xr:uid="{00000000-0005-0000-0000-0000697B0000}"/>
    <cellStyle name="Normal 57 3 2 3 5 5 4" xfId="32263" xr:uid="{00000000-0005-0000-0000-00006A7B0000}"/>
    <cellStyle name="Normal 57 3 2 3 5 6" xfId="8148" xr:uid="{00000000-0005-0000-0000-00006B7B0000}"/>
    <cellStyle name="Normal 57 3 2 3 5 6 2" xfId="20538" xr:uid="{00000000-0005-0000-0000-00006C7B0000}"/>
    <cellStyle name="Normal 57 3 2 3 5 6 2 2" xfId="46091" xr:uid="{00000000-0005-0000-0000-00006D7B0000}"/>
    <cellStyle name="Normal 57 3 2 3 5 6 3" xfId="33705" xr:uid="{00000000-0005-0000-0000-00006E7B0000}"/>
    <cellStyle name="Normal 57 3 2 3 5 7" xfId="16227" xr:uid="{00000000-0005-0000-0000-00006F7B0000}"/>
    <cellStyle name="Normal 57 3 2 3 5 7 2" xfId="41780" xr:uid="{00000000-0005-0000-0000-0000707B0000}"/>
    <cellStyle name="Normal 57 3 2 3 5 8" xfId="27021" xr:uid="{00000000-0005-0000-0000-0000717B0000}"/>
    <cellStyle name="Normal 57 3 2 3 6" xfId="2756" xr:uid="{00000000-0005-0000-0000-0000727B0000}"/>
    <cellStyle name="Normal 57 3 2 3 6 2" xfId="12073" xr:uid="{00000000-0005-0000-0000-0000737B0000}"/>
    <cellStyle name="Normal 57 3 2 3 6 2 2" xfId="22117" xr:uid="{00000000-0005-0000-0000-0000747B0000}"/>
    <cellStyle name="Normal 57 3 2 3 6 2 2 2" xfId="47670" xr:uid="{00000000-0005-0000-0000-0000757B0000}"/>
    <cellStyle name="Normal 57 3 2 3 6 2 3" xfId="37628" xr:uid="{00000000-0005-0000-0000-0000767B0000}"/>
    <cellStyle name="Normal 57 3 2 3 6 3" xfId="8609" xr:uid="{00000000-0005-0000-0000-0000777B0000}"/>
    <cellStyle name="Normal 57 3 2 3 6 3 2" xfId="34166" xr:uid="{00000000-0005-0000-0000-0000787B0000}"/>
    <cellStyle name="Normal 57 3 2 3 6 4" xfId="17110" xr:uid="{00000000-0005-0000-0000-0000797B0000}"/>
    <cellStyle name="Normal 57 3 2 3 6 4 2" xfId="42663" xr:uid="{00000000-0005-0000-0000-00007A7B0000}"/>
    <cellStyle name="Normal 57 3 2 3 6 5" xfId="28600" xr:uid="{00000000-0005-0000-0000-00007B7B0000}"/>
    <cellStyle name="Normal 57 3 2 3 7" xfId="4203" xr:uid="{00000000-0005-0000-0000-00007C7B0000}"/>
    <cellStyle name="Normal 57 3 2 3 7 2" xfId="13041" xr:uid="{00000000-0005-0000-0000-00007D7B0000}"/>
    <cellStyle name="Normal 57 3 2 3 7 2 2" xfId="23292" xr:uid="{00000000-0005-0000-0000-00007E7B0000}"/>
    <cellStyle name="Normal 57 3 2 3 7 2 2 2" xfId="48845" xr:uid="{00000000-0005-0000-0000-00007F7B0000}"/>
    <cellStyle name="Normal 57 3 2 3 7 2 3" xfId="38596" xr:uid="{00000000-0005-0000-0000-0000807B0000}"/>
    <cellStyle name="Normal 57 3 2 3 7 3" xfId="9462" xr:uid="{00000000-0005-0000-0000-0000817B0000}"/>
    <cellStyle name="Normal 57 3 2 3 7 3 2" xfId="35019" xr:uid="{00000000-0005-0000-0000-0000827B0000}"/>
    <cellStyle name="Normal 57 3 2 3 7 4" xfId="18285" xr:uid="{00000000-0005-0000-0000-0000837B0000}"/>
    <cellStyle name="Normal 57 3 2 3 7 4 2" xfId="43838" xr:uid="{00000000-0005-0000-0000-0000847B0000}"/>
    <cellStyle name="Normal 57 3 2 3 7 5" xfId="29775" xr:uid="{00000000-0005-0000-0000-0000857B0000}"/>
    <cellStyle name="Normal 57 3 2 3 8" xfId="1475" xr:uid="{00000000-0005-0000-0000-0000867B0000}"/>
    <cellStyle name="Normal 57 3 2 3 8 2" xfId="10852" xr:uid="{00000000-0005-0000-0000-0000877B0000}"/>
    <cellStyle name="Normal 57 3 2 3 8 2 2" xfId="36407" xr:uid="{00000000-0005-0000-0000-0000887B0000}"/>
    <cellStyle name="Normal 57 3 2 3 8 3" xfId="20856" xr:uid="{00000000-0005-0000-0000-0000897B0000}"/>
    <cellStyle name="Normal 57 3 2 3 8 3 2" xfId="46409" xr:uid="{00000000-0005-0000-0000-00008A7B0000}"/>
    <cellStyle name="Normal 57 3 2 3 8 4" xfId="27339" xr:uid="{00000000-0005-0000-0000-00008B7B0000}"/>
    <cellStyle name="Normal 57 3 2 3 9" xfId="5659" xr:uid="{00000000-0005-0000-0000-00008C7B0000}"/>
    <cellStyle name="Normal 57 3 2 3 9 2" xfId="14486" xr:uid="{00000000-0005-0000-0000-00008D7B0000}"/>
    <cellStyle name="Normal 57 3 2 3 9 2 2" xfId="40041" xr:uid="{00000000-0005-0000-0000-00008E7B0000}"/>
    <cellStyle name="Normal 57 3 2 3 9 3" xfId="24737" xr:uid="{00000000-0005-0000-0000-00008F7B0000}"/>
    <cellStyle name="Normal 57 3 2 3 9 3 2" xfId="50290" xr:uid="{00000000-0005-0000-0000-0000907B0000}"/>
    <cellStyle name="Normal 57 3 2 3 9 4" xfId="31220" xr:uid="{00000000-0005-0000-0000-0000917B0000}"/>
    <cellStyle name="Normal 57 3 2 3_Degree data" xfId="3939" xr:uid="{00000000-0005-0000-0000-0000927B0000}"/>
    <cellStyle name="Normal 57 3 2 4" xfId="483" xr:uid="{00000000-0005-0000-0000-0000937B0000}"/>
    <cellStyle name="Normal 57 3 2 4 10" xfId="26412" xr:uid="{00000000-0005-0000-0000-0000947B0000}"/>
    <cellStyle name="Normal 57 3 2 4 2" xfId="835" xr:uid="{00000000-0005-0000-0000-0000957B0000}"/>
    <cellStyle name="Normal 57 3 2 4 2 2" xfId="3320" xr:uid="{00000000-0005-0000-0000-0000967B0000}"/>
    <cellStyle name="Normal 57 3 2 4 2 2 2" xfId="12462" xr:uid="{00000000-0005-0000-0000-0000977B0000}"/>
    <cellStyle name="Normal 57 3 2 4 2 2 2 2" xfId="22681" xr:uid="{00000000-0005-0000-0000-0000987B0000}"/>
    <cellStyle name="Normal 57 3 2 4 2 2 2 2 2" xfId="48234" xr:uid="{00000000-0005-0000-0000-0000997B0000}"/>
    <cellStyle name="Normal 57 3 2 4 2 2 2 3" xfId="38017" xr:uid="{00000000-0005-0000-0000-00009A7B0000}"/>
    <cellStyle name="Normal 57 3 2 4 2 2 3" xfId="8884" xr:uid="{00000000-0005-0000-0000-00009B7B0000}"/>
    <cellStyle name="Normal 57 3 2 4 2 2 3 2" xfId="34441" xr:uid="{00000000-0005-0000-0000-00009C7B0000}"/>
    <cellStyle name="Normal 57 3 2 4 2 2 4" xfId="17674" xr:uid="{00000000-0005-0000-0000-00009D7B0000}"/>
    <cellStyle name="Normal 57 3 2 4 2 2 4 2" xfId="43227" xr:uid="{00000000-0005-0000-0000-00009E7B0000}"/>
    <cellStyle name="Normal 57 3 2 4 2 2 5" xfId="29164" xr:uid="{00000000-0005-0000-0000-00009F7B0000}"/>
    <cellStyle name="Normal 57 3 2 4 2 3" xfId="4649" xr:uid="{00000000-0005-0000-0000-0000A07B0000}"/>
    <cellStyle name="Normal 57 3 2 4 2 3 2" xfId="13487" xr:uid="{00000000-0005-0000-0000-0000A17B0000}"/>
    <cellStyle name="Normal 57 3 2 4 2 3 2 2" xfId="23738" xr:uid="{00000000-0005-0000-0000-0000A27B0000}"/>
    <cellStyle name="Normal 57 3 2 4 2 3 2 2 2" xfId="49291" xr:uid="{00000000-0005-0000-0000-0000A37B0000}"/>
    <cellStyle name="Normal 57 3 2 4 2 3 2 3" xfId="39042" xr:uid="{00000000-0005-0000-0000-0000A47B0000}"/>
    <cellStyle name="Normal 57 3 2 4 2 3 3" xfId="9908" xr:uid="{00000000-0005-0000-0000-0000A57B0000}"/>
    <cellStyle name="Normal 57 3 2 4 2 3 3 2" xfId="35465" xr:uid="{00000000-0005-0000-0000-0000A67B0000}"/>
    <cellStyle name="Normal 57 3 2 4 2 3 4" xfId="18731" xr:uid="{00000000-0005-0000-0000-0000A77B0000}"/>
    <cellStyle name="Normal 57 3 2 4 2 3 4 2" xfId="44284" xr:uid="{00000000-0005-0000-0000-0000A87B0000}"/>
    <cellStyle name="Normal 57 3 2 4 2 3 5" xfId="30221" xr:uid="{00000000-0005-0000-0000-0000A97B0000}"/>
    <cellStyle name="Normal 57 3 2 4 2 4" xfId="2429" xr:uid="{00000000-0005-0000-0000-0000AA7B0000}"/>
    <cellStyle name="Normal 57 3 2 4 2 4 2" xfId="11794" xr:uid="{00000000-0005-0000-0000-0000AB7B0000}"/>
    <cellStyle name="Normal 57 3 2 4 2 4 2 2" xfId="37349" xr:uid="{00000000-0005-0000-0000-0000AC7B0000}"/>
    <cellStyle name="Normal 57 3 2 4 2 4 3" xfId="21798" xr:uid="{00000000-0005-0000-0000-0000AD7B0000}"/>
    <cellStyle name="Normal 57 3 2 4 2 4 3 2" xfId="47351" xr:uid="{00000000-0005-0000-0000-0000AE7B0000}"/>
    <cellStyle name="Normal 57 3 2 4 2 4 4" xfId="28281" xr:uid="{00000000-0005-0000-0000-0000AF7B0000}"/>
    <cellStyle name="Normal 57 3 2 4 2 5" xfId="6105" xr:uid="{00000000-0005-0000-0000-0000B07B0000}"/>
    <cellStyle name="Normal 57 3 2 4 2 5 2" xfId="14932" xr:uid="{00000000-0005-0000-0000-0000B17B0000}"/>
    <cellStyle name="Normal 57 3 2 4 2 5 2 2" xfId="40487" xr:uid="{00000000-0005-0000-0000-0000B27B0000}"/>
    <cellStyle name="Normal 57 3 2 4 2 5 3" xfId="25183" xr:uid="{00000000-0005-0000-0000-0000B37B0000}"/>
    <cellStyle name="Normal 57 3 2 4 2 5 3 2" xfId="50736" xr:uid="{00000000-0005-0000-0000-0000B47B0000}"/>
    <cellStyle name="Normal 57 3 2 4 2 5 4" xfId="31666" xr:uid="{00000000-0005-0000-0000-0000B57B0000}"/>
    <cellStyle name="Normal 57 3 2 4 2 6" xfId="7550" xr:uid="{00000000-0005-0000-0000-0000B67B0000}"/>
    <cellStyle name="Normal 57 3 2 4 2 6 2" xfId="20280" xr:uid="{00000000-0005-0000-0000-0000B77B0000}"/>
    <cellStyle name="Normal 57 3 2 4 2 6 2 2" xfId="45833" xr:uid="{00000000-0005-0000-0000-0000B87B0000}"/>
    <cellStyle name="Normal 57 3 2 4 2 6 3" xfId="33107" xr:uid="{00000000-0005-0000-0000-0000B97B0000}"/>
    <cellStyle name="Normal 57 3 2 4 2 7" xfId="16791" xr:uid="{00000000-0005-0000-0000-0000BA7B0000}"/>
    <cellStyle name="Normal 57 3 2 4 2 7 2" xfId="42344" xr:uid="{00000000-0005-0000-0000-0000BB7B0000}"/>
    <cellStyle name="Normal 57 3 2 4 2 8" xfId="26763" xr:uid="{00000000-0005-0000-0000-0000BC7B0000}"/>
    <cellStyle name="Normal 57 3 2 4 3" xfId="1255" xr:uid="{00000000-0005-0000-0000-0000BD7B0000}"/>
    <cellStyle name="Normal 57 3 2 4 3 2" xfId="3684" xr:uid="{00000000-0005-0000-0000-0000BE7B0000}"/>
    <cellStyle name="Normal 57 3 2 4 3 2 2" xfId="12820" xr:uid="{00000000-0005-0000-0000-0000BF7B0000}"/>
    <cellStyle name="Normal 57 3 2 4 3 2 2 2" xfId="23039" xr:uid="{00000000-0005-0000-0000-0000C07B0000}"/>
    <cellStyle name="Normal 57 3 2 4 3 2 2 2 2" xfId="48592" xr:uid="{00000000-0005-0000-0000-0000C17B0000}"/>
    <cellStyle name="Normal 57 3 2 4 3 2 2 3" xfId="38375" xr:uid="{00000000-0005-0000-0000-0000C27B0000}"/>
    <cellStyle name="Normal 57 3 2 4 3 2 3" xfId="9241" xr:uid="{00000000-0005-0000-0000-0000C37B0000}"/>
    <cellStyle name="Normal 57 3 2 4 3 2 3 2" xfId="34798" xr:uid="{00000000-0005-0000-0000-0000C47B0000}"/>
    <cellStyle name="Normal 57 3 2 4 3 2 4" xfId="18032" xr:uid="{00000000-0005-0000-0000-0000C57B0000}"/>
    <cellStyle name="Normal 57 3 2 4 3 2 4 2" xfId="43585" xr:uid="{00000000-0005-0000-0000-0000C67B0000}"/>
    <cellStyle name="Normal 57 3 2 4 3 2 5" xfId="29522" xr:uid="{00000000-0005-0000-0000-0000C77B0000}"/>
    <cellStyle name="Normal 57 3 2 4 3 3" xfId="4998" xr:uid="{00000000-0005-0000-0000-0000C87B0000}"/>
    <cellStyle name="Normal 57 3 2 4 3 3 2" xfId="13835" xr:uid="{00000000-0005-0000-0000-0000C97B0000}"/>
    <cellStyle name="Normal 57 3 2 4 3 3 2 2" xfId="24086" xr:uid="{00000000-0005-0000-0000-0000CA7B0000}"/>
    <cellStyle name="Normal 57 3 2 4 3 3 2 2 2" xfId="49639" xr:uid="{00000000-0005-0000-0000-0000CB7B0000}"/>
    <cellStyle name="Normal 57 3 2 4 3 3 2 3" xfId="39390" xr:uid="{00000000-0005-0000-0000-0000CC7B0000}"/>
    <cellStyle name="Normal 57 3 2 4 3 3 3" xfId="10256" xr:uid="{00000000-0005-0000-0000-0000CD7B0000}"/>
    <cellStyle name="Normal 57 3 2 4 3 3 3 2" xfId="35813" xr:uid="{00000000-0005-0000-0000-0000CE7B0000}"/>
    <cellStyle name="Normal 57 3 2 4 3 3 4" xfId="19079" xr:uid="{00000000-0005-0000-0000-0000CF7B0000}"/>
    <cellStyle name="Normal 57 3 2 4 3 3 4 2" xfId="44632" xr:uid="{00000000-0005-0000-0000-0000D07B0000}"/>
    <cellStyle name="Normal 57 3 2 4 3 3 5" xfId="30569" xr:uid="{00000000-0005-0000-0000-0000D17B0000}"/>
    <cellStyle name="Normal 57 3 2 4 3 4" xfId="2078" xr:uid="{00000000-0005-0000-0000-0000D27B0000}"/>
    <cellStyle name="Normal 57 3 2 4 3 4 2" xfId="11443" xr:uid="{00000000-0005-0000-0000-0000D37B0000}"/>
    <cellStyle name="Normal 57 3 2 4 3 4 2 2" xfId="36998" xr:uid="{00000000-0005-0000-0000-0000D47B0000}"/>
    <cellStyle name="Normal 57 3 2 4 3 4 3" xfId="21447" xr:uid="{00000000-0005-0000-0000-0000D57B0000}"/>
    <cellStyle name="Normal 57 3 2 4 3 4 3 2" xfId="47000" xr:uid="{00000000-0005-0000-0000-0000D67B0000}"/>
    <cellStyle name="Normal 57 3 2 4 3 4 4" xfId="27930" xr:uid="{00000000-0005-0000-0000-0000D77B0000}"/>
    <cellStyle name="Normal 57 3 2 4 3 5" xfId="6453" xr:uid="{00000000-0005-0000-0000-0000D87B0000}"/>
    <cellStyle name="Normal 57 3 2 4 3 5 2" xfId="15280" xr:uid="{00000000-0005-0000-0000-0000D97B0000}"/>
    <cellStyle name="Normal 57 3 2 4 3 5 2 2" xfId="40835" xr:uid="{00000000-0005-0000-0000-0000DA7B0000}"/>
    <cellStyle name="Normal 57 3 2 4 3 5 3" xfId="25531" xr:uid="{00000000-0005-0000-0000-0000DB7B0000}"/>
    <cellStyle name="Normal 57 3 2 4 3 5 3 2" xfId="51084" xr:uid="{00000000-0005-0000-0000-0000DC7B0000}"/>
    <cellStyle name="Normal 57 3 2 4 3 5 4" xfId="32014" xr:uid="{00000000-0005-0000-0000-0000DD7B0000}"/>
    <cellStyle name="Normal 57 3 2 4 3 6" xfId="7899" xr:uid="{00000000-0005-0000-0000-0000DE7B0000}"/>
    <cellStyle name="Normal 57 3 2 4 3 6 2" xfId="20638" xr:uid="{00000000-0005-0000-0000-0000DF7B0000}"/>
    <cellStyle name="Normal 57 3 2 4 3 6 2 2" xfId="46191" xr:uid="{00000000-0005-0000-0000-0000E07B0000}"/>
    <cellStyle name="Normal 57 3 2 4 3 6 3" xfId="33456" xr:uid="{00000000-0005-0000-0000-0000E17B0000}"/>
    <cellStyle name="Normal 57 3 2 4 3 7" xfId="16440" xr:uid="{00000000-0005-0000-0000-0000E27B0000}"/>
    <cellStyle name="Normal 57 3 2 4 3 7 2" xfId="41993" xr:uid="{00000000-0005-0000-0000-0000E37B0000}"/>
    <cellStyle name="Normal 57 3 2 4 3 8" xfId="27121" xr:uid="{00000000-0005-0000-0000-0000E47B0000}"/>
    <cellStyle name="Normal 57 3 2 4 4" xfId="2969" xr:uid="{00000000-0005-0000-0000-0000E57B0000}"/>
    <cellStyle name="Normal 57 3 2 4 4 2" xfId="5347" xr:uid="{00000000-0005-0000-0000-0000E67B0000}"/>
    <cellStyle name="Normal 57 3 2 4 4 2 2" xfId="14184" xr:uid="{00000000-0005-0000-0000-0000E77B0000}"/>
    <cellStyle name="Normal 57 3 2 4 4 2 2 2" xfId="24435" xr:uid="{00000000-0005-0000-0000-0000E87B0000}"/>
    <cellStyle name="Normal 57 3 2 4 4 2 2 2 2" xfId="49988" xr:uid="{00000000-0005-0000-0000-0000E97B0000}"/>
    <cellStyle name="Normal 57 3 2 4 4 2 2 3" xfId="39739" xr:uid="{00000000-0005-0000-0000-0000EA7B0000}"/>
    <cellStyle name="Normal 57 3 2 4 4 2 3" xfId="10605" xr:uid="{00000000-0005-0000-0000-0000EB7B0000}"/>
    <cellStyle name="Normal 57 3 2 4 4 2 3 2" xfId="36162" xr:uid="{00000000-0005-0000-0000-0000EC7B0000}"/>
    <cellStyle name="Normal 57 3 2 4 4 2 4" xfId="19428" xr:uid="{00000000-0005-0000-0000-0000ED7B0000}"/>
    <cellStyle name="Normal 57 3 2 4 4 2 4 2" xfId="44981" xr:uid="{00000000-0005-0000-0000-0000EE7B0000}"/>
    <cellStyle name="Normal 57 3 2 4 4 2 5" xfId="30918" xr:uid="{00000000-0005-0000-0000-0000EF7B0000}"/>
    <cellStyle name="Normal 57 3 2 4 4 3" xfId="6802" xr:uid="{00000000-0005-0000-0000-0000F07B0000}"/>
    <cellStyle name="Normal 57 3 2 4 4 3 2" xfId="15629" xr:uid="{00000000-0005-0000-0000-0000F17B0000}"/>
    <cellStyle name="Normal 57 3 2 4 4 3 2 2" xfId="41184" xr:uid="{00000000-0005-0000-0000-0000F27B0000}"/>
    <cellStyle name="Normal 57 3 2 4 4 3 3" xfId="25880" xr:uid="{00000000-0005-0000-0000-0000F37B0000}"/>
    <cellStyle name="Normal 57 3 2 4 4 3 3 2" xfId="51433" xr:uid="{00000000-0005-0000-0000-0000F47B0000}"/>
    <cellStyle name="Normal 57 3 2 4 4 3 4" xfId="32363" xr:uid="{00000000-0005-0000-0000-0000F57B0000}"/>
    <cellStyle name="Normal 57 3 2 4 4 4" xfId="8248" xr:uid="{00000000-0005-0000-0000-0000F67B0000}"/>
    <cellStyle name="Normal 57 3 2 4 4 4 2" xfId="22330" xr:uid="{00000000-0005-0000-0000-0000F77B0000}"/>
    <cellStyle name="Normal 57 3 2 4 4 4 2 2" xfId="47883" xr:uid="{00000000-0005-0000-0000-0000F87B0000}"/>
    <cellStyle name="Normal 57 3 2 4 4 4 3" xfId="33805" xr:uid="{00000000-0005-0000-0000-0000F97B0000}"/>
    <cellStyle name="Normal 57 3 2 4 4 5" xfId="17323" xr:uid="{00000000-0005-0000-0000-0000FA7B0000}"/>
    <cellStyle name="Normal 57 3 2 4 4 5 2" xfId="42876" xr:uid="{00000000-0005-0000-0000-0000FB7B0000}"/>
    <cellStyle name="Normal 57 3 2 4 4 6" xfId="28813" xr:uid="{00000000-0005-0000-0000-0000FC7B0000}"/>
    <cellStyle name="Normal 57 3 2 4 5" xfId="4303" xr:uid="{00000000-0005-0000-0000-0000FD7B0000}"/>
    <cellStyle name="Normal 57 3 2 4 5 2" xfId="13141" xr:uid="{00000000-0005-0000-0000-0000FE7B0000}"/>
    <cellStyle name="Normal 57 3 2 4 5 2 2" xfId="23392" xr:uid="{00000000-0005-0000-0000-0000FF7B0000}"/>
    <cellStyle name="Normal 57 3 2 4 5 2 2 2" xfId="48945" xr:uid="{00000000-0005-0000-0000-0000007C0000}"/>
    <cellStyle name="Normal 57 3 2 4 5 2 3" xfId="38696" xr:uid="{00000000-0005-0000-0000-0000017C0000}"/>
    <cellStyle name="Normal 57 3 2 4 5 3" xfId="9562" xr:uid="{00000000-0005-0000-0000-0000027C0000}"/>
    <cellStyle name="Normal 57 3 2 4 5 3 2" xfId="35119" xr:uid="{00000000-0005-0000-0000-0000037C0000}"/>
    <cellStyle name="Normal 57 3 2 4 5 4" xfId="18385" xr:uid="{00000000-0005-0000-0000-0000047C0000}"/>
    <cellStyle name="Normal 57 3 2 4 5 4 2" xfId="43938" xr:uid="{00000000-0005-0000-0000-0000057C0000}"/>
    <cellStyle name="Normal 57 3 2 4 5 5" xfId="29875" xr:uid="{00000000-0005-0000-0000-0000067C0000}"/>
    <cellStyle name="Normal 57 3 2 4 6" xfId="1575" xr:uid="{00000000-0005-0000-0000-0000077C0000}"/>
    <cellStyle name="Normal 57 3 2 4 6 2" xfId="10952" xr:uid="{00000000-0005-0000-0000-0000087C0000}"/>
    <cellStyle name="Normal 57 3 2 4 6 2 2" xfId="36507" xr:uid="{00000000-0005-0000-0000-0000097C0000}"/>
    <cellStyle name="Normal 57 3 2 4 6 3" xfId="20956" xr:uid="{00000000-0005-0000-0000-00000A7C0000}"/>
    <cellStyle name="Normal 57 3 2 4 6 3 2" xfId="46509" xr:uid="{00000000-0005-0000-0000-00000B7C0000}"/>
    <cellStyle name="Normal 57 3 2 4 6 4" xfId="27439" xr:uid="{00000000-0005-0000-0000-00000C7C0000}"/>
    <cellStyle name="Normal 57 3 2 4 7" xfId="5759" xr:uid="{00000000-0005-0000-0000-00000D7C0000}"/>
    <cellStyle name="Normal 57 3 2 4 7 2" xfId="14586" xr:uid="{00000000-0005-0000-0000-00000E7C0000}"/>
    <cellStyle name="Normal 57 3 2 4 7 2 2" xfId="40141" xr:uid="{00000000-0005-0000-0000-00000F7C0000}"/>
    <cellStyle name="Normal 57 3 2 4 7 3" xfId="24837" xr:uid="{00000000-0005-0000-0000-0000107C0000}"/>
    <cellStyle name="Normal 57 3 2 4 7 3 2" xfId="50390" xr:uid="{00000000-0005-0000-0000-0000117C0000}"/>
    <cellStyle name="Normal 57 3 2 4 7 4" xfId="31320" xr:uid="{00000000-0005-0000-0000-0000127C0000}"/>
    <cellStyle name="Normal 57 3 2 4 8" xfId="7203" xr:uid="{00000000-0005-0000-0000-0000137C0000}"/>
    <cellStyle name="Normal 57 3 2 4 8 2" xfId="19929" xr:uid="{00000000-0005-0000-0000-0000147C0000}"/>
    <cellStyle name="Normal 57 3 2 4 8 2 2" xfId="45482" xr:uid="{00000000-0005-0000-0000-0000157C0000}"/>
    <cellStyle name="Normal 57 3 2 4 8 3" xfId="32760" xr:uid="{00000000-0005-0000-0000-0000167C0000}"/>
    <cellStyle name="Normal 57 3 2 4 9" xfId="15949" xr:uid="{00000000-0005-0000-0000-0000177C0000}"/>
    <cellStyle name="Normal 57 3 2 4 9 2" xfId="41502" xr:uid="{00000000-0005-0000-0000-0000187C0000}"/>
    <cellStyle name="Normal 57 3 2 4_Degree data" xfId="3941" xr:uid="{00000000-0005-0000-0000-0000197C0000}"/>
    <cellStyle name="Normal 57 3 2 5" xfId="326" xr:uid="{00000000-0005-0000-0000-00001A7C0000}"/>
    <cellStyle name="Normal 57 3 2 5 10" xfId="26255" xr:uid="{00000000-0005-0000-0000-00001B7C0000}"/>
    <cellStyle name="Normal 57 3 2 5 2" xfId="836" xr:uid="{00000000-0005-0000-0000-00001C7C0000}"/>
    <cellStyle name="Normal 57 3 2 5 2 2" xfId="3321" xr:uid="{00000000-0005-0000-0000-00001D7C0000}"/>
    <cellStyle name="Normal 57 3 2 5 2 2 2" xfId="12463" xr:uid="{00000000-0005-0000-0000-00001E7C0000}"/>
    <cellStyle name="Normal 57 3 2 5 2 2 2 2" xfId="22682" xr:uid="{00000000-0005-0000-0000-00001F7C0000}"/>
    <cellStyle name="Normal 57 3 2 5 2 2 2 2 2" xfId="48235" xr:uid="{00000000-0005-0000-0000-0000207C0000}"/>
    <cellStyle name="Normal 57 3 2 5 2 2 2 3" xfId="38018" xr:uid="{00000000-0005-0000-0000-0000217C0000}"/>
    <cellStyle name="Normal 57 3 2 5 2 2 3" xfId="8885" xr:uid="{00000000-0005-0000-0000-0000227C0000}"/>
    <cellStyle name="Normal 57 3 2 5 2 2 3 2" xfId="34442" xr:uid="{00000000-0005-0000-0000-0000237C0000}"/>
    <cellStyle name="Normal 57 3 2 5 2 2 4" xfId="17675" xr:uid="{00000000-0005-0000-0000-0000247C0000}"/>
    <cellStyle name="Normal 57 3 2 5 2 2 4 2" xfId="43228" xr:uid="{00000000-0005-0000-0000-0000257C0000}"/>
    <cellStyle name="Normal 57 3 2 5 2 2 5" xfId="29165" xr:uid="{00000000-0005-0000-0000-0000267C0000}"/>
    <cellStyle name="Normal 57 3 2 5 2 3" xfId="4650" xr:uid="{00000000-0005-0000-0000-0000277C0000}"/>
    <cellStyle name="Normal 57 3 2 5 2 3 2" xfId="13488" xr:uid="{00000000-0005-0000-0000-0000287C0000}"/>
    <cellStyle name="Normal 57 3 2 5 2 3 2 2" xfId="23739" xr:uid="{00000000-0005-0000-0000-0000297C0000}"/>
    <cellStyle name="Normal 57 3 2 5 2 3 2 2 2" xfId="49292" xr:uid="{00000000-0005-0000-0000-00002A7C0000}"/>
    <cellStyle name="Normal 57 3 2 5 2 3 2 3" xfId="39043" xr:uid="{00000000-0005-0000-0000-00002B7C0000}"/>
    <cellStyle name="Normal 57 3 2 5 2 3 3" xfId="9909" xr:uid="{00000000-0005-0000-0000-00002C7C0000}"/>
    <cellStyle name="Normal 57 3 2 5 2 3 3 2" xfId="35466" xr:uid="{00000000-0005-0000-0000-00002D7C0000}"/>
    <cellStyle name="Normal 57 3 2 5 2 3 4" xfId="18732" xr:uid="{00000000-0005-0000-0000-00002E7C0000}"/>
    <cellStyle name="Normal 57 3 2 5 2 3 4 2" xfId="44285" xr:uid="{00000000-0005-0000-0000-00002F7C0000}"/>
    <cellStyle name="Normal 57 3 2 5 2 3 5" xfId="30222" xr:uid="{00000000-0005-0000-0000-0000307C0000}"/>
    <cellStyle name="Normal 57 3 2 5 2 4" xfId="2430" xr:uid="{00000000-0005-0000-0000-0000317C0000}"/>
    <cellStyle name="Normal 57 3 2 5 2 4 2" xfId="11795" xr:uid="{00000000-0005-0000-0000-0000327C0000}"/>
    <cellStyle name="Normal 57 3 2 5 2 4 2 2" xfId="37350" xr:uid="{00000000-0005-0000-0000-0000337C0000}"/>
    <cellStyle name="Normal 57 3 2 5 2 4 3" xfId="21799" xr:uid="{00000000-0005-0000-0000-0000347C0000}"/>
    <cellStyle name="Normal 57 3 2 5 2 4 3 2" xfId="47352" xr:uid="{00000000-0005-0000-0000-0000357C0000}"/>
    <cellStyle name="Normal 57 3 2 5 2 4 4" xfId="28282" xr:uid="{00000000-0005-0000-0000-0000367C0000}"/>
    <cellStyle name="Normal 57 3 2 5 2 5" xfId="6106" xr:uid="{00000000-0005-0000-0000-0000377C0000}"/>
    <cellStyle name="Normal 57 3 2 5 2 5 2" xfId="14933" xr:uid="{00000000-0005-0000-0000-0000387C0000}"/>
    <cellStyle name="Normal 57 3 2 5 2 5 2 2" xfId="40488" xr:uid="{00000000-0005-0000-0000-0000397C0000}"/>
    <cellStyle name="Normal 57 3 2 5 2 5 3" xfId="25184" xr:uid="{00000000-0005-0000-0000-00003A7C0000}"/>
    <cellStyle name="Normal 57 3 2 5 2 5 3 2" xfId="50737" xr:uid="{00000000-0005-0000-0000-00003B7C0000}"/>
    <cellStyle name="Normal 57 3 2 5 2 5 4" xfId="31667" xr:uid="{00000000-0005-0000-0000-00003C7C0000}"/>
    <cellStyle name="Normal 57 3 2 5 2 6" xfId="7551" xr:uid="{00000000-0005-0000-0000-00003D7C0000}"/>
    <cellStyle name="Normal 57 3 2 5 2 6 2" xfId="20281" xr:uid="{00000000-0005-0000-0000-00003E7C0000}"/>
    <cellStyle name="Normal 57 3 2 5 2 6 2 2" xfId="45834" xr:uid="{00000000-0005-0000-0000-00003F7C0000}"/>
    <cellStyle name="Normal 57 3 2 5 2 6 3" xfId="33108" xr:uid="{00000000-0005-0000-0000-0000407C0000}"/>
    <cellStyle name="Normal 57 3 2 5 2 7" xfId="16792" xr:uid="{00000000-0005-0000-0000-0000417C0000}"/>
    <cellStyle name="Normal 57 3 2 5 2 7 2" xfId="42345" xr:uid="{00000000-0005-0000-0000-0000427C0000}"/>
    <cellStyle name="Normal 57 3 2 5 2 8" xfId="26764" xr:uid="{00000000-0005-0000-0000-0000437C0000}"/>
    <cellStyle name="Normal 57 3 2 5 3" xfId="1098" xr:uid="{00000000-0005-0000-0000-0000447C0000}"/>
    <cellStyle name="Normal 57 3 2 5 3 2" xfId="3527" xr:uid="{00000000-0005-0000-0000-0000457C0000}"/>
    <cellStyle name="Normal 57 3 2 5 3 2 2" xfId="12663" xr:uid="{00000000-0005-0000-0000-0000467C0000}"/>
    <cellStyle name="Normal 57 3 2 5 3 2 2 2" xfId="22882" xr:uid="{00000000-0005-0000-0000-0000477C0000}"/>
    <cellStyle name="Normal 57 3 2 5 3 2 2 2 2" xfId="48435" xr:uid="{00000000-0005-0000-0000-0000487C0000}"/>
    <cellStyle name="Normal 57 3 2 5 3 2 2 3" xfId="38218" xr:uid="{00000000-0005-0000-0000-0000497C0000}"/>
    <cellStyle name="Normal 57 3 2 5 3 2 3" xfId="9084" xr:uid="{00000000-0005-0000-0000-00004A7C0000}"/>
    <cellStyle name="Normal 57 3 2 5 3 2 3 2" xfId="34641" xr:uid="{00000000-0005-0000-0000-00004B7C0000}"/>
    <cellStyle name="Normal 57 3 2 5 3 2 4" xfId="17875" xr:uid="{00000000-0005-0000-0000-00004C7C0000}"/>
    <cellStyle name="Normal 57 3 2 5 3 2 4 2" xfId="43428" xr:uid="{00000000-0005-0000-0000-00004D7C0000}"/>
    <cellStyle name="Normal 57 3 2 5 3 2 5" xfId="29365" xr:uid="{00000000-0005-0000-0000-00004E7C0000}"/>
    <cellStyle name="Normal 57 3 2 5 3 3" xfId="4999" xr:uid="{00000000-0005-0000-0000-00004F7C0000}"/>
    <cellStyle name="Normal 57 3 2 5 3 3 2" xfId="13836" xr:uid="{00000000-0005-0000-0000-0000507C0000}"/>
    <cellStyle name="Normal 57 3 2 5 3 3 2 2" xfId="24087" xr:uid="{00000000-0005-0000-0000-0000517C0000}"/>
    <cellStyle name="Normal 57 3 2 5 3 3 2 2 2" xfId="49640" xr:uid="{00000000-0005-0000-0000-0000527C0000}"/>
    <cellStyle name="Normal 57 3 2 5 3 3 2 3" xfId="39391" xr:uid="{00000000-0005-0000-0000-0000537C0000}"/>
    <cellStyle name="Normal 57 3 2 5 3 3 3" xfId="10257" xr:uid="{00000000-0005-0000-0000-0000547C0000}"/>
    <cellStyle name="Normal 57 3 2 5 3 3 3 2" xfId="35814" xr:uid="{00000000-0005-0000-0000-0000557C0000}"/>
    <cellStyle name="Normal 57 3 2 5 3 3 4" xfId="19080" xr:uid="{00000000-0005-0000-0000-0000567C0000}"/>
    <cellStyle name="Normal 57 3 2 5 3 3 4 2" xfId="44633" xr:uid="{00000000-0005-0000-0000-0000577C0000}"/>
    <cellStyle name="Normal 57 3 2 5 3 3 5" xfId="30570" xr:uid="{00000000-0005-0000-0000-0000587C0000}"/>
    <cellStyle name="Normal 57 3 2 5 3 4" xfId="2590" xr:uid="{00000000-0005-0000-0000-0000597C0000}"/>
    <cellStyle name="Normal 57 3 2 5 3 4 2" xfId="11954" xr:uid="{00000000-0005-0000-0000-00005A7C0000}"/>
    <cellStyle name="Normal 57 3 2 5 3 4 2 2" xfId="37509" xr:uid="{00000000-0005-0000-0000-00005B7C0000}"/>
    <cellStyle name="Normal 57 3 2 5 3 4 3" xfId="21958" xr:uid="{00000000-0005-0000-0000-00005C7C0000}"/>
    <cellStyle name="Normal 57 3 2 5 3 4 3 2" xfId="47511" xr:uid="{00000000-0005-0000-0000-00005D7C0000}"/>
    <cellStyle name="Normal 57 3 2 5 3 4 4" xfId="28441" xr:uid="{00000000-0005-0000-0000-00005E7C0000}"/>
    <cellStyle name="Normal 57 3 2 5 3 5" xfId="6454" xr:uid="{00000000-0005-0000-0000-00005F7C0000}"/>
    <cellStyle name="Normal 57 3 2 5 3 5 2" xfId="15281" xr:uid="{00000000-0005-0000-0000-0000607C0000}"/>
    <cellStyle name="Normal 57 3 2 5 3 5 2 2" xfId="40836" xr:uid="{00000000-0005-0000-0000-0000617C0000}"/>
    <cellStyle name="Normal 57 3 2 5 3 5 3" xfId="25532" xr:uid="{00000000-0005-0000-0000-0000627C0000}"/>
    <cellStyle name="Normal 57 3 2 5 3 5 3 2" xfId="51085" xr:uid="{00000000-0005-0000-0000-0000637C0000}"/>
    <cellStyle name="Normal 57 3 2 5 3 5 4" xfId="32015" xr:uid="{00000000-0005-0000-0000-0000647C0000}"/>
    <cellStyle name="Normal 57 3 2 5 3 6" xfId="7900" xr:uid="{00000000-0005-0000-0000-0000657C0000}"/>
    <cellStyle name="Normal 57 3 2 5 3 6 2" xfId="20481" xr:uid="{00000000-0005-0000-0000-0000667C0000}"/>
    <cellStyle name="Normal 57 3 2 5 3 6 2 2" xfId="46034" xr:uid="{00000000-0005-0000-0000-0000677C0000}"/>
    <cellStyle name="Normal 57 3 2 5 3 6 3" xfId="33457" xr:uid="{00000000-0005-0000-0000-0000687C0000}"/>
    <cellStyle name="Normal 57 3 2 5 3 7" xfId="16951" xr:uid="{00000000-0005-0000-0000-0000697C0000}"/>
    <cellStyle name="Normal 57 3 2 5 3 7 2" xfId="42504" xr:uid="{00000000-0005-0000-0000-00006A7C0000}"/>
    <cellStyle name="Normal 57 3 2 5 3 8" xfId="26964" xr:uid="{00000000-0005-0000-0000-00006B7C0000}"/>
    <cellStyle name="Normal 57 3 2 5 4" xfId="2812" xr:uid="{00000000-0005-0000-0000-00006C7C0000}"/>
    <cellStyle name="Normal 57 3 2 5 4 2" xfId="5190" xr:uid="{00000000-0005-0000-0000-00006D7C0000}"/>
    <cellStyle name="Normal 57 3 2 5 4 2 2" xfId="14027" xr:uid="{00000000-0005-0000-0000-00006E7C0000}"/>
    <cellStyle name="Normal 57 3 2 5 4 2 2 2" xfId="24278" xr:uid="{00000000-0005-0000-0000-00006F7C0000}"/>
    <cellStyle name="Normal 57 3 2 5 4 2 2 2 2" xfId="49831" xr:uid="{00000000-0005-0000-0000-0000707C0000}"/>
    <cellStyle name="Normal 57 3 2 5 4 2 2 3" xfId="39582" xr:uid="{00000000-0005-0000-0000-0000717C0000}"/>
    <cellStyle name="Normal 57 3 2 5 4 2 3" xfId="10448" xr:uid="{00000000-0005-0000-0000-0000727C0000}"/>
    <cellStyle name="Normal 57 3 2 5 4 2 3 2" xfId="36005" xr:uid="{00000000-0005-0000-0000-0000737C0000}"/>
    <cellStyle name="Normal 57 3 2 5 4 2 4" xfId="19271" xr:uid="{00000000-0005-0000-0000-0000747C0000}"/>
    <cellStyle name="Normal 57 3 2 5 4 2 4 2" xfId="44824" xr:uid="{00000000-0005-0000-0000-0000757C0000}"/>
    <cellStyle name="Normal 57 3 2 5 4 2 5" xfId="30761" xr:uid="{00000000-0005-0000-0000-0000767C0000}"/>
    <cellStyle name="Normal 57 3 2 5 4 3" xfId="6645" xr:uid="{00000000-0005-0000-0000-0000777C0000}"/>
    <cellStyle name="Normal 57 3 2 5 4 3 2" xfId="15472" xr:uid="{00000000-0005-0000-0000-0000787C0000}"/>
    <cellStyle name="Normal 57 3 2 5 4 3 2 2" xfId="41027" xr:uid="{00000000-0005-0000-0000-0000797C0000}"/>
    <cellStyle name="Normal 57 3 2 5 4 3 3" xfId="25723" xr:uid="{00000000-0005-0000-0000-00007A7C0000}"/>
    <cellStyle name="Normal 57 3 2 5 4 3 3 2" xfId="51276" xr:uid="{00000000-0005-0000-0000-00007B7C0000}"/>
    <cellStyle name="Normal 57 3 2 5 4 3 4" xfId="32206" xr:uid="{00000000-0005-0000-0000-00007C7C0000}"/>
    <cellStyle name="Normal 57 3 2 5 4 4" xfId="8091" xr:uid="{00000000-0005-0000-0000-00007D7C0000}"/>
    <cellStyle name="Normal 57 3 2 5 4 4 2" xfId="22173" xr:uid="{00000000-0005-0000-0000-00007E7C0000}"/>
    <cellStyle name="Normal 57 3 2 5 4 4 2 2" xfId="47726" xr:uid="{00000000-0005-0000-0000-00007F7C0000}"/>
    <cellStyle name="Normal 57 3 2 5 4 4 3" xfId="33648" xr:uid="{00000000-0005-0000-0000-0000807C0000}"/>
    <cellStyle name="Normal 57 3 2 5 4 5" xfId="17166" xr:uid="{00000000-0005-0000-0000-0000817C0000}"/>
    <cellStyle name="Normal 57 3 2 5 4 5 2" xfId="42719" xr:uid="{00000000-0005-0000-0000-0000827C0000}"/>
    <cellStyle name="Normal 57 3 2 5 4 6" xfId="28656" xr:uid="{00000000-0005-0000-0000-0000837C0000}"/>
    <cellStyle name="Normal 57 3 2 5 5" xfId="4144" xr:uid="{00000000-0005-0000-0000-0000847C0000}"/>
    <cellStyle name="Normal 57 3 2 5 5 2" xfId="12982" xr:uid="{00000000-0005-0000-0000-0000857C0000}"/>
    <cellStyle name="Normal 57 3 2 5 5 2 2" xfId="23233" xr:uid="{00000000-0005-0000-0000-0000867C0000}"/>
    <cellStyle name="Normal 57 3 2 5 5 2 2 2" xfId="48786" xr:uid="{00000000-0005-0000-0000-0000877C0000}"/>
    <cellStyle name="Normal 57 3 2 5 5 2 3" xfId="38537" xr:uid="{00000000-0005-0000-0000-0000887C0000}"/>
    <cellStyle name="Normal 57 3 2 5 5 3" xfId="9403" xr:uid="{00000000-0005-0000-0000-0000897C0000}"/>
    <cellStyle name="Normal 57 3 2 5 5 3 2" xfId="34960" xr:uid="{00000000-0005-0000-0000-00008A7C0000}"/>
    <cellStyle name="Normal 57 3 2 5 5 4" xfId="18226" xr:uid="{00000000-0005-0000-0000-00008B7C0000}"/>
    <cellStyle name="Normal 57 3 2 5 5 4 2" xfId="43779" xr:uid="{00000000-0005-0000-0000-00008C7C0000}"/>
    <cellStyle name="Normal 57 3 2 5 5 5" xfId="29716" xr:uid="{00000000-0005-0000-0000-00008D7C0000}"/>
    <cellStyle name="Normal 57 3 2 5 6" xfId="1921" xr:uid="{00000000-0005-0000-0000-00008E7C0000}"/>
    <cellStyle name="Normal 57 3 2 5 6 2" xfId="11286" xr:uid="{00000000-0005-0000-0000-00008F7C0000}"/>
    <cellStyle name="Normal 57 3 2 5 6 2 2" xfId="36841" xr:uid="{00000000-0005-0000-0000-0000907C0000}"/>
    <cellStyle name="Normal 57 3 2 5 6 3" xfId="21290" xr:uid="{00000000-0005-0000-0000-0000917C0000}"/>
    <cellStyle name="Normal 57 3 2 5 6 3 2" xfId="46843" xr:uid="{00000000-0005-0000-0000-0000927C0000}"/>
    <cellStyle name="Normal 57 3 2 5 6 4" xfId="27773" xr:uid="{00000000-0005-0000-0000-0000937C0000}"/>
    <cellStyle name="Normal 57 3 2 5 7" xfId="5602" xr:uid="{00000000-0005-0000-0000-0000947C0000}"/>
    <cellStyle name="Normal 57 3 2 5 7 2" xfId="14429" xr:uid="{00000000-0005-0000-0000-0000957C0000}"/>
    <cellStyle name="Normal 57 3 2 5 7 2 2" xfId="39984" xr:uid="{00000000-0005-0000-0000-0000967C0000}"/>
    <cellStyle name="Normal 57 3 2 5 7 3" xfId="24680" xr:uid="{00000000-0005-0000-0000-0000977C0000}"/>
    <cellStyle name="Normal 57 3 2 5 7 3 2" xfId="50233" xr:uid="{00000000-0005-0000-0000-0000987C0000}"/>
    <cellStyle name="Normal 57 3 2 5 7 4" xfId="31163" xr:uid="{00000000-0005-0000-0000-0000997C0000}"/>
    <cellStyle name="Normal 57 3 2 5 8" xfId="7046" xr:uid="{00000000-0005-0000-0000-00009A7C0000}"/>
    <cellStyle name="Normal 57 3 2 5 8 2" xfId="19772" xr:uid="{00000000-0005-0000-0000-00009B7C0000}"/>
    <cellStyle name="Normal 57 3 2 5 8 2 2" xfId="45325" xr:uid="{00000000-0005-0000-0000-00009C7C0000}"/>
    <cellStyle name="Normal 57 3 2 5 8 3" xfId="32603" xr:uid="{00000000-0005-0000-0000-00009D7C0000}"/>
    <cellStyle name="Normal 57 3 2 5 9" xfId="16283" xr:uid="{00000000-0005-0000-0000-00009E7C0000}"/>
    <cellStyle name="Normal 57 3 2 5 9 2" xfId="41836" xr:uid="{00000000-0005-0000-0000-00009F7C0000}"/>
    <cellStyle name="Normal 57 3 2 5_Degree data" xfId="3942" xr:uid="{00000000-0005-0000-0000-0000A07C0000}"/>
    <cellStyle name="Normal 57 3 2 6" xfId="830" xr:uid="{00000000-0005-0000-0000-0000A17C0000}"/>
    <cellStyle name="Normal 57 3 2 6 2" xfId="3315" xr:uid="{00000000-0005-0000-0000-0000A27C0000}"/>
    <cellStyle name="Normal 57 3 2 6 2 2" xfId="12457" xr:uid="{00000000-0005-0000-0000-0000A37C0000}"/>
    <cellStyle name="Normal 57 3 2 6 2 2 2" xfId="22676" xr:uid="{00000000-0005-0000-0000-0000A47C0000}"/>
    <cellStyle name="Normal 57 3 2 6 2 2 2 2" xfId="48229" xr:uid="{00000000-0005-0000-0000-0000A57C0000}"/>
    <cellStyle name="Normal 57 3 2 6 2 2 3" xfId="38012" xr:uid="{00000000-0005-0000-0000-0000A67C0000}"/>
    <cellStyle name="Normal 57 3 2 6 2 3" xfId="8879" xr:uid="{00000000-0005-0000-0000-0000A77C0000}"/>
    <cellStyle name="Normal 57 3 2 6 2 3 2" xfId="34436" xr:uid="{00000000-0005-0000-0000-0000A87C0000}"/>
    <cellStyle name="Normal 57 3 2 6 2 4" xfId="17669" xr:uid="{00000000-0005-0000-0000-0000A97C0000}"/>
    <cellStyle name="Normal 57 3 2 6 2 4 2" xfId="43222" xr:uid="{00000000-0005-0000-0000-0000AA7C0000}"/>
    <cellStyle name="Normal 57 3 2 6 2 5" xfId="29159" xr:uid="{00000000-0005-0000-0000-0000AB7C0000}"/>
    <cellStyle name="Normal 57 3 2 6 3" xfId="4644" xr:uid="{00000000-0005-0000-0000-0000AC7C0000}"/>
    <cellStyle name="Normal 57 3 2 6 3 2" xfId="13482" xr:uid="{00000000-0005-0000-0000-0000AD7C0000}"/>
    <cellStyle name="Normal 57 3 2 6 3 2 2" xfId="23733" xr:uid="{00000000-0005-0000-0000-0000AE7C0000}"/>
    <cellStyle name="Normal 57 3 2 6 3 2 2 2" xfId="49286" xr:uid="{00000000-0005-0000-0000-0000AF7C0000}"/>
    <cellStyle name="Normal 57 3 2 6 3 2 3" xfId="39037" xr:uid="{00000000-0005-0000-0000-0000B07C0000}"/>
    <cellStyle name="Normal 57 3 2 6 3 3" xfId="9903" xr:uid="{00000000-0005-0000-0000-0000B17C0000}"/>
    <cellStyle name="Normal 57 3 2 6 3 3 2" xfId="35460" xr:uid="{00000000-0005-0000-0000-0000B27C0000}"/>
    <cellStyle name="Normal 57 3 2 6 3 4" xfId="18726" xr:uid="{00000000-0005-0000-0000-0000B37C0000}"/>
    <cellStyle name="Normal 57 3 2 6 3 4 2" xfId="44279" xr:uid="{00000000-0005-0000-0000-0000B47C0000}"/>
    <cellStyle name="Normal 57 3 2 6 3 5" xfId="30216" xr:uid="{00000000-0005-0000-0000-0000B57C0000}"/>
    <cellStyle name="Normal 57 3 2 6 4" xfId="2424" xr:uid="{00000000-0005-0000-0000-0000B67C0000}"/>
    <cellStyle name="Normal 57 3 2 6 4 2" xfId="11789" xr:uid="{00000000-0005-0000-0000-0000B77C0000}"/>
    <cellStyle name="Normal 57 3 2 6 4 2 2" xfId="37344" xr:uid="{00000000-0005-0000-0000-0000B87C0000}"/>
    <cellStyle name="Normal 57 3 2 6 4 3" xfId="21793" xr:uid="{00000000-0005-0000-0000-0000B97C0000}"/>
    <cellStyle name="Normal 57 3 2 6 4 3 2" xfId="47346" xr:uid="{00000000-0005-0000-0000-0000BA7C0000}"/>
    <cellStyle name="Normal 57 3 2 6 4 4" xfId="28276" xr:uid="{00000000-0005-0000-0000-0000BB7C0000}"/>
    <cellStyle name="Normal 57 3 2 6 5" xfId="6100" xr:uid="{00000000-0005-0000-0000-0000BC7C0000}"/>
    <cellStyle name="Normal 57 3 2 6 5 2" xfId="14927" xr:uid="{00000000-0005-0000-0000-0000BD7C0000}"/>
    <cellStyle name="Normal 57 3 2 6 5 2 2" xfId="40482" xr:uid="{00000000-0005-0000-0000-0000BE7C0000}"/>
    <cellStyle name="Normal 57 3 2 6 5 3" xfId="25178" xr:uid="{00000000-0005-0000-0000-0000BF7C0000}"/>
    <cellStyle name="Normal 57 3 2 6 5 3 2" xfId="50731" xr:uid="{00000000-0005-0000-0000-0000C07C0000}"/>
    <cellStyle name="Normal 57 3 2 6 5 4" xfId="31661" xr:uid="{00000000-0005-0000-0000-0000C17C0000}"/>
    <cellStyle name="Normal 57 3 2 6 6" xfId="7545" xr:uid="{00000000-0005-0000-0000-0000C27C0000}"/>
    <cellStyle name="Normal 57 3 2 6 6 2" xfId="20275" xr:uid="{00000000-0005-0000-0000-0000C37C0000}"/>
    <cellStyle name="Normal 57 3 2 6 6 2 2" xfId="45828" xr:uid="{00000000-0005-0000-0000-0000C47C0000}"/>
    <cellStyle name="Normal 57 3 2 6 6 3" xfId="33102" xr:uid="{00000000-0005-0000-0000-0000C57C0000}"/>
    <cellStyle name="Normal 57 3 2 6 7" xfId="16786" xr:uid="{00000000-0005-0000-0000-0000C67C0000}"/>
    <cellStyle name="Normal 57 3 2 6 7 2" xfId="42339" xr:uid="{00000000-0005-0000-0000-0000C77C0000}"/>
    <cellStyle name="Normal 57 3 2 6 8" xfId="26758" xr:uid="{00000000-0005-0000-0000-0000C87C0000}"/>
    <cellStyle name="Normal 57 3 2 7" xfId="1053" xr:uid="{00000000-0005-0000-0000-0000C97C0000}"/>
    <cellStyle name="Normal 57 3 2 7 2" xfId="3482" xr:uid="{00000000-0005-0000-0000-0000CA7C0000}"/>
    <cellStyle name="Normal 57 3 2 7 2 2" xfId="12618" xr:uid="{00000000-0005-0000-0000-0000CB7C0000}"/>
    <cellStyle name="Normal 57 3 2 7 2 2 2" xfId="22837" xr:uid="{00000000-0005-0000-0000-0000CC7C0000}"/>
    <cellStyle name="Normal 57 3 2 7 2 2 2 2" xfId="48390" xr:uid="{00000000-0005-0000-0000-0000CD7C0000}"/>
    <cellStyle name="Normal 57 3 2 7 2 2 3" xfId="38173" xr:uid="{00000000-0005-0000-0000-0000CE7C0000}"/>
    <cellStyle name="Normal 57 3 2 7 2 3" xfId="9040" xr:uid="{00000000-0005-0000-0000-0000CF7C0000}"/>
    <cellStyle name="Normal 57 3 2 7 2 3 2" xfId="34597" xr:uid="{00000000-0005-0000-0000-0000D07C0000}"/>
    <cellStyle name="Normal 57 3 2 7 2 4" xfId="17830" xr:uid="{00000000-0005-0000-0000-0000D17C0000}"/>
    <cellStyle name="Normal 57 3 2 7 2 4 2" xfId="43383" xr:uid="{00000000-0005-0000-0000-0000D27C0000}"/>
    <cellStyle name="Normal 57 3 2 7 2 5" xfId="29320" xr:uid="{00000000-0005-0000-0000-0000D37C0000}"/>
    <cellStyle name="Normal 57 3 2 7 3" xfId="4993" xr:uid="{00000000-0005-0000-0000-0000D47C0000}"/>
    <cellStyle name="Normal 57 3 2 7 3 2" xfId="13830" xr:uid="{00000000-0005-0000-0000-0000D57C0000}"/>
    <cellStyle name="Normal 57 3 2 7 3 2 2" xfId="24081" xr:uid="{00000000-0005-0000-0000-0000D67C0000}"/>
    <cellStyle name="Normal 57 3 2 7 3 2 2 2" xfId="49634" xr:uid="{00000000-0005-0000-0000-0000D77C0000}"/>
    <cellStyle name="Normal 57 3 2 7 3 2 3" xfId="39385" xr:uid="{00000000-0005-0000-0000-0000D87C0000}"/>
    <cellStyle name="Normal 57 3 2 7 3 3" xfId="10251" xr:uid="{00000000-0005-0000-0000-0000D97C0000}"/>
    <cellStyle name="Normal 57 3 2 7 3 3 2" xfId="35808" xr:uid="{00000000-0005-0000-0000-0000DA7C0000}"/>
    <cellStyle name="Normal 57 3 2 7 3 4" xfId="19074" xr:uid="{00000000-0005-0000-0000-0000DB7C0000}"/>
    <cellStyle name="Normal 57 3 2 7 3 4 2" xfId="44627" xr:uid="{00000000-0005-0000-0000-0000DC7C0000}"/>
    <cellStyle name="Normal 57 3 2 7 3 5" xfId="30564" xr:uid="{00000000-0005-0000-0000-0000DD7C0000}"/>
    <cellStyle name="Normal 57 3 2 7 4" xfId="1755" xr:uid="{00000000-0005-0000-0000-0000DE7C0000}"/>
    <cellStyle name="Normal 57 3 2 7 4 2" xfId="11126" xr:uid="{00000000-0005-0000-0000-0000DF7C0000}"/>
    <cellStyle name="Normal 57 3 2 7 4 2 2" xfId="36681" xr:uid="{00000000-0005-0000-0000-0000E07C0000}"/>
    <cellStyle name="Normal 57 3 2 7 4 3" xfId="21130" xr:uid="{00000000-0005-0000-0000-0000E17C0000}"/>
    <cellStyle name="Normal 57 3 2 7 4 3 2" xfId="46683" xr:uid="{00000000-0005-0000-0000-0000E27C0000}"/>
    <cellStyle name="Normal 57 3 2 7 4 4" xfId="27613" xr:uid="{00000000-0005-0000-0000-0000E37C0000}"/>
    <cellStyle name="Normal 57 3 2 7 5" xfId="6448" xr:uid="{00000000-0005-0000-0000-0000E47C0000}"/>
    <cellStyle name="Normal 57 3 2 7 5 2" xfId="15275" xr:uid="{00000000-0005-0000-0000-0000E57C0000}"/>
    <cellStyle name="Normal 57 3 2 7 5 2 2" xfId="40830" xr:uid="{00000000-0005-0000-0000-0000E67C0000}"/>
    <cellStyle name="Normal 57 3 2 7 5 3" xfId="25526" xr:uid="{00000000-0005-0000-0000-0000E77C0000}"/>
    <cellStyle name="Normal 57 3 2 7 5 3 2" xfId="51079" xr:uid="{00000000-0005-0000-0000-0000E87C0000}"/>
    <cellStyle name="Normal 57 3 2 7 5 4" xfId="32009" xr:uid="{00000000-0005-0000-0000-0000E97C0000}"/>
    <cellStyle name="Normal 57 3 2 7 6" xfId="7894" xr:uid="{00000000-0005-0000-0000-0000EA7C0000}"/>
    <cellStyle name="Normal 57 3 2 7 6 2" xfId="20436" xr:uid="{00000000-0005-0000-0000-0000EB7C0000}"/>
    <cellStyle name="Normal 57 3 2 7 6 2 2" xfId="45989" xr:uid="{00000000-0005-0000-0000-0000EC7C0000}"/>
    <cellStyle name="Normal 57 3 2 7 6 3" xfId="33451" xr:uid="{00000000-0005-0000-0000-0000ED7C0000}"/>
    <cellStyle name="Normal 57 3 2 7 7" xfId="16123" xr:uid="{00000000-0005-0000-0000-0000EE7C0000}"/>
    <cellStyle name="Normal 57 3 2 7 7 2" xfId="41676" xr:uid="{00000000-0005-0000-0000-0000EF7C0000}"/>
    <cellStyle name="Normal 57 3 2 7 8" xfId="26919" xr:uid="{00000000-0005-0000-0000-0000F07C0000}"/>
    <cellStyle name="Normal 57 3 2 8" xfId="2652" xr:uid="{00000000-0005-0000-0000-0000F17C0000}"/>
    <cellStyle name="Normal 57 3 2 8 2" xfId="5145" xr:uid="{00000000-0005-0000-0000-0000F27C0000}"/>
    <cellStyle name="Normal 57 3 2 8 2 2" xfId="13982" xr:uid="{00000000-0005-0000-0000-0000F37C0000}"/>
    <cellStyle name="Normal 57 3 2 8 2 2 2" xfId="24233" xr:uid="{00000000-0005-0000-0000-0000F47C0000}"/>
    <cellStyle name="Normal 57 3 2 8 2 2 2 2" xfId="49786" xr:uid="{00000000-0005-0000-0000-0000F57C0000}"/>
    <cellStyle name="Normal 57 3 2 8 2 2 3" xfId="39537" xr:uid="{00000000-0005-0000-0000-0000F67C0000}"/>
    <cellStyle name="Normal 57 3 2 8 2 3" xfId="10403" xr:uid="{00000000-0005-0000-0000-0000F77C0000}"/>
    <cellStyle name="Normal 57 3 2 8 2 3 2" xfId="35960" xr:uid="{00000000-0005-0000-0000-0000F87C0000}"/>
    <cellStyle name="Normal 57 3 2 8 2 4" xfId="19226" xr:uid="{00000000-0005-0000-0000-0000F97C0000}"/>
    <cellStyle name="Normal 57 3 2 8 2 4 2" xfId="44779" xr:uid="{00000000-0005-0000-0000-0000FA7C0000}"/>
    <cellStyle name="Normal 57 3 2 8 2 5" xfId="30716" xr:uid="{00000000-0005-0000-0000-0000FB7C0000}"/>
    <cellStyle name="Normal 57 3 2 8 3" xfId="6600" xr:uid="{00000000-0005-0000-0000-0000FC7C0000}"/>
    <cellStyle name="Normal 57 3 2 8 3 2" xfId="15427" xr:uid="{00000000-0005-0000-0000-0000FD7C0000}"/>
    <cellStyle name="Normal 57 3 2 8 3 2 2" xfId="40982" xr:uid="{00000000-0005-0000-0000-0000FE7C0000}"/>
    <cellStyle name="Normal 57 3 2 8 3 3" xfId="25678" xr:uid="{00000000-0005-0000-0000-0000FF7C0000}"/>
    <cellStyle name="Normal 57 3 2 8 3 3 2" xfId="51231" xr:uid="{00000000-0005-0000-0000-0000007D0000}"/>
    <cellStyle name="Normal 57 3 2 8 3 4" xfId="32161" xr:uid="{00000000-0005-0000-0000-0000017D0000}"/>
    <cellStyle name="Normal 57 3 2 8 4" xfId="8046" xr:uid="{00000000-0005-0000-0000-0000027D0000}"/>
    <cellStyle name="Normal 57 3 2 8 4 2" xfId="22013" xr:uid="{00000000-0005-0000-0000-0000037D0000}"/>
    <cellStyle name="Normal 57 3 2 8 4 2 2" xfId="47566" xr:uid="{00000000-0005-0000-0000-0000047D0000}"/>
    <cellStyle name="Normal 57 3 2 8 4 3" xfId="33603" xr:uid="{00000000-0005-0000-0000-0000057D0000}"/>
    <cellStyle name="Normal 57 3 2 8 5" xfId="17006" xr:uid="{00000000-0005-0000-0000-0000067D0000}"/>
    <cellStyle name="Normal 57 3 2 8 5 2" xfId="42559" xr:uid="{00000000-0005-0000-0000-0000077D0000}"/>
    <cellStyle name="Normal 57 3 2 8 6" xfId="28496" xr:uid="{00000000-0005-0000-0000-0000087D0000}"/>
    <cellStyle name="Normal 57 3 2 9" xfId="4099" xr:uid="{00000000-0005-0000-0000-0000097D0000}"/>
    <cellStyle name="Normal 57 3 2 9 2" xfId="5557" xr:uid="{00000000-0005-0000-0000-00000A7D0000}"/>
    <cellStyle name="Normal 57 3 2 9 2 2" xfId="14384" xr:uid="{00000000-0005-0000-0000-00000B7D0000}"/>
    <cellStyle name="Normal 57 3 2 9 2 2 2" xfId="39939" xr:uid="{00000000-0005-0000-0000-00000C7D0000}"/>
    <cellStyle name="Normal 57 3 2 9 2 3" xfId="24635" xr:uid="{00000000-0005-0000-0000-00000D7D0000}"/>
    <cellStyle name="Normal 57 3 2 9 2 3 2" xfId="50188" xr:uid="{00000000-0005-0000-0000-00000E7D0000}"/>
    <cellStyle name="Normal 57 3 2 9 2 4" xfId="31118" xr:uid="{00000000-0005-0000-0000-00000F7D0000}"/>
    <cellStyle name="Normal 57 3 2 9 3" xfId="7001" xr:uid="{00000000-0005-0000-0000-0000107D0000}"/>
    <cellStyle name="Normal 57 3 2 9 3 2" xfId="23188" xr:uid="{00000000-0005-0000-0000-0000117D0000}"/>
    <cellStyle name="Normal 57 3 2 9 3 2 2" xfId="48741" xr:uid="{00000000-0005-0000-0000-0000127D0000}"/>
    <cellStyle name="Normal 57 3 2 9 3 3" xfId="32558" xr:uid="{00000000-0005-0000-0000-0000137D0000}"/>
    <cellStyle name="Normal 57 3 2 9 4" xfId="18181" xr:uid="{00000000-0005-0000-0000-0000147D0000}"/>
    <cellStyle name="Normal 57 3 2 9 4 2" xfId="43734" xr:uid="{00000000-0005-0000-0000-0000157D0000}"/>
    <cellStyle name="Normal 57 3 2 9 5" xfId="29671" xr:uid="{00000000-0005-0000-0000-0000167D0000}"/>
    <cellStyle name="Normal 57 3 2_Degree data" xfId="3936" xr:uid="{00000000-0005-0000-0000-0000177D0000}"/>
    <cellStyle name="Normal 57 3 3" xfId="136" xr:uid="{00000000-0005-0000-0000-0000187D0000}"/>
    <cellStyle name="Normal 57 3 3 10" xfId="1404" xr:uid="{00000000-0005-0000-0000-0000197D0000}"/>
    <cellStyle name="Normal 57 3 3 10 2" xfId="10781" xr:uid="{00000000-0005-0000-0000-00001A7D0000}"/>
    <cellStyle name="Normal 57 3 3 10 2 2" xfId="36336" xr:uid="{00000000-0005-0000-0000-00001B7D0000}"/>
    <cellStyle name="Normal 57 3 3 10 3" xfId="20785" xr:uid="{00000000-0005-0000-0000-00001C7D0000}"/>
    <cellStyle name="Normal 57 3 3 10 3 2" xfId="46338" xr:uid="{00000000-0005-0000-0000-00001D7D0000}"/>
    <cellStyle name="Normal 57 3 3 10 4" xfId="27268" xr:uid="{00000000-0005-0000-0000-00001E7D0000}"/>
    <cellStyle name="Normal 57 3 3 11" xfId="5515" xr:uid="{00000000-0005-0000-0000-00001F7D0000}"/>
    <cellStyle name="Normal 57 3 3 11 2" xfId="14342" xr:uid="{00000000-0005-0000-0000-0000207D0000}"/>
    <cellStyle name="Normal 57 3 3 11 2 2" xfId="39897" xr:uid="{00000000-0005-0000-0000-0000217D0000}"/>
    <cellStyle name="Normal 57 3 3 11 3" xfId="24593" xr:uid="{00000000-0005-0000-0000-0000227D0000}"/>
    <cellStyle name="Normal 57 3 3 11 3 2" xfId="50146" xr:uid="{00000000-0005-0000-0000-0000237D0000}"/>
    <cellStyle name="Normal 57 3 3 11 4" xfId="31076" xr:uid="{00000000-0005-0000-0000-0000247D0000}"/>
    <cellStyle name="Normal 57 3 3 12" xfId="6955" xr:uid="{00000000-0005-0000-0000-0000257D0000}"/>
    <cellStyle name="Normal 57 3 3 12 2" xfId="19600" xr:uid="{00000000-0005-0000-0000-0000267D0000}"/>
    <cellStyle name="Normal 57 3 3 12 2 2" xfId="45153" xr:uid="{00000000-0005-0000-0000-0000277D0000}"/>
    <cellStyle name="Normal 57 3 3 12 3" xfId="32513" xr:uid="{00000000-0005-0000-0000-0000287D0000}"/>
    <cellStyle name="Normal 57 3 3 13" xfId="15778" xr:uid="{00000000-0005-0000-0000-0000297D0000}"/>
    <cellStyle name="Normal 57 3 3 13 2" xfId="41331" xr:uid="{00000000-0005-0000-0000-00002A7D0000}"/>
    <cellStyle name="Normal 57 3 3 14" xfId="26083" xr:uid="{00000000-0005-0000-0000-00002B7D0000}"/>
    <cellStyle name="Normal 57 3 3 2" xfId="186" xr:uid="{00000000-0005-0000-0000-00002C7D0000}"/>
    <cellStyle name="Normal 57 3 3 2 10" xfId="7134" xr:uid="{00000000-0005-0000-0000-00002D7D0000}"/>
    <cellStyle name="Normal 57 3 3 2 10 2" xfId="19643" xr:uid="{00000000-0005-0000-0000-00002E7D0000}"/>
    <cellStyle name="Normal 57 3 3 2 10 2 2" xfId="45196" xr:uid="{00000000-0005-0000-0000-00002F7D0000}"/>
    <cellStyle name="Normal 57 3 3 2 10 3" xfId="32691" xr:uid="{00000000-0005-0000-0000-0000307D0000}"/>
    <cellStyle name="Normal 57 3 3 2 11" xfId="15880" xr:uid="{00000000-0005-0000-0000-0000317D0000}"/>
    <cellStyle name="Normal 57 3 3 2 11 2" xfId="41433" xr:uid="{00000000-0005-0000-0000-0000327D0000}"/>
    <cellStyle name="Normal 57 3 3 2 12" xfId="26126" xr:uid="{00000000-0005-0000-0000-0000337D0000}"/>
    <cellStyle name="Normal 57 3 3 2 2" xfId="514" xr:uid="{00000000-0005-0000-0000-0000347D0000}"/>
    <cellStyle name="Normal 57 3 3 2 2 10" xfId="26443" xr:uid="{00000000-0005-0000-0000-0000357D0000}"/>
    <cellStyle name="Normal 57 3 3 2 2 2" xfId="839" xr:uid="{00000000-0005-0000-0000-0000367D0000}"/>
    <cellStyle name="Normal 57 3 3 2 2 2 2" xfId="3324" xr:uid="{00000000-0005-0000-0000-0000377D0000}"/>
    <cellStyle name="Normal 57 3 3 2 2 2 2 2" xfId="12466" xr:uid="{00000000-0005-0000-0000-0000387D0000}"/>
    <cellStyle name="Normal 57 3 3 2 2 2 2 2 2" xfId="22685" xr:uid="{00000000-0005-0000-0000-0000397D0000}"/>
    <cellStyle name="Normal 57 3 3 2 2 2 2 2 2 2" xfId="48238" xr:uid="{00000000-0005-0000-0000-00003A7D0000}"/>
    <cellStyle name="Normal 57 3 3 2 2 2 2 2 3" xfId="38021" xr:uid="{00000000-0005-0000-0000-00003B7D0000}"/>
    <cellStyle name="Normal 57 3 3 2 2 2 2 3" xfId="8888" xr:uid="{00000000-0005-0000-0000-00003C7D0000}"/>
    <cellStyle name="Normal 57 3 3 2 2 2 2 3 2" xfId="34445" xr:uid="{00000000-0005-0000-0000-00003D7D0000}"/>
    <cellStyle name="Normal 57 3 3 2 2 2 2 4" xfId="17678" xr:uid="{00000000-0005-0000-0000-00003E7D0000}"/>
    <cellStyle name="Normal 57 3 3 2 2 2 2 4 2" xfId="43231" xr:uid="{00000000-0005-0000-0000-00003F7D0000}"/>
    <cellStyle name="Normal 57 3 3 2 2 2 2 5" xfId="29168" xr:uid="{00000000-0005-0000-0000-0000407D0000}"/>
    <cellStyle name="Normal 57 3 3 2 2 2 3" xfId="4653" xr:uid="{00000000-0005-0000-0000-0000417D0000}"/>
    <cellStyle name="Normal 57 3 3 2 2 2 3 2" xfId="13491" xr:uid="{00000000-0005-0000-0000-0000427D0000}"/>
    <cellStyle name="Normal 57 3 3 2 2 2 3 2 2" xfId="23742" xr:uid="{00000000-0005-0000-0000-0000437D0000}"/>
    <cellStyle name="Normal 57 3 3 2 2 2 3 2 2 2" xfId="49295" xr:uid="{00000000-0005-0000-0000-0000447D0000}"/>
    <cellStyle name="Normal 57 3 3 2 2 2 3 2 3" xfId="39046" xr:uid="{00000000-0005-0000-0000-0000457D0000}"/>
    <cellStyle name="Normal 57 3 3 2 2 2 3 3" xfId="9912" xr:uid="{00000000-0005-0000-0000-0000467D0000}"/>
    <cellStyle name="Normal 57 3 3 2 2 2 3 3 2" xfId="35469" xr:uid="{00000000-0005-0000-0000-0000477D0000}"/>
    <cellStyle name="Normal 57 3 3 2 2 2 3 4" xfId="18735" xr:uid="{00000000-0005-0000-0000-0000487D0000}"/>
    <cellStyle name="Normal 57 3 3 2 2 2 3 4 2" xfId="44288" xr:uid="{00000000-0005-0000-0000-0000497D0000}"/>
    <cellStyle name="Normal 57 3 3 2 2 2 3 5" xfId="30225" xr:uid="{00000000-0005-0000-0000-00004A7D0000}"/>
    <cellStyle name="Normal 57 3 3 2 2 2 4" xfId="2433" xr:uid="{00000000-0005-0000-0000-00004B7D0000}"/>
    <cellStyle name="Normal 57 3 3 2 2 2 4 2" xfId="11798" xr:uid="{00000000-0005-0000-0000-00004C7D0000}"/>
    <cellStyle name="Normal 57 3 3 2 2 2 4 2 2" xfId="37353" xr:uid="{00000000-0005-0000-0000-00004D7D0000}"/>
    <cellStyle name="Normal 57 3 3 2 2 2 4 3" xfId="21802" xr:uid="{00000000-0005-0000-0000-00004E7D0000}"/>
    <cellStyle name="Normal 57 3 3 2 2 2 4 3 2" xfId="47355" xr:uid="{00000000-0005-0000-0000-00004F7D0000}"/>
    <cellStyle name="Normal 57 3 3 2 2 2 4 4" xfId="28285" xr:uid="{00000000-0005-0000-0000-0000507D0000}"/>
    <cellStyle name="Normal 57 3 3 2 2 2 5" xfId="6109" xr:uid="{00000000-0005-0000-0000-0000517D0000}"/>
    <cellStyle name="Normal 57 3 3 2 2 2 5 2" xfId="14936" xr:uid="{00000000-0005-0000-0000-0000527D0000}"/>
    <cellStyle name="Normal 57 3 3 2 2 2 5 2 2" xfId="40491" xr:uid="{00000000-0005-0000-0000-0000537D0000}"/>
    <cellStyle name="Normal 57 3 3 2 2 2 5 3" xfId="25187" xr:uid="{00000000-0005-0000-0000-0000547D0000}"/>
    <cellStyle name="Normal 57 3 3 2 2 2 5 3 2" xfId="50740" xr:uid="{00000000-0005-0000-0000-0000557D0000}"/>
    <cellStyle name="Normal 57 3 3 2 2 2 5 4" xfId="31670" xr:uid="{00000000-0005-0000-0000-0000567D0000}"/>
    <cellStyle name="Normal 57 3 3 2 2 2 6" xfId="7554" xr:uid="{00000000-0005-0000-0000-0000577D0000}"/>
    <cellStyle name="Normal 57 3 3 2 2 2 6 2" xfId="20284" xr:uid="{00000000-0005-0000-0000-0000587D0000}"/>
    <cellStyle name="Normal 57 3 3 2 2 2 6 2 2" xfId="45837" xr:uid="{00000000-0005-0000-0000-0000597D0000}"/>
    <cellStyle name="Normal 57 3 3 2 2 2 6 3" xfId="33111" xr:uid="{00000000-0005-0000-0000-00005A7D0000}"/>
    <cellStyle name="Normal 57 3 3 2 2 2 7" xfId="16795" xr:uid="{00000000-0005-0000-0000-00005B7D0000}"/>
    <cellStyle name="Normal 57 3 3 2 2 2 7 2" xfId="42348" xr:uid="{00000000-0005-0000-0000-00005C7D0000}"/>
    <cellStyle name="Normal 57 3 3 2 2 2 8" xfId="26767" xr:uid="{00000000-0005-0000-0000-00005D7D0000}"/>
    <cellStyle name="Normal 57 3 3 2 2 3" xfId="1286" xr:uid="{00000000-0005-0000-0000-00005E7D0000}"/>
    <cellStyle name="Normal 57 3 3 2 2 3 2" xfId="3715" xr:uid="{00000000-0005-0000-0000-00005F7D0000}"/>
    <cellStyle name="Normal 57 3 3 2 2 3 2 2" xfId="12851" xr:uid="{00000000-0005-0000-0000-0000607D0000}"/>
    <cellStyle name="Normal 57 3 3 2 2 3 2 2 2" xfId="23070" xr:uid="{00000000-0005-0000-0000-0000617D0000}"/>
    <cellStyle name="Normal 57 3 3 2 2 3 2 2 2 2" xfId="48623" xr:uid="{00000000-0005-0000-0000-0000627D0000}"/>
    <cellStyle name="Normal 57 3 3 2 2 3 2 2 3" xfId="38406" xr:uid="{00000000-0005-0000-0000-0000637D0000}"/>
    <cellStyle name="Normal 57 3 3 2 2 3 2 3" xfId="9272" xr:uid="{00000000-0005-0000-0000-0000647D0000}"/>
    <cellStyle name="Normal 57 3 3 2 2 3 2 3 2" xfId="34829" xr:uid="{00000000-0005-0000-0000-0000657D0000}"/>
    <cellStyle name="Normal 57 3 3 2 2 3 2 4" xfId="18063" xr:uid="{00000000-0005-0000-0000-0000667D0000}"/>
    <cellStyle name="Normal 57 3 3 2 2 3 2 4 2" xfId="43616" xr:uid="{00000000-0005-0000-0000-0000677D0000}"/>
    <cellStyle name="Normal 57 3 3 2 2 3 2 5" xfId="29553" xr:uid="{00000000-0005-0000-0000-0000687D0000}"/>
    <cellStyle name="Normal 57 3 3 2 2 3 3" xfId="5002" xr:uid="{00000000-0005-0000-0000-0000697D0000}"/>
    <cellStyle name="Normal 57 3 3 2 2 3 3 2" xfId="13839" xr:uid="{00000000-0005-0000-0000-00006A7D0000}"/>
    <cellStyle name="Normal 57 3 3 2 2 3 3 2 2" xfId="24090" xr:uid="{00000000-0005-0000-0000-00006B7D0000}"/>
    <cellStyle name="Normal 57 3 3 2 2 3 3 2 2 2" xfId="49643" xr:uid="{00000000-0005-0000-0000-00006C7D0000}"/>
    <cellStyle name="Normal 57 3 3 2 2 3 3 2 3" xfId="39394" xr:uid="{00000000-0005-0000-0000-00006D7D0000}"/>
    <cellStyle name="Normal 57 3 3 2 2 3 3 3" xfId="10260" xr:uid="{00000000-0005-0000-0000-00006E7D0000}"/>
    <cellStyle name="Normal 57 3 3 2 2 3 3 3 2" xfId="35817" xr:uid="{00000000-0005-0000-0000-00006F7D0000}"/>
    <cellStyle name="Normal 57 3 3 2 2 3 3 4" xfId="19083" xr:uid="{00000000-0005-0000-0000-0000707D0000}"/>
    <cellStyle name="Normal 57 3 3 2 2 3 3 4 2" xfId="44636" xr:uid="{00000000-0005-0000-0000-0000717D0000}"/>
    <cellStyle name="Normal 57 3 3 2 2 3 3 5" xfId="30573" xr:uid="{00000000-0005-0000-0000-0000727D0000}"/>
    <cellStyle name="Normal 57 3 3 2 2 3 4" xfId="2109" xr:uid="{00000000-0005-0000-0000-0000737D0000}"/>
    <cellStyle name="Normal 57 3 3 2 2 3 4 2" xfId="11474" xr:uid="{00000000-0005-0000-0000-0000747D0000}"/>
    <cellStyle name="Normal 57 3 3 2 2 3 4 2 2" xfId="37029" xr:uid="{00000000-0005-0000-0000-0000757D0000}"/>
    <cellStyle name="Normal 57 3 3 2 2 3 4 3" xfId="21478" xr:uid="{00000000-0005-0000-0000-0000767D0000}"/>
    <cellStyle name="Normal 57 3 3 2 2 3 4 3 2" xfId="47031" xr:uid="{00000000-0005-0000-0000-0000777D0000}"/>
    <cellStyle name="Normal 57 3 3 2 2 3 4 4" xfId="27961" xr:uid="{00000000-0005-0000-0000-0000787D0000}"/>
    <cellStyle name="Normal 57 3 3 2 2 3 5" xfId="6457" xr:uid="{00000000-0005-0000-0000-0000797D0000}"/>
    <cellStyle name="Normal 57 3 3 2 2 3 5 2" xfId="15284" xr:uid="{00000000-0005-0000-0000-00007A7D0000}"/>
    <cellStyle name="Normal 57 3 3 2 2 3 5 2 2" xfId="40839" xr:uid="{00000000-0005-0000-0000-00007B7D0000}"/>
    <cellStyle name="Normal 57 3 3 2 2 3 5 3" xfId="25535" xr:uid="{00000000-0005-0000-0000-00007C7D0000}"/>
    <cellStyle name="Normal 57 3 3 2 2 3 5 3 2" xfId="51088" xr:uid="{00000000-0005-0000-0000-00007D7D0000}"/>
    <cellStyle name="Normal 57 3 3 2 2 3 5 4" xfId="32018" xr:uid="{00000000-0005-0000-0000-00007E7D0000}"/>
    <cellStyle name="Normal 57 3 3 2 2 3 6" xfId="7903" xr:uid="{00000000-0005-0000-0000-00007F7D0000}"/>
    <cellStyle name="Normal 57 3 3 2 2 3 6 2" xfId="20669" xr:uid="{00000000-0005-0000-0000-0000807D0000}"/>
    <cellStyle name="Normal 57 3 3 2 2 3 6 2 2" xfId="46222" xr:uid="{00000000-0005-0000-0000-0000817D0000}"/>
    <cellStyle name="Normal 57 3 3 2 2 3 6 3" xfId="33460" xr:uid="{00000000-0005-0000-0000-0000827D0000}"/>
    <cellStyle name="Normal 57 3 3 2 2 3 7" xfId="16471" xr:uid="{00000000-0005-0000-0000-0000837D0000}"/>
    <cellStyle name="Normal 57 3 3 2 2 3 7 2" xfId="42024" xr:uid="{00000000-0005-0000-0000-0000847D0000}"/>
    <cellStyle name="Normal 57 3 3 2 2 3 8" xfId="27152" xr:uid="{00000000-0005-0000-0000-0000857D0000}"/>
    <cellStyle name="Normal 57 3 3 2 2 4" xfId="3000" xr:uid="{00000000-0005-0000-0000-0000867D0000}"/>
    <cellStyle name="Normal 57 3 3 2 2 4 2" xfId="5378" xr:uid="{00000000-0005-0000-0000-0000877D0000}"/>
    <cellStyle name="Normal 57 3 3 2 2 4 2 2" xfId="14215" xr:uid="{00000000-0005-0000-0000-0000887D0000}"/>
    <cellStyle name="Normal 57 3 3 2 2 4 2 2 2" xfId="24466" xr:uid="{00000000-0005-0000-0000-0000897D0000}"/>
    <cellStyle name="Normal 57 3 3 2 2 4 2 2 2 2" xfId="50019" xr:uid="{00000000-0005-0000-0000-00008A7D0000}"/>
    <cellStyle name="Normal 57 3 3 2 2 4 2 2 3" xfId="39770" xr:uid="{00000000-0005-0000-0000-00008B7D0000}"/>
    <cellStyle name="Normal 57 3 3 2 2 4 2 3" xfId="10636" xr:uid="{00000000-0005-0000-0000-00008C7D0000}"/>
    <cellStyle name="Normal 57 3 3 2 2 4 2 3 2" xfId="36193" xr:uid="{00000000-0005-0000-0000-00008D7D0000}"/>
    <cellStyle name="Normal 57 3 3 2 2 4 2 4" xfId="19459" xr:uid="{00000000-0005-0000-0000-00008E7D0000}"/>
    <cellStyle name="Normal 57 3 3 2 2 4 2 4 2" xfId="45012" xr:uid="{00000000-0005-0000-0000-00008F7D0000}"/>
    <cellStyle name="Normal 57 3 3 2 2 4 2 5" xfId="30949" xr:uid="{00000000-0005-0000-0000-0000907D0000}"/>
    <cellStyle name="Normal 57 3 3 2 2 4 3" xfId="6833" xr:uid="{00000000-0005-0000-0000-0000917D0000}"/>
    <cellStyle name="Normal 57 3 3 2 2 4 3 2" xfId="15660" xr:uid="{00000000-0005-0000-0000-0000927D0000}"/>
    <cellStyle name="Normal 57 3 3 2 2 4 3 2 2" xfId="41215" xr:uid="{00000000-0005-0000-0000-0000937D0000}"/>
    <cellStyle name="Normal 57 3 3 2 2 4 3 3" xfId="25911" xr:uid="{00000000-0005-0000-0000-0000947D0000}"/>
    <cellStyle name="Normal 57 3 3 2 2 4 3 3 2" xfId="51464" xr:uid="{00000000-0005-0000-0000-0000957D0000}"/>
    <cellStyle name="Normal 57 3 3 2 2 4 3 4" xfId="32394" xr:uid="{00000000-0005-0000-0000-0000967D0000}"/>
    <cellStyle name="Normal 57 3 3 2 2 4 4" xfId="8279" xr:uid="{00000000-0005-0000-0000-0000977D0000}"/>
    <cellStyle name="Normal 57 3 3 2 2 4 4 2" xfId="22361" xr:uid="{00000000-0005-0000-0000-0000987D0000}"/>
    <cellStyle name="Normal 57 3 3 2 2 4 4 2 2" xfId="47914" xr:uid="{00000000-0005-0000-0000-0000997D0000}"/>
    <cellStyle name="Normal 57 3 3 2 2 4 4 3" xfId="33836" xr:uid="{00000000-0005-0000-0000-00009A7D0000}"/>
    <cellStyle name="Normal 57 3 3 2 2 4 5" xfId="17354" xr:uid="{00000000-0005-0000-0000-00009B7D0000}"/>
    <cellStyle name="Normal 57 3 3 2 2 4 5 2" xfId="42907" xr:uid="{00000000-0005-0000-0000-00009C7D0000}"/>
    <cellStyle name="Normal 57 3 3 2 2 4 6" xfId="28844" xr:uid="{00000000-0005-0000-0000-00009D7D0000}"/>
    <cellStyle name="Normal 57 3 3 2 2 5" xfId="4334" xr:uid="{00000000-0005-0000-0000-00009E7D0000}"/>
    <cellStyle name="Normal 57 3 3 2 2 5 2" xfId="13172" xr:uid="{00000000-0005-0000-0000-00009F7D0000}"/>
    <cellStyle name="Normal 57 3 3 2 2 5 2 2" xfId="23423" xr:uid="{00000000-0005-0000-0000-0000A07D0000}"/>
    <cellStyle name="Normal 57 3 3 2 2 5 2 2 2" xfId="48976" xr:uid="{00000000-0005-0000-0000-0000A17D0000}"/>
    <cellStyle name="Normal 57 3 3 2 2 5 2 3" xfId="38727" xr:uid="{00000000-0005-0000-0000-0000A27D0000}"/>
    <cellStyle name="Normal 57 3 3 2 2 5 3" xfId="9593" xr:uid="{00000000-0005-0000-0000-0000A37D0000}"/>
    <cellStyle name="Normal 57 3 3 2 2 5 3 2" xfId="35150" xr:uid="{00000000-0005-0000-0000-0000A47D0000}"/>
    <cellStyle name="Normal 57 3 3 2 2 5 4" xfId="18416" xr:uid="{00000000-0005-0000-0000-0000A57D0000}"/>
    <cellStyle name="Normal 57 3 3 2 2 5 4 2" xfId="43969" xr:uid="{00000000-0005-0000-0000-0000A67D0000}"/>
    <cellStyle name="Normal 57 3 3 2 2 5 5" xfId="29906" xr:uid="{00000000-0005-0000-0000-0000A77D0000}"/>
    <cellStyle name="Normal 57 3 3 2 2 6" xfId="1606" xr:uid="{00000000-0005-0000-0000-0000A87D0000}"/>
    <cellStyle name="Normal 57 3 3 2 2 6 2" xfId="10983" xr:uid="{00000000-0005-0000-0000-0000A97D0000}"/>
    <cellStyle name="Normal 57 3 3 2 2 6 2 2" xfId="36538" xr:uid="{00000000-0005-0000-0000-0000AA7D0000}"/>
    <cellStyle name="Normal 57 3 3 2 2 6 3" xfId="20987" xr:uid="{00000000-0005-0000-0000-0000AB7D0000}"/>
    <cellStyle name="Normal 57 3 3 2 2 6 3 2" xfId="46540" xr:uid="{00000000-0005-0000-0000-0000AC7D0000}"/>
    <cellStyle name="Normal 57 3 3 2 2 6 4" xfId="27470" xr:uid="{00000000-0005-0000-0000-0000AD7D0000}"/>
    <cellStyle name="Normal 57 3 3 2 2 7" xfId="5790" xr:uid="{00000000-0005-0000-0000-0000AE7D0000}"/>
    <cellStyle name="Normal 57 3 3 2 2 7 2" xfId="14617" xr:uid="{00000000-0005-0000-0000-0000AF7D0000}"/>
    <cellStyle name="Normal 57 3 3 2 2 7 2 2" xfId="40172" xr:uid="{00000000-0005-0000-0000-0000B07D0000}"/>
    <cellStyle name="Normal 57 3 3 2 2 7 3" xfId="24868" xr:uid="{00000000-0005-0000-0000-0000B17D0000}"/>
    <cellStyle name="Normal 57 3 3 2 2 7 3 2" xfId="50421" xr:uid="{00000000-0005-0000-0000-0000B27D0000}"/>
    <cellStyle name="Normal 57 3 3 2 2 7 4" xfId="31351" xr:uid="{00000000-0005-0000-0000-0000B37D0000}"/>
    <cellStyle name="Normal 57 3 3 2 2 8" xfId="7234" xr:uid="{00000000-0005-0000-0000-0000B47D0000}"/>
    <cellStyle name="Normal 57 3 3 2 2 8 2" xfId="19960" xr:uid="{00000000-0005-0000-0000-0000B57D0000}"/>
    <cellStyle name="Normal 57 3 3 2 2 8 2 2" xfId="45513" xr:uid="{00000000-0005-0000-0000-0000B67D0000}"/>
    <cellStyle name="Normal 57 3 3 2 2 8 3" xfId="32791" xr:uid="{00000000-0005-0000-0000-0000B77D0000}"/>
    <cellStyle name="Normal 57 3 3 2 2 9" xfId="15980" xr:uid="{00000000-0005-0000-0000-0000B87D0000}"/>
    <cellStyle name="Normal 57 3 3 2 2 9 2" xfId="41533" xr:uid="{00000000-0005-0000-0000-0000B97D0000}"/>
    <cellStyle name="Normal 57 3 3 2 2_Degree data" xfId="3945" xr:uid="{00000000-0005-0000-0000-0000BA7D0000}"/>
    <cellStyle name="Normal 57 3 3 2 3" xfId="414" xr:uid="{00000000-0005-0000-0000-0000BB7D0000}"/>
    <cellStyle name="Normal 57 3 3 2 3 2" xfId="2900" xr:uid="{00000000-0005-0000-0000-0000BC7D0000}"/>
    <cellStyle name="Normal 57 3 3 2 3 2 2" xfId="12188" xr:uid="{00000000-0005-0000-0000-0000BD7D0000}"/>
    <cellStyle name="Normal 57 3 3 2 3 2 2 2" xfId="22261" xr:uid="{00000000-0005-0000-0000-0000BE7D0000}"/>
    <cellStyle name="Normal 57 3 3 2 3 2 2 2 2" xfId="47814" xr:uid="{00000000-0005-0000-0000-0000BF7D0000}"/>
    <cellStyle name="Normal 57 3 3 2 3 2 2 3" xfId="37743" xr:uid="{00000000-0005-0000-0000-0000C07D0000}"/>
    <cellStyle name="Normal 57 3 3 2 3 2 3" xfId="8511" xr:uid="{00000000-0005-0000-0000-0000C17D0000}"/>
    <cellStyle name="Normal 57 3 3 2 3 2 3 2" xfId="34068" xr:uid="{00000000-0005-0000-0000-0000C27D0000}"/>
    <cellStyle name="Normal 57 3 3 2 3 2 4" xfId="17254" xr:uid="{00000000-0005-0000-0000-0000C37D0000}"/>
    <cellStyle name="Normal 57 3 3 2 3 2 4 2" xfId="42807" xr:uid="{00000000-0005-0000-0000-0000C47D0000}"/>
    <cellStyle name="Normal 57 3 3 2 3 2 5" xfId="28744" xr:uid="{00000000-0005-0000-0000-0000C57D0000}"/>
    <cellStyle name="Normal 57 3 3 2 3 3" xfId="4652" xr:uid="{00000000-0005-0000-0000-0000C67D0000}"/>
    <cellStyle name="Normal 57 3 3 2 3 3 2" xfId="13490" xr:uid="{00000000-0005-0000-0000-0000C77D0000}"/>
    <cellStyle name="Normal 57 3 3 2 3 3 2 2" xfId="23741" xr:uid="{00000000-0005-0000-0000-0000C87D0000}"/>
    <cellStyle name="Normal 57 3 3 2 3 3 2 2 2" xfId="49294" xr:uid="{00000000-0005-0000-0000-0000C97D0000}"/>
    <cellStyle name="Normal 57 3 3 2 3 3 2 3" xfId="39045" xr:uid="{00000000-0005-0000-0000-0000CA7D0000}"/>
    <cellStyle name="Normal 57 3 3 2 3 3 3" xfId="9911" xr:uid="{00000000-0005-0000-0000-0000CB7D0000}"/>
    <cellStyle name="Normal 57 3 3 2 3 3 3 2" xfId="35468" xr:uid="{00000000-0005-0000-0000-0000CC7D0000}"/>
    <cellStyle name="Normal 57 3 3 2 3 3 4" xfId="18734" xr:uid="{00000000-0005-0000-0000-0000CD7D0000}"/>
    <cellStyle name="Normal 57 3 3 2 3 3 4 2" xfId="44287" xr:uid="{00000000-0005-0000-0000-0000CE7D0000}"/>
    <cellStyle name="Normal 57 3 3 2 3 3 5" xfId="30224" xr:uid="{00000000-0005-0000-0000-0000CF7D0000}"/>
    <cellStyle name="Normal 57 3 3 2 3 4" xfId="2009" xr:uid="{00000000-0005-0000-0000-0000D07D0000}"/>
    <cellStyle name="Normal 57 3 3 2 3 4 2" xfId="11374" xr:uid="{00000000-0005-0000-0000-0000D17D0000}"/>
    <cellStyle name="Normal 57 3 3 2 3 4 2 2" xfId="36929" xr:uid="{00000000-0005-0000-0000-0000D27D0000}"/>
    <cellStyle name="Normal 57 3 3 2 3 4 3" xfId="21378" xr:uid="{00000000-0005-0000-0000-0000D37D0000}"/>
    <cellStyle name="Normal 57 3 3 2 3 4 3 2" xfId="46931" xr:uid="{00000000-0005-0000-0000-0000D47D0000}"/>
    <cellStyle name="Normal 57 3 3 2 3 4 4" xfId="27861" xr:uid="{00000000-0005-0000-0000-0000D57D0000}"/>
    <cellStyle name="Normal 57 3 3 2 3 5" xfId="6108" xr:uid="{00000000-0005-0000-0000-0000D67D0000}"/>
    <cellStyle name="Normal 57 3 3 2 3 5 2" xfId="14935" xr:uid="{00000000-0005-0000-0000-0000D77D0000}"/>
    <cellStyle name="Normal 57 3 3 2 3 5 2 2" xfId="40490" xr:uid="{00000000-0005-0000-0000-0000D87D0000}"/>
    <cellStyle name="Normal 57 3 3 2 3 5 3" xfId="25186" xr:uid="{00000000-0005-0000-0000-0000D97D0000}"/>
    <cellStyle name="Normal 57 3 3 2 3 5 3 2" xfId="50739" xr:uid="{00000000-0005-0000-0000-0000DA7D0000}"/>
    <cellStyle name="Normal 57 3 3 2 3 5 4" xfId="31669" xr:uid="{00000000-0005-0000-0000-0000DB7D0000}"/>
    <cellStyle name="Normal 57 3 3 2 3 6" xfId="7553" xr:uid="{00000000-0005-0000-0000-0000DC7D0000}"/>
    <cellStyle name="Normal 57 3 3 2 3 6 2" xfId="19860" xr:uid="{00000000-0005-0000-0000-0000DD7D0000}"/>
    <cellStyle name="Normal 57 3 3 2 3 6 2 2" xfId="45413" xr:uid="{00000000-0005-0000-0000-0000DE7D0000}"/>
    <cellStyle name="Normal 57 3 3 2 3 6 3" xfId="33110" xr:uid="{00000000-0005-0000-0000-0000DF7D0000}"/>
    <cellStyle name="Normal 57 3 3 2 3 7" xfId="16371" xr:uid="{00000000-0005-0000-0000-0000E07D0000}"/>
    <cellStyle name="Normal 57 3 3 2 3 7 2" xfId="41924" xr:uid="{00000000-0005-0000-0000-0000E17D0000}"/>
    <cellStyle name="Normal 57 3 3 2 3 8" xfId="26343" xr:uid="{00000000-0005-0000-0000-0000E27D0000}"/>
    <cellStyle name="Normal 57 3 3 2 4" xfId="838" xr:uid="{00000000-0005-0000-0000-0000E37D0000}"/>
    <cellStyle name="Normal 57 3 3 2 4 2" xfId="3323" xr:uid="{00000000-0005-0000-0000-0000E47D0000}"/>
    <cellStyle name="Normal 57 3 3 2 4 2 2" xfId="12465" xr:uid="{00000000-0005-0000-0000-0000E57D0000}"/>
    <cellStyle name="Normal 57 3 3 2 4 2 2 2" xfId="22684" xr:uid="{00000000-0005-0000-0000-0000E67D0000}"/>
    <cellStyle name="Normal 57 3 3 2 4 2 2 2 2" xfId="48237" xr:uid="{00000000-0005-0000-0000-0000E77D0000}"/>
    <cellStyle name="Normal 57 3 3 2 4 2 2 3" xfId="38020" xr:uid="{00000000-0005-0000-0000-0000E87D0000}"/>
    <cellStyle name="Normal 57 3 3 2 4 2 3" xfId="8887" xr:uid="{00000000-0005-0000-0000-0000E97D0000}"/>
    <cellStyle name="Normal 57 3 3 2 4 2 3 2" xfId="34444" xr:uid="{00000000-0005-0000-0000-0000EA7D0000}"/>
    <cellStyle name="Normal 57 3 3 2 4 2 4" xfId="17677" xr:uid="{00000000-0005-0000-0000-0000EB7D0000}"/>
    <cellStyle name="Normal 57 3 3 2 4 2 4 2" xfId="43230" xr:uid="{00000000-0005-0000-0000-0000EC7D0000}"/>
    <cellStyle name="Normal 57 3 3 2 4 2 5" xfId="29167" xr:uid="{00000000-0005-0000-0000-0000ED7D0000}"/>
    <cellStyle name="Normal 57 3 3 2 4 3" xfId="5001" xr:uid="{00000000-0005-0000-0000-0000EE7D0000}"/>
    <cellStyle name="Normal 57 3 3 2 4 3 2" xfId="13838" xr:uid="{00000000-0005-0000-0000-0000EF7D0000}"/>
    <cellStyle name="Normal 57 3 3 2 4 3 2 2" xfId="24089" xr:uid="{00000000-0005-0000-0000-0000F07D0000}"/>
    <cellStyle name="Normal 57 3 3 2 4 3 2 2 2" xfId="49642" xr:uid="{00000000-0005-0000-0000-0000F17D0000}"/>
    <cellStyle name="Normal 57 3 3 2 4 3 2 3" xfId="39393" xr:uid="{00000000-0005-0000-0000-0000F27D0000}"/>
    <cellStyle name="Normal 57 3 3 2 4 3 3" xfId="10259" xr:uid="{00000000-0005-0000-0000-0000F37D0000}"/>
    <cellStyle name="Normal 57 3 3 2 4 3 3 2" xfId="35816" xr:uid="{00000000-0005-0000-0000-0000F47D0000}"/>
    <cellStyle name="Normal 57 3 3 2 4 3 4" xfId="19082" xr:uid="{00000000-0005-0000-0000-0000F57D0000}"/>
    <cellStyle name="Normal 57 3 3 2 4 3 4 2" xfId="44635" xr:uid="{00000000-0005-0000-0000-0000F67D0000}"/>
    <cellStyle name="Normal 57 3 3 2 4 3 5" xfId="30572" xr:uid="{00000000-0005-0000-0000-0000F77D0000}"/>
    <cellStyle name="Normal 57 3 3 2 4 4" xfId="2432" xr:uid="{00000000-0005-0000-0000-0000F87D0000}"/>
    <cellStyle name="Normal 57 3 3 2 4 4 2" xfId="11797" xr:uid="{00000000-0005-0000-0000-0000F97D0000}"/>
    <cellStyle name="Normal 57 3 3 2 4 4 2 2" xfId="37352" xr:uid="{00000000-0005-0000-0000-0000FA7D0000}"/>
    <cellStyle name="Normal 57 3 3 2 4 4 3" xfId="21801" xr:uid="{00000000-0005-0000-0000-0000FB7D0000}"/>
    <cellStyle name="Normal 57 3 3 2 4 4 3 2" xfId="47354" xr:uid="{00000000-0005-0000-0000-0000FC7D0000}"/>
    <cellStyle name="Normal 57 3 3 2 4 4 4" xfId="28284" xr:uid="{00000000-0005-0000-0000-0000FD7D0000}"/>
    <cellStyle name="Normal 57 3 3 2 4 5" xfId="6456" xr:uid="{00000000-0005-0000-0000-0000FE7D0000}"/>
    <cellStyle name="Normal 57 3 3 2 4 5 2" xfId="15283" xr:uid="{00000000-0005-0000-0000-0000FF7D0000}"/>
    <cellStyle name="Normal 57 3 3 2 4 5 2 2" xfId="40838" xr:uid="{00000000-0005-0000-0000-0000007E0000}"/>
    <cellStyle name="Normal 57 3 3 2 4 5 3" xfId="25534" xr:uid="{00000000-0005-0000-0000-0000017E0000}"/>
    <cellStyle name="Normal 57 3 3 2 4 5 3 2" xfId="51087" xr:uid="{00000000-0005-0000-0000-0000027E0000}"/>
    <cellStyle name="Normal 57 3 3 2 4 5 4" xfId="32017" xr:uid="{00000000-0005-0000-0000-0000037E0000}"/>
    <cellStyle name="Normal 57 3 3 2 4 6" xfId="7902" xr:uid="{00000000-0005-0000-0000-0000047E0000}"/>
    <cellStyle name="Normal 57 3 3 2 4 6 2" xfId="20283" xr:uid="{00000000-0005-0000-0000-0000057E0000}"/>
    <cellStyle name="Normal 57 3 3 2 4 6 2 2" xfId="45836" xr:uid="{00000000-0005-0000-0000-0000067E0000}"/>
    <cellStyle name="Normal 57 3 3 2 4 6 3" xfId="33459" xr:uid="{00000000-0005-0000-0000-0000077E0000}"/>
    <cellStyle name="Normal 57 3 3 2 4 7" xfId="16794" xr:uid="{00000000-0005-0000-0000-0000087E0000}"/>
    <cellStyle name="Normal 57 3 3 2 4 7 2" xfId="42347" xr:uid="{00000000-0005-0000-0000-0000097E0000}"/>
    <cellStyle name="Normal 57 3 3 2 4 8" xfId="26766" xr:uid="{00000000-0005-0000-0000-00000A7E0000}"/>
    <cellStyle name="Normal 57 3 3 2 5" xfId="1186" xr:uid="{00000000-0005-0000-0000-00000B7E0000}"/>
    <cellStyle name="Normal 57 3 3 2 5 2" xfId="3615" xr:uid="{00000000-0005-0000-0000-00000C7E0000}"/>
    <cellStyle name="Normal 57 3 3 2 5 2 2" xfId="12751" xr:uid="{00000000-0005-0000-0000-00000D7E0000}"/>
    <cellStyle name="Normal 57 3 3 2 5 2 2 2" xfId="22970" xr:uid="{00000000-0005-0000-0000-00000E7E0000}"/>
    <cellStyle name="Normal 57 3 3 2 5 2 2 2 2" xfId="48523" xr:uid="{00000000-0005-0000-0000-00000F7E0000}"/>
    <cellStyle name="Normal 57 3 3 2 5 2 2 3" xfId="38306" xr:uid="{00000000-0005-0000-0000-0000107E0000}"/>
    <cellStyle name="Normal 57 3 3 2 5 2 3" xfId="9172" xr:uid="{00000000-0005-0000-0000-0000117E0000}"/>
    <cellStyle name="Normal 57 3 3 2 5 2 3 2" xfId="34729" xr:uid="{00000000-0005-0000-0000-0000127E0000}"/>
    <cellStyle name="Normal 57 3 3 2 5 2 4" xfId="17963" xr:uid="{00000000-0005-0000-0000-0000137E0000}"/>
    <cellStyle name="Normal 57 3 3 2 5 2 4 2" xfId="43516" xr:uid="{00000000-0005-0000-0000-0000147E0000}"/>
    <cellStyle name="Normal 57 3 3 2 5 2 5" xfId="29453" xr:uid="{00000000-0005-0000-0000-0000157E0000}"/>
    <cellStyle name="Normal 57 3 3 2 5 3" xfId="5278" xr:uid="{00000000-0005-0000-0000-0000167E0000}"/>
    <cellStyle name="Normal 57 3 3 2 5 3 2" xfId="14115" xr:uid="{00000000-0005-0000-0000-0000177E0000}"/>
    <cellStyle name="Normal 57 3 3 2 5 3 2 2" xfId="24366" xr:uid="{00000000-0005-0000-0000-0000187E0000}"/>
    <cellStyle name="Normal 57 3 3 2 5 3 2 2 2" xfId="49919" xr:uid="{00000000-0005-0000-0000-0000197E0000}"/>
    <cellStyle name="Normal 57 3 3 2 5 3 2 3" xfId="39670" xr:uid="{00000000-0005-0000-0000-00001A7E0000}"/>
    <cellStyle name="Normal 57 3 3 2 5 3 3" xfId="10536" xr:uid="{00000000-0005-0000-0000-00001B7E0000}"/>
    <cellStyle name="Normal 57 3 3 2 5 3 3 2" xfId="36093" xr:uid="{00000000-0005-0000-0000-00001C7E0000}"/>
    <cellStyle name="Normal 57 3 3 2 5 3 4" xfId="19359" xr:uid="{00000000-0005-0000-0000-00001D7E0000}"/>
    <cellStyle name="Normal 57 3 3 2 5 3 4 2" xfId="44912" xr:uid="{00000000-0005-0000-0000-00001E7E0000}"/>
    <cellStyle name="Normal 57 3 3 2 5 3 5" xfId="30849" xr:uid="{00000000-0005-0000-0000-00001F7E0000}"/>
    <cellStyle name="Normal 57 3 3 2 5 4" xfId="1788" xr:uid="{00000000-0005-0000-0000-0000207E0000}"/>
    <cellStyle name="Normal 57 3 3 2 5 4 2" xfId="11157" xr:uid="{00000000-0005-0000-0000-0000217E0000}"/>
    <cellStyle name="Normal 57 3 3 2 5 4 2 2" xfId="36712" xr:uid="{00000000-0005-0000-0000-0000227E0000}"/>
    <cellStyle name="Normal 57 3 3 2 5 4 3" xfId="21161" xr:uid="{00000000-0005-0000-0000-0000237E0000}"/>
    <cellStyle name="Normal 57 3 3 2 5 4 3 2" xfId="46714" xr:uid="{00000000-0005-0000-0000-0000247E0000}"/>
    <cellStyle name="Normal 57 3 3 2 5 4 4" xfId="27644" xr:uid="{00000000-0005-0000-0000-0000257E0000}"/>
    <cellStyle name="Normal 57 3 3 2 5 5" xfId="6733" xr:uid="{00000000-0005-0000-0000-0000267E0000}"/>
    <cellStyle name="Normal 57 3 3 2 5 5 2" xfId="15560" xr:uid="{00000000-0005-0000-0000-0000277E0000}"/>
    <cellStyle name="Normal 57 3 3 2 5 5 2 2" xfId="41115" xr:uid="{00000000-0005-0000-0000-0000287E0000}"/>
    <cellStyle name="Normal 57 3 3 2 5 5 3" xfId="25811" xr:uid="{00000000-0005-0000-0000-0000297E0000}"/>
    <cellStyle name="Normal 57 3 3 2 5 5 3 2" xfId="51364" xr:uid="{00000000-0005-0000-0000-00002A7E0000}"/>
    <cellStyle name="Normal 57 3 3 2 5 5 4" xfId="32294" xr:uid="{00000000-0005-0000-0000-00002B7E0000}"/>
    <cellStyle name="Normal 57 3 3 2 5 6" xfId="8179" xr:uid="{00000000-0005-0000-0000-00002C7E0000}"/>
    <cellStyle name="Normal 57 3 3 2 5 6 2" xfId="20569" xr:uid="{00000000-0005-0000-0000-00002D7E0000}"/>
    <cellStyle name="Normal 57 3 3 2 5 6 2 2" xfId="46122" xr:uid="{00000000-0005-0000-0000-00002E7E0000}"/>
    <cellStyle name="Normal 57 3 3 2 5 6 3" xfId="33736" xr:uid="{00000000-0005-0000-0000-00002F7E0000}"/>
    <cellStyle name="Normal 57 3 3 2 5 7" xfId="16154" xr:uid="{00000000-0005-0000-0000-0000307E0000}"/>
    <cellStyle name="Normal 57 3 3 2 5 7 2" xfId="41707" xr:uid="{00000000-0005-0000-0000-0000317E0000}"/>
    <cellStyle name="Normal 57 3 3 2 5 8" xfId="27052" xr:uid="{00000000-0005-0000-0000-0000327E0000}"/>
    <cellStyle name="Normal 57 3 3 2 6" xfId="2683" xr:uid="{00000000-0005-0000-0000-0000337E0000}"/>
    <cellStyle name="Normal 57 3 3 2 6 2" xfId="12000" xr:uid="{00000000-0005-0000-0000-0000347E0000}"/>
    <cellStyle name="Normal 57 3 3 2 6 2 2" xfId="22044" xr:uid="{00000000-0005-0000-0000-0000357E0000}"/>
    <cellStyle name="Normal 57 3 3 2 6 2 2 2" xfId="47597" xr:uid="{00000000-0005-0000-0000-0000367E0000}"/>
    <cellStyle name="Normal 57 3 3 2 6 2 3" xfId="37555" xr:uid="{00000000-0005-0000-0000-0000377E0000}"/>
    <cellStyle name="Normal 57 3 3 2 6 3" xfId="8599" xr:uid="{00000000-0005-0000-0000-0000387E0000}"/>
    <cellStyle name="Normal 57 3 3 2 6 3 2" xfId="34156" xr:uid="{00000000-0005-0000-0000-0000397E0000}"/>
    <cellStyle name="Normal 57 3 3 2 6 4" xfId="17037" xr:uid="{00000000-0005-0000-0000-00003A7E0000}"/>
    <cellStyle name="Normal 57 3 3 2 6 4 2" xfId="42590" xr:uid="{00000000-0005-0000-0000-00003B7E0000}"/>
    <cellStyle name="Normal 57 3 3 2 6 5" xfId="28527" xr:uid="{00000000-0005-0000-0000-00003C7E0000}"/>
    <cellStyle name="Normal 57 3 3 2 7" xfId="4234" xr:uid="{00000000-0005-0000-0000-00003D7E0000}"/>
    <cellStyle name="Normal 57 3 3 2 7 2" xfId="13072" xr:uid="{00000000-0005-0000-0000-00003E7E0000}"/>
    <cellStyle name="Normal 57 3 3 2 7 2 2" xfId="23323" xr:uid="{00000000-0005-0000-0000-00003F7E0000}"/>
    <cellStyle name="Normal 57 3 3 2 7 2 2 2" xfId="48876" xr:uid="{00000000-0005-0000-0000-0000407E0000}"/>
    <cellStyle name="Normal 57 3 3 2 7 2 3" xfId="38627" xr:uid="{00000000-0005-0000-0000-0000417E0000}"/>
    <cellStyle name="Normal 57 3 3 2 7 3" xfId="9493" xr:uid="{00000000-0005-0000-0000-0000427E0000}"/>
    <cellStyle name="Normal 57 3 3 2 7 3 2" xfId="35050" xr:uid="{00000000-0005-0000-0000-0000437E0000}"/>
    <cellStyle name="Normal 57 3 3 2 7 4" xfId="18316" xr:uid="{00000000-0005-0000-0000-0000447E0000}"/>
    <cellStyle name="Normal 57 3 3 2 7 4 2" xfId="43869" xr:uid="{00000000-0005-0000-0000-0000457E0000}"/>
    <cellStyle name="Normal 57 3 3 2 7 5" xfId="29806" xr:uid="{00000000-0005-0000-0000-0000467E0000}"/>
    <cellStyle name="Normal 57 3 3 2 8" xfId="1506" xr:uid="{00000000-0005-0000-0000-0000477E0000}"/>
    <cellStyle name="Normal 57 3 3 2 8 2" xfId="10883" xr:uid="{00000000-0005-0000-0000-0000487E0000}"/>
    <cellStyle name="Normal 57 3 3 2 8 2 2" xfId="36438" xr:uid="{00000000-0005-0000-0000-0000497E0000}"/>
    <cellStyle name="Normal 57 3 3 2 8 3" xfId="20887" xr:uid="{00000000-0005-0000-0000-00004A7E0000}"/>
    <cellStyle name="Normal 57 3 3 2 8 3 2" xfId="46440" xr:uid="{00000000-0005-0000-0000-00004B7E0000}"/>
    <cellStyle name="Normal 57 3 3 2 8 4" xfId="27370" xr:uid="{00000000-0005-0000-0000-00004C7E0000}"/>
    <cellStyle name="Normal 57 3 3 2 9" xfId="5690" xr:uid="{00000000-0005-0000-0000-00004D7E0000}"/>
    <cellStyle name="Normal 57 3 3 2 9 2" xfId="14517" xr:uid="{00000000-0005-0000-0000-00004E7E0000}"/>
    <cellStyle name="Normal 57 3 3 2 9 2 2" xfId="40072" xr:uid="{00000000-0005-0000-0000-00004F7E0000}"/>
    <cellStyle name="Normal 57 3 3 2 9 3" xfId="24768" xr:uid="{00000000-0005-0000-0000-0000507E0000}"/>
    <cellStyle name="Normal 57 3 3 2 9 3 2" xfId="50321" xr:uid="{00000000-0005-0000-0000-0000517E0000}"/>
    <cellStyle name="Normal 57 3 3 2 9 4" xfId="31251" xr:uid="{00000000-0005-0000-0000-0000527E0000}"/>
    <cellStyle name="Normal 57 3 3 2_Degree data" xfId="3944" xr:uid="{00000000-0005-0000-0000-0000537E0000}"/>
    <cellStyle name="Normal 57 3 3 3" xfId="253" xr:uid="{00000000-0005-0000-0000-0000547E0000}"/>
    <cellStyle name="Normal 57 3 3 3 10" xfId="7091" xr:uid="{00000000-0005-0000-0000-0000557E0000}"/>
    <cellStyle name="Normal 57 3 3 3 10 2" xfId="19705" xr:uid="{00000000-0005-0000-0000-0000567E0000}"/>
    <cellStyle name="Normal 57 3 3 3 10 2 2" xfId="45258" xr:uid="{00000000-0005-0000-0000-0000577E0000}"/>
    <cellStyle name="Normal 57 3 3 3 10 3" xfId="32648" xr:uid="{00000000-0005-0000-0000-0000587E0000}"/>
    <cellStyle name="Normal 57 3 3 3 11" xfId="15837" xr:uid="{00000000-0005-0000-0000-0000597E0000}"/>
    <cellStyle name="Normal 57 3 3 3 11 2" xfId="41390" xr:uid="{00000000-0005-0000-0000-00005A7E0000}"/>
    <cellStyle name="Normal 57 3 3 3 12" xfId="26188" xr:uid="{00000000-0005-0000-0000-00005B7E0000}"/>
    <cellStyle name="Normal 57 3 3 3 2" xfId="576" xr:uid="{00000000-0005-0000-0000-00005C7E0000}"/>
    <cellStyle name="Normal 57 3 3 3 2 10" xfId="26505" xr:uid="{00000000-0005-0000-0000-00005D7E0000}"/>
    <cellStyle name="Normal 57 3 3 3 2 2" xfId="841" xr:uid="{00000000-0005-0000-0000-00005E7E0000}"/>
    <cellStyle name="Normal 57 3 3 3 2 2 2" xfId="3326" xr:uid="{00000000-0005-0000-0000-00005F7E0000}"/>
    <cellStyle name="Normal 57 3 3 3 2 2 2 2" xfId="12468" xr:uid="{00000000-0005-0000-0000-0000607E0000}"/>
    <cellStyle name="Normal 57 3 3 3 2 2 2 2 2" xfId="22687" xr:uid="{00000000-0005-0000-0000-0000617E0000}"/>
    <cellStyle name="Normal 57 3 3 3 2 2 2 2 2 2" xfId="48240" xr:uid="{00000000-0005-0000-0000-0000627E0000}"/>
    <cellStyle name="Normal 57 3 3 3 2 2 2 2 3" xfId="38023" xr:uid="{00000000-0005-0000-0000-0000637E0000}"/>
    <cellStyle name="Normal 57 3 3 3 2 2 2 3" xfId="8890" xr:uid="{00000000-0005-0000-0000-0000647E0000}"/>
    <cellStyle name="Normal 57 3 3 3 2 2 2 3 2" xfId="34447" xr:uid="{00000000-0005-0000-0000-0000657E0000}"/>
    <cellStyle name="Normal 57 3 3 3 2 2 2 4" xfId="17680" xr:uid="{00000000-0005-0000-0000-0000667E0000}"/>
    <cellStyle name="Normal 57 3 3 3 2 2 2 4 2" xfId="43233" xr:uid="{00000000-0005-0000-0000-0000677E0000}"/>
    <cellStyle name="Normal 57 3 3 3 2 2 2 5" xfId="29170" xr:uid="{00000000-0005-0000-0000-0000687E0000}"/>
    <cellStyle name="Normal 57 3 3 3 2 2 3" xfId="4655" xr:uid="{00000000-0005-0000-0000-0000697E0000}"/>
    <cellStyle name="Normal 57 3 3 3 2 2 3 2" xfId="13493" xr:uid="{00000000-0005-0000-0000-00006A7E0000}"/>
    <cellStyle name="Normal 57 3 3 3 2 2 3 2 2" xfId="23744" xr:uid="{00000000-0005-0000-0000-00006B7E0000}"/>
    <cellStyle name="Normal 57 3 3 3 2 2 3 2 2 2" xfId="49297" xr:uid="{00000000-0005-0000-0000-00006C7E0000}"/>
    <cellStyle name="Normal 57 3 3 3 2 2 3 2 3" xfId="39048" xr:uid="{00000000-0005-0000-0000-00006D7E0000}"/>
    <cellStyle name="Normal 57 3 3 3 2 2 3 3" xfId="9914" xr:uid="{00000000-0005-0000-0000-00006E7E0000}"/>
    <cellStyle name="Normal 57 3 3 3 2 2 3 3 2" xfId="35471" xr:uid="{00000000-0005-0000-0000-00006F7E0000}"/>
    <cellStyle name="Normal 57 3 3 3 2 2 3 4" xfId="18737" xr:uid="{00000000-0005-0000-0000-0000707E0000}"/>
    <cellStyle name="Normal 57 3 3 3 2 2 3 4 2" xfId="44290" xr:uid="{00000000-0005-0000-0000-0000717E0000}"/>
    <cellStyle name="Normal 57 3 3 3 2 2 3 5" xfId="30227" xr:uid="{00000000-0005-0000-0000-0000727E0000}"/>
    <cellStyle name="Normal 57 3 3 3 2 2 4" xfId="2435" xr:uid="{00000000-0005-0000-0000-0000737E0000}"/>
    <cellStyle name="Normal 57 3 3 3 2 2 4 2" xfId="11800" xr:uid="{00000000-0005-0000-0000-0000747E0000}"/>
    <cellStyle name="Normal 57 3 3 3 2 2 4 2 2" xfId="37355" xr:uid="{00000000-0005-0000-0000-0000757E0000}"/>
    <cellStyle name="Normal 57 3 3 3 2 2 4 3" xfId="21804" xr:uid="{00000000-0005-0000-0000-0000767E0000}"/>
    <cellStyle name="Normal 57 3 3 3 2 2 4 3 2" xfId="47357" xr:uid="{00000000-0005-0000-0000-0000777E0000}"/>
    <cellStyle name="Normal 57 3 3 3 2 2 4 4" xfId="28287" xr:uid="{00000000-0005-0000-0000-0000787E0000}"/>
    <cellStyle name="Normal 57 3 3 3 2 2 5" xfId="6111" xr:uid="{00000000-0005-0000-0000-0000797E0000}"/>
    <cellStyle name="Normal 57 3 3 3 2 2 5 2" xfId="14938" xr:uid="{00000000-0005-0000-0000-00007A7E0000}"/>
    <cellStyle name="Normal 57 3 3 3 2 2 5 2 2" xfId="40493" xr:uid="{00000000-0005-0000-0000-00007B7E0000}"/>
    <cellStyle name="Normal 57 3 3 3 2 2 5 3" xfId="25189" xr:uid="{00000000-0005-0000-0000-00007C7E0000}"/>
    <cellStyle name="Normal 57 3 3 3 2 2 5 3 2" xfId="50742" xr:uid="{00000000-0005-0000-0000-00007D7E0000}"/>
    <cellStyle name="Normal 57 3 3 3 2 2 5 4" xfId="31672" xr:uid="{00000000-0005-0000-0000-00007E7E0000}"/>
    <cellStyle name="Normal 57 3 3 3 2 2 6" xfId="7556" xr:uid="{00000000-0005-0000-0000-00007F7E0000}"/>
    <cellStyle name="Normal 57 3 3 3 2 2 6 2" xfId="20286" xr:uid="{00000000-0005-0000-0000-0000807E0000}"/>
    <cellStyle name="Normal 57 3 3 3 2 2 6 2 2" xfId="45839" xr:uid="{00000000-0005-0000-0000-0000817E0000}"/>
    <cellStyle name="Normal 57 3 3 3 2 2 6 3" xfId="33113" xr:uid="{00000000-0005-0000-0000-0000827E0000}"/>
    <cellStyle name="Normal 57 3 3 3 2 2 7" xfId="16797" xr:uid="{00000000-0005-0000-0000-0000837E0000}"/>
    <cellStyle name="Normal 57 3 3 3 2 2 7 2" xfId="42350" xr:uid="{00000000-0005-0000-0000-0000847E0000}"/>
    <cellStyle name="Normal 57 3 3 3 2 2 8" xfId="26769" xr:uid="{00000000-0005-0000-0000-0000857E0000}"/>
    <cellStyle name="Normal 57 3 3 3 2 3" xfId="1348" xr:uid="{00000000-0005-0000-0000-0000867E0000}"/>
    <cellStyle name="Normal 57 3 3 3 2 3 2" xfId="3777" xr:uid="{00000000-0005-0000-0000-0000877E0000}"/>
    <cellStyle name="Normal 57 3 3 3 2 3 2 2" xfId="12913" xr:uid="{00000000-0005-0000-0000-0000887E0000}"/>
    <cellStyle name="Normal 57 3 3 3 2 3 2 2 2" xfId="23132" xr:uid="{00000000-0005-0000-0000-0000897E0000}"/>
    <cellStyle name="Normal 57 3 3 3 2 3 2 2 2 2" xfId="48685" xr:uid="{00000000-0005-0000-0000-00008A7E0000}"/>
    <cellStyle name="Normal 57 3 3 3 2 3 2 2 3" xfId="38468" xr:uid="{00000000-0005-0000-0000-00008B7E0000}"/>
    <cellStyle name="Normal 57 3 3 3 2 3 2 3" xfId="9334" xr:uid="{00000000-0005-0000-0000-00008C7E0000}"/>
    <cellStyle name="Normal 57 3 3 3 2 3 2 3 2" xfId="34891" xr:uid="{00000000-0005-0000-0000-00008D7E0000}"/>
    <cellStyle name="Normal 57 3 3 3 2 3 2 4" xfId="18125" xr:uid="{00000000-0005-0000-0000-00008E7E0000}"/>
    <cellStyle name="Normal 57 3 3 3 2 3 2 4 2" xfId="43678" xr:uid="{00000000-0005-0000-0000-00008F7E0000}"/>
    <cellStyle name="Normal 57 3 3 3 2 3 2 5" xfId="29615" xr:uid="{00000000-0005-0000-0000-0000907E0000}"/>
    <cellStyle name="Normal 57 3 3 3 2 3 3" xfId="5004" xr:uid="{00000000-0005-0000-0000-0000917E0000}"/>
    <cellStyle name="Normal 57 3 3 3 2 3 3 2" xfId="13841" xr:uid="{00000000-0005-0000-0000-0000927E0000}"/>
    <cellStyle name="Normal 57 3 3 3 2 3 3 2 2" xfId="24092" xr:uid="{00000000-0005-0000-0000-0000937E0000}"/>
    <cellStyle name="Normal 57 3 3 3 2 3 3 2 2 2" xfId="49645" xr:uid="{00000000-0005-0000-0000-0000947E0000}"/>
    <cellStyle name="Normal 57 3 3 3 2 3 3 2 3" xfId="39396" xr:uid="{00000000-0005-0000-0000-0000957E0000}"/>
    <cellStyle name="Normal 57 3 3 3 2 3 3 3" xfId="10262" xr:uid="{00000000-0005-0000-0000-0000967E0000}"/>
    <cellStyle name="Normal 57 3 3 3 2 3 3 3 2" xfId="35819" xr:uid="{00000000-0005-0000-0000-0000977E0000}"/>
    <cellStyle name="Normal 57 3 3 3 2 3 3 4" xfId="19085" xr:uid="{00000000-0005-0000-0000-0000987E0000}"/>
    <cellStyle name="Normal 57 3 3 3 2 3 3 4 2" xfId="44638" xr:uid="{00000000-0005-0000-0000-0000997E0000}"/>
    <cellStyle name="Normal 57 3 3 3 2 3 3 5" xfId="30575" xr:uid="{00000000-0005-0000-0000-00009A7E0000}"/>
    <cellStyle name="Normal 57 3 3 3 2 3 4" xfId="2171" xr:uid="{00000000-0005-0000-0000-00009B7E0000}"/>
    <cellStyle name="Normal 57 3 3 3 2 3 4 2" xfId="11536" xr:uid="{00000000-0005-0000-0000-00009C7E0000}"/>
    <cellStyle name="Normal 57 3 3 3 2 3 4 2 2" xfId="37091" xr:uid="{00000000-0005-0000-0000-00009D7E0000}"/>
    <cellStyle name="Normal 57 3 3 3 2 3 4 3" xfId="21540" xr:uid="{00000000-0005-0000-0000-00009E7E0000}"/>
    <cellStyle name="Normal 57 3 3 3 2 3 4 3 2" xfId="47093" xr:uid="{00000000-0005-0000-0000-00009F7E0000}"/>
    <cellStyle name="Normal 57 3 3 3 2 3 4 4" xfId="28023" xr:uid="{00000000-0005-0000-0000-0000A07E0000}"/>
    <cellStyle name="Normal 57 3 3 3 2 3 5" xfId="6459" xr:uid="{00000000-0005-0000-0000-0000A17E0000}"/>
    <cellStyle name="Normal 57 3 3 3 2 3 5 2" xfId="15286" xr:uid="{00000000-0005-0000-0000-0000A27E0000}"/>
    <cellStyle name="Normal 57 3 3 3 2 3 5 2 2" xfId="40841" xr:uid="{00000000-0005-0000-0000-0000A37E0000}"/>
    <cellStyle name="Normal 57 3 3 3 2 3 5 3" xfId="25537" xr:uid="{00000000-0005-0000-0000-0000A47E0000}"/>
    <cellStyle name="Normal 57 3 3 3 2 3 5 3 2" xfId="51090" xr:uid="{00000000-0005-0000-0000-0000A57E0000}"/>
    <cellStyle name="Normal 57 3 3 3 2 3 5 4" xfId="32020" xr:uid="{00000000-0005-0000-0000-0000A67E0000}"/>
    <cellStyle name="Normal 57 3 3 3 2 3 6" xfId="7905" xr:uid="{00000000-0005-0000-0000-0000A77E0000}"/>
    <cellStyle name="Normal 57 3 3 3 2 3 6 2" xfId="20731" xr:uid="{00000000-0005-0000-0000-0000A87E0000}"/>
    <cellStyle name="Normal 57 3 3 3 2 3 6 2 2" xfId="46284" xr:uid="{00000000-0005-0000-0000-0000A97E0000}"/>
    <cellStyle name="Normal 57 3 3 3 2 3 6 3" xfId="33462" xr:uid="{00000000-0005-0000-0000-0000AA7E0000}"/>
    <cellStyle name="Normal 57 3 3 3 2 3 7" xfId="16533" xr:uid="{00000000-0005-0000-0000-0000AB7E0000}"/>
    <cellStyle name="Normal 57 3 3 3 2 3 7 2" xfId="42086" xr:uid="{00000000-0005-0000-0000-0000AC7E0000}"/>
    <cellStyle name="Normal 57 3 3 3 2 3 8" xfId="27214" xr:uid="{00000000-0005-0000-0000-0000AD7E0000}"/>
    <cellStyle name="Normal 57 3 3 3 2 4" xfId="3062" xr:uid="{00000000-0005-0000-0000-0000AE7E0000}"/>
    <cellStyle name="Normal 57 3 3 3 2 4 2" xfId="5440" xr:uid="{00000000-0005-0000-0000-0000AF7E0000}"/>
    <cellStyle name="Normal 57 3 3 3 2 4 2 2" xfId="14277" xr:uid="{00000000-0005-0000-0000-0000B07E0000}"/>
    <cellStyle name="Normal 57 3 3 3 2 4 2 2 2" xfId="24528" xr:uid="{00000000-0005-0000-0000-0000B17E0000}"/>
    <cellStyle name="Normal 57 3 3 3 2 4 2 2 2 2" xfId="50081" xr:uid="{00000000-0005-0000-0000-0000B27E0000}"/>
    <cellStyle name="Normal 57 3 3 3 2 4 2 2 3" xfId="39832" xr:uid="{00000000-0005-0000-0000-0000B37E0000}"/>
    <cellStyle name="Normal 57 3 3 3 2 4 2 3" xfId="10698" xr:uid="{00000000-0005-0000-0000-0000B47E0000}"/>
    <cellStyle name="Normal 57 3 3 3 2 4 2 3 2" xfId="36255" xr:uid="{00000000-0005-0000-0000-0000B57E0000}"/>
    <cellStyle name="Normal 57 3 3 3 2 4 2 4" xfId="19521" xr:uid="{00000000-0005-0000-0000-0000B67E0000}"/>
    <cellStyle name="Normal 57 3 3 3 2 4 2 4 2" xfId="45074" xr:uid="{00000000-0005-0000-0000-0000B77E0000}"/>
    <cellStyle name="Normal 57 3 3 3 2 4 2 5" xfId="31011" xr:uid="{00000000-0005-0000-0000-0000B87E0000}"/>
    <cellStyle name="Normal 57 3 3 3 2 4 3" xfId="6895" xr:uid="{00000000-0005-0000-0000-0000B97E0000}"/>
    <cellStyle name="Normal 57 3 3 3 2 4 3 2" xfId="15722" xr:uid="{00000000-0005-0000-0000-0000BA7E0000}"/>
    <cellStyle name="Normal 57 3 3 3 2 4 3 2 2" xfId="41277" xr:uid="{00000000-0005-0000-0000-0000BB7E0000}"/>
    <cellStyle name="Normal 57 3 3 3 2 4 3 3" xfId="25973" xr:uid="{00000000-0005-0000-0000-0000BC7E0000}"/>
    <cellStyle name="Normal 57 3 3 3 2 4 3 3 2" xfId="51526" xr:uid="{00000000-0005-0000-0000-0000BD7E0000}"/>
    <cellStyle name="Normal 57 3 3 3 2 4 3 4" xfId="32456" xr:uid="{00000000-0005-0000-0000-0000BE7E0000}"/>
    <cellStyle name="Normal 57 3 3 3 2 4 4" xfId="8341" xr:uid="{00000000-0005-0000-0000-0000BF7E0000}"/>
    <cellStyle name="Normal 57 3 3 3 2 4 4 2" xfId="22423" xr:uid="{00000000-0005-0000-0000-0000C07E0000}"/>
    <cellStyle name="Normal 57 3 3 3 2 4 4 2 2" xfId="47976" xr:uid="{00000000-0005-0000-0000-0000C17E0000}"/>
    <cellStyle name="Normal 57 3 3 3 2 4 4 3" xfId="33898" xr:uid="{00000000-0005-0000-0000-0000C27E0000}"/>
    <cellStyle name="Normal 57 3 3 3 2 4 5" xfId="17416" xr:uid="{00000000-0005-0000-0000-0000C37E0000}"/>
    <cellStyle name="Normal 57 3 3 3 2 4 5 2" xfId="42969" xr:uid="{00000000-0005-0000-0000-0000C47E0000}"/>
    <cellStyle name="Normal 57 3 3 3 2 4 6" xfId="28906" xr:uid="{00000000-0005-0000-0000-0000C57E0000}"/>
    <cellStyle name="Normal 57 3 3 3 2 5" xfId="4396" xr:uid="{00000000-0005-0000-0000-0000C67E0000}"/>
    <cellStyle name="Normal 57 3 3 3 2 5 2" xfId="13234" xr:uid="{00000000-0005-0000-0000-0000C77E0000}"/>
    <cellStyle name="Normal 57 3 3 3 2 5 2 2" xfId="23485" xr:uid="{00000000-0005-0000-0000-0000C87E0000}"/>
    <cellStyle name="Normal 57 3 3 3 2 5 2 2 2" xfId="49038" xr:uid="{00000000-0005-0000-0000-0000C97E0000}"/>
    <cellStyle name="Normal 57 3 3 3 2 5 2 3" xfId="38789" xr:uid="{00000000-0005-0000-0000-0000CA7E0000}"/>
    <cellStyle name="Normal 57 3 3 3 2 5 3" xfId="9655" xr:uid="{00000000-0005-0000-0000-0000CB7E0000}"/>
    <cellStyle name="Normal 57 3 3 3 2 5 3 2" xfId="35212" xr:uid="{00000000-0005-0000-0000-0000CC7E0000}"/>
    <cellStyle name="Normal 57 3 3 3 2 5 4" xfId="18478" xr:uid="{00000000-0005-0000-0000-0000CD7E0000}"/>
    <cellStyle name="Normal 57 3 3 3 2 5 4 2" xfId="44031" xr:uid="{00000000-0005-0000-0000-0000CE7E0000}"/>
    <cellStyle name="Normal 57 3 3 3 2 5 5" xfId="29968" xr:uid="{00000000-0005-0000-0000-0000CF7E0000}"/>
    <cellStyle name="Normal 57 3 3 3 2 6" xfId="1668" xr:uid="{00000000-0005-0000-0000-0000D07E0000}"/>
    <cellStyle name="Normal 57 3 3 3 2 6 2" xfId="11045" xr:uid="{00000000-0005-0000-0000-0000D17E0000}"/>
    <cellStyle name="Normal 57 3 3 3 2 6 2 2" xfId="36600" xr:uid="{00000000-0005-0000-0000-0000D27E0000}"/>
    <cellStyle name="Normal 57 3 3 3 2 6 3" xfId="21049" xr:uid="{00000000-0005-0000-0000-0000D37E0000}"/>
    <cellStyle name="Normal 57 3 3 3 2 6 3 2" xfId="46602" xr:uid="{00000000-0005-0000-0000-0000D47E0000}"/>
    <cellStyle name="Normal 57 3 3 3 2 6 4" xfId="27532" xr:uid="{00000000-0005-0000-0000-0000D57E0000}"/>
    <cellStyle name="Normal 57 3 3 3 2 7" xfId="5852" xr:uid="{00000000-0005-0000-0000-0000D67E0000}"/>
    <cellStyle name="Normal 57 3 3 3 2 7 2" xfId="14679" xr:uid="{00000000-0005-0000-0000-0000D77E0000}"/>
    <cellStyle name="Normal 57 3 3 3 2 7 2 2" xfId="40234" xr:uid="{00000000-0005-0000-0000-0000D87E0000}"/>
    <cellStyle name="Normal 57 3 3 3 2 7 3" xfId="24930" xr:uid="{00000000-0005-0000-0000-0000D97E0000}"/>
    <cellStyle name="Normal 57 3 3 3 2 7 3 2" xfId="50483" xr:uid="{00000000-0005-0000-0000-0000DA7E0000}"/>
    <cellStyle name="Normal 57 3 3 3 2 7 4" xfId="31413" xr:uid="{00000000-0005-0000-0000-0000DB7E0000}"/>
    <cellStyle name="Normal 57 3 3 3 2 8" xfId="7296" xr:uid="{00000000-0005-0000-0000-0000DC7E0000}"/>
    <cellStyle name="Normal 57 3 3 3 2 8 2" xfId="20022" xr:uid="{00000000-0005-0000-0000-0000DD7E0000}"/>
    <cellStyle name="Normal 57 3 3 3 2 8 2 2" xfId="45575" xr:uid="{00000000-0005-0000-0000-0000DE7E0000}"/>
    <cellStyle name="Normal 57 3 3 3 2 8 3" xfId="32853" xr:uid="{00000000-0005-0000-0000-0000DF7E0000}"/>
    <cellStyle name="Normal 57 3 3 3 2 9" xfId="16042" xr:uid="{00000000-0005-0000-0000-0000E07E0000}"/>
    <cellStyle name="Normal 57 3 3 3 2 9 2" xfId="41595" xr:uid="{00000000-0005-0000-0000-0000E17E0000}"/>
    <cellStyle name="Normal 57 3 3 3 2_Degree data" xfId="3947" xr:uid="{00000000-0005-0000-0000-0000E27E0000}"/>
    <cellStyle name="Normal 57 3 3 3 3" xfId="371" xr:uid="{00000000-0005-0000-0000-0000E37E0000}"/>
    <cellStyle name="Normal 57 3 3 3 3 2" xfId="2857" xr:uid="{00000000-0005-0000-0000-0000E47E0000}"/>
    <cellStyle name="Normal 57 3 3 3 3 2 2" xfId="12145" xr:uid="{00000000-0005-0000-0000-0000E57E0000}"/>
    <cellStyle name="Normal 57 3 3 3 3 2 2 2" xfId="22218" xr:uid="{00000000-0005-0000-0000-0000E67E0000}"/>
    <cellStyle name="Normal 57 3 3 3 3 2 2 2 2" xfId="47771" xr:uid="{00000000-0005-0000-0000-0000E77E0000}"/>
    <cellStyle name="Normal 57 3 3 3 3 2 2 3" xfId="37700" xr:uid="{00000000-0005-0000-0000-0000E87E0000}"/>
    <cellStyle name="Normal 57 3 3 3 3 2 3" xfId="8592" xr:uid="{00000000-0005-0000-0000-0000E97E0000}"/>
    <cellStyle name="Normal 57 3 3 3 3 2 3 2" xfId="34149" xr:uid="{00000000-0005-0000-0000-0000EA7E0000}"/>
    <cellStyle name="Normal 57 3 3 3 3 2 4" xfId="17211" xr:uid="{00000000-0005-0000-0000-0000EB7E0000}"/>
    <cellStyle name="Normal 57 3 3 3 3 2 4 2" xfId="42764" xr:uid="{00000000-0005-0000-0000-0000EC7E0000}"/>
    <cellStyle name="Normal 57 3 3 3 3 2 5" xfId="28701" xr:uid="{00000000-0005-0000-0000-0000ED7E0000}"/>
    <cellStyle name="Normal 57 3 3 3 3 3" xfId="4654" xr:uid="{00000000-0005-0000-0000-0000EE7E0000}"/>
    <cellStyle name="Normal 57 3 3 3 3 3 2" xfId="13492" xr:uid="{00000000-0005-0000-0000-0000EF7E0000}"/>
    <cellStyle name="Normal 57 3 3 3 3 3 2 2" xfId="23743" xr:uid="{00000000-0005-0000-0000-0000F07E0000}"/>
    <cellStyle name="Normal 57 3 3 3 3 3 2 2 2" xfId="49296" xr:uid="{00000000-0005-0000-0000-0000F17E0000}"/>
    <cellStyle name="Normal 57 3 3 3 3 3 2 3" xfId="39047" xr:uid="{00000000-0005-0000-0000-0000F27E0000}"/>
    <cellStyle name="Normal 57 3 3 3 3 3 3" xfId="9913" xr:uid="{00000000-0005-0000-0000-0000F37E0000}"/>
    <cellStyle name="Normal 57 3 3 3 3 3 3 2" xfId="35470" xr:uid="{00000000-0005-0000-0000-0000F47E0000}"/>
    <cellStyle name="Normal 57 3 3 3 3 3 4" xfId="18736" xr:uid="{00000000-0005-0000-0000-0000F57E0000}"/>
    <cellStyle name="Normal 57 3 3 3 3 3 4 2" xfId="44289" xr:uid="{00000000-0005-0000-0000-0000F67E0000}"/>
    <cellStyle name="Normal 57 3 3 3 3 3 5" xfId="30226" xr:uid="{00000000-0005-0000-0000-0000F77E0000}"/>
    <cellStyle name="Normal 57 3 3 3 3 4" xfId="1966" xr:uid="{00000000-0005-0000-0000-0000F87E0000}"/>
    <cellStyle name="Normal 57 3 3 3 3 4 2" xfId="11331" xr:uid="{00000000-0005-0000-0000-0000F97E0000}"/>
    <cellStyle name="Normal 57 3 3 3 3 4 2 2" xfId="36886" xr:uid="{00000000-0005-0000-0000-0000FA7E0000}"/>
    <cellStyle name="Normal 57 3 3 3 3 4 3" xfId="21335" xr:uid="{00000000-0005-0000-0000-0000FB7E0000}"/>
    <cellStyle name="Normal 57 3 3 3 3 4 3 2" xfId="46888" xr:uid="{00000000-0005-0000-0000-0000FC7E0000}"/>
    <cellStyle name="Normal 57 3 3 3 3 4 4" xfId="27818" xr:uid="{00000000-0005-0000-0000-0000FD7E0000}"/>
    <cellStyle name="Normal 57 3 3 3 3 5" xfId="6110" xr:uid="{00000000-0005-0000-0000-0000FE7E0000}"/>
    <cellStyle name="Normal 57 3 3 3 3 5 2" xfId="14937" xr:uid="{00000000-0005-0000-0000-0000FF7E0000}"/>
    <cellStyle name="Normal 57 3 3 3 3 5 2 2" xfId="40492" xr:uid="{00000000-0005-0000-0000-0000007F0000}"/>
    <cellStyle name="Normal 57 3 3 3 3 5 3" xfId="25188" xr:uid="{00000000-0005-0000-0000-0000017F0000}"/>
    <cellStyle name="Normal 57 3 3 3 3 5 3 2" xfId="50741" xr:uid="{00000000-0005-0000-0000-0000027F0000}"/>
    <cellStyle name="Normal 57 3 3 3 3 5 4" xfId="31671" xr:uid="{00000000-0005-0000-0000-0000037F0000}"/>
    <cellStyle name="Normal 57 3 3 3 3 6" xfId="7555" xr:uid="{00000000-0005-0000-0000-0000047F0000}"/>
    <cellStyle name="Normal 57 3 3 3 3 6 2" xfId="19817" xr:uid="{00000000-0005-0000-0000-0000057F0000}"/>
    <cellStyle name="Normal 57 3 3 3 3 6 2 2" xfId="45370" xr:uid="{00000000-0005-0000-0000-0000067F0000}"/>
    <cellStyle name="Normal 57 3 3 3 3 6 3" xfId="33112" xr:uid="{00000000-0005-0000-0000-0000077F0000}"/>
    <cellStyle name="Normal 57 3 3 3 3 7" xfId="16328" xr:uid="{00000000-0005-0000-0000-0000087F0000}"/>
    <cellStyle name="Normal 57 3 3 3 3 7 2" xfId="41881" xr:uid="{00000000-0005-0000-0000-0000097F0000}"/>
    <cellStyle name="Normal 57 3 3 3 3 8" xfId="26300" xr:uid="{00000000-0005-0000-0000-00000A7F0000}"/>
    <cellStyle name="Normal 57 3 3 3 4" xfId="840" xr:uid="{00000000-0005-0000-0000-00000B7F0000}"/>
    <cellStyle name="Normal 57 3 3 3 4 2" xfId="3325" xr:uid="{00000000-0005-0000-0000-00000C7F0000}"/>
    <cellStyle name="Normal 57 3 3 3 4 2 2" xfId="12467" xr:uid="{00000000-0005-0000-0000-00000D7F0000}"/>
    <cellStyle name="Normal 57 3 3 3 4 2 2 2" xfId="22686" xr:uid="{00000000-0005-0000-0000-00000E7F0000}"/>
    <cellStyle name="Normal 57 3 3 3 4 2 2 2 2" xfId="48239" xr:uid="{00000000-0005-0000-0000-00000F7F0000}"/>
    <cellStyle name="Normal 57 3 3 3 4 2 2 3" xfId="38022" xr:uid="{00000000-0005-0000-0000-0000107F0000}"/>
    <cellStyle name="Normal 57 3 3 3 4 2 3" xfId="8889" xr:uid="{00000000-0005-0000-0000-0000117F0000}"/>
    <cellStyle name="Normal 57 3 3 3 4 2 3 2" xfId="34446" xr:uid="{00000000-0005-0000-0000-0000127F0000}"/>
    <cellStyle name="Normal 57 3 3 3 4 2 4" xfId="17679" xr:uid="{00000000-0005-0000-0000-0000137F0000}"/>
    <cellStyle name="Normal 57 3 3 3 4 2 4 2" xfId="43232" xr:uid="{00000000-0005-0000-0000-0000147F0000}"/>
    <cellStyle name="Normal 57 3 3 3 4 2 5" xfId="29169" xr:uid="{00000000-0005-0000-0000-0000157F0000}"/>
    <cellStyle name="Normal 57 3 3 3 4 3" xfId="5003" xr:uid="{00000000-0005-0000-0000-0000167F0000}"/>
    <cellStyle name="Normal 57 3 3 3 4 3 2" xfId="13840" xr:uid="{00000000-0005-0000-0000-0000177F0000}"/>
    <cellStyle name="Normal 57 3 3 3 4 3 2 2" xfId="24091" xr:uid="{00000000-0005-0000-0000-0000187F0000}"/>
    <cellStyle name="Normal 57 3 3 3 4 3 2 2 2" xfId="49644" xr:uid="{00000000-0005-0000-0000-0000197F0000}"/>
    <cellStyle name="Normal 57 3 3 3 4 3 2 3" xfId="39395" xr:uid="{00000000-0005-0000-0000-00001A7F0000}"/>
    <cellStyle name="Normal 57 3 3 3 4 3 3" xfId="10261" xr:uid="{00000000-0005-0000-0000-00001B7F0000}"/>
    <cellStyle name="Normal 57 3 3 3 4 3 3 2" xfId="35818" xr:uid="{00000000-0005-0000-0000-00001C7F0000}"/>
    <cellStyle name="Normal 57 3 3 3 4 3 4" xfId="19084" xr:uid="{00000000-0005-0000-0000-00001D7F0000}"/>
    <cellStyle name="Normal 57 3 3 3 4 3 4 2" xfId="44637" xr:uid="{00000000-0005-0000-0000-00001E7F0000}"/>
    <cellStyle name="Normal 57 3 3 3 4 3 5" xfId="30574" xr:uid="{00000000-0005-0000-0000-00001F7F0000}"/>
    <cellStyle name="Normal 57 3 3 3 4 4" xfId="2434" xr:uid="{00000000-0005-0000-0000-0000207F0000}"/>
    <cellStyle name="Normal 57 3 3 3 4 4 2" xfId="11799" xr:uid="{00000000-0005-0000-0000-0000217F0000}"/>
    <cellStyle name="Normal 57 3 3 3 4 4 2 2" xfId="37354" xr:uid="{00000000-0005-0000-0000-0000227F0000}"/>
    <cellStyle name="Normal 57 3 3 3 4 4 3" xfId="21803" xr:uid="{00000000-0005-0000-0000-0000237F0000}"/>
    <cellStyle name="Normal 57 3 3 3 4 4 3 2" xfId="47356" xr:uid="{00000000-0005-0000-0000-0000247F0000}"/>
    <cellStyle name="Normal 57 3 3 3 4 4 4" xfId="28286" xr:uid="{00000000-0005-0000-0000-0000257F0000}"/>
    <cellStyle name="Normal 57 3 3 3 4 5" xfId="6458" xr:uid="{00000000-0005-0000-0000-0000267F0000}"/>
    <cellStyle name="Normal 57 3 3 3 4 5 2" xfId="15285" xr:uid="{00000000-0005-0000-0000-0000277F0000}"/>
    <cellStyle name="Normal 57 3 3 3 4 5 2 2" xfId="40840" xr:uid="{00000000-0005-0000-0000-0000287F0000}"/>
    <cellStyle name="Normal 57 3 3 3 4 5 3" xfId="25536" xr:uid="{00000000-0005-0000-0000-0000297F0000}"/>
    <cellStyle name="Normal 57 3 3 3 4 5 3 2" xfId="51089" xr:uid="{00000000-0005-0000-0000-00002A7F0000}"/>
    <cellStyle name="Normal 57 3 3 3 4 5 4" xfId="32019" xr:uid="{00000000-0005-0000-0000-00002B7F0000}"/>
    <cellStyle name="Normal 57 3 3 3 4 6" xfId="7904" xr:uid="{00000000-0005-0000-0000-00002C7F0000}"/>
    <cellStyle name="Normal 57 3 3 3 4 6 2" xfId="20285" xr:uid="{00000000-0005-0000-0000-00002D7F0000}"/>
    <cellStyle name="Normal 57 3 3 3 4 6 2 2" xfId="45838" xr:uid="{00000000-0005-0000-0000-00002E7F0000}"/>
    <cellStyle name="Normal 57 3 3 3 4 6 3" xfId="33461" xr:uid="{00000000-0005-0000-0000-00002F7F0000}"/>
    <cellStyle name="Normal 57 3 3 3 4 7" xfId="16796" xr:uid="{00000000-0005-0000-0000-0000307F0000}"/>
    <cellStyle name="Normal 57 3 3 3 4 7 2" xfId="42349" xr:uid="{00000000-0005-0000-0000-0000317F0000}"/>
    <cellStyle name="Normal 57 3 3 3 4 8" xfId="26768" xr:uid="{00000000-0005-0000-0000-0000327F0000}"/>
    <cellStyle name="Normal 57 3 3 3 5" xfId="1143" xr:uid="{00000000-0005-0000-0000-0000337F0000}"/>
    <cellStyle name="Normal 57 3 3 3 5 2" xfId="3572" xr:uid="{00000000-0005-0000-0000-0000347F0000}"/>
    <cellStyle name="Normal 57 3 3 3 5 2 2" xfId="12708" xr:uid="{00000000-0005-0000-0000-0000357F0000}"/>
    <cellStyle name="Normal 57 3 3 3 5 2 2 2" xfId="22927" xr:uid="{00000000-0005-0000-0000-0000367F0000}"/>
    <cellStyle name="Normal 57 3 3 3 5 2 2 2 2" xfId="48480" xr:uid="{00000000-0005-0000-0000-0000377F0000}"/>
    <cellStyle name="Normal 57 3 3 3 5 2 2 3" xfId="38263" xr:uid="{00000000-0005-0000-0000-0000387F0000}"/>
    <cellStyle name="Normal 57 3 3 3 5 2 3" xfId="9129" xr:uid="{00000000-0005-0000-0000-0000397F0000}"/>
    <cellStyle name="Normal 57 3 3 3 5 2 3 2" xfId="34686" xr:uid="{00000000-0005-0000-0000-00003A7F0000}"/>
    <cellStyle name="Normal 57 3 3 3 5 2 4" xfId="17920" xr:uid="{00000000-0005-0000-0000-00003B7F0000}"/>
    <cellStyle name="Normal 57 3 3 3 5 2 4 2" xfId="43473" xr:uid="{00000000-0005-0000-0000-00003C7F0000}"/>
    <cellStyle name="Normal 57 3 3 3 5 2 5" xfId="29410" xr:uid="{00000000-0005-0000-0000-00003D7F0000}"/>
    <cellStyle name="Normal 57 3 3 3 5 3" xfId="5235" xr:uid="{00000000-0005-0000-0000-00003E7F0000}"/>
    <cellStyle name="Normal 57 3 3 3 5 3 2" xfId="14072" xr:uid="{00000000-0005-0000-0000-00003F7F0000}"/>
    <cellStyle name="Normal 57 3 3 3 5 3 2 2" xfId="24323" xr:uid="{00000000-0005-0000-0000-0000407F0000}"/>
    <cellStyle name="Normal 57 3 3 3 5 3 2 2 2" xfId="49876" xr:uid="{00000000-0005-0000-0000-0000417F0000}"/>
    <cellStyle name="Normal 57 3 3 3 5 3 2 3" xfId="39627" xr:uid="{00000000-0005-0000-0000-0000427F0000}"/>
    <cellStyle name="Normal 57 3 3 3 5 3 3" xfId="10493" xr:uid="{00000000-0005-0000-0000-0000437F0000}"/>
    <cellStyle name="Normal 57 3 3 3 5 3 3 2" xfId="36050" xr:uid="{00000000-0005-0000-0000-0000447F0000}"/>
    <cellStyle name="Normal 57 3 3 3 5 3 4" xfId="19316" xr:uid="{00000000-0005-0000-0000-0000457F0000}"/>
    <cellStyle name="Normal 57 3 3 3 5 3 4 2" xfId="44869" xr:uid="{00000000-0005-0000-0000-0000467F0000}"/>
    <cellStyle name="Normal 57 3 3 3 5 3 5" xfId="30806" xr:uid="{00000000-0005-0000-0000-0000477F0000}"/>
    <cellStyle name="Normal 57 3 3 3 5 4" xfId="1851" xr:uid="{00000000-0005-0000-0000-0000487F0000}"/>
    <cellStyle name="Normal 57 3 3 3 5 4 2" xfId="11219" xr:uid="{00000000-0005-0000-0000-0000497F0000}"/>
    <cellStyle name="Normal 57 3 3 3 5 4 2 2" xfId="36774" xr:uid="{00000000-0005-0000-0000-00004A7F0000}"/>
    <cellStyle name="Normal 57 3 3 3 5 4 3" xfId="21223" xr:uid="{00000000-0005-0000-0000-00004B7F0000}"/>
    <cellStyle name="Normal 57 3 3 3 5 4 3 2" xfId="46776" xr:uid="{00000000-0005-0000-0000-00004C7F0000}"/>
    <cellStyle name="Normal 57 3 3 3 5 4 4" xfId="27706" xr:uid="{00000000-0005-0000-0000-00004D7F0000}"/>
    <cellStyle name="Normal 57 3 3 3 5 5" xfId="6690" xr:uid="{00000000-0005-0000-0000-00004E7F0000}"/>
    <cellStyle name="Normal 57 3 3 3 5 5 2" xfId="15517" xr:uid="{00000000-0005-0000-0000-00004F7F0000}"/>
    <cellStyle name="Normal 57 3 3 3 5 5 2 2" xfId="41072" xr:uid="{00000000-0005-0000-0000-0000507F0000}"/>
    <cellStyle name="Normal 57 3 3 3 5 5 3" xfId="25768" xr:uid="{00000000-0005-0000-0000-0000517F0000}"/>
    <cellStyle name="Normal 57 3 3 3 5 5 3 2" xfId="51321" xr:uid="{00000000-0005-0000-0000-0000527F0000}"/>
    <cellStyle name="Normal 57 3 3 3 5 5 4" xfId="32251" xr:uid="{00000000-0005-0000-0000-0000537F0000}"/>
    <cellStyle name="Normal 57 3 3 3 5 6" xfId="8136" xr:uid="{00000000-0005-0000-0000-0000547F0000}"/>
    <cellStyle name="Normal 57 3 3 3 5 6 2" xfId="20526" xr:uid="{00000000-0005-0000-0000-0000557F0000}"/>
    <cellStyle name="Normal 57 3 3 3 5 6 2 2" xfId="46079" xr:uid="{00000000-0005-0000-0000-0000567F0000}"/>
    <cellStyle name="Normal 57 3 3 3 5 6 3" xfId="33693" xr:uid="{00000000-0005-0000-0000-0000577F0000}"/>
    <cellStyle name="Normal 57 3 3 3 5 7" xfId="16216" xr:uid="{00000000-0005-0000-0000-0000587F0000}"/>
    <cellStyle name="Normal 57 3 3 3 5 7 2" xfId="41769" xr:uid="{00000000-0005-0000-0000-0000597F0000}"/>
    <cellStyle name="Normal 57 3 3 3 5 8" xfId="27009" xr:uid="{00000000-0005-0000-0000-00005A7F0000}"/>
    <cellStyle name="Normal 57 3 3 3 6" xfId="2745" xr:uid="{00000000-0005-0000-0000-00005B7F0000}"/>
    <cellStyle name="Normal 57 3 3 3 6 2" xfId="12062" xr:uid="{00000000-0005-0000-0000-00005C7F0000}"/>
    <cellStyle name="Normal 57 3 3 3 6 2 2" xfId="22106" xr:uid="{00000000-0005-0000-0000-00005D7F0000}"/>
    <cellStyle name="Normal 57 3 3 3 6 2 2 2" xfId="47659" xr:uid="{00000000-0005-0000-0000-00005E7F0000}"/>
    <cellStyle name="Normal 57 3 3 3 6 2 3" xfId="37617" xr:uid="{00000000-0005-0000-0000-00005F7F0000}"/>
    <cellStyle name="Normal 57 3 3 3 6 3" xfId="8597" xr:uid="{00000000-0005-0000-0000-0000607F0000}"/>
    <cellStyle name="Normal 57 3 3 3 6 3 2" xfId="34154" xr:uid="{00000000-0005-0000-0000-0000617F0000}"/>
    <cellStyle name="Normal 57 3 3 3 6 4" xfId="17099" xr:uid="{00000000-0005-0000-0000-0000627F0000}"/>
    <cellStyle name="Normal 57 3 3 3 6 4 2" xfId="42652" xr:uid="{00000000-0005-0000-0000-0000637F0000}"/>
    <cellStyle name="Normal 57 3 3 3 6 5" xfId="28589" xr:uid="{00000000-0005-0000-0000-0000647F0000}"/>
    <cellStyle name="Normal 57 3 3 3 7" xfId="4191" xr:uid="{00000000-0005-0000-0000-0000657F0000}"/>
    <cellStyle name="Normal 57 3 3 3 7 2" xfId="13029" xr:uid="{00000000-0005-0000-0000-0000667F0000}"/>
    <cellStyle name="Normal 57 3 3 3 7 2 2" xfId="23280" xr:uid="{00000000-0005-0000-0000-0000677F0000}"/>
    <cellStyle name="Normal 57 3 3 3 7 2 2 2" xfId="48833" xr:uid="{00000000-0005-0000-0000-0000687F0000}"/>
    <cellStyle name="Normal 57 3 3 3 7 2 3" xfId="38584" xr:uid="{00000000-0005-0000-0000-0000697F0000}"/>
    <cellStyle name="Normal 57 3 3 3 7 3" xfId="9450" xr:uid="{00000000-0005-0000-0000-00006A7F0000}"/>
    <cellStyle name="Normal 57 3 3 3 7 3 2" xfId="35007" xr:uid="{00000000-0005-0000-0000-00006B7F0000}"/>
    <cellStyle name="Normal 57 3 3 3 7 4" xfId="18273" xr:uid="{00000000-0005-0000-0000-00006C7F0000}"/>
    <cellStyle name="Normal 57 3 3 3 7 4 2" xfId="43826" xr:uid="{00000000-0005-0000-0000-00006D7F0000}"/>
    <cellStyle name="Normal 57 3 3 3 7 5" xfId="29763" xr:uid="{00000000-0005-0000-0000-00006E7F0000}"/>
    <cellStyle name="Normal 57 3 3 3 8" xfId="1463" xr:uid="{00000000-0005-0000-0000-00006F7F0000}"/>
    <cellStyle name="Normal 57 3 3 3 8 2" xfId="10840" xr:uid="{00000000-0005-0000-0000-0000707F0000}"/>
    <cellStyle name="Normal 57 3 3 3 8 2 2" xfId="36395" xr:uid="{00000000-0005-0000-0000-0000717F0000}"/>
    <cellStyle name="Normal 57 3 3 3 8 3" xfId="20844" xr:uid="{00000000-0005-0000-0000-0000727F0000}"/>
    <cellStyle name="Normal 57 3 3 3 8 3 2" xfId="46397" xr:uid="{00000000-0005-0000-0000-0000737F0000}"/>
    <cellStyle name="Normal 57 3 3 3 8 4" xfId="27327" xr:uid="{00000000-0005-0000-0000-0000747F0000}"/>
    <cellStyle name="Normal 57 3 3 3 9" xfId="5647" xr:uid="{00000000-0005-0000-0000-0000757F0000}"/>
    <cellStyle name="Normal 57 3 3 3 9 2" xfId="14474" xr:uid="{00000000-0005-0000-0000-0000767F0000}"/>
    <cellStyle name="Normal 57 3 3 3 9 2 2" xfId="40029" xr:uid="{00000000-0005-0000-0000-0000777F0000}"/>
    <cellStyle name="Normal 57 3 3 3 9 3" xfId="24725" xr:uid="{00000000-0005-0000-0000-0000787F0000}"/>
    <cellStyle name="Normal 57 3 3 3 9 3 2" xfId="50278" xr:uid="{00000000-0005-0000-0000-0000797F0000}"/>
    <cellStyle name="Normal 57 3 3 3 9 4" xfId="31208" xr:uid="{00000000-0005-0000-0000-00007A7F0000}"/>
    <cellStyle name="Normal 57 3 3 3_Degree data" xfId="3946" xr:uid="{00000000-0005-0000-0000-00007B7F0000}"/>
    <cellStyle name="Normal 57 3 3 4" xfId="471" xr:uid="{00000000-0005-0000-0000-00007C7F0000}"/>
    <cellStyle name="Normal 57 3 3 4 10" xfId="26400" xr:uid="{00000000-0005-0000-0000-00007D7F0000}"/>
    <cellStyle name="Normal 57 3 3 4 2" xfId="842" xr:uid="{00000000-0005-0000-0000-00007E7F0000}"/>
    <cellStyle name="Normal 57 3 3 4 2 2" xfId="3327" xr:uid="{00000000-0005-0000-0000-00007F7F0000}"/>
    <cellStyle name="Normal 57 3 3 4 2 2 2" xfId="12469" xr:uid="{00000000-0005-0000-0000-0000807F0000}"/>
    <cellStyle name="Normal 57 3 3 4 2 2 2 2" xfId="22688" xr:uid="{00000000-0005-0000-0000-0000817F0000}"/>
    <cellStyle name="Normal 57 3 3 4 2 2 2 2 2" xfId="48241" xr:uid="{00000000-0005-0000-0000-0000827F0000}"/>
    <cellStyle name="Normal 57 3 3 4 2 2 2 3" xfId="38024" xr:uid="{00000000-0005-0000-0000-0000837F0000}"/>
    <cellStyle name="Normal 57 3 3 4 2 2 3" xfId="8891" xr:uid="{00000000-0005-0000-0000-0000847F0000}"/>
    <cellStyle name="Normal 57 3 3 4 2 2 3 2" xfId="34448" xr:uid="{00000000-0005-0000-0000-0000857F0000}"/>
    <cellStyle name="Normal 57 3 3 4 2 2 4" xfId="17681" xr:uid="{00000000-0005-0000-0000-0000867F0000}"/>
    <cellStyle name="Normal 57 3 3 4 2 2 4 2" xfId="43234" xr:uid="{00000000-0005-0000-0000-0000877F0000}"/>
    <cellStyle name="Normal 57 3 3 4 2 2 5" xfId="29171" xr:uid="{00000000-0005-0000-0000-0000887F0000}"/>
    <cellStyle name="Normal 57 3 3 4 2 3" xfId="4656" xr:uid="{00000000-0005-0000-0000-0000897F0000}"/>
    <cellStyle name="Normal 57 3 3 4 2 3 2" xfId="13494" xr:uid="{00000000-0005-0000-0000-00008A7F0000}"/>
    <cellStyle name="Normal 57 3 3 4 2 3 2 2" xfId="23745" xr:uid="{00000000-0005-0000-0000-00008B7F0000}"/>
    <cellStyle name="Normal 57 3 3 4 2 3 2 2 2" xfId="49298" xr:uid="{00000000-0005-0000-0000-00008C7F0000}"/>
    <cellStyle name="Normal 57 3 3 4 2 3 2 3" xfId="39049" xr:uid="{00000000-0005-0000-0000-00008D7F0000}"/>
    <cellStyle name="Normal 57 3 3 4 2 3 3" xfId="9915" xr:uid="{00000000-0005-0000-0000-00008E7F0000}"/>
    <cellStyle name="Normal 57 3 3 4 2 3 3 2" xfId="35472" xr:uid="{00000000-0005-0000-0000-00008F7F0000}"/>
    <cellStyle name="Normal 57 3 3 4 2 3 4" xfId="18738" xr:uid="{00000000-0005-0000-0000-0000907F0000}"/>
    <cellStyle name="Normal 57 3 3 4 2 3 4 2" xfId="44291" xr:uid="{00000000-0005-0000-0000-0000917F0000}"/>
    <cellStyle name="Normal 57 3 3 4 2 3 5" xfId="30228" xr:uid="{00000000-0005-0000-0000-0000927F0000}"/>
    <cellStyle name="Normal 57 3 3 4 2 4" xfId="2436" xr:uid="{00000000-0005-0000-0000-0000937F0000}"/>
    <cellStyle name="Normal 57 3 3 4 2 4 2" xfId="11801" xr:uid="{00000000-0005-0000-0000-0000947F0000}"/>
    <cellStyle name="Normal 57 3 3 4 2 4 2 2" xfId="37356" xr:uid="{00000000-0005-0000-0000-0000957F0000}"/>
    <cellStyle name="Normal 57 3 3 4 2 4 3" xfId="21805" xr:uid="{00000000-0005-0000-0000-0000967F0000}"/>
    <cellStyle name="Normal 57 3 3 4 2 4 3 2" xfId="47358" xr:uid="{00000000-0005-0000-0000-0000977F0000}"/>
    <cellStyle name="Normal 57 3 3 4 2 4 4" xfId="28288" xr:uid="{00000000-0005-0000-0000-0000987F0000}"/>
    <cellStyle name="Normal 57 3 3 4 2 5" xfId="6112" xr:uid="{00000000-0005-0000-0000-0000997F0000}"/>
    <cellStyle name="Normal 57 3 3 4 2 5 2" xfId="14939" xr:uid="{00000000-0005-0000-0000-00009A7F0000}"/>
    <cellStyle name="Normal 57 3 3 4 2 5 2 2" xfId="40494" xr:uid="{00000000-0005-0000-0000-00009B7F0000}"/>
    <cellStyle name="Normal 57 3 3 4 2 5 3" xfId="25190" xr:uid="{00000000-0005-0000-0000-00009C7F0000}"/>
    <cellStyle name="Normal 57 3 3 4 2 5 3 2" xfId="50743" xr:uid="{00000000-0005-0000-0000-00009D7F0000}"/>
    <cellStyle name="Normal 57 3 3 4 2 5 4" xfId="31673" xr:uid="{00000000-0005-0000-0000-00009E7F0000}"/>
    <cellStyle name="Normal 57 3 3 4 2 6" xfId="7557" xr:uid="{00000000-0005-0000-0000-00009F7F0000}"/>
    <cellStyle name="Normal 57 3 3 4 2 6 2" xfId="20287" xr:uid="{00000000-0005-0000-0000-0000A07F0000}"/>
    <cellStyle name="Normal 57 3 3 4 2 6 2 2" xfId="45840" xr:uid="{00000000-0005-0000-0000-0000A17F0000}"/>
    <cellStyle name="Normal 57 3 3 4 2 6 3" xfId="33114" xr:uid="{00000000-0005-0000-0000-0000A27F0000}"/>
    <cellStyle name="Normal 57 3 3 4 2 7" xfId="16798" xr:uid="{00000000-0005-0000-0000-0000A37F0000}"/>
    <cellStyle name="Normal 57 3 3 4 2 7 2" xfId="42351" xr:uid="{00000000-0005-0000-0000-0000A47F0000}"/>
    <cellStyle name="Normal 57 3 3 4 2 8" xfId="26770" xr:uid="{00000000-0005-0000-0000-0000A57F0000}"/>
    <cellStyle name="Normal 57 3 3 4 3" xfId="1243" xr:uid="{00000000-0005-0000-0000-0000A67F0000}"/>
    <cellStyle name="Normal 57 3 3 4 3 2" xfId="3672" xr:uid="{00000000-0005-0000-0000-0000A77F0000}"/>
    <cellStyle name="Normal 57 3 3 4 3 2 2" xfId="12808" xr:uid="{00000000-0005-0000-0000-0000A87F0000}"/>
    <cellStyle name="Normal 57 3 3 4 3 2 2 2" xfId="23027" xr:uid="{00000000-0005-0000-0000-0000A97F0000}"/>
    <cellStyle name="Normal 57 3 3 4 3 2 2 2 2" xfId="48580" xr:uid="{00000000-0005-0000-0000-0000AA7F0000}"/>
    <cellStyle name="Normal 57 3 3 4 3 2 2 3" xfId="38363" xr:uid="{00000000-0005-0000-0000-0000AB7F0000}"/>
    <cellStyle name="Normal 57 3 3 4 3 2 3" xfId="9229" xr:uid="{00000000-0005-0000-0000-0000AC7F0000}"/>
    <cellStyle name="Normal 57 3 3 4 3 2 3 2" xfId="34786" xr:uid="{00000000-0005-0000-0000-0000AD7F0000}"/>
    <cellStyle name="Normal 57 3 3 4 3 2 4" xfId="18020" xr:uid="{00000000-0005-0000-0000-0000AE7F0000}"/>
    <cellStyle name="Normal 57 3 3 4 3 2 4 2" xfId="43573" xr:uid="{00000000-0005-0000-0000-0000AF7F0000}"/>
    <cellStyle name="Normal 57 3 3 4 3 2 5" xfId="29510" xr:uid="{00000000-0005-0000-0000-0000B07F0000}"/>
    <cellStyle name="Normal 57 3 3 4 3 3" xfId="5005" xr:uid="{00000000-0005-0000-0000-0000B17F0000}"/>
    <cellStyle name="Normal 57 3 3 4 3 3 2" xfId="13842" xr:uid="{00000000-0005-0000-0000-0000B27F0000}"/>
    <cellStyle name="Normal 57 3 3 4 3 3 2 2" xfId="24093" xr:uid="{00000000-0005-0000-0000-0000B37F0000}"/>
    <cellStyle name="Normal 57 3 3 4 3 3 2 2 2" xfId="49646" xr:uid="{00000000-0005-0000-0000-0000B47F0000}"/>
    <cellStyle name="Normal 57 3 3 4 3 3 2 3" xfId="39397" xr:uid="{00000000-0005-0000-0000-0000B57F0000}"/>
    <cellStyle name="Normal 57 3 3 4 3 3 3" xfId="10263" xr:uid="{00000000-0005-0000-0000-0000B67F0000}"/>
    <cellStyle name="Normal 57 3 3 4 3 3 3 2" xfId="35820" xr:uid="{00000000-0005-0000-0000-0000B77F0000}"/>
    <cellStyle name="Normal 57 3 3 4 3 3 4" xfId="19086" xr:uid="{00000000-0005-0000-0000-0000B87F0000}"/>
    <cellStyle name="Normal 57 3 3 4 3 3 4 2" xfId="44639" xr:uid="{00000000-0005-0000-0000-0000B97F0000}"/>
    <cellStyle name="Normal 57 3 3 4 3 3 5" xfId="30576" xr:uid="{00000000-0005-0000-0000-0000BA7F0000}"/>
    <cellStyle name="Normal 57 3 3 4 3 4" xfId="2066" xr:uid="{00000000-0005-0000-0000-0000BB7F0000}"/>
    <cellStyle name="Normal 57 3 3 4 3 4 2" xfId="11431" xr:uid="{00000000-0005-0000-0000-0000BC7F0000}"/>
    <cellStyle name="Normal 57 3 3 4 3 4 2 2" xfId="36986" xr:uid="{00000000-0005-0000-0000-0000BD7F0000}"/>
    <cellStyle name="Normal 57 3 3 4 3 4 3" xfId="21435" xr:uid="{00000000-0005-0000-0000-0000BE7F0000}"/>
    <cellStyle name="Normal 57 3 3 4 3 4 3 2" xfId="46988" xr:uid="{00000000-0005-0000-0000-0000BF7F0000}"/>
    <cellStyle name="Normal 57 3 3 4 3 4 4" xfId="27918" xr:uid="{00000000-0005-0000-0000-0000C07F0000}"/>
    <cellStyle name="Normal 57 3 3 4 3 5" xfId="6460" xr:uid="{00000000-0005-0000-0000-0000C17F0000}"/>
    <cellStyle name="Normal 57 3 3 4 3 5 2" xfId="15287" xr:uid="{00000000-0005-0000-0000-0000C27F0000}"/>
    <cellStyle name="Normal 57 3 3 4 3 5 2 2" xfId="40842" xr:uid="{00000000-0005-0000-0000-0000C37F0000}"/>
    <cellStyle name="Normal 57 3 3 4 3 5 3" xfId="25538" xr:uid="{00000000-0005-0000-0000-0000C47F0000}"/>
    <cellStyle name="Normal 57 3 3 4 3 5 3 2" xfId="51091" xr:uid="{00000000-0005-0000-0000-0000C57F0000}"/>
    <cellStyle name="Normal 57 3 3 4 3 5 4" xfId="32021" xr:uid="{00000000-0005-0000-0000-0000C67F0000}"/>
    <cellStyle name="Normal 57 3 3 4 3 6" xfId="7906" xr:uid="{00000000-0005-0000-0000-0000C77F0000}"/>
    <cellStyle name="Normal 57 3 3 4 3 6 2" xfId="20626" xr:uid="{00000000-0005-0000-0000-0000C87F0000}"/>
    <cellStyle name="Normal 57 3 3 4 3 6 2 2" xfId="46179" xr:uid="{00000000-0005-0000-0000-0000C97F0000}"/>
    <cellStyle name="Normal 57 3 3 4 3 6 3" xfId="33463" xr:uid="{00000000-0005-0000-0000-0000CA7F0000}"/>
    <cellStyle name="Normal 57 3 3 4 3 7" xfId="16428" xr:uid="{00000000-0005-0000-0000-0000CB7F0000}"/>
    <cellStyle name="Normal 57 3 3 4 3 7 2" xfId="41981" xr:uid="{00000000-0005-0000-0000-0000CC7F0000}"/>
    <cellStyle name="Normal 57 3 3 4 3 8" xfId="27109" xr:uid="{00000000-0005-0000-0000-0000CD7F0000}"/>
    <cellStyle name="Normal 57 3 3 4 4" xfId="2957" xr:uid="{00000000-0005-0000-0000-0000CE7F0000}"/>
    <cellStyle name="Normal 57 3 3 4 4 2" xfId="5335" xr:uid="{00000000-0005-0000-0000-0000CF7F0000}"/>
    <cellStyle name="Normal 57 3 3 4 4 2 2" xfId="14172" xr:uid="{00000000-0005-0000-0000-0000D07F0000}"/>
    <cellStyle name="Normal 57 3 3 4 4 2 2 2" xfId="24423" xr:uid="{00000000-0005-0000-0000-0000D17F0000}"/>
    <cellStyle name="Normal 57 3 3 4 4 2 2 2 2" xfId="49976" xr:uid="{00000000-0005-0000-0000-0000D27F0000}"/>
    <cellStyle name="Normal 57 3 3 4 4 2 2 3" xfId="39727" xr:uid="{00000000-0005-0000-0000-0000D37F0000}"/>
    <cellStyle name="Normal 57 3 3 4 4 2 3" xfId="10593" xr:uid="{00000000-0005-0000-0000-0000D47F0000}"/>
    <cellStyle name="Normal 57 3 3 4 4 2 3 2" xfId="36150" xr:uid="{00000000-0005-0000-0000-0000D57F0000}"/>
    <cellStyle name="Normal 57 3 3 4 4 2 4" xfId="19416" xr:uid="{00000000-0005-0000-0000-0000D67F0000}"/>
    <cellStyle name="Normal 57 3 3 4 4 2 4 2" xfId="44969" xr:uid="{00000000-0005-0000-0000-0000D77F0000}"/>
    <cellStyle name="Normal 57 3 3 4 4 2 5" xfId="30906" xr:uid="{00000000-0005-0000-0000-0000D87F0000}"/>
    <cellStyle name="Normal 57 3 3 4 4 3" xfId="6790" xr:uid="{00000000-0005-0000-0000-0000D97F0000}"/>
    <cellStyle name="Normal 57 3 3 4 4 3 2" xfId="15617" xr:uid="{00000000-0005-0000-0000-0000DA7F0000}"/>
    <cellStyle name="Normal 57 3 3 4 4 3 2 2" xfId="41172" xr:uid="{00000000-0005-0000-0000-0000DB7F0000}"/>
    <cellStyle name="Normal 57 3 3 4 4 3 3" xfId="25868" xr:uid="{00000000-0005-0000-0000-0000DC7F0000}"/>
    <cellStyle name="Normal 57 3 3 4 4 3 3 2" xfId="51421" xr:uid="{00000000-0005-0000-0000-0000DD7F0000}"/>
    <cellStyle name="Normal 57 3 3 4 4 3 4" xfId="32351" xr:uid="{00000000-0005-0000-0000-0000DE7F0000}"/>
    <cellStyle name="Normal 57 3 3 4 4 4" xfId="8236" xr:uid="{00000000-0005-0000-0000-0000DF7F0000}"/>
    <cellStyle name="Normal 57 3 3 4 4 4 2" xfId="22318" xr:uid="{00000000-0005-0000-0000-0000E07F0000}"/>
    <cellStyle name="Normal 57 3 3 4 4 4 2 2" xfId="47871" xr:uid="{00000000-0005-0000-0000-0000E17F0000}"/>
    <cellStyle name="Normal 57 3 3 4 4 4 3" xfId="33793" xr:uid="{00000000-0005-0000-0000-0000E27F0000}"/>
    <cellStyle name="Normal 57 3 3 4 4 5" xfId="17311" xr:uid="{00000000-0005-0000-0000-0000E37F0000}"/>
    <cellStyle name="Normal 57 3 3 4 4 5 2" xfId="42864" xr:uid="{00000000-0005-0000-0000-0000E47F0000}"/>
    <cellStyle name="Normal 57 3 3 4 4 6" xfId="28801" xr:uid="{00000000-0005-0000-0000-0000E57F0000}"/>
    <cellStyle name="Normal 57 3 3 4 5" xfId="4291" xr:uid="{00000000-0005-0000-0000-0000E67F0000}"/>
    <cellStyle name="Normal 57 3 3 4 5 2" xfId="13129" xr:uid="{00000000-0005-0000-0000-0000E77F0000}"/>
    <cellStyle name="Normal 57 3 3 4 5 2 2" xfId="23380" xr:uid="{00000000-0005-0000-0000-0000E87F0000}"/>
    <cellStyle name="Normal 57 3 3 4 5 2 2 2" xfId="48933" xr:uid="{00000000-0005-0000-0000-0000E97F0000}"/>
    <cellStyle name="Normal 57 3 3 4 5 2 3" xfId="38684" xr:uid="{00000000-0005-0000-0000-0000EA7F0000}"/>
    <cellStyle name="Normal 57 3 3 4 5 3" xfId="9550" xr:uid="{00000000-0005-0000-0000-0000EB7F0000}"/>
    <cellStyle name="Normal 57 3 3 4 5 3 2" xfId="35107" xr:uid="{00000000-0005-0000-0000-0000EC7F0000}"/>
    <cellStyle name="Normal 57 3 3 4 5 4" xfId="18373" xr:uid="{00000000-0005-0000-0000-0000ED7F0000}"/>
    <cellStyle name="Normal 57 3 3 4 5 4 2" xfId="43926" xr:uid="{00000000-0005-0000-0000-0000EE7F0000}"/>
    <cellStyle name="Normal 57 3 3 4 5 5" xfId="29863" xr:uid="{00000000-0005-0000-0000-0000EF7F0000}"/>
    <cellStyle name="Normal 57 3 3 4 6" xfId="1563" xr:uid="{00000000-0005-0000-0000-0000F07F0000}"/>
    <cellStyle name="Normal 57 3 3 4 6 2" xfId="10940" xr:uid="{00000000-0005-0000-0000-0000F17F0000}"/>
    <cellStyle name="Normal 57 3 3 4 6 2 2" xfId="36495" xr:uid="{00000000-0005-0000-0000-0000F27F0000}"/>
    <cellStyle name="Normal 57 3 3 4 6 3" xfId="20944" xr:uid="{00000000-0005-0000-0000-0000F37F0000}"/>
    <cellStyle name="Normal 57 3 3 4 6 3 2" xfId="46497" xr:uid="{00000000-0005-0000-0000-0000F47F0000}"/>
    <cellStyle name="Normal 57 3 3 4 6 4" xfId="27427" xr:uid="{00000000-0005-0000-0000-0000F57F0000}"/>
    <cellStyle name="Normal 57 3 3 4 7" xfId="5747" xr:uid="{00000000-0005-0000-0000-0000F67F0000}"/>
    <cellStyle name="Normal 57 3 3 4 7 2" xfId="14574" xr:uid="{00000000-0005-0000-0000-0000F77F0000}"/>
    <cellStyle name="Normal 57 3 3 4 7 2 2" xfId="40129" xr:uid="{00000000-0005-0000-0000-0000F87F0000}"/>
    <cellStyle name="Normal 57 3 3 4 7 3" xfId="24825" xr:uid="{00000000-0005-0000-0000-0000F97F0000}"/>
    <cellStyle name="Normal 57 3 3 4 7 3 2" xfId="50378" xr:uid="{00000000-0005-0000-0000-0000FA7F0000}"/>
    <cellStyle name="Normal 57 3 3 4 7 4" xfId="31308" xr:uid="{00000000-0005-0000-0000-0000FB7F0000}"/>
    <cellStyle name="Normal 57 3 3 4 8" xfId="7191" xr:uid="{00000000-0005-0000-0000-0000FC7F0000}"/>
    <cellStyle name="Normal 57 3 3 4 8 2" xfId="19917" xr:uid="{00000000-0005-0000-0000-0000FD7F0000}"/>
    <cellStyle name="Normal 57 3 3 4 8 2 2" xfId="45470" xr:uid="{00000000-0005-0000-0000-0000FE7F0000}"/>
    <cellStyle name="Normal 57 3 3 4 8 3" xfId="32748" xr:uid="{00000000-0005-0000-0000-0000FF7F0000}"/>
    <cellStyle name="Normal 57 3 3 4 9" xfId="15937" xr:uid="{00000000-0005-0000-0000-000000800000}"/>
    <cellStyle name="Normal 57 3 3 4 9 2" xfId="41490" xr:uid="{00000000-0005-0000-0000-000001800000}"/>
    <cellStyle name="Normal 57 3 3 4_Degree data" xfId="3948" xr:uid="{00000000-0005-0000-0000-000002800000}"/>
    <cellStyle name="Normal 57 3 3 5" xfId="312" xr:uid="{00000000-0005-0000-0000-000003800000}"/>
    <cellStyle name="Normal 57 3 3 5 2" xfId="2798" xr:uid="{00000000-0005-0000-0000-000004800000}"/>
    <cellStyle name="Normal 57 3 3 5 2 2" xfId="12102" xr:uid="{00000000-0005-0000-0000-000005800000}"/>
    <cellStyle name="Normal 57 3 3 5 2 2 2" xfId="22159" xr:uid="{00000000-0005-0000-0000-000006800000}"/>
    <cellStyle name="Normal 57 3 3 5 2 2 2 2" xfId="47712" xr:uid="{00000000-0005-0000-0000-000007800000}"/>
    <cellStyle name="Normal 57 3 3 5 2 2 3" xfId="37657" xr:uid="{00000000-0005-0000-0000-000008800000}"/>
    <cellStyle name="Normal 57 3 3 5 2 3" xfId="8471" xr:uid="{00000000-0005-0000-0000-000009800000}"/>
    <cellStyle name="Normal 57 3 3 5 2 3 2" xfId="34028" xr:uid="{00000000-0005-0000-0000-00000A800000}"/>
    <cellStyle name="Normal 57 3 3 5 2 4" xfId="17152" xr:uid="{00000000-0005-0000-0000-00000B800000}"/>
    <cellStyle name="Normal 57 3 3 5 2 4 2" xfId="42705" xr:uid="{00000000-0005-0000-0000-00000C800000}"/>
    <cellStyle name="Normal 57 3 3 5 2 5" xfId="28642" xr:uid="{00000000-0005-0000-0000-00000D800000}"/>
    <cellStyle name="Normal 57 3 3 5 3" xfId="4651" xr:uid="{00000000-0005-0000-0000-00000E800000}"/>
    <cellStyle name="Normal 57 3 3 5 3 2" xfId="13489" xr:uid="{00000000-0005-0000-0000-00000F800000}"/>
    <cellStyle name="Normal 57 3 3 5 3 2 2" xfId="23740" xr:uid="{00000000-0005-0000-0000-000010800000}"/>
    <cellStyle name="Normal 57 3 3 5 3 2 2 2" xfId="49293" xr:uid="{00000000-0005-0000-0000-000011800000}"/>
    <cellStyle name="Normal 57 3 3 5 3 2 3" xfId="39044" xr:uid="{00000000-0005-0000-0000-000012800000}"/>
    <cellStyle name="Normal 57 3 3 5 3 3" xfId="9910" xr:uid="{00000000-0005-0000-0000-000013800000}"/>
    <cellStyle name="Normal 57 3 3 5 3 3 2" xfId="35467" xr:uid="{00000000-0005-0000-0000-000014800000}"/>
    <cellStyle name="Normal 57 3 3 5 3 4" xfId="18733" xr:uid="{00000000-0005-0000-0000-000015800000}"/>
    <cellStyle name="Normal 57 3 3 5 3 4 2" xfId="44286" xr:uid="{00000000-0005-0000-0000-000016800000}"/>
    <cellStyle name="Normal 57 3 3 5 3 5" xfId="30223" xr:uid="{00000000-0005-0000-0000-000017800000}"/>
    <cellStyle name="Normal 57 3 3 5 4" xfId="1907" xr:uid="{00000000-0005-0000-0000-000018800000}"/>
    <cellStyle name="Normal 57 3 3 5 4 2" xfId="11272" xr:uid="{00000000-0005-0000-0000-000019800000}"/>
    <cellStyle name="Normal 57 3 3 5 4 2 2" xfId="36827" xr:uid="{00000000-0005-0000-0000-00001A800000}"/>
    <cellStyle name="Normal 57 3 3 5 4 3" xfId="21276" xr:uid="{00000000-0005-0000-0000-00001B800000}"/>
    <cellStyle name="Normal 57 3 3 5 4 3 2" xfId="46829" xr:uid="{00000000-0005-0000-0000-00001C800000}"/>
    <cellStyle name="Normal 57 3 3 5 4 4" xfId="27759" xr:uid="{00000000-0005-0000-0000-00001D800000}"/>
    <cellStyle name="Normal 57 3 3 5 5" xfId="6107" xr:uid="{00000000-0005-0000-0000-00001E800000}"/>
    <cellStyle name="Normal 57 3 3 5 5 2" xfId="14934" xr:uid="{00000000-0005-0000-0000-00001F800000}"/>
    <cellStyle name="Normal 57 3 3 5 5 2 2" xfId="40489" xr:uid="{00000000-0005-0000-0000-000020800000}"/>
    <cellStyle name="Normal 57 3 3 5 5 3" xfId="25185" xr:uid="{00000000-0005-0000-0000-000021800000}"/>
    <cellStyle name="Normal 57 3 3 5 5 3 2" xfId="50738" xr:uid="{00000000-0005-0000-0000-000022800000}"/>
    <cellStyle name="Normal 57 3 3 5 5 4" xfId="31668" xr:uid="{00000000-0005-0000-0000-000023800000}"/>
    <cellStyle name="Normal 57 3 3 5 6" xfId="7552" xr:uid="{00000000-0005-0000-0000-000024800000}"/>
    <cellStyle name="Normal 57 3 3 5 6 2" xfId="19758" xr:uid="{00000000-0005-0000-0000-000025800000}"/>
    <cellStyle name="Normal 57 3 3 5 6 2 2" xfId="45311" xr:uid="{00000000-0005-0000-0000-000026800000}"/>
    <cellStyle name="Normal 57 3 3 5 6 3" xfId="33109" xr:uid="{00000000-0005-0000-0000-000027800000}"/>
    <cellStyle name="Normal 57 3 3 5 7" xfId="16269" xr:uid="{00000000-0005-0000-0000-000028800000}"/>
    <cellStyle name="Normal 57 3 3 5 7 2" xfId="41822" xr:uid="{00000000-0005-0000-0000-000029800000}"/>
    <cellStyle name="Normal 57 3 3 5 8" xfId="26241" xr:uid="{00000000-0005-0000-0000-00002A800000}"/>
    <cellStyle name="Normal 57 3 3 6" xfId="837" xr:uid="{00000000-0005-0000-0000-00002B800000}"/>
    <cellStyle name="Normal 57 3 3 6 2" xfId="3322" xr:uid="{00000000-0005-0000-0000-00002C800000}"/>
    <cellStyle name="Normal 57 3 3 6 2 2" xfId="12464" xr:uid="{00000000-0005-0000-0000-00002D800000}"/>
    <cellStyle name="Normal 57 3 3 6 2 2 2" xfId="22683" xr:uid="{00000000-0005-0000-0000-00002E800000}"/>
    <cellStyle name="Normal 57 3 3 6 2 2 2 2" xfId="48236" xr:uid="{00000000-0005-0000-0000-00002F800000}"/>
    <cellStyle name="Normal 57 3 3 6 2 2 3" xfId="38019" xr:uid="{00000000-0005-0000-0000-000030800000}"/>
    <cellStyle name="Normal 57 3 3 6 2 3" xfId="8886" xr:uid="{00000000-0005-0000-0000-000031800000}"/>
    <cellStyle name="Normal 57 3 3 6 2 3 2" xfId="34443" xr:uid="{00000000-0005-0000-0000-000032800000}"/>
    <cellStyle name="Normal 57 3 3 6 2 4" xfId="17676" xr:uid="{00000000-0005-0000-0000-000033800000}"/>
    <cellStyle name="Normal 57 3 3 6 2 4 2" xfId="43229" xr:uid="{00000000-0005-0000-0000-000034800000}"/>
    <cellStyle name="Normal 57 3 3 6 2 5" xfId="29166" xr:uid="{00000000-0005-0000-0000-000035800000}"/>
    <cellStyle name="Normal 57 3 3 6 3" xfId="5000" xr:uid="{00000000-0005-0000-0000-000036800000}"/>
    <cellStyle name="Normal 57 3 3 6 3 2" xfId="13837" xr:uid="{00000000-0005-0000-0000-000037800000}"/>
    <cellStyle name="Normal 57 3 3 6 3 2 2" xfId="24088" xr:uid="{00000000-0005-0000-0000-000038800000}"/>
    <cellStyle name="Normal 57 3 3 6 3 2 2 2" xfId="49641" xr:uid="{00000000-0005-0000-0000-000039800000}"/>
    <cellStyle name="Normal 57 3 3 6 3 2 3" xfId="39392" xr:uid="{00000000-0005-0000-0000-00003A800000}"/>
    <cellStyle name="Normal 57 3 3 6 3 3" xfId="10258" xr:uid="{00000000-0005-0000-0000-00003B800000}"/>
    <cellStyle name="Normal 57 3 3 6 3 3 2" xfId="35815" xr:uid="{00000000-0005-0000-0000-00003C800000}"/>
    <cellStyle name="Normal 57 3 3 6 3 4" xfId="19081" xr:uid="{00000000-0005-0000-0000-00003D800000}"/>
    <cellStyle name="Normal 57 3 3 6 3 4 2" xfId="44634" xr:uid="{00000000-0005-0000-0000-00003E800000}"/>
    <cellStyle name="Normal 57 3 3 6 3 5" xfId="30571" xr:uid="{00000000-0005-0000-0000-00003F800000}"/>
    <cellStyle name="Normal 57 3 3 6 4" xfId="2431" xr:uid="{00000000-0005-0000-0000-000040800000}"/>
    <cellStyle name="Normal 57 3 3 6 4 2" xfId="11796" xr:uid="{00000000-0005-0000-0000-000041800000}"/>
    <cellStyle name="Normal 57 3 3 6 4 2 2" xfId="37351" xr:uid="{00000000-0005-0000-0000-000042800000}"/>
    <cellStyle name="Normal 57 3 3 6 4 3" xfId="21800" xr:uid="{00000000-0005-0000-0000-000043800000}"/>
    <cellStyle name="Normal 57 3 3 6 4 3 2" xfId="47353" xr:uid="{00000000-0005-0000-0000-000044800000}"/>
    <cellStyle name="Normal 57 3 3 6 4 4" xfId="28283" xr:uid="{00000000-0005-0000-0000-000045800000}"/>
    <cellStyle name="Normal 57 3 3 6 5" xfId="6455" xr:uid="{00000000-0005-0000-0000-000046800000}"/>
    <cellStyle name="Normal 57 3 3 6 5 2" xfId="15282" xr:uid="{00000000-0005-0000-0000-000047800000}"/>
    <cellStyle name="Normal 57 3 3 6 5 2 2" xfId="40837" xr:uid="{00000000-0005-0000-0000-000048800000}"/>
    <cellStyle name="Normal 57 3 3 6 5 3" xfId="25533" xr:uid="{00000000-0005-0000-0000-000049800000}"/>
    <cellStyle name="Normal 57 3 3 6 5 3 2" xfId="51086" xr:uid="{00000000-0005-0000-0000-00004A800000}"/>
    <cellStyle name="Normal 57 3 3 6 5 4" xfId="32016" xr:uid="{00000000-0005-0000-0000-00004B800000}"/>
    <cellStyle name="Normal 57 3 3 6 6" xfId="7901" xr:uid="{00000000-0005-0000-0000-00004C800000}"/>
    <cellStyle name="Normal 57 3 3 6 6 2" xfId="20282" xr:uid="{00000000-0005-0000-0000-00004D800000}"/>
    <cellStyle name="Normal 57 3 3 6 6 2 2" xfId="45835" xr:uid="{00000000-0005-0000-0000-00004E800000}"/>
    <cellStyle name="Normal 57 3 3 6 6 3" xfId="33458" xr:uid="{00000000-0005-0000-0000-00004F800000}"/>
    <cellStyle name="Normal 57 3 3 6 7" xfId="16793" xr:uid="{00000000-0005-0000-0000-000050800000}"/>
    <cellStyle name="Normal 57 3 3 6 7 2" xfId="42346" xr:uid="{00000000-0005-0000-0000-000051800000}"/>
    <cellStyle name="Normal 57 3 3 6 8" xfId="26765" xr:uid="{00000000-0005-0000-0000-000052800000}"/>
    <cellStyle name="Normal 57 3 3 7" xfId="1084" xr:uid="{00000000-0005-0000-0000-000053800000}"/>
    <cellStyle name="Normal 57 3 3 7 2" xfId="3513" xr:uid="{00000000-0005-0000-0000-000054800000}"/>
    <cellStyle name="Normal 57 3 3 7 2 2" xfId="12649" xr:uid="{00000000-0005-0000-0000-000055800000}"/>
    <cellStyle name="Normal 57 3 3 7 2 2 2" xfId="22868" xr:uid="{00000000-0005-0000-0000-000056800000}"/>
    <cellStyle name="Normal 57 3 3 7 2 2 2 2" xfId="48421" xr:uid="{00000000-0005-0000-0000-000057800000}"/>
    <cellStyle name="Normal 57 3 3 7 2 2 3" xfId="38204" xr:uid="{00000000-0005-0000-0000-000058800000}"/>
    <cellStyle name="Normal 57 3 3 7 2 3" xfId="9071" xr:uid="{00000000-0005-0000-0000-000059800000}"/>
    <cellStyle name="Normal 57 3 3 7 2 3 2" xfId="34628" xr:uid="{00000000-0005-0000-0000-00005A800000}"/>
    <cellStyle name="Normal 57 3 3 7 2 4" xfId="17861" xr:uid="{00000000-0005-0000-0000-00005B800000}"/>
    <cellStyle name="Normal 57 3 3 7 2 4 2" xfId="43414" xr:uid="{00000000-0005-0000-0000-00005C800000}"/>
    <cellStyle name="Normal 57 3 3 7 2 5" xfId="29351" xr:uid="{00000000-0005-0000-0000-00005D800000}"/>
    <cellStyle name="Normal 57 3 3 7 3" xfId="5176" xr:uid="{00000000-0005-0000-0000-00005E800000}"/>
    <cellStyle name="Normal 57 3 3 7 3 2" xfId="14013" xr:uid="{00000000-0005-0000-0000-00005F800000}"/>
    <cellStyle name="Normal 57 3 3 7 3 2 2" xfId="24264" xr:uid="{00000000-0005-0000-0000-000060800000}"/>
    <cellStyle name="Normal 57 3 3 7 3 2 2 2" xfId="49817" xr:uid="{00000000-0005-0000-0000-000061800000}"/>
    <cellStyle name="Normal 57 3 3 7 3 2 3" xfId="39568" xr:uid="{00000000-0005-0000-0000-000062800000}"/>
    <cellStyle name="Normal 57 3 3 7 3 3" xfId="10434" xr:uid="{00000000-0005-0000-0000-000063800000}"/>
    <cellStyle name="Normal 57 3 3 7 3 3 2" xfId="35991" xr:uid="{00000000-0005-0000-0000-000064800000}"/>
    <cellStyle name="Normal 57 3 3 7 3 4" xfId="19257" xr:uid="{00000000-0005-0000-0000-000065800000}"/>
    <cellStyle name="Normal 57 3 3 7 3 4 2" xfId="44810" xr:uid="{00000000-0005-0000-0000-000066800000}"/>
    <cellStyle name="Normal 57 3 3 7 3 5" xfId="30747" xr:uid="{00000000-0005-0000-0000-000067800000}"/>
    <cellStyle name="Normal 57 3 3 7 4" xfId="1742" xr:uid="{00000000-0005-0000-0000-000068800000}"/>
    <cellStyle name="Normal 57 3 3 7 4 2" xfId="11113" xr:uid="{00000000-0005-0000-0000-000069800000}"/>
    <cellStyle name="Normal 57 3 3 7 4 2 2" xfId="36668" xr:uid="{00000000-0005-0000-0000-00006A800000}"/>
    <cellStyle name="Normal 57 3 3 7 4 3" xfId="21117" xr:uid="{00000000-0005-0000-0000-00006B800000}"/>
    <cellStyle name="Normal 57 3 3 7 4 3 2" xfId="46670" xr:uid="{00000000-0005-0000-0000-00006C800000}"/>
    <cellStyle name="Normal 57 3 3 7 4 4" xfId="27600" xr:uid="{00000000-0005-0000-0000-00006D800000}"/>
    <cellStyle name="Normal 57 3 3 7 5" xfId="6631" xr:uid="{00000000-0005-0000-0000-00006E800000}"/>
    <cellStyle name="Normal 57 3 3 7 5 2" xfId="15458" xr:uid="{00000000-0005-0000-0000-00006F800000}"/>
    <cellStyle name="Normal 57 3 3 7 5 2 2" xfId="41013" xr:uid="{00000000-0005-0000-0000-000070800000}"/>
    <cellStyle name="Normal 57 3 3 7 5 3" xfId="25709" xr:uid="{00000000-0005-0000-0000-000071800000}"/>
    <cellStyle name="Normal 57 3 3 7 5 3 2" xfId="51262" xr:uid="{00000000-0005-0000-0000-000072800000}"/>
    <cellStyle name="Normal 57 3 3 7 5 4" xfId="32192" xr:uid="{00000000-0005-0000-0000-000073800000}"/>
    <cellStyle name="Normal 57 3 3 7 6" xfId="8077" xr:uid="{00000000-0005-0000-0000-000074800000}"/>
    <cellStyle name="Normal 57 3 3 7 6 2" xfId="20467" xr:uid="{00000000-0005-0000-0000-000075800000}"/>
    <cellStyle name="Normal 57 3 3 7 6 2 2" xfId="46020" xr:uid="{00000000-0005-0000-0000-000076800000}"/>
    <cellStyle name="Normal 57 3 3 7 6 3" xfId="33634" xr:uid="{00000000-0005-0000-0000-000077800000}"/>
    <cellStyle name="Normal 57 3 3 7 7" xfId="16110" xr:uid="{00000000-0005-0000-0000-000078800000}"/>
    <cellStyle name="Normal 57 3 3 7 7 2" xfId="41663" xr:uid="{00000000-0005-0000-0000-000079800000}"/>
    <cellStyle name="Normal 57 3 3 7 8" xfId="26950" xr:uid="{00000000-0005-0000-0000-00007A800000}"/>
    <cellStyle name="Normal 57 3 3 8" xfId="2640" xr:uid="{00000000-0005-0000-0000-00007B800000}"/>
    <cellStyle name="Normal 57 3 3 8 2" xfId="5588" xr:uid="{00000000-0005-0000-0000-00007C800000}"/>
    <cellStyle name="Normal 57 3 3 8 2 2" xfId="14415" xr:uid="{00000000-0005-0000-0000-00007D800000}"/>
    <cellStyle name="Normal 57 3 3 8 2 2 2" xfId="39970" xr:uid="{00000000-0005-0000-0000-00007E800000}"/>
    <cellStyle name="Normal 57 3 3 8 2 3" xfId="24666" xr:uid="{00000000-0005-0000-0000-00007F800000}"/>
    <cellStyle name="Normal 57 3 3 8 2 3 2" xfId="50219" xr:uid="{00000000-0005-0000-0000-000080800000}"/>
    <cellStyle name="Normal 57 3 3 8 2 4" xfId="31149" xr:uid="{00000000-0005-0000-0000-000081800000}"/>
    <cellStyle name="Normal 57 3 3 8 3" xfId="7032" xr:uid="{00000000-0005-0000-0000-000082800000}"/>
    <cellStyle name="Normal 57 3 3 8 3 2" xfId="22001" xr:uid="{00000000-0005-0000-0000-000083800000}"/>
    <cellStyle name="Normal 57 3 3 8 3 2 2" xfId="47554" xr:uid="{00000000-0005-0000-0000-000084800000}"/>
    <cellStyle name="Normal 57 3 3 8 3 3" xfId="32589" xr:uid="{00000000-0005-0000-0000-000085800000}"/>
    <cellStyle name="Normal 57 3 3 8 4" xfId="16994" xr:uid="{00000000-0005-0000-0000-000086800000}"/>
    <cellStyle name="Normal 57 3 3 8 4 2" xfId="42547" xr:uid="{00000000-0005-0000-0000-000087800000}"/>
    <cellStyle name="Normal 57 3 3 8 5" xfId="28484" xr:uid="{00000000-0005-0000-0000-000088800000}"/>
    <cellStyle name="Normal 57 3 3 9" xfId="4130" xr:uid="{00000000-0005-0000-0000-000089800000}"/>
    <cellStyle name="Normal 57 3 3 9 2" xfId="12968" xr:uid="{00000000-0005-0000-0000-00008A800000}"/>
    <cellStyle name="Normal 57 3 3 9 2 2" xfId="23219" xr:uid="{00000000-0005-0000-0000-00008B800000}"/>
    <cellStyle name="Normal 57 3 3 9 2 2 2" xfId="48772" xr:uid="{00000000-0005-0000-0000-00008C800000}"/>
    <cellStyle name="Normal 57 3 3 9 2 3" xfId="38523" xr:uid="{00000000-0005-0000-0000-00008D800000}"/>
    <cellStyle name="Normal 57 3 3 9 3" xfId="9389" xr:uid="{00000000-0005-0000-0000-00008E800000}"/>
    <cellStyle name="Normal 57 3 3 9 3 2" xfId="34946" xr:uid="{00000000-0005-0000-0000-00008F800000}"/>
    <cellStyle name="Normal 57 3 3 9 4" xfId="18212" xr:uid="{00000000-0005-0000-0000-000090800000}"/>
    <cellStyle name="Normal 57 3 3 9 4 2" xfId="43765" xr:uid="{00000000-0005-0000-0000-000091800000}"/>
    <cellStyle name="Normal 57 3 3 9 5" xfId="29702" xr:uid="{00000000-0005-0000-0000-000092800000}"/>
    <cellStyle name="Normal 57 3 3_Degree data" xfId="3943" xr:uid="{00000000-0005-0000-0000-000093800000}"/>
    <cellStyle name="Normal 57 3 4" xfId="180" xr:uid="{00000000-0005-0000-0000-000094800000}"/>
    <cellStyle name="Normal 57 3 4 10" xfId="7128" xr:uid="{00000000-0005-0000-0000-000095800000}"/>
    <cellStyle name="Normal 57 3 4 10 2" xfId="19637" xr:uid="{00000000-0005-0000-0000-000096800000}"/>
    <cellStyle name="Normal 57 3 4 10 2 2" xfId="45190" xr:uid="{00000000-0005-0000-0000-000097800000}"/>
    <cellStyle name="Normal 57 3 4 10 3" xfId="32685" xr:uid="{00000000-0005-0000-0000-000098800000}"/>
    <cellStyle name="Normal 57 3 4 11" xfId="15874" xr:uid="{00000000-0005-0000-0000-000099800000}"/>
    <cellStyle name="Normal 57 3 4 11 2" xfId="41427" xr:uid="{00000000-0005-0000-0000-00009A800000}"/>
    <cellStyle name="Normal 57 3 4 12" xfId="26120" xr:uid="{00000000-0005-0000-0000-00009B800000}"/>
    <cellStyle name="Normal 57 3 4 2" xfId="508" xr:uid="{00000000-0005-0000-0000-00009C800000}"/>
    <cellStyle name="Normal 57 3 4 2 10" xfId="26437" xr:uid="{00000000-0005-0000-0000-00009D800000}"/>
    <cellStyle name="Normal 57 3 4 2 2" xfId="844" xr:uid="{00000000-0005-0000-0000-00009E800000}"/>
    <cellStyle name="Normal 57 3 4 2 2 2" xfId="3329" xr:uid="{00000000-0005-0000-0000-00009F800000}"/>
    <cellStyle name="Normal 57 3 4 2 2 2 2" xfId="12471" xr:uid="{00000000-0005-0000-0000-0000A0800000}"/>
    <cellStyle name="Normal 57 3 4 2 2 2 2 2" xfId="22690" xr:uid="{00000000-0005-0000-0000-0000A1800000}"/>
    <cellStyle name="Normal 57 3 4 2 2 2 2 2 2" xfId="48243" xr:uid="{00000000-0005-0000-0000-0000A2800000}"/>
    <cellStyle name="Normal 57 3 4 2 2 2 2 3" xfId="38026" xr:uid="{00000000-0005-0000-0000-0000A3800000}"/>
    <cellStyle name="Normal 57 3 4 2 2 2 3" xfId="8893" xr:uid="{00000000-0005-0000-0000-0000A4800000}"/>
    <cellStyle name="Normal 57 3 4 2 2 2 3 2" xfId="34450" xr:uid="{00000000-0005-0000-0000-0000A5800000}"/>
    <cellStyle name="Normal 57 3 4 2 2 2 4" xfId="17683" xr:uid="{00000000-0005-0000-0000-0000A6800000}"/>
    <cellStyle name="Normal 57 3 4 2 2 2 4 2" xfId="43236" xr:uid="{00000000-0005-0000-0000-0000A7800000}"/>
    <cellStyle name="Normal 57 3 4 2 2 2 5" xfId="29173" xr:uid="{00000000-0005-0000-0000-0000A8800000}"/>
    <cellStyle name="Normal 57 3 4 2 2 3" xfId="4658" xr:uid="{00000000-0005-0000-0000-0000A9800000}"/>
    <cellStyle name="Normal 57 3 4 2 2 3 2" xfId="13496" xr:uid="{00000000-0005-0000-0000-0000AA800000}"/>
    <cellStyle name="Normal 57 3 4 2 2 3 2 2" xfId="23747" xr:uid="{00000000-0005-0000-0000-0000AB800000}"/>
    <cellStyle name="Normal 57 3 4 2 2 3 2 2 2" xfId="49300" xr:uid="{00000000-0005-0000-0000-0000AC800000}"/>
    <cellStyle name="Normal 57 3 4 2 2 3 2 3" xfId="39051" xr:uid="{00000000-0005-0000-0000-0000AD800000}"/>
    <cellStyle name="Normal 57 3 4 2 2 3 3" xfId="9917" xr:uid="{00000000-0005-0000-0000-0000AE800000}"/>
    <cellStyle name="Normal 57 3 4 2 2 3 3 2" xfId="35474" xr:uid="{00000000-0005-0000-0000-0000AF800000}"/>
    <cellStyle name="Normal 57 3 4 2 2 3 4" xfId="18740" xr:uid="{00000000-0005-0000-0000-0000B0800000}"/>
    <cellStyle name="Normal 57 3 4 2 2 3 4 2" xfId="44293" xr:uid="{00000000-0005-0000-0000-0000B1800000}"/>
    <cellStyle name="Normal 57 3 4 2 2 3 5" xfId="30230" xr:uid="{00000000-0005-0000-0000-0000B2800000}"/>
    <cellStyle name="Normal 57 3 4 2 2 4" xfId="2438" xr:uid="{00000000-0005-0000-0000-0000B3800000}"/>
    <cellStyle name="Normal 57 3 4 2 2 4 2" xfId="11803" xr:uid="{00000000-0005-0000-0000-0000B4800000}"/>
    <cellStyle name="Normal 57 3 4 2 2 4 2 2" xfId="37358" xr:uid="{00000000-0005-0000-0000-0000B5800000}"/>
    <cellStyle name="Normal 57 3 4 2 2 4 3" xfId="21807" xr:uid="{00000000-0005-0000-0000-0000B6800000}"/>
    <cellStyle name="Normal 57 3 4 2 2 4 3 2" xfId="47360" xr:uid="{00000000-0005-0000-0000-0000B7800000}"/>
    <cellStyle name="Normal 57 3 4 2 2 4 4" xfId="28290" xr:uid="{00000000-0005-0000-0000-0000B8800000}"/>
    <cellStyle name="Normal 57 3 4 2 2 5" xfId="6114" xr:uid="{00000000-0005-0000-0000-0000B9800000}"/>
    <cellStyle name="Normal 57 3 4 2 2 5 2" xfId="14941" xr:uid="{00000000-0005-0000-0000-0000BA800000}"/>
    <cellStyle name="Normal 57 3 4 2 2 5 2 2" xfId="40496" xr:uid="{00000000-0005-0000-0000-0000BB800000}"/>
    <cellStyle name="Normal 57 3 4 2 2 5 3" xfId="25192" xr:uid="{00000000-0005-0000-0000-0000BC800000}"/>
    <cellStyle name="Normal 57 3 4 2 2 5 3 2" xfId="50745" xr:uid="{00000000-0005-0000-0000-0000BD800000}"/>
    <cellStyle name="Normal 57 3 4 2 2 5 4" xfId="31675" xr:uid="{00000000-0005-0000-0000-0000BE800000}"/>
    <cellStyle name="Normal 57 3 4 2 2 6" xfId="7559" xr:uid="{00000000-0005-0000-0000-0000BF800000}"/>
    <cellStyle name="Normal 57 3 4 2 2 6 2" xfId="20289" xr:uid="{00000000-0005-0000-0000-0000C0800000}"/>
    <cellStyle name="Normal 57 3 4 2 2 6 2 2" xfId="45842" xr:uid="{00000000-0005-0000-0000-0000C1800000}"/>
    <cellStyle name="Normal 57 3 4 2 2 6 3" xfId="33116" xr:uid="{00000000-0005-0000-0000-0000C2800000}"/>
    <cellStyle name="Normal 57 3 4 2 2 7" xfId="16800" xr:uid="{00000000-0005-0000-0000-0000C3800000}"/>
    <cellStyle name="Normal 57 3 4 2 2 7 2" xfId="42353" xr:uid="{00000000-0005-0000-0000-0000C4800000}"/>
    <cellStyle name="Normal 57 3 4 2 2 8" xfId="26772" xr:uid="{00000000-0005-0000-0000-0000C5800000}"/>
    <cellStyle name="Normal 57 3 4 2 3" xfId="1280" xr:uid="{00000000-0005-0000-0000-0000C6800000}"/>
    <cellStyle name="Normal 57 3 4 2 3 2" xfId="3709" xr:uid="{00000000-0005-0000-0000-0000C7800000}"/>
    <cellStyle name="Normal 57 3 4 2 3 2 2" xfId="12845" xr:uid="{00000000-0005-0000-0000-0000C8800000}"/>
    <cellStyle name="Normal 57 3 4 2 3 2 2 2" xfId="23064" xr:uid="{00000000-0005-0000-0000-0000C9800000}"/>
    <cellStyle name="Normal 57 3 4 2 3 2 2 2 2" xfId="48617" xr:uid="{00000000-0005-0000-0000-0000CA800000}"/>
    <cellStyle name="Normal 57 3 4 2 3 2 2 3" xfId="38400" xr:uid="{00000000-0005-0000-0000-0000CB800000}"/>
    <cellStyle name="Normal 57 3 4 2 3 2 3" xfId="9266" xr:uid="{00000000-0005-0000-0000-0000CC800000}"/>
    <cellStyle name="Normal 57 3 4 2 3 2 3 2" xfId="34823" xr:uid="{00000000-0005-0000-0000-0000CD800000}"/>
    <cellStyle name="Normal 57 3 4 2 3 2 4" xfId="18057" xr:uid="{00000000-0005-0000-0000-0000CE800000}"/>
    <cellStyle name="Normal 57 3 4 2 3 2 4 2" xfId="43610" xr:uid="{00000000-0005-0000-0000-0000CF800000}"/>
    <cellStyle name="Normal 57 3 4 2 3 2 5" xfId="29547" xr:uid="{00000000-0005-0000-0000-0000D0800000}"/>
    <cellStyle name="Normal 57 3 4 2 3 3" xfId="5007" xr:uid="{00000000-0005-0000-0000-0000D1800000}"/>
    <cellStyle name="Normal 57 3 4 2 3 3 2" xfId="13844" xr:uid="{00000000-0005-0000-0000-0000D2800000}"/>
    <cellStyle name="Normal 57 3 4 2 3 3 2 2" xfId="24095" xr:uid="{00000000-0005-0000-0000-0000D3800000}"/>
    <cellStyle name="Normal 57 3 4 2 3 3 2 2 2" xfId="49648" xr:uid="{00000000-0005-0000-0000-0000D4800000}"/>
    <cellStyle name="Normal 57 3 4 2 3 3 2 3" xfId="39399" xr:uid="{00000000-0005-0000-0000-0000D5800000}"/>
    <cellStyle name="Normal 57 3 4 2 3 3 3" xfId="10265" xr:uid="{00000000-0005-0000-0000-0000D6800000}"/>
    <cellStyle name="Normal 57 3 4 2 3 3 3 2" xfId="35822" xr:uid="{00000000-0005-0000-0000-0000D7800000}"/>
    <cellStyle name="Normal 57 3 4 2 3 3 4" xfId="19088" xr:uid="{00000000-0005-0000-0000-0000D8800000}"/>
    <cellStyle name="Normal 57 3 4 2 3 3 4 2" xfId="44641" xr:uid="{00000000-0005-0000-0000-0000D9800000}"/>
    <cellStyle name="Normal 57 3 4 2 3 3 5" xfId="30578" xr:uid="{00000000-0005-0000-0000-0000DA800000}"/>
    <cellStyle name="Normal 57 3 4 2 3 4" xfId="2103" xr:uid="{00000000-0005-0000-0000-0000DB800000}"/>
    <cellStyle name="Normal 57 3 4 2 3 4 2" xfId="11468" xr:uid="{00000000-0005-0000-0000-0000DC800000}"/>
    <cellStyle name="Normal 57 3 4 2 3 4 2 2" xfId="37023" xr:uid="{00000000-0005-0000-0000-0000DD800000}"/>
    <cellStyle name="Normal 57 3 4 2 3 4 3" xfId="21472" xr:uid="{00000000-0005-0000-0000-0000DE800000}"/>
    <cellStyle name="Normal 57 3 4 2 3 4 3 2" xfId="47025" xr:uid="{00000000-0005-0000-0000-0000DF800000}"/>
    <cellStyle name="Normal 57 3 4 2 3 4 4" xfId="27955" xr:uid="{00000000-0005-0000-0000-0000E0800000}"/>
    <cellStyle name="Normal 57 3 4 2 3 5" xfId="6462" xr:uid="{00000000-0005-0000-0000-0000E1800000}"/>
    <cellStyle name="Normal 57 3 4 2 3 5 2" xfId="15289" xr:uid="{00000000-0005-0000-0000-0000E2800000}"/>
    <cellStyle name="Normal 57 3 4 2 3 5 2 2" xfId="40844" xr:uid="{00000000-0005-0000-0000-0000E3800000}"/>
    <cellStyle name="Normal 57 3 4 2 3 5 3" xfId="25540" xr:uid="{00000000-0005-0000-0000-0000E4800000}"/>
    <cellStyle name="Normal 57 3 4 2 3 5 3 2" xfId="51093" xr:uid="{00000000-0005-0000-0000-0000E5800000}"/>
    <cellStyle name="Normal 57 3 4 2 3 5 4" xfId="32023" xr:uid="{00000000-0005-0000-0000-0000E6800000}"/>
    <cellStyle name="Normal 57 3 4 2 3 6" xfId="7908" xr:uid="{00000000-0005-0000-0000-0000E7800000}"/>
    <cellStyle name="Normal 57 3 4 2 3 6 2" xfId="20663" xr:uid="{00000000-0005-0000-0000-0000E8800000}"/>
    <cellStyle name="Normal 57 3 4 2 3 6 2 2" xfId="46216" xr:uid="{00000000-0005-0000-0000-0000E9800000}"/>
    <cellStyle name="Normal 57 3 4 2 3 6 3" xfId="33465" xr:uid="{00000000-0005-0000-0000-0000EA800000}"/>
    <cellStyle name="Normal 57 3 4 2 3 7" xfId="16465" xr:uid="{00000000-0005-0000-0000-0000EB800000}"/>
    <cellStyle name="Normal 57 3 4 2 3 7 2" xfId="42018" xr:uid="{00000000-0005-0000-0000-0000EC800000}"/>
    <cellStyle name="Normal 57 3 4 2 3 8" xfId="27146" xr:uid="{00000000-0005-0000-0000-0000ED800000}"/>
    <cellStyle name="Normal 57 3 4 2 4" xfId="2994" xr:uid="{00000000-0005-0000-0000-0000EE800000}"/>
    <cellStyle name="Normal 57 3 4 2 4 2" xfId="5372" xr:uid="{00000000-0005-0000-0000-0000EF800000}"/>
    <cellStyle name="Normal 57 3 4 2 4 2 2" xfId="14209" xr:uid="{00000000-0005-0000-0000-0000F0800000}"/>
    <cellStyle name="Normal 57 3 4 2 4 2 2 2" xfId="24460" xr:uid="{00000000-0005-0000-0000-0000F1800000}"/>
    <cellStyle name="Normal 57 3 4 2 4 2 2 2 2" xfId="50013" xr:uid="{00000000-0005-0000-0000-0000F2800000}"/>
    <cellStyle name="Normal 57 3 4 2 4 2 2 3" xfId="39764" xr:uid="{00000000-0005-0000-0000-0000F3800000}"/>
    <cellStyle name="Normal 57 3 4 2 4 2 3" xfId="10630" xr:uid="{00000000-0005-0000-0000-0000F4800000}"/>
    <cellStyle name="Normal 57 3 4 2 4 2 3 2" xfId="36187" xr:uid="{00000000-0005-0000-0000-0000F5800000}"/>
    <cellStyle name="Normal 57 3 4 2 4 2 4" xfId="19453" xr:uid="{00000000-0005-0000-0000-0000F6800000}"/>
    <cellStyle name="Normal 57 3 4 2 4 2 4 2" xfId="45006" xr:uid="{00000000-0005-0000-0000-0000F7800000}"/>
    <cellStyle name="Normal 57 3 4 2 4 2 5" xfId="30943" xr:uid="{00000000-0005-0000-0000-0000F8800000}"/>
    <cellStyle name="Normal 57 3 4 2 4 3" xfId="6827" xr:uid="{00000000-0005-0000-0000-0000F9800000}"/>
    <cellStyle name="Normal 57 3 4 2 4 3 2" xfId="15654" xr:uid="{00000000-0005-0000-0000-0000FA800000}"/>
    <cellStyle name="Normal 57 3 4 2 4 3 2 2" xfId="41209" xr:uid="{00000000-0005-0000-0000-0000FB800000}"/>
    <cellStyle name="Normal 57 3 4 2 4 3 3" xfId="25905" xr:uid="{00000000-0005-0000-0000-0000FC800000}"/>
    <cellStyle name="Normal 57 3 4 2 4 3 3 2" xfId="51458" xr:uid="{00000000-0005-0000-0000-0000FD800000}"/>
    <cellStyle name="Normal 57 3 4 2 4 3 4" xfId="32388" xr:uid="{00000000-0005-0000-0000-0000FE800000}"/>
    <cellStyle name="Normal 57 3 4 2 4 4" xfId="8273" xr:uid="{00000000-0005-0000-0000-0000FF800000}"/>
    <cellStyle name="Normal 57 3 4 2 4 4 2" xfId="22355" xr:uid="{00000000-0005-0000-0000-000000810000}"/>
    <cellStyle name="Normal 57 3 4 2 4 4 2 2" xfId="47908" xr:uid="{00000000-0005-0000-0000-000001810000}"/>
    <cellStyle name="Normal 57 3 4 2 4 4 3" xfId="33830" xr:uid="{00000000-0005-0000-0000-000002810000}"/>
    <cellStyle name="Normal 57 3 4 2 4 5" xfId="17348" xr:uid="{00000000-0005-0000-0000-000003810000}"/>
    <cellStyle name="Normal 57 3 4 2 4 5 2" xfId="42901" xr:uid="{00000000-0005-0000-0000-000004810000}"/>
    <cellStyle name="Normal 57 3 4 2 4 6" xfId="28838" xr:uid="{00000000-0005-0000-0000-000005810000}"/>
    <cellStyle name="Normal 57 3 4 2 5" xfId="4328" xr:uid="{00000000-0005-0000-0000-000006810000}"/>
    <cellStyle name="Normal 57 3 4 2 5 2" xfId="13166" xr:uid="{00000000-0005-0000-0000-000007810000}"/>
    <cellStyle name="Normal 57 3 4 2 5 2 2" xfId="23417" xr:uid="{00000000-0005-0000-0000-000008810000}"/>
    <cellStyle name="Normal 57 3 4 2 5 2 2 2" xfId="48970" xr:uid="{00000000-0005-0000-0000-000009810000}"/>
    <cellStyle name="Normal 57 3 4 2 5 2 3" xfId="38721" xr:uid="{00000000-0005-0000-0000-00000A810000}"/>
    <cellStyle name="Normal 57 3 4 2 5 3" xfId="9587" xr:uid="{00000000-0005-0000-0000-00000B810000}"/>
    <cellStyle name="Normal 57 3 4 2 5 3 2" xfId="35144" xr:uid="{00000000-0005-0000-0000-00000C810000}"/>
    <cellStyle name="Normal 57 3 4 2 5 4" xfId="18410" xr:uid="{00000000-0005-0000-0000-00000D810000}"/>
    <cellStyle name="Normal 57 3 4 2 5 4 2" xfId="43963" xr:uid="{00000000-0005-0000-0000-00000E810000}"/>
    <cellStyle name="Normal 57 3 4 2 5 5" xfId="29900" xr:uid="{00000000-0005-0000-0000-00000F810000}"/>
    <cellStyle name="Normal 57 3 4 2 6" xfId="1600" xr:uid="{00000000-0005-0000-0000-000010810000}"/>
    <cellStyle name="Normal 57 3 4 2 6 2" xfId="10977" xr:uid="{00000000-0005-0000-0000-000011810000}"/>
    <cellStyle name="Normal 57 3 4 2 6 2 2" xfId="36532" xr:uid="{00000000-0005-0000-0000-000012810000}"/>
    <cellStyle name="Normal 57 3 4 2 6 3" xfId="20981" xr:uid="{00000000-0005-0000-0000-000013810000}"/>
    <cellStyle name="Normal 57 3 4 2 6 3 2" xfId="46534" xr:uid="{00000000-0005-0000-0000-000014810000}"/>
    <cellStyle name="Normal 57 3 4 2 6 4" xfId="27464" xr:uid="{00000000-0005-0000-0000-000015810000}"/>
    <cellStyle name="Normal 57 3 4 2 7" xfId="5784" xr:uid="{00000000-0005-0000-0000-000016810000}"/>
    <cellStyle name="Normal 57 3 4 2 7 2" xfId="14611" xr:uid="{00000000-0005-0000-0000-000017810000}"/>
    <cellStyle name="Normal 57 3 4 2 7 2 2" xfId="40166" xr:uid="{00000000-0005-0000-0000-000018810000}"/>
    <cellStyle name="Normal 57 3 4 2 7 3" xfId="24862" xr:uid="{00000000-0005-0000-0000-000019810000}"/>
    <cellStyle name="Normal 57 3 4 2 7 3 2" xfId="50415" xr:uid="{00000000-0005-0000-0000-00001A810000}"/>
    <cellStyle name="Normal 57 3 4 2 7 4" xfId="31345" xr:uid="{00000000-0005-0000-0000-00001B810000}"/>
    <cellStyle name="Normal 57 3 4 2 8" xfId="7228" xr:uid="{00000000-0005-0000-0000-00001C810000}"/>
    <cellStyle name="Normal 57 3 4 2 8 2" xfId="19954" xr:uid="{00000000-0005-0000-0000-00001D810000}"/>
    <cellStyle name="Normal 57 3 4 2 8 2 2" xfId="45507" xr:uid="{00000000-0005-0000-0000-00001E810000}"/>
    <cellStyle name="Normal 57 3 4 2 8 3" xfId="32785" xr:uid="{00000000-0005-0000-0000-00001F810000}"/>
    <cellStyle name="Normal 57 3 4 2 9" xfId="15974" xr:uid="{00000000-0005-0000-0000-000020810000}"/>
    <cellStyle name="Normal 57 3 4 2 9 2" xfId="41527" xr:uid="{00000000-0005-0000-0000-000021810000}"/>
    <cellStyle name="Normal 57 3 4 2_Degree data" xfId="3950" xr:uid="{00000000-0005-0000-0000-000022810000}"/>
    <cellStyle name="Normal 57 3 4 3" xfId="408" xr:uid="{00000000-0005-0000-0000-000023810000}"/>
    <cellStyle name="Normal 57 3 4 3 2" xfId="2894" xr:uid="{00000000-0005-0000-0000-000024810000}"/>
    <cellStyle name="Normal 57 3 4 3 2 2" xfId="12182" xr:uid="{00000000-0005-0000-0000-000025810000}"/>
    <cellStyle name="Normal 57 3 4 3 2 2 2" xfId="22255" xr:uid="{00000000-0005-0000-0000-000026810000}"/>
    <cellStyle name="Normal 57 3 4 3 2 2 2 2" xfId="47808" xr:uid="{00000000-0005-0000-0000-000027810000}"/>
    <cellStyle name="Normal 57 3 4 3 2 2 3" xfId="37737" xr:uid="{00000000-0005-0000-0000-000028810000}"/>
    <cellStyle name="Normal 57 3 4 3 2 3" xfId="8411" xr:uid="{00000000-0005-0000-0000-000029810000}"/>
    <cellStyle name="Normal 57 3 4 3 2 3 2" xfId="33968" xr:uid="{00000000-0005-0000-0000-00002A810000}"/>
    <cellStyle name="Normal 57 3 4 3 2 4" xfId="17248" xr:uid="{00000000-0005-0000-0000-00002B810000}"/>
    <cellStyle name="Normal 57 3 4 3 2 4 2" xfId="42801" xr:uid="{00000000-0005-0000-0000-00002C810000}"/>
    <cellStyle name="Normal 57 3 4 3 2 5" xfId="28738" xr:uid="{00000000-0005-0000-0000-00002D810000}"/>
    <cellStyle name="Normal 57 3 4 3 3" xfId="4657" xr:uid="{00000000-0005-0000-0000-00002E810000}"/>
    <cellStyle name="Normal 57 3 4 3 3 2" xfId="13495" xr:uid="{00000000-0005-0000-0000-00002F810000}"/>
    <cellStyle name="Normal 57 3 4 3 3 2 2" xfId="23746" xr:uid="{00000000-0005-0000-0000-000030810000}"/>
    <cellStyle name="Normal 57 3 4 3 3 2 2 2" xfId="49299" xr:uid="{00000000-0005-0000-0000-000031810000}"/>
    <cellStyle name="Normal 57 3 4 3 3 2 3" xfId="39050" xr:uid="{00000000-0005-0000-0000-000032810000}"/>
    <cellStyle name="Normal 57 3 4 3 3 3" xfId="9916" xr:uid="{00000000-0005-0000-0000-000033810000}"/>
    <cellStyle name="Normal 57 3 4 3 3 3 2" xfId="35473" xr:uid="{00000000-0005-0000-0000-000034810000}"/>
    <cellStyle name="Normal 57 3 4 3 3 4" xfId="18739" xr:uid="{00000000-0005-0000-0000-000035810000}"/>
    <cellStyle name="Normal 57 3 4 3 3 4 2" xfId="44292" xr:uid="{00000000-0005-0000-0000-000036810000}"/>
    <cellStyle name="Normal 57 3 4 3 3 5" xfId="30229" xr:uid="{00000000-0005-0000-0000-000037810000}"/>
    <cellStyle name="Normal 57 3 4 3 4" xfId="2003" xr:uid="{00000000-0005-0000-0000-000038810000}"/>
    <cellStyle name="Normal 57 3 4 3 4 2" xfId="11368" xr:uid="{00000000-0005-0000-0000-000039810000}"/>
    <cellStyle name="Normal 57 3 4 3 4 2 2" xfId="36923" xr:uid="{00000000-0005-0000-0000-00003A810000}"/>
    <cellStyle name="Normal 57 3 4 3 4 3" xfId="21372" xr:uid="{00000000-0005-0000-0000-00003B810000}"/>
    <cellStyle name="Normal 57 3 4 3 4 3 2" xfId="46925" xr:uid="{00000000-0005-0000-0000-00003C810000}"/>
    <cellStyle name="Normal 57 3 4 3 4 4" xfId="27855" xr:uid="{00000000-0005-0000-0000-00003D810000}"/>
    <cellStyle name="Normal 57 3 4 3 5" xfId="6113" xr:uid="{00000000-0005-0000-0000-00003E810000}"/>
    <cellStyle name="Normal 57 3 4 3 5 2" xfId="14940" xr:uid="{00000000-0005-0000-0000-00003F810000}"/>
    <cellStyle name="Normal 57 3 4 3 5 2 2" xfId="40495" xr:uid="{00000000-0005-0000-0000-000040810000}"/>
    <cellStyle name="Normal 57 3 4 3 5 3" xfId="25191" xr:uid="{00000000-0005-0000-0000-000041810000}"/>
    <cellStyle name="Normal 57 3 4 3 5 3 2" xfId="50744" xr:uid="{00000000-0005-0000-0000-000042810000}"/>
    <cellStyle name="Normal 57 3 4 3 5 4" xfId="31674" xr:uid="{00000000-0005-0000-0000-000043810000}"/>
    <cellStyle name="Normal 57 3 4 3 6" xfId="7558" xr:uid="{00000000-0005-0000-0000-000044810000}"/>
    <cellStyle name="Normal 57 3 4 3 6 2" xfId="19854" xr:uid="{00000000-0005-0000-0000-000045810000}"/>
    <cellStyle name="Normal 57 3 4 3 6 2 2" xfId="45407" xr:uid="{00000000-0005-0000-0000-000046810000}"/>
    <cellStyle name="Normal 57 3 4 3 6 3" xfId="33115" xr:uid="{00000000-0005-0000-0000-000047810000}"/>
    <cellStyle name="Normal 57 3 4 3 7" xfId="16365" xr:uid="{00000000-0005-0000-0000-000048810000}"/>
    <cellStyle name="Normal 57 3 4 3 7 2" xfId="41918" xr:uid="{00000000-0005-0000-0000-000049810000}"/>
    <cellStyle name="Normal 57 3 4 3 8" xfId="26337" xr:uid="{00000000-0005-0000-0000-00004A810000}"/>
    <cellStyle name="Normal 57 3 4 4" xfId="843" xr:uid="{00000000-0005-0000-0000-00004B810000}"/>
    <cellStyle name="Normal 57 3 4 4 2" xfId="3328" xr:uid="{00000000-0005-0000-0000-00004C810000}"/>
    <cellStyle name="Normal 57 3 4 4 2 2" xfId="12470" xr:uid="{00000000-0005-0000-0000-00004D810000}"/>
    <cellStyle name="Normal 57 3 4 4 2 2 2" xfId="22689" xr:uid="{00000000-0005-0000-0000-00004E810000}"/>
    <cellStyle name="Normal 57 3 4 4 2 2 2 2" xfId="48242" xr:uid="{00000000-0005-0000-0000-00004F810000}"/>
    <cellStyle name="Normal 57 3 4 4 2 2 3" xfId="38025" xr:uid="{00000000-0005-0000-0000-000050810000}"/>
    <cellStyle name="Normal 57 3 4 4 2 3" xfId="8892" xr:uid="{00000000-0005-0000-0000-000051810000}"/>
    <cellStyle name="Normal 57 3 4 4 2 3 2" xfId="34449" xr:uid="{00000000-0005-0000-0000-000052810000}"/>
    <cellStyle name="Normal 57 3 4 4 2 4" xfId="17682" xr:uid="{00000000-0005-0000-0000-000053810000}"/>
    <cellStyle name="Normal 57 3 4 4 2 4 2" xfId="43235" xr:uid="{00000000-0005-0000-0000-000054810000}"/>
    <cellStyle name="Normal 57 3 4 4 2 5" xfId="29172" xr:uid="{00000000-0005-0000-0000-000055810000}"/>
    <cellStyle name="Normal 57 3 4 4 3" xfId="5006" xr:uid="{00000000-0005-0000-0000-000056810000}"/>
    <cellStyle name="Normal 57 3 4 4 3 2" xfId="13843" xr:uid="{00000000-0005-0000-0000-000057810000}"/>
    <cellStyle name="Normal 57 3 4 4 3 2 2" xfId="24094" xr:uid="{00000000-0005-0000-0000-000058810000}"/>
    <cellStyle name="Normal 57 3 4 4 3 2 2 2" xfId="49647" xr:uid="{00000000-0005-0000-0000-000059810000}"/>
    <cellStyle name="Normal 57 3 4 4 3 2 3" xfId="39398" xr:uid="{00000000-0005-0000-0000-00005A810000}"/>
    <cellStyle name="Normal 57 3 4 4 3 3" xfId="10264" xr:uid="{00000000-0005-0000-0000-00005B810000}"/>
    <cellStyle name="Normal 57 3 4 4 3 3 2" xfId="35821" xr:uid="{00000000-0005-0000-0000-00005C810000}"/>
    <cellStyle name="Normal 57 3 4 4 3 4" xfId="19087" xr:uid="{00000000-0005-0000-0000-00005D810000}"/>
    <cellStyle name="Normal 57 3 4 4 3 4 2" xfId="44640" xr:uid="{00000000-0005-0000-0000-00005E810000}"/>
    <cellStyle name="Normal 57 3 4 4 3 5" xfId="30577" xr:uid="{00000000-0005-0000-0000-00005F810000}"/>
    <cellStyle name="Normal 57 3 4 4 4" xfId="2437" xr:uid="{00000000-0005-0000-0000-000060810000}"/>
    <cellStyle name="Normal 57 3 4 4 4 2" xfId="11802" xr:uid="{00000000-0005-0000-0000-000061810000}"/>
    <cellStyle name="Normal 57 3 4 4 4 2 2" xfId="37357" xr:uid="{00000000-0005-0000-0000-000062810000}"/>
    <cellStyle name="Normal 57 3 4 4 4 3" xfId="21806" xr:uid="{00000000-0005-0000-0000-000063810000}"/>
    <cellStyle name="Normal 57 3 4 4 4 3 2" xfId="47359" xr:uid="{00000000-0005-0000-0000-000064810000}"/>
    <cellStyle name="Normal 57 3 4 4 4 4" xfId="28289" xr:uid="{00000000-0005-0000-0000-000065810000}"/>
    <cellStyle name="Normal 57 3 4 4 5" xfId="6461" xr:uid="{00000000-0005-0000-0000-000066810000}"/>
    <cellStyle name="Normal 57 3 4 4 5 2" xfId="15288" xr:uid="{00000000-0005-0000-0000-000067810000}"/>
    <cellStyle name="Normal 57 3 4 4 5 2 2" xfId="40843" xr:uid="{00000000-0005-0000-0000-000068810000}"/>
    <cellStyle name="Normal 57 3 4 4 5 3" xfId="25539" xr:uid="{00000000-0005-0000-0000-000069810000}"/>
    <cellStyle name="Normal 57 3 4 4 5 3 2" xfId="51092" xr:uid="{00000000-0005-0000-0000-00006A810000}"/>
    <cellStyle name="Normal 57 3 4 4 5 4" xfId="32022" xr:uid="{00000000-0005-0000-0000-00006B810000}"/>
    <cellStyle name="Normal 57 3 4 4 6" xfId="7907" xr:uid="{00000000-0005-0000-0000-00006C810000}"/>
    <cellStyle name="Normal 57 3 4 4 6 2" xfId="20288" xr:uid="{00000000-0005-0000-0000-00006D810000}"/>
    <cellStyle name="Normal 57 3 4 4 6 2 2" xfId="45841" xr:uid="{00000000-0005-0000-0000-00006E810000}"/>
    <cellStyle name="Normal 57 3 4 4 6 3" xfId="33464" xr:uid="{00000000-0005-0000-0000-00006F810000}"/>
    <cellStyle name="Normal 57 3 4 4 7" xfId="16799" xr:uid="{00000000-0005-0000-0000-000070810000}"/>
    <cellStyle name="Normal 57 3 4 4 7 2" xfId="42352" xr:uid="{00000000-0005-0000-0000-000071810000}"/>
    <cellStyle name="Normal 57 3 4 4 8" xfId="26771" xr:uid="{00000000-0005-0000-0000-000072810000}"/>
    <cellStyle name="Normal 57 3 4 5" xfId="1180" xr:uid="{00000000-0005-0000-0000-000073810000}"/>
    <cellStyle name="Normal 57 3 4 5 2" xfId="3609" xr:uid="{00000000-0005-0000-0000-000074810000}"/>
    <cellStyle name="Normal 57 3 4 5 2 2" xfId="12745" xr:uid="{00000000-0005-0000-0000-000075810000}"/>
    <cellStyle name="Normal 57 3 4 5 2 2 2" xfId="22964" xr:uid="{00000000-0005-0000-0000-000076810000}"/>
    <cellStyle name="Normal 57 3 4 5 2 2 2 2" xfId="48517" xr:uid="{00000000-0005-0000-0000-000077810000}"/>
    <cellStyle name="Normal 57 3 4 5 2 2 3" xfId="38300" xr:uid="{00000000-0005-0000-0000-000078810000}"/>
    <cellStyle name="Normal 57 3 4 5 2 3" xfId="9166" xr:uid="{00000000-0005-0000-0000-000079810000}"/>
    <cellStyle name="Normal 57 3 4 5 2 3 2" xfId="34723" xr:uid="{00000000-0005-0000-0000-00007A810000}"/>
    <cellStyle name="Normal 57 3 4 5 2 4" xfId="17957" xr:uid="{00000000-0005-0000-0000-00007B810000}"/>
    <cellStyle name="Normal 57 3 4 5 2 4 2" xfId="43510" xr:uid="{00000000-0005-0000-0000-00007C810000}"/>
    <cellStyle name="Normal 57 3 4 5 2 5" xfId="29447" xr:uid="{00000000-0005-0000-0000-00007D810000}"/>
    <cellStyle name="Normal 57 3 4 5 3" xfId="5272" xr:uid="{00000000-0005-0000-0000-00007E810000}"/>
    <cellStyle name="Normal 57 3 4 5 3 2" xfId="14109" xr:uid="{00000000-0005-0000-0000-00007F810000}"/>
    <cellStyle name="Normal 57 3 4 5 3 2 2" xfId="24360" xr:uid="{00000000-0005-0000-0000-000080810000}"/>
    <cellStyle name="Normal 57 3 4 5 3 2 2 2" xfId="49913" xr:uid="{00000000-0005-0000-0000-000081810000}"/>
    <cellStyle name="Normal 57 3 4 5 3 2 3" xfId="39664" xr:uid="{00000000-0005-0000-0000-000082810000}"/>
    <cellStyle name="Normal 57 3 4 5 3 3" xfId="10530" xr:uid="{00000000-0005-0000-0000-000083810000}"/>
    <cellStyle name="Normal 57 3 4 5 3 3 2" xfId="36087" xr:uid="{00000000-0005-0000-0000-000084810000}"/>
    <cellStyle name="Normal 57 3 4 5 3 4" xfId="19353" xr:uid="{00000000-0005-0000-0000-000085810000}"/>
    <cellStyle name="Normal 57 3 4 5 3 4 2" xfId="44906" xr:uid="{00000000-0005-0000-0000-000086810000}"/>
    <cellStyle name="Normal 57 3 4 5 3 5" xfId="30843" xr:uid="{00000000-0005-0000-0000-000087810000}"/>
    <cellStyle name="Normal 57 3 4 5 4" xfId="1782" xr:uid="{00000000-0005-0000-0000-000088810000}"/>
    <cellStyle name="Normal 57 3 4 5 4 2" xfId="11151" xr:uid="{00000000-0005-0000-0000-000089810000}"/>
    <cellStyle name="Normal 57 3 4 5 4 2 2" xfId="36706" xr:uid="{00000000-0005-0000-0000-00008A810000}"/>
    <cellStyle name="Normal 57 3 4 5 4 3" xfId="21155" xr:uid="{00000000-0005-0000-0000-00008B810000}"/>
    <cellStyle name="Normal 57 3 4 5 4 3 2" xfId="46708" xr:uid="{00000000-0005-0000-0000-00008C810000}"/>
    <cellStyle name="Normal 57 3 4 5 4 4" xfId="27638" xr:uid="{00000000-0005-0000-0000-00008D810000}"/>
    <cellStyle name="Normal 57 3 4 5 5" xfId="6727" xr:uid="{00000000-0005-0000-0000-00008E810000}"/>
    <cellStyle name="Normal 57 3 4 5 5 2" xfId="15554" xr:uid="{00000000-0005-0000-0000-00008F810000}"/>
    <cellStyle name="Normal 57 3 4 5 5 2 2" xfId="41109" xr:uid="{00000000-0005-0000-0000-000090810000}"/>
    <cellStyle name="Normal 57 3 4 5 5 3" xfId="25805" xr:uid="{00000000-0005-0000-0000-000091810000}"/>
    <cellStyle name="Normal 57 3 4 5 5 3 2" xfId="51358" xr:uid="{00000000-0005-0000-0000-000092810000}"/>
    <cellStyle name="Normal 57 3 4 5 5 4" xfId="32288" xr:uid="{00000000-0005-0000-0000-000093810000}"/>
    <cellStyle name="Normal 57 3 4 5 6" xfId="8173" xr:uid="{00000000-0005-0000-0000-000094810000}"/>
    <cellStyle name="Normal 57 3 4 5 6 2" xfId="20563" xr:uid="{00000000-0005-0000-0000-000095810000}"/>
    <cellStyle name="Normal 57 3 4 5 6 2 2" xfId="46116" xr:uid="{00000000-0005-0000-0000-000096810000}"/>
    <cellStyle name="Normal 57 3 4 5 6 3" xfId="33730" xr:uid="{00000000-0005-0000-0000-000097810000}"/>
    <cellStyle name="Normal 57 3 4 5 7" xfId="16148" xr:uid="{00000000-0005-0000-0000-000098810000}"/>
    <cellStyle name="Normal 57 3 4 5 7 2" xfId="41701" xr:uid="{00000000-0005-0000-0000-000099810000}"/>
    <cellStyle name="Normal 57 3 4 5 8" xfId="27046" xr:uid="{00000000-0005-0000-0000-00009A810000}"/>
    <cellStyle name="Normal 57 3 4 6" xfId="2677" xr:uid="{00000000-0005-0000-0000-00009B810000}"/>
    <cellStyle name="Normal 57 3 4 6 2" xfId="11994" xr:uid="{00000000-0005-0000-0000-00009C810000}"/>
    <cellStyle name="Normal 57 3 4 6 2 2" xfId="22038" xr:uid="{00000000-0005-0000-0000-00009D810000}"/>
    <cellStyle name="Normal 57 3 4 6 2 2 2" xfId="47591" xr:uid="{00000000-0005-0000-0000-00009E810000}"/>
    <cellStyle name="Normal 57 3 4 6 2 3" xfId="37549" xr:uid="{00000000-0005-0000-0000-00009F810000}"/>
    <cellStyle name="Normal 57 3 4 6 3" xfId="8586" xr:uid="{00000000-0005-0000-0000-0000A0810000}"/>
    <cellStyle name="Normal 57 3 4 6 3 2" xfId="34143" xr:uid="{00000000-0005-0000-0000-0000A1810000}"/>
    <cellStyle name="Normal 57 3 4 6 4" xfId="17031" xr:uid="{00000000-0005-0000-0000-0000A2810000}"/>
    <cellStyle name="Normal 57 3 4 6 4 2" xfId="42584" xr:uid="{00000000-0005-0000-0000-0000A3810000}"/>
    <cellStyle name="Normal 57 3 4 6 5" xfId="28521" xr:uid="{00000000-0005-0000-0000-0000A4810000}"/>
    <cellStyle name="Normal 57 3 4 7" xfId="4228" xr:uid="{00000000-0005-0000-0000-0000A5810000}"/>
    <cellStyle name="Normal 57 3 4 7 2" xfId="13066" xr:uid="{00000000-0005-0000-0000-0000A6810000}"/>
    <cellStyle name="Normal 57 3 4 7 2 2" xfId="23317" xr:uid="{00000000-0005-0000-0000-0000A7810000}"/>
    <cellStyle name="Normal 57 3 4 7 2 2 2" xfId="48870" xr:uid="{00000000-0005-0000-0000-0000A8810000}"/>
    <cellStyle name="Normal 57 3 4 7 2 3" xfId="38621" xr:uid="{00000000-0005-0000-0000-0000A9810000}"/>
    <cellStyle name="Normal 57 3 4 7 3" xfId="9487" xr:uid="{00000000-0005-0000-0000-0000AA810000}"/>
    <cellStyle name="Normal 57 3 4 7 3 2" xfId="35044" xr:uid="{00000000-0005-0000-0000-0000AB810000}"/>
    <cellStyle name="Normal 57 3 4 7 4" xfId="18310" xr:uid="{00000000-0005-0000-0000-0000AC810000}"/>
    <cellStyle name="Normal 57 3 4 7 4 2" xfId="43863" xr:uid="{00000000-0005-0000-0000-0000AD810000}"/>
    <cellStyle name="Normal 57 3 4 7 5" xfId="29800" xr:uid="{00000000-0005-0000-0000-0000AE810000}"/>
    <cellStyle name="Normal 57 3 4 8" xfId="1500" xr:uid="{00000000-0005-0000-0000-0000AF810000}"/>
    <cellStyle name="Normal 57 3 4 8 2" xfId="10877" xr:uid="{00000000-0005-0000-0000-0000B0810000}"/>
    <cellStyle name="Normal 57 3 4 8 2 2" xfId="36432" xr:uid="{00000000-0005-0000-0000-0000B1810000}"/>
    <cellStyle name="Normal 57 3 4 8 3" xfId="20881" xr:uid="{00000000-0005-0000-0000-0000B2810000}"/>
    <cellStyle name="Normal 57 3 4 8 3 2" xfId="46434" xr:uid="{00000000-0005-0000-0000-0000B3810000}"/>
    <cellStyle name="Normal 57 3 4 8 4" xfId="27364" xr:uid="{00000000-0005-0000-0000-0000B4810000}"/>
    <cellStyle name="Normal 57 3 4 9" xfId="5684" xr:uid="{00000000-0005-0000-0000-0000B5810000}"/>
    <cellStyle name="Normal 57 3 4 9 2" xfId="14511" xr:uid="{00000000-0005-0000-0000-0000B6810000}"/>
    <cellStyle name="Normal 57 3 4 9 2 2" xfId="40066" xr:uid="{00000000-0005-0000-0000-0000B7810000}"/>
    <cellStyle name="Normal 57 3 4 9 3" xfId="24762" xr:uid="{00000000-0005-0000-0000-0000B8810000}"/>
    <cellStyle name="Normal 57 3 4 9 3 2" xfId="50315" xr:uid="{00000000-0005-0000-0000-0000B9810000}"/>
    <cellStyle name="Normal 57 3 4 9 4" xfId="31245" xr:uid="{00000000-0005-0000-0000-0000BA810000}"/>
    <cellStyle name="Normal 57 3 4_Degree data" xfId="3949" xr:uid="{00000000-0005-0000-0000-0000BB810000}"/>
    <cellStyle name="Normal 57 3 5" xfId="235" xr:uid="{00000000-0005-0000-0000-0000BC810000}"/>
    <cellStyle name="Normal 57 3 5 10" xfId="7073" xr:uid="{00000000-0005-0000-0000-0000BD810000}"/>
    <cellStyle name="Normal 57 3 5 10 2" xfId="19687" xr:uid="{00000000-0005-0000-0000-0000BE810000}"/>
    <cellStyle name="Normal 57 3 5 10 2 2" xfId="45240" xr:uid="{00000000-0005-0000-0000-0000BF810000}"/>
    <cellStyle name="Normal 57 3 5 10 3" xfId="32630" xr:uid="{00000000-0005-0000-0000-0000C0810000}"/>
    <cellStyle name="Normal 57 3 5 11" xfId="15819" xr:uid="{00000000-0005-0000-0000-0000C1810000}"/>
    <cellStyle name="Normal 57 3 5 11 2" xfId="41372" xr:uid="{00000000-0005-0000-0000-0000C2810000}"/>
    <cellStyle name="Normal 57 3 5 12" xfId="26170" xr:uid="{00000000-0005-0000-0000-0000C3810000}"/>
    <cellStyle name="Normal 57 3 5 2" xfId="558" xr:uid="{00000000-0005-0000-0000-0000C4810000}"/>
    <cellStyle name="Normal 57 3 5 2 10" xfId="26487" xr:uid="{00000000-0005-0000-0000-0000C5810000}"/>
    <cellStyle name="Normal 57 3 5 2 2" xfId="846" xr:uid="{00000000-0005-0000-0000-0000C6810000}"/>
    <cellStyle name="Normal 57 3 5 2 2 2" xfId="3331" xr:uid="{00000000-0005-0000-0000-0000C7810000}"/>
    <cellStyle name="Normal 57 3 5 2 2 2 2" xfId="12473" xr:uid="{00000000-0005-0000-0000-0000C8810000}"/>
    <cellStyle name="Normal 57 3 5 2 2 2 2 2" xfId="22692" xr:uid="{00000000-0005-0000-0000-0000C9810000}"/>
    <cellStyle name="Normal 57 3 5 2 2 2 2 2 2" xfId="48245" xr:uid="{00000000-0005-0000-0000-0000CA810000}"/>
    <cellStyle name="Normal 57 3 5 2 2 2 2 3" xfId="38028" xr:uid="{00000000-0005-0000-0000-0000CB810000}"/>
    <cellStyle name="Normal 57 3 5 2 2 2 3" xfId="8895" xr:uid="{00000000-0005-0000-0000-0000CC810000}"/>
    <cellStyle name="Normal 57 3 5 2 2 2 3 2" xfId="34452" xr:uid="{00000000-0005-0000-0000-0000CD810000}"/>
    <cellStyle name="Normal 57 3 5 2 2 2 4" xfId="17685" xr:uid="{00000000-0005-0000-0000-0000CE810000}"/>
    <cellStyle name="Normal 57 3 5 2 2 2 4 2" xfId="43238" xr:uid="{00000000-0005-0000-0000-0000CF810000}"/>
    <cellStyle name="Normal 57 3 5 2 2 2 5" xfId="29175" xr:uid="{00000000-0005-0000-0000-0000D0810000}"/>
    <cellStyle name="Normal 57 3 5 2 2 3" xfId="4660" xr:uid="{00000000-0005-0000-0000-0000D1810000}"/>
    <cellStyle name="Normal 57 3 5 2 2 3 2" xfId="13498" xr:uid="{00000000-0005-0000-0000-0000D2810000}"/>
    <cellStyle name="Normal 57 3 5 2 2 3 2 2" xfId="23749" xr:uid="{00000000-0005-0000-0000-0000D3810000}"/>
    <cellStyle name="Normal 57 3 5 2 2 3 2 2 2" xfId="49302" xr:uid="{00000000-0005-0000-0000-0000D4810000}"/>
    <cellStyle name="Normal 57 3 5 2 2 3 2 3" xfId="39053" xr:uid="{00000000-0005-0000-0000-0000D5810000}"/>
    <cellStyle name="Normal 57 3 5 2 2 3 3" xfId="9919" xr:uid="{00000000-0005-0000-0000-0000D6810000}"/>
    <cellStyle name="Normal 57 3 5 2 2 3 3 2" xfId="35476" xr:uid="{00000000-0005-0000-0000-0000D7810000}"/>
    <cellStyle name="Normal 57 3 5 2 2 3 4" xfId="18742" xr:uid="{00000000-0005-0000-0000-0000D8810000}"/>
    <cellStyle name="Normal 57 3 5 2 2 3 4 2" xfId="44295" xr:uid="{00000000-0005-0000-0000-0000D9810000}"/>
    <cellStyle name="Normal 57 3 5 2 2 3 5" xfId="30232" xr:uid="{00000000-0005-0000-0000-0000DA810000}"/>
    <cellStyle name="Normal 57 3 5 2 2 4" xfId="2440" xr:uid="{00000000-0005-0000-0000-0000DB810000}"/>
    <cellStyle name="Normal 57 3 5 2 2 4 2" xfId="11805" xr:uid="{00000000-0005-0000-0000-0000DC810000}"/>
    <cellStyle name="Normal 57 3 5 2 2 4 2 2" xfId="37360" xr:uid="{00000000-0005-0000-0000-0000DD810000}"/>
    <cellStyle name="Normal 57 3 5 2 2 4 3" xfId="21809" xr:uid="{00000000-0005-0000-0000-0000DE810000}"/>
    <cellStyle name="Normal 57 3 5 2 2 4 3 2" xfId="47362" xr:uid="{00000000-0005-0000-0000-0000DF810000}"/>
    <cellStyle name="Normal 57 3 5 2 2 4 4" xfId="28292" xr:uid="{00000000-0005-0000-0000-0000E0810000}"/>
    <cellStyle name="Normal 57 3 5 2 2 5" xfId="6116" xr:uid="{00000000-0005-0000-0000-0000E1810000}"/>
    <cellStyle name="Normal 57 3 5 2 2 5 2" xfId="14943" xr:uid="{00000000-0005-0000-0000-0000E2810000}"/>
    <cellStyle name="Normal 57 3 5 2 2 5 2 2" xfId="40498" xr:uid="{00000000-0005-0000-0000-0000E3810000}"/>
    <cellStyle name="Normal 57 3 5 2 2 5 3" xfId="25194" xr:uid="{00000000-0005-0000-0000-0000E4810000}"/>
    <cellStyle name="Normal 57 3 5 2 2 5 3 2" xfId="50747" xr:uid="{00000000-0005-0000-0000-0000E5810000}"/>
    <cellStyle name="Normal 57 3 5 2 2 5 4" xfId="31677" xr:uid="{00000000-0005-0000-0000-0000E6810000}"/>
    <cellStyle name="Normal 57 3 5 2 2 6" xfId="7561" xr:uid="{00000000-0005-0000-0000-0000E7810000}"/>
    <cellStyle name="Normal 57 3 5 2 2 6 2" xfId="20291" xr:uid="{00000000-0005-0000-0000-0000E8810000}"/>
    <cellStyle name="Normal 57 3 5 2 2 6 2 2" xfId="45844" xr:uid="{00000000-0005-0000-0000-0000E9810000}"/>
    <cellStyle name="Normal 57 3 5 2 2 6 3" xfId="33118" xr:uid="{00000000-0005-0000-0000-0000EA810000}"/>
    <cellStyle name="Normal 57 3 5 2 2 7" xfId="16802" xr:uid="{00000000-0005-0000-0000-0000EB810000}"/>
    <cellStyle name="Normal 57 3 5 2 2 7 2" xfId="42355" xr:uid="{00000000-0005-0000-0000-0000EC810000}"/>
    <cellStyle name="Normal 57 3 5 2 2 8" xfId="26774" xr:uid="{00000000-0005-0000-0000-0000ED810000}"/>
    <cellStyle name="Normal 57 3 5 2 3" xfId="1330" xr:uid="{00000000-0005-0000-0000-0000EE810000}"/>
    <cellStyle name="Normal 57 3 5 2 3 2" xfId="3759" xr:uid="{00000000-0005-0000-0000-0000EF810000}"/>
    <cellStyle name="Normal 57 3 5 2 3 2 2" xfId="12895" xr:uid="{00000000-0005-0000-0000-0000F0810000}"/>
    <cellStyle name="Normal 57 3 5 2 3 2 2 2" xfId="23114" xr:uid="{00000000-0005-0000-0000-0000F1810000}"/>
    <cellStyle name="Normal 57 3 5 2 3 2 2 2 2" xfId="48667" xr:uid="{00000000-0005-0000-0000-0000F2810000}"/>
    <cellStyle name="Normal 57 3 5 2 3 2 2 3" xfId="38450" xr:uid="{00000000-0005-0000-0000-0000F3810000}"/>
    <cellStyle name="Normal 57 3 5 2 3 2 3" xfId="9316" xr:uid="{00000000-0005-0000-0000-0000F4810000}"/>
    <cellStyle name="Normal 57 3 5 2 3 2 3 2" xfId="34873" xr:uid="{00000000-0005-0000-0000-0000F5810000}"/>
    <cellStyle name="Normal 57 3 5 2 3 2 4" xfId="18107" xr:uid="{00000000-0005-0000-0000-0000F6810000}"/>
    <cellStyle name="Normal 57 3 5 2 3 2 4 2" xfId="43660" xr:uid="{00000000-0005-0000-0000-0000F7810000}"/>
    <cellStyle name="Normal 57 3 5 2 3 2 5" xfId="29597" xr:uid="{00000000-0005-0000-0000-0000F8810000}"/>
    <cellStyle name="Normal 57 3 5 2 3 3" xfId="5009" xr:uid="{00000000-0005-0000-0000-0000F9810000}"/>
    <cellStyle name="Normal 57 3 5 2 3 3 2" xfId="13846" xr:uid="{00000000-0005-0000-0000-0000FA810000}"/>
    <cellStyle name="Normal 57 3 5 2 3 3 2 2" xfId="24097" xr:uid="{00000000-0005-0000-0000-0000FB810000}"/>
    <cellStyle name="Normal 57 3 5 2 3 3 2 2 2" xfId="49650" xr:uid="{00000000-0005-0000-0000-0000FC810000}"/>
    <cellStyle name="Normal 57 3 5 2 3 3 2 3" xfId="39401" xr:uid="{00000000-0005-0000-0000-0000FD810000}"/>
    <cellStyle name="Normal 57 3 5 2 3 3 3" xfId="10267" xr:uid="{00000000-0005-0000-0000-0000FE810000}"/>
    <cellStyle name="Normal 57 3 5 2 3 3 3 2" xfId="35824" xr:uid="{00000000-0005-0000-0000-0000FF810000}"/>
    <cellStyle name="Normal 57 3 5 2 3 3 4" xfId="19090" xr:uid="{00000000-0005-0000-0000-000000820000}"/>
    <cellStyle name="Normal 57 3 5 2 3 3 4 2" xfId="44643" xr:uid="{00000000-0005-0000-0000-000001820000}"/>
    <cellStyle name="Normal 57 3 5 2 3 3 5" xfId="30580" xr:uid="{00000000-0005-0000-0000-000002820000}"/>
    <cellStyle name="Normal 57 3 5 2 3 4" xfId="2153" xr:uid="{00000000-0005-0000-0000-000003820000}"/>
    <cellStyle name="Normal 57 3 5 2 3 4 2" xfId="11518" xr:uid="{00000000-0005-0000-0000-000004820000}"/>
    <cellStyle name="Normal 57 3 5 2 3 4 2 2" xfId="37073" xr:uid="{00000000-0005-0000-0000-000005820000}"/>
    <cellStyle name="Normal 57 3 5 2 3 4 3" xfId="21522" xr:uid="{00000000-0005-0000-0000-000006820000}"/>
    <cellStyle name="Normal 57 3 5 2 3 4 3 2" xfId="47075" xr:uid="{00000000-0005-0000-0000-000007820000}"/>
    <cellStyle name="Normal 57 3 5 2 3 4 4" xfId="28005" xr:uid="{00000000-0005-0000-0000-000008820000}"/>
    <cellStyle name="Normal 57 3 5 2 3 5" xfId="6464" xr:uid="{00000000-0005-0000-0000-000009820000}"/>
    <cellStyle name="Normal 57 3 5 2 3 5 2" xfId="15291" xr:uid="{00000000-0005-0000-0000-00000A820000}"/>
    <cellStyle name="Normal 57 3 5 2 3 5 2 2" xfId="40846" xr:uid="{00000000-0005-0000-0000-00000B820000}"/>
    <cellStyle name="Normal 57 3 5 2 3 5 3" xfId="25542" xr:uid="{00000000-0005-0000-0000-00000C820000}"/>
    <cellStyle name="Normal 57 3 5 2 3 5 3 2" xfId="51095" xr:uid="{00000000-0005-0000-0000-00000D820000}"/>
    <cellStyle name="Normal 57 3 5 2 3 5 4" xfId="32025" xr:uid="{00000000-0005-0000-0000-00000E820000}"/>
    <cellStyle name="Normal 57 3 5 2 3 6" xfId="7910" xr:uid="{00000000-0005-0000-0000-00000F820000}"/>
    <cellStyle name="Normal 57 3 5 2 3 6 2" xfId="20713" xr:uid="{00000000-0005-0000-0000-000010820000}"/>
    <cellStyle name="Normal 57 3 5 2 3 6 2 2" xfId="46266" xr:uid="{00000000-0005-0000-0000-000011820000}"/>
    <cellStyle name="Normal 57 3 5 2 3 6 3" xfId="33467" xr:uid="{00000000-0005-0000-0000-000012820000}"/>
    <cellStyle name="Normal 57 3 5 2 3 7" xfId="16515" xr:uid="{00000000-0005-0000-0000-000013820000}"/>
    <cellStyle name="Normal 57 3 5 2 3 7 2" xfId="42068" xr:uid="{00000000-0005-0000-0000-000014820000}"/>
    <cellStyle name="Normal 57 3 5 2 3 8" xfId="27196" xr:uid="{00000000-0005-0000-0000-000015820000}"/>
    <cellStyle name="Normal 57 3 5 2 4" xfId="3044" xr:uid="{00000000-0005-0000-0000-000016820000}"/>
    <cellStyle name="Normal 57 3 5 2 4 2" xfId="5422" xr:uid="{00000000-0005-0000-0000-000017820000}"/>
    <cellStyle name="Normal 57 3 5 2 4 2 2" xfId="14259" xr:uid="{00000000-0005-0000-0000-000018820000}"/>
    <cellStyle name="Normal 57 3 5 2 4 2 2 2" xfId="24510" xr:uid="{00000000-0005-0000-0000-000019820000}"/>
    <cellStyle name="Normal 57 3 5 2 4 2 2 2 2" xfId="50063" xr:uid="{00000000-0005-0000-0000-00001A820000}"/>
    <cellStyle name="Normal 57 3 5 2 4 2 2 3" xfId="39814" xr:uid="{00000000-0005-0000-0000-00001B820000}"/>
    <cellStyle name="Normal 57 3 5 2 4 2 3" xfId="10680" xr:uid="{00000000-0005-0000-0000-00001C820000}"/>
    <cellStyle name="Normal 57 3 5 2 4 2 3 2" xfId="36237" xr:uid="{00000000-0005-0000-0000-00001D820000}"/>
    <cellStyle name="Normal 57 3 5 2 4 2 4" xfId="19503" xr:uid="{00000000-0005-0000-0000-00001E820000}"/>
    <cellStyle name="Normal 57 3 5 2 4 2 4 2" xfId="45056" xr:uid="{00000000-0005-0000-0000-00001F820000}"/>
    <cellStyle name="Normal 57 3 5 2 4 2 5" xfId="30993" xr:uid="{00000000-0005-0000-0000-000020820000}"/>
    <cellStyle name="Normal 57 3 5 2 4 3" xfId="6877" xr:uid="{00000000-0005-0000-0000-000021820000}"/>
    <cellStyle name="Normal 57 3 5 2 4 3 2" xfId="15704" xr:uid="{00000000-0005-0000-0000-000022820000}"/>
    <cellStyle name="Normal 57 3 5 2 4 3 2 2" xfId="41259" xr:uid="{00000000-0005-0000-0000-000023820000}"/>
    <cellStyle name="Normal 57 3 5 2 4 3 3" xfId="25955" xr:uid="{00000000-0005-0000-0000-000024820000}"/>
    <cellStyle name="Normal 57 3 5 2 4 3 3 2" xfId="51508" xr:uid="{00000000-0005-0000-0000-000025820000}"/>
    <cellStyle name="Normal 57 3 5 2 4 3 4" xfId="32438" xr:uid="{00000000-0005-0000-0000-000026820000}"/>
    <cellStyle name="Normal 57 3 5 2 4 4" xfId="8323" xr:uid="{00000000-0005-0000-0000-000027820000}"/>
    <cellStyle name="Normal 57 3 5 2 4 4 2" xfId="22405" xr:uid="{00000000-0005-0000-0000-000028820000}"/>
    <cellStyle name="Normal 57 3 5 2 4 4 2 2" xfId="47958" xr:uid="{00000000-0005-0000-0000-000029820000}"/>
    <cellStyle name="Normal 57 3 5 2 4 4 3" xfId="33880" xr:uid="{00000000-0005-0000-0000-00002A820000}"/>
    <cellStyle name="Normal 57 3 5 2 4 5" xfId="17398" xr:uid="{00000000-0005-0000-0000-00002B820000}"/>
    <cellStyle name="Normal 57 3 5 2 4 5 2" xfId="42951" xr:uid="{00000000-0005-0000-0000-00002C820000}"/>
    <cellStyle name="Normal 57 3 5 2 4 6" xfId="28888" xr:uid="{00000000-0005-0000-0000-00002D820000}"/>
    <cellStyle name="Normal 57 3 5 2 5" xfId="4378" xr:uid="{00000000-0005-0000-0000-00002E820000}"/>
    <cellStyle name="Normal 57 3 5 2 5 2" xfId="13216" xr:uid="{00000000-0005-0000-0000-00002F820000}"/>
    <cellStyle name="Normal 57 3 5 2 5 2 2" xfId="23467" xr:uid="{00000000-0005-0000-0000-000030820000}"/>
    <cellStyle name="Normal 57 3 5 2 5 2 2 2" xfId="49020" xr:uid="{00000000-0005-0000-0000-000031820000}"/>
    <cellStyle name="Normal 57 3 5 2 5 2 3" xfId="38771" xr:uid="{00000000-0005-0000-0000-000032820000}"/>
    <cellStyle name="Normal 57 3 5 2 5 3" xfId="9637" xr:uid="{00000000-0005-0000-0000-000033820000}"/>
    <cellStyle name="Normal 57 3 5 2 5 3 2" xfId="35194" xr:uid="{00000000-0005-0000-0000-000034820000}"/>
    <cellStyle name="Normal 57 3 5 2 5 4" xfId="18460" xr:uid="{00000000-0005-0000-0000-000035820000}"/>
    <cellStyle name="Normal 57 3 5 2 5 4 2" xfId="44013" xr:uid="{00000000-0005-0000-0000-000036820000}"/>
    <cellStyle name="Normal 57 3 5 2 5 5" xfId="29950" xr:uid="{00000000-0005-0000-0000-000037820000}"/>
    <cellStyle name="Normal 57 3 5 2 6" xfId="1650" xr:uid="{00000000-0005-0000-0000-000038820000}"/>
    <cellStyle name="Normal 57 3 5 2 6 2" xfId="11027" xr:uid="{00000000-0005-0000-0000-000039820000}"/>
    <cellStyle name="Normal 57 3 5 2 6 2 2" xfId="36582" xr:uid="{00000000-0005-0000-0000-00003A820000}"/>
    <cellStyle name="Normal 57 3 5 2 6 3" xfId="21031" xr:uid="{00000000-0005-0000-0000-00003B820000}"/>
    <cellStyle name="Normal 57 3 5 2 6 3 2" xfId="46584" xr:uid="{00000000-0005-0000-0000-00003C820000}"/>
    <cellStyle name="Normal 57 3 5 2 6 4" xfId="27514" xr:uid="{00000000-0005-0000-0000-00003D820000}"/>
    <cellStyle name="Normal 57 3 5 2 7" xfId="5834" xr:uid="{00000000-0005-0000-0000-00003E820000}"/>
    <cellStyle name="Normal 57 3 5 2 7 2" xfId="14661" xr:uid="{00000000-0005-0000-0000-00003F820000}"/>
    <cellStyle name="Normal 57 3 5 2 7 2 2" xfId="40216" xr:uid="{00000000-0005-0000-0000-000040820000}"/>
    <cellStyle name="Normal 57 3 5 2 7 3" xfId="24912" xr:uid="{00000000-0005-0000-0000-000041820000}"/>
    <cellStyle name="Normal 57 3 5 2 7 3 2" xfId="50465" xr:uid="{00000000-0005-0000-0000-000042820000}"/>
    <cellStyle name="Normal 57 3 5 2 7 4" xfId="31395" xr:uid="{00000000-0005-0000-0000-000043820000}"/>
    <cellStyle name="Normal 57 3 5 2 8" xfId="7278" xr:uid="{00000000-0005-0000-0000-000044820000}"/>
    <cellStyle name="Normal 57 3 5 2 8 2" xfId="20004" xr:uid="{00000000-0005-0000-0000-000045820000}"/>
    <cellStyle name="Normal 57 3 5 2 8 2 2" xfId="45557" xr:uid="{00000000-0005-0000-0000-000046820000}"/>
    <cellStyle name="Normal 57 3 5 2 8 3" xfId="32835" xr:uid="{00000000-0005-0000-0000-000047820000}"/>
    <cellStyle name="Normal 57 3 5 2 9" xfId="16024" xr:uid="{00000000-0005-0000-0000-000048820000}"/>
    <cellStyle name="Normal 57 3 5 2 9 2" xfId="41577" xr:uid="{00000000-0005-0000-0000-000049820000}"/>
    <cellStyle name="Normal 57 3 5 2_Degree data" xfId="3952" xr:uid="{00000000-0005-0000-0000-00004A820000}"/>
    <cellStyle name="Normal 57 3 5 3" xfId="353" xr:uid="{00000000-0005-0000-0000-00004B820000}"/>
    <cellStyle name="Normal 57 3 5 3 2" xfId="2839" xr:uid="{00000000-0005-0000-0000-00004C820000}"/>
    <cellStyle name="Normal 57 3 5 3 2 2" xfId="12127" xr:uid="{00000000-0005-0000-0000-00004D820000}"/>
    <cellStyle name="Normal 57 3 5 3 2 2 2" xfId="22200" xr:uid="{00000000-0005-0000-0000-00004E820000}"/>
    <cellStyle name="Normal 57 3 5 3 2 2 2 2" xfId="47753" xr:uid="{00000000-0005-0000-0000-00004F820000}"/>
    <cellStyle name="Normal 57 3 5 3 2 2 3" xfId="37682" xr:uid="{00000000-0005-0000-0000-000050820000}"/>
    <cellStyle name="Normal 57 3 5 3 2 3" xfId="8638" xr:uid="{00000000-0005-0000-0000-000051820000}"/>
    <cellStyle name="Normal 57 3 5 3 2 3 2" xfId="34195" xr:uid="{00000000-0005-0000-0000-000052820000}"/>
    <cellStyle name="Normal 57 3 5 3 2 4" xfId="17193" xr:uid="{00000000-0005-0000-0000-000053820000}"/>
    <cellStyle name="Normal 57 3 5 3 2 4 2" xfId="42746" xr:uid="{00000000-0005-0000-0000-000054820000}"/>
    <cellStyle name="Normal 57 3 5 3 2 5" xfId="28683" xr:uid="{00000000-0005-0000-0000-000055820000}"/>
    <cellStyle name="Normal 57 3 5 3 3" xfId="4659" xr:uid="{00000000-0005-0000-0000-000056820000}"/>
    <cellStyle name="Normal 57 3 5 3 3 2" xfId="13497" xr:uid="{00000000-0005-0000-0000-000057820000}"/>
    <cellStyle name="Normal 57 3 5 3 3 2 2" xfId="23748" xr:uid="{00000000-0005-0000-0000-000058820000}"/>
    <cellStyle name="Normal 57 3 5 3 3 2 2 2" xfId="49301" xr:uid="{00000000-0005-0000-0000-000059820000}"/>
    <cellStyle name="Normal 57 3 5 3 3 2 3" xfId="39052" xr:uid="{00000000-0005-0000-0000-00005A820000}"/>
    <cellStyle name="Normal 57 3 5 3 3 3" xfId="9918" xr:uid="{00000000-0005-0000-0000-00005B820000}"/>
    <cellStyle name="Normal 57 3 5 3 3 3 2" xfId="35475" xr:uid="{00000000-0005-0000-0000-00005C820000}"/>
    <cellStyle name="Normal 57 3 5 3 3 4" xfId="18741" xr:uid="{00000000-0005-0000-0000-00005D820000}"/>
    <cellStyle name="Normal 57 3 5 3 3 4 2" xfId="44294" xr:uid="{00000000-0005-0000-0000-00005E820000}"/>
    <cellStyle name="Normal 57 3 5 3 3 5" xfId="30231" xr:uid="{00000000-0005-0000-0000-00005F820000}"/>
    <cellStyle name="Normal 57 3 5 3 4" xfId="1948" xr:uid="{00000000-0005-0000-0000-000060820000}"/>
    <cellStyle name="Normal 57 3 5 3 4 2" xfId="11313" xr:uid="{00000000-0005-0000-0000-000061820000}"/>
    <cellStyle name="Normal 57 3 5 3 4 2 2" xfId="36868" xr:uid="{00000000-0005-0000-0000-000062820000}"/>
    <cellStyle name="Normal 57 3 5 3 4 3" xfId="21317" xr:uid="{00000000-0005-0000-0000-000063820000}"/>
    <cellStyle name="Normal 57 3 5 3 4 3 2" xfId="46870" xr:uid="{00000000-0005-0000-0000-000064820000}"/>
    <cellStyle name="Normal 57 3 5 3 4 4" xfId="27800" xr:uid="{00000000-0005-0000-0000-000065820000}"/>
    <cellStyle name="Normal 57 3 5 3 5" xfId="6115" xr:uid="{00000000-0005-0000-0000-000066820000}"/>
    <cellStyle name="Normal 57 3 5 3 5 2" xfId="14942" xr:uid="{00000000-0005-0000-0000-000067820000}"/>
    <cellStyle name="Normal 57 3 5 3 5 2 2" xfId="40497" xr:uid="{00000000-0005-0000-0000-000068820000}"/>
    <cellStyle name="Normal 57 3 5 3 5 3" xfId="25193" xr:uid="{00000000-0005-0000-0000-000069820000}"/>
    <cellStyle name="Normal 57 3 5 3 5 3 2" xfId="50746" xr:uid="{00000000-0005-0000-0000-00006A820000}"/>
    <cellStyle name="Normal 57 3 5 3 5 4" xfId="31676" xr:uid="{00000000-0005-0000-0000-00006B820000}"/>
    <cellStyle name="Normal 57 3 5 3 6" xfId="7560" xr:uid="{00000000-0005-0000-0000-00006C820000}"/>
    <cellStyle name="Normal 57 3 5 3 6 2" xfId="19799" xr:uid="{00000000-0005-0000-0000-00006D820000}"/>
    <cellStyle name="Normal 57 3 5 3 6 2 2" xfId="45352" xr:uid="{00000000-0005-0000-0000-00006E820000}"/>
    <cellStyle name="Normal 57 3 5 3 6 3" xfId="33117" xr:uid="{00000000-0005-0000-0000-00006F820000}"/>
    <cellStyle name="Normal 57 3 5 3 7" xfId="16310" xr:uid="{00000000-0005-0000-0000-000070820000}"/>
    <cellStyle name="Normal 57 3 5 3 7 2" xfId="41863" xr:uid="{00000000-0005-0000-0000-000071820000}"/>
    <cellStyle name="Normal 57 3 5 3 8" xfId="26282" xr:uid="{00000000-0005-0000-0000-000072820000}"/>
    <cellStyle name="Normal 57 3 5 4" xfId="845" xr:uid="{00000000-0005-0000-0000-000073820000}"/>
    <cellStyle name="Normal 57 3 5 4 2" xfId="3330" xr:uid="{00000000-0005-0000-0000-000074820000}"/>
    <cellStyle name="Normal 57 3 5 4 2 2" xfId="12472" xr:uid="{00000000-0005-0000-0000-000075820000}"/>
    <cellStyle name="Normal 57 3 5 4 2 2 2" xfId="22691" xr:uid="{00000000-0005-0000-0000-000076820000}"/>
    <cellStyle name="Normal 57 3 5 4 2 2 2 2" xfId="48244" xr:uid="{00000000-0005-0000-0000-000077820000}"/>
    <cellStyle name="Normal 57 3 5 4 2 2 3" xfId="38027" xr:uid="{00000000-0005-0000-0000-000078820000}"/>
    <cellStyle name="Normal 57 3 5 4 2 3" xfId="8894" xr:uid="{00000000-0005-0000-0000-000079820000}"/>
    <cellStyle name="Normal 57 3 5 4 2 3 2" xfId="34451" xr:uid="{00000000-0005-0000-0000-00007A820000}"/>
    <cellStyle name="Normal 57 3 5 4 2 4" xfId="17684" xr:uid="{00000000-0005-0000-0000-00007B820000}"/>
    <cellStyle name="Normal 57 3 5 4 2 4 2" xfId="43237" xr:uid="{00000000-0005-0000-0000-00007C820000}"/>
    <cellStyle name="Normal 57 3 5 4 2 5" xfId="29174" xr:uid="{00000000-0005-0000-0000-00007D820000}"/>
    <cellStyle name="Normal 57 3 5 4 3" xfId="5008" xr:uid="{00000000-0005-0000-0000-00007E820000}"/>
    <cellStyle name="Normal 57 3 5 4 3 2" xfId="13845" xr:uid="{00000000-0005-0000-0000-00007F820000}"/>
    <cellStyle name="Normal 57 3 5 4 3 2 2" xfId="24096" xr:uid="{00000000-0005-0000-0000-000080820000}"/>
    <cellStyle name="Normal 57 3 5 4 3 2 2 2" xfId="49649" xr:uid="{00000000-0005-0000-0000-000081820000}"/>
    <cellStyle name="Normal 57 3 5 4 3 2 3" xfId="39400" xr:uid="{00000000-0005-0000-0000-000082820000}"/>
    <cellStyle name="Normal 57 3 5 4 3 3" xfId="10266" xr:uid="{00000000-0005-0000-0000-000083820000}"/>
    <cellStyle name="Normal 57 3 5 4 3 3 2" xfId="35823" xr:uid="{00000000-0005-0000-0000-000084820000}"/>
    <cellStyle name="Normal 57 3 5 4 3 4" xfId="19089" xr:uid="{00000000-0005-0000-0000-000085820000}"/>
    <cellStyle name="Normal 57 3 5 4 3 4 2" xfId="44642" xr:uid="{00000000-0005-0000-0000-000086820000}"/>
    <cellStyle name="Normal 57 3 5 4 3 5" xfId="30579" xr:uid="{00000000-0005-0000-0000-000087820000}"/>
    <cellStyle name="Normal 57 3 5 4 4" xfId="2439" xr:uid="{00000000-0005-0000-0000-000088820000}"/>
    <cellStyle name="Normal 57 3 5 4 4 2" xfId="11804" xr:uid="{00000000-0005-0000-0000-000089820000}"/>
    <cellStyle name="Normal 57 3 5 4 4 2 2" xfId="37359" xr:uid="{00000000-0005-0000-0000-00008A820000}"/>
    <cellStyle name="Normal 57 3 5 4 4 3" xfId="21808" xr:uid="{00000000-0005-0000-0000-00008B820000}"/>
    <cellStyle name="Normal 57 3 5 4 4 3 2" xfId="47361" xr:uid="{00000000-0005-0000-0000-00008C820000}"/>
    <cellStyle name="Normal 57 3 5 4 4 4" xfId="28291" xr:uid="{00000000-0005-0000-0000-00008D820000}"/>
    <cellStyle name="Normal 57 3 5 4 5" xfId="6463" xr:uid="{00000000-0005-0000-0000-00008E820000}"/>
    <cellStyle name="Normal 57 3 5 4 5 2" xfId="15290" xr:uid="{00000000-0005-0000-0000-00008F820000}"/>
    <cellStyle name="Normal 57 3 5 4 5 2 2" xfId="40845" xr:uid="{00000000-0005-0000-0000-000090820000}"/>
    <cellStyle name="Normal 57 3 5 4 5 3" xfId="25541" xr:uid="{00000000-0005-0000-0000-000091820000}"/>
    <cellStyle name="Normal 57 3 5 4 5 3 2" xfId="51094" xr:uid="{00000000-0005-0000-0000-000092820000}"/>
    <cellStyle name="Normal 57 3 5 4 5 4" xfId="32024" xr:uid="{00000000-0005-0000-0000-000093820000}"/>
    <cellStyle name="Normal 57 3 5 4 6" xfId="7909" xr:uid="{00000000-0005-0000-0000-000094820000}"/>
    <cellStyle name="Normal 57 3 5 4 6 2" xfId="20290" xr:uid="{00000000-0005-0000-0000-000095820000}"/>
    <cellStyle name="Normal 57 3 5 4 6 2 2" xfId="45843" xr:uid="{00000000-0005-0000-0000-000096820000}"/>
    <cellStyle name="Normal 57 3 5 4 6 3" xfId="33466" xr:uid="{00000000-0005-0000-0000-000097820000}"/>
    <cellStyle name="Normal 57 3 5 4 7" xfId="16801" xr:uid="{00000000-0005-0000-0000-000098820000}"/>
    <cellStyle name="Normal 57 3 5 4 7 2" xfId="42354" xr:uid="{00000000-0005-0000-0000-000099820000}"/>
    <cellStyle name="Normal 57 3 5 4 8" xfId="26773" xr:uid="{00000000-0005-0000-0000-00009A820000}"/>
    <cellStyle name="Normal 57 3 5 5" xfId="1125" xr:uid="{00000000-0005-0000-0000-00009B820000}"/>
    <cellStyle name="Normal 57 3 5 5 2" xfId="3554" xr:uid="{00000000-0005-0000-0000-00009C820000}"/>
    <cellStyle name="Normal 57 3 5 5 2 2" xfId="12690" xr:uid="{00000000-0005-0000-0000-00009D820000}"/>
    <cellStyle name="Normal 57 3 5 5 2 2 2" xfId="22909" xr:uid="{00000000-0005-0000-0000-00009E820000}"/>
    <cellStyle name="Normal 57 3 5 5 2 2 2 2" xfId="48462" xr:uid="{00000000-0005-0000-0000-00009F820000}"/>
    <cellStyle name="Normal 57 3 5 5 2 2 3" xfId="38245" xr:uid="{00000000-0005-0000-0000-0000A0820000}"/>
    <cellStyle name="Normal 57 3 5 5 2 3" xfId="9111" xr:uid="{00000000-0005-0000-0000-0000A1820000}"/>
    <cellStyle name="Normal 57 3 5 5 2 3 2" xfId="34668" xr:uid="{00000000-0005-0000-0000-0000A2820000}"/>
    <cellStyle name="Normal 57 3 5 5 2 4" xfId="17902" xr:uid="{00000000-0005-0000-0000-0000A3820000}"/>
    <cellStyle name="Normal 57 3 5 5 2 4 2" xfId="43455" xr:uid="{00000000-0005-0000-0000-0000A4820000}"/>
    <cellStyle name="Normal 57 3 5 5 2 5" xfId="29392" xr:uid="{00000000-0005-0000-0000-0000A5820000}"/>
    <cellStyle name="Normal 57 3 5 5 3" xfId="5217" xr:uid="{00000000-0005-0000-0000-0000A6820000}"/>
    <cellStyle name="Normal 57 3 5 5 3 2" xfId="14054" xr:uid="{00000000-0005-0000-0000-0000A7820000}"/>
    <cellStyle name="Normal 57 3 5 5 3 2 2" xfId="24305" xr:uid="{00000000-0005-0000-0000-0000A8820000}"/>
    <cellStyle name="Normal 57 3 5 5 3 2 2 2" xfId="49858" xr:uid="{00000000-0005-0000-0000-0000A9820000}"/>
    <cellStyle name="Normal 57 3 5 5 3 2 3" xfId="39609" xr:uid="{00000000-0005-0000-0000-0000AA820000}"/>
    <cellStyle name="Normal 57 3 5 5 3 3" xfId="10475" xr:uid="{00000000-0005-0000-0000-0000AB820000}"/>
    <cellStyle name="Normal 57 3 5 5 3 3 2" xfId="36032" xr:uid="{00000000-0005-0000-0000-0000AC820000}"/>
    <cellStyle name="Normal 57 3 5 5 3 4" xfId="19298" xr:uid="{00000000-0005-0000-0000-0000AD820000}"/>
    <cellStyle name="Normal 57 3 5 5 3 4 2" xfId="44851" xr:uid="{00000000-0005-0000-0000-0000AE820000}"/>
    <cellStyle name="Normal 57 3 5 5 3 5" xfId="30788" xr:uid="{00000000-0005-0000-0000-0000AF820000}"/>
    <cellStyle name="Normal 57 3 5 5 4" xfId="1833" xr:uid="{00000000-0005-0000-0000-0000B0820000}"/>
    <cellStyle name="Normal 57 3 5 5 4 2" xfId="11201" xr:uid="{00000000-0005-0000-0000-0000B1820000}"/>
    <cellStyle name="Normal 57 3 5 5 4 2 2" xfId="36756" xr:uid="{00000000-0005-0000-0000-0000B2820000}"/>
    <cellStyle name="Normal 57 3 5 5 4 3" xfId="21205" xr:uid="{00000000-0005-0000-0000-0000B3820000}"/>
    <cellStyle name="Normal 57 3 5 5 4 3 2" xfId="46758" xr:uid="{00000000-0005-0000-0000-0000B4820000}"/>
    <cellStyle name="Normal 57 3 5 5 4 4" xfId="27688" xr:uid="{00000000-0005-0000-0000-0000B5820000}"/>
    <cellStyle name="Normal 57 3 5 5 5" xfId="6672" xr:uid="{00000000-0005-0000-0000-0000B6820000}"/>
    <cellStyle name="Normal 57 3 5 5 5 2" xfId="15499" xr:uid="{00000000-0005-0000-0000-0000B7820000}"/>
    <cellStyle name="Normal 57 3 5 5 5 2 2" xfId="41054" xr:uid="{00000000-0005-0000-0000-0000B8820000}"/>
    <cellStyle name="Normal 57 3 5 5 5 3" xfId="25750" xr:uid="{00000000-0005-0000-0000-0000B9820000}"/>
    <cellStyle name="Normal 57 3 5 5 5 3 2" xfId="51303" xr:uid="{00000000-0005-0000-0000-0000BA820000}"/>
    <cellStyle name="Normal 57 3 5 5 5 4" xfId="32233" xr:uid="{00000000-0005-0000-0000-0000BB820000}"/>
    <cellStyle name="Normal 57 3 5 5 6" xfId="8118" xr:uid="{00000000-0005-0000-0000-0000BC820000}"/>
    <cellStyle name="Normal 57 3 5 5 6 2" xfId="20508" xr:uid="{00000000-0005-0000-0000-0000BD820000}"/>
    <cellStyle name="Normal 57 3 5 5 6 2 2" xfId="46061" xr:uid="{00000000-0005-0000-0000-0000BE820000}"/>
    <cellStyle name="Normal 57 3 5 5 6 3" xfId="33675" xr:uid="{00000000-0005-0000-0000-0000BF820000}"/>
    <cellStyle name="Normal 57 3 5 5 7" xfId="16198" xr:uid="{00000000-0005-0000-0000-0000C0820000}"/>
    <cellStyle name="Normal 57 3 5 5 7 2" xfId="41751" xr:uid="{00000000-0005-0000-0000-0000C1820000}"/>
    <cellStyle name="Normal 57 3 5 5 8" xfId="26991" xr:uid="{00000000-0005-0000-0000-0000C2820000}"/>
    <cellStyle name="Normal 57 3 5 6" xfId="2727" xr:uid="{00000000-0005-0000-0000-0000C3820000}"/>
    <cellStyle name="Normal 57 3 5 6 2" xfId="12044" xr:uid="{00000000-0005-0000-0000-0000C4820000}"/>
    <cellStyle name="Normal 57 3 5 6 2 2" xfId="22088" xr:uid="{00000000-0005-0000-0000-0000C5820000}"/>
    <cellStyle name="Normal 57 3 5 6 2 2 2" xfId="47641" xr:uid="{00000000-0005-0000-0000-0000C6820000}"/>
    <cellStyle name="Normal 57 3 5 6 2 3" xfId="37599" xr:uid="{00000000-0005-0000-0000-0000C7820000}"/>
    <cellStyle name="Normal 57 3 5 6 3" xfId="8546" xr:uid="{00000000-0005-0000-0000-0000C8820000}"/>
    <cellStyle name="Normal 57 3 5 6 3 2" xfId="34103" xr:uid="{00000000-0005-0000-0000-0000C9820000}"/>
    <cellStyle name="Normal 57 3 5 6 4" xfId="17081" xr:uid="{00000000-0005-0000-0000-0000CA820000}"/>
    <cellStyle name="Normal 57 3 5 6 4 2" xfId="42634" xr:uid="{00000000-0005-0000-0000-0000CB820000}"/>
    <cellStyle name="Normal 57 3 5 6 5" xfId="28571" xr:uid="{00000000-0005-0000-0000-0000CC820000}"/>
    <cellStyle name="Normal 57 3 5 7" xfId="4173" xr:uid="{00000000-0005-0000-0000-0000CD820000}"/>
    <cellStyle name="Normal 57 3 5 7 2" xfId="13011" xr:uid="{00000000-0005-0000-0000-0000CE820000}"/>
    <cellStyle name="Normal 57 3 5 7 2 2" xfId="23262" xr:uid="{00000000-0005-0000-0000-0000CF820000}"/>
    <cellStyle name="Normal 57 3 5 7 2 2 2" xfId="48815" xr:uid="{00000000-0005-0000-0000-0000D0820000}"/>
    <cellStyle name="Normal 57 3 5 7 2 3" xfId="38566" xr:uid="{00000000-0005-0000-0000-0000D1820000}"/>
    <cellStyle name="Normal 57 3 5 7 3" xfId="9432" xr:uid="{00000000-0005-0000-0000-0000D2820000}"/>
    <cellStyle name="Normal 57 3 5 7 3 2" xfId="34989" xr:uid="{00000000-0005-0000-0000-0000D3820000}"/>
    <cellStyle name="Normal 57 3 5 7 4" xfId="18255" xr:uid="{00000000-0005-0000-0000-0000D4820000}"/>
    <cellStyle name="Normal 57 3 5 7 4 2" xfId="43808" xr:uid="{00000000-0005-0000-0000-0000D5820000}"/>
    <cellStyle name="Normal 57 3 5 7 5" xfId="29745" xr:uid="{00000000-0005-0000-0000-0000D6820000}"/>
    <cellStyle name="Normal 57 3 5 8" xfId="1445" xr:uid="{00000000-0005-0000-0000-0000D7820000}"/>
    <cellStyle name="Normal 57 3 5 8 2" xfId="10822" xr:uid="{00000000-0005-0000-0000-0000D8820000}"/>
    <cellStyle name="Normal 57 3 5 8 2 2" xfId="36377" xr:uid="{00000000-0005-0000-0000-0000D9820000}"/>
    <cellStyle name="Normal 57 3 5 8 3" xfId="20826" xr:uid="{00000000-0005-0000-0000-0000DA820000}"/>
    <cellStyle name="Normal 57 3 5 8 3 2" xfId="46379" xr:uid="{00000000-0005-0000-0000-0000DB820000}"/>
    <cellStyle name="Normal 57 3 5 8 4" xfId="27309" xr:uid="{00000000-0005-0000-0000-0000DC820000}"/>
    <cellStyle name="Normal 57 3 5 9" xfId="5629" xr:uid="{00000000-0005-0000-0000-0000DD820000}"/>
    <cellStyle name="Normal 57 3 5 9 2" xfId="14456" xr:uid="{00000000-0005-0000-0000-0000DE820000}"/>
    <cellStyle name="Normal 57 3 5 9 2 2" xfId="40011" xr:uid="{00000000-0005-0000-0000-0000DF820000}"/>
    <cellStyle name="Normal 57 3 5 9 3" xfId="24707" xr:uid="{00000000-0005-0000-0000-0000E0820000}"/>
    <cellStyle name="Normal 57 3 5 9 3 2" xfId="50260" xr:uid="{00000000-0005-0000-0000-0000E1820000}"/>
    <cellStyle name="Normal 57 3 5 9 4" xfId="31190" xr:uid="{00000000-0005-0000-0000-0000E2820000}"/>
    <cellStyle name="Normal 57 3 5_Degree data" xfId="3951" xr:uid="{00000000-0005-0000-0000-0000E3820000}"/>
    <cellStyle name="Normal 57 3 6" xfId="453" xr:uid="{00000000-0005-0000-0000-0000E4820000}"/>
    <cellStyle name="Normal 57 3 6 10" xfId="26382" xr:uid="{00000000-0005-0000-0000-0000E5820000}"/>
    <cellStyle name="Normal 57 3 6 2" xfId="847" xr:uid="{00000000-0005-0000-0000-0000E6820000}"/>
    <cellStyle name="Normal 57 3 6 2 2" xfId="3332" xr:uid="{00000000-0005-0000-0000-0000E7820000}"/>
    <cellStyle name="Normal 57 3 6 2 2 2" xfId="12474" xr:uid="{00000000-0005-0000-0000-0000E8820000}"/>
    <cellStyle name="Normal 57 3 6 2 2 2 2" xfId="22693" xr:uid="{00000000-0005-0000-0000-0000E9820000}"/>
    <cellStyle name="Normal 57 3 6 2 2 2 2 2" xfId="48246" xr:uid="{00000000-0005-0000-0000-0000EA820000}"/>
    <cellStyle name="Normal 57 3 6 2 2 2 3" xfId="38029" xr:uid="{00000000-0005-0000-0000-0000EB820000}"/>
    <cellStyle name="Normal 57 3 6 2 2 3" xfId="8896" xr:uid="{00000000-0005-0000-0000-0000EC820000}"/>
    <cellStyle name="Normal 57 3 6 2 2 3 2" xfId="34453" xr:uid="{00000000-0005-0000-0000-0000ED820000}"/>
    <cellStyle name="Normal 57 3 6 2 2 4" xfId="17686" xr:uid="{00000000-0005-0000-0000-0000EE820000}"/>
    <cellStyle name="Normal 57 3 6 2 2 4 2" xfId="43239" xr:uid="{00000000-0005-0000-0000-0000EF820000}"/>
    <cellStyle name="Normal 57 3 6 2 2 5" xfId="29176" xr:uid="{00000000-0005-0000-0000-0000F0820000}"/>
    <cellStyle name="Normal 57 3 6 2 3" xfId="4661" xr:uid="{00000000-0005-0000-0000-0000F1820000}"/>
    <cellStyle name="Normal 57 3 6 2 3 2" xfId="13499" xr:uid="{00000000-0005-0000-0000-0000F2820000}"/>
    <cellStyle name="Normal 57 3 6 2 3 2 2" xfId="23750" xr:uid="{00000000-0005-0000-0000-0000F3820000}"/>
    <cellStyle name="Normal 57 3 6 2 3 2 2 2" xfId="49303" xr:uid="{00000000-0005-0000-0000-0000F4820000}"/>
    <cellStyle name="Normal 57 3 6 2 3 2 3" xfId="39054" xr:uid="{00000000-0005-0000-0000-0000F5820000}"/>
    <cellStyle name="Normal 57 3 6 2 3 3" xfId="9920" xr:uid="{00000000-0005-0000-0000-0000F6820000}"/>
    <cellStyle name="Normal 57 3 6 2 3 3 2" xfId="35477" xr:uid="{00000000-0005-0000-0000-0000F7820000}"/>
    <cellStyle name="Normal 57 3 6 2 3 4" xfId="18743" xr:uid="{00000000-0005-0000-0000-0000F8820000}"/>
    <cellStyle name="Normal 57 3 6 2 3 4 2" xfId="44296" xr:uid="{00000000-0005-0000-0000-0000F9820000}"/>
    <cellStyle name="Normal 57 3 6 2 3 5" xfId="30233" xr:uid="{00000000-0005-0000-0000-0000FA820000}"/>
    <cellStyle name="Normal 57 3 6 2 4" xfId="2441" xr:uid="{00000000-0005-0000-0000-0000FB820000}"/>
    <cellStyle name="Normal 57 3 6 2 4 2" xfId="11806" xr:uid="{00000000-0005-0000-0000-0000FC820000}"/>
    <cellStyle name="Normal 57 3 6 2 4 2 2" xfId="37361" xr:uid="{00000000-0005-0000-0000-0000FD820000}"/>
    <cellStyle name="Normal 57 3 6 2 4 3" xfId="21810" xr:uid="{00000000-0005-0000-0000-0000FE820000}"/>
    <cellStyle name="Normal 57 3 6 2 4 3 2" xfId="47363" xr:uid="{00000000-0005-0000-0000-0000FF820000}"/>
    <cellStyle name="Normal 57 3 6 2 4 4" xfId="28293" xr:uid="{00000000-0005-0000-0000-000000830000}"/>
    <cellStyle name="Normal 57 3 6 2 5" xfId="6117" xr:uid="{00000000-0005-0000-0000-000001830000}"/>
    <cellStyle name="Normal 57 3 6 2 5 2" xfId="14944" xr:uid="{00000000-0005-0000-0000-000002830000}"/>
    <cellStyle name="Normal 57 3 6 2 5 2 2" xfId="40499" xr:uid="{00000000-0005-0000-0000-000003830000}"/>
    <cellStyle name="Normal 57 3 6 2 5 3" xfId="25195" xr:uid="{00000000-0005-0000-0000-000004830000}"/>
    <cellStyle name="Normal 57 3 6 2 5 3 2" xfId="50748" xr:uid="{00000000-0005-0000-0000-000005830000}"/>
    <cellStyle name="Normal 57 3 6 2 5 4" xfId="31678" xr:uid="{00000000-0005-0000-0000-000006830000}"/>
    <cellStyle name="Normal 57 3 6 2 6" xfId="7562" xr:uid="{00000000-0005-0000-0000-000007830000}"/>
    <cellStyle name="Normal 57 3 6 2 6 2" xfId="20292" xr:uid="{00000000-0005-0000-0000-000008830000}"/>
    <cellStyle name="Normal 57 3 6 2 6 2 2" xfId="45845" xr:uid="{00000000-0005-0000-0000-000009830000}"/>
    <cellStyle name="Normal 57 3 6 2 6 3" xfId="33119" xr:uid="{00000000-0005-0000-0000-00000A830000}"/>
    <cellStyle name="Normal 57 3 6 2 7" xfId="16803" xr:uid="{00000000-0005-0000-0000-00000B830000}"/>
    <cellStyle name="Normal 57 3 6 2 7 2" xfId="42356" xr:uid="{00000000-0005-0000-0000-00000C830000}"/>
    <cellStyle name="Normal 57 3 6 2 8" xfId="26775" xr:uid="{00000000-0005-0000-0000-00000D830000}"/>
    <cellStyle name="Normal 57 3 6 3" xfId="1225" xr:uid="{00000000-0005-0000-0000-00000E830000}"/>
    <cellStyle name="Normal 57 3 6 3 2" xfId="3654" xr:uid="{00000000-0005-0000-0000-00000F830000}"/>
    <cellStyle name="Normal 57 3 6 3 2 2" xfId="12790" xr:uid="{00000000-0005-0000-0000-000010830000}"/>
    <cellStyle name="Normal 57 3 6 3 2 2 2" xfId="23009" xr:uid="{00000000-0005-0000-0000-000011830000}"/>
    <cellStyle name="Normal 57 3 6 3 2 2 2 2" xfId="48562" xr:uid="{00000000-0005-0000-0000-000012830000}"/>
    <cellStyle name="Normal 57 3 6 3 2 2 3" xfId="38345" xr:uid="{00000000-0005-0000-0000-000013830000}"/>
    <cellStyle name="Normal 57 3 6 3 2 3" xfId="9211" xr:uid="{00000000-0005-0000-0000-000014830000}"/>
    <cellStyle name="Normal 57 3 6 3 2 3 2" xfId="34768" xr:uid="{00000000-0005-0000-0000-000015830000}"/>
    <cellStyle name="Normal 57 3 6 3 2 4" xfId="18002" xr:uid="{00000000-0005-0000-0000-000016830000}"/>
    <cellStyle name="Normal 57 3 6 3 2 4 2" xfId="43555" xr:uid="{00000000-0005-0000-0000-000017830000}"/>
    <cellStyle name="Normal 57 3 6 3 2 5" xfId="29492" xr:uid="{00000000-0005-0000-0000-000018830000}"/>
    <cellStyle name="Normal 57 3 6 3 3" xfId="5010" xr:uid="{00000000-0005-0000-0000-000019830000}"/>
    <cellStyle name="Normal 57 3 6 3 3 2" xfId="13847" xr:uid="{00000000-0005-0000-0000-00001A830000}"/>
    <cellStyle name="Normal 57 3 6 3 3 2 2" xfId="24098" xr:uid="{00000000-0005-0000-0000-00001B830000}"/>
    <cellStyle name="Normal 57 3 6 3 3 2 2 2" xfId="49651" xr:uid="{00000000-0005-0000-0000-00001C830000}"/>
    <cellStyle name="Normal 57 3 6 3 3 2 3" xfId="39402" xr:uid="{00000000-0005-0000-0000-00001D830000}"/>
    <cellStyle name="Normal 57 3 6 3 3 3" xfId="10268" xr:uid="{00000000-0005-0000-0000-00001E830000}"/>
    <cellStyle name="Normal 57 3 6 3 3 3 2" xfId="35825" xr:uid="{00000000-0005-0000-0000-00001F830000}"/>
    <cellStyle name="Normal 57 3 6 3 3 4" xfId="19091" xr:uid="{00000000-0005-0000-0000-000020830000}"/>
    <cellStyle name="Normal 57 3 6 3 3 4 2" xfId="44644" xr:uid="{00000000-0005-0000-0000-000021830000}"/>
    <cellStyle name="Normal 57 3 6 3 3 5" xfId="30581" xr:uid="{00000000-0005-0000-0000-000022830000}"/>
    <cellStyle name="Normal 57 3 6 3 4" xfId="2048" xr:uid="{00000000-0005-0000-0000-000023830000}"/>
    <cellStyle name="Normal 57 3 6 3 4 2" xfId="11413" xr:uid="{00000000-0005-0000-0000-000024830000}"/>
    <cellStyle name="Normal 57 3 6 3 4 2 2" xfId="36968" xr:uid="{00000000-0005-0000-0000-000025830000}"/>
    <cellStyle name="Normal 57 3 6 3 4 3" xfId="21417" xr:uid="{00000000-0005-0000-0000-000026830000}"/>
    <cellStyle name="Normal 57 3 6 3 4 3 2" xfId="46970" xr:uid="{00000000-0005-0000-0000-000027830000}"/>
    <cellStyle name="Normal 57 3 6 3 4 4" xfId="27900" xr:uid="{00000000-0005-0000-0000-000028830000}"/>
    <cellStyle name="Normal 57 3 6 3 5" xfId="6465" xr:uid="{00000000-0005-0000-0000-000029830000}"/>
    <cellStyle name="Normal 57 3 6 3 5 2" xfId="15292" xr:uid="{00000000-0005-0000-0000-00002A830000}"/>
    <cellStyle name="Normal 57 3 6 3 5 2 2" xfId="40847" xr:uid="{00000000-0005-0000-0000-00002B830000}"/>
    <cellStyle name="Normal 57 3 6 3 5 3" xfId="25543" xr:uid="{00000000-0005-0000-0000-00002C830000}"/>
    <cellStyle name="Normal 57 3 6 3 5 3 2" xfId="51096" xr:uid="{00000000-0005-0000-0000-00002D830000}"/>
    <cellStyle name="Normal 57 3 6 3 5 4" xfId="32026" xr:uid="{00000000-0005-0000-0000-00002E830000}"/>
    <cellStyle name="Normal 57 3 6 3 6" xfId="7911" xr:uid="{00000000-0005-0000-0000-00002F830000}"/>
    <cellStyle name="Normal 57 3 6 3 6 2" xfId="20608" xr:uid="{00000000-0005-0000-0000-000030830000}"/>
    <cellStyle name="Normal 57 3 6 3 6 2 2" xfId="46161" xr:uid="{00000000-0005-0000-0000-000031830000}"/>
    <cellStyle name="Normal 57 3 6 3 6 3" xfId="33468" xr:uid="{00000000-0005-0000-0000-000032830000}"/>
    <cellStyle name="Normal 57 3 6 3 7" xfId="16410" xr:uid="{00000000-0005-0000-0000-000033830000}"/>
    <cellStyle name="Normal 57 3 6 3 7 2" xfId="41963" xr:uid="{00000000-0005-0000-0000-000034830000}"/>
    <cellStyle name="Normal 57 3 6 3 8" xfId="27091" xr:uid="{00000000-0005-0000-0000-000035830000}"/>
    <cellStyle name="Normal 57 3 6 4" xfId="2939" xr:uid="{00000000-0005-0000-0000-000036830000}"/>
    <cellStyle name="Normal 57 3 6 4 2" xfId="5317" xr:uid="{00000000-0005-0000-0000-000037830000}"/>
    <cellStyle name="Normal 57 3 6 4 2 2" xfId="14154" xr:uid="{00000000-0005-0000-0000-000038830000}"/>
    <cellStyle name="Normal 57 3 6 4 2 2 2" xfId="24405" xr:uid="{00000000-0005-0000-0000-000039830000}"/>
    <cellStyle name="Normal 57 3 6 4 2 2 2 2" xfId="49958" xr:uid="{00000000-0005-0000-0000-00003A830000}"/>
    <cellStyle name="Normal 57 3 6 4 2 2 3" xfId="39709" xr:uid="{00000000-0005-0000-0000-00003B830000}"/>
    <cellStyle name="Normal 57 3 6 4 2 3" xfId="10575" xr:uid="{00000000-0005-0000-0000-00003C830000}"/>
    <cellStyle name="Normal 57 3 6 4 2 3 2" xfId="36132" xr:uid="{00000000-0005-0000-0000-00003D830000}"/>
    <cellStyle name="Normal 57 3 6 4 2 4" xfId="19398" xr:uid="{00000000-0005-0000-0000-00003E830000}"/>
    <cellStyle name="Normal 57 3 6 4 2 4 2" xfId="44951" xr:uid="{00000000-0005-0000-0000-00003F830000}"/>
    <cellStyle name="Normal 57 3 6 4 2 5" xfId="30888" xr:uid="{00000000-0005-0000-0000-000040830000}"/>
    <cellStyle name="Normal 57 3 6 4 3" xfId="6772" xr:uid="{00000000-0005-0000-0000-000041830000}"/>
    <cellStyle name="Normal 57 3 6 4 3 2" xfId="15599" xr:uid="{00000000-0005-0000-0000-000042830000}"/>
    <cellStyle name="Normal 57 3 6 4 3 2 2" xfId="41154" xr:uid="{00000000-0005-0000-0000-000043830000}"/>
    <cellStyle name="Normal 57 3 6 4 3 3" xfId="25850" xr:uid="{00000000-0005-0000-0000-000044830000}"/>
    <cellStyle name="Normal 57 3 6 4 3 3 2" xfId="51403" xr:uid="{00000000-0005-0000-0000-000045830000}"/>
    <cellStyle name="Normal 57 3 6 4 3 4" xfId="32333" xr:uid="{00000000-0005-0000-0000-000046830000}"/>
    <cellStyle name="Normal 57 3 6 4 4" xfId="8218" xr:uid="{00000000-0005-0000-0000-000047830000}"/>
    <cellStyle name="Normal 57 3 6 4 4 2" xfId="22300" xr:uid="{00000000-0005-0000-0000-000048830000}"/>
    <cellStyle name="Normal 57 3 6 4 4 2 2" xfId="47853" xr:uid="{00000000-0005-0000-0000-000049830000}"/>
    <cellStyle name="Normal 57 3 6 4 4 3" xfId="33775" xr:uid="{00000000-0005-0000-0000-00004A830000}"/>
    <cellStyle name="Normal 57 3 6 4 5" xfId="17293" xr:uid="{00000000-0005-0000-0000-00004B830000}"/>
    <cellStyle name="Normal 57 3 6 4 5 2" xfId="42846" xr:uid="{00000000-0005-0000-0000-00004C830000}"/>
    <cellStyle name="Normal 57 3 6 4 6" xfId="28783" xr:uid="{00000000-0005-0000-0000-00004D830000}"/>
    <cellStyle name="Normal 57 3 6 5" xfId="4273" xr:uid="{00000000-0005-0000-0000-00004E830000}"/>
    <cellStyle name="Normal 57 3 6 5 2" xfId="13111" xr:uid="{00000000-0005-0000-0000-00004F830000}"/>
    <cellStyle name="Normal 57 3 6 5 2 2" xfId="23362" xr:uid="{00000000-0005-0000-0000-000050830000}"/>
    <cellStyle name="Normal 57 3 6 5 2 2 2" xfId="48915" xr:uid="{00000000-0005-0000-0000-000051830000}"/>
    <cellStyle name="Normal 57 3 6 5 2 3" xfId="38666" xr:uid="{00000000-0005-0000-0000-000052830000}"/>
    <cellStyle name="Normal 57 3 6 5 3" xfId="9532" xr:uid="{00000000-0005-0000-0000-000053830000}"/>
    <cellStyle name="Normal 57 3 6 5 3 2" xfId="35089" xr:uid="{00000000-0005-0000-0000-000054830000}"/>
    <cellStyle name="Normal 57 3 6 5 4" xfId="18355" xr:uid="{00000000-0005-0000-0000-000055830000}"/>
    <cellStyle name="Normal 57 3 6 5 4 2" xfId="43908" xr:uid="{00000000-0005-0000-0000-000056830000}"/>
    <cellStyle name="Normal 57 3 6 5 5" xfId="29845" xr:uid="{00000000-0005-0000-0000-000057830000}"/>
    <cellStyle name="Normal 57 3 6 6" xfId="1545" xr:uid="{00000000-0005-0000-0000-000058830000}"/>
    <cellStyle name="Normal 57 3 6 6 2" xfId="10922" xr:uid="{00000000-0005-0000-0000-000059830000}"/>
    <cellStyle name="Normal 57 3 6 6 2 2" xfId="36477" xr:uid="{00000000-0005-0000-0000-00005A830000}"/>
    <cellStyle name="Normal 57 3 6 6 3" xfId="20926" xr:uid="{00000000-0005-0000-0000-00005B830000}"/>
    <cellStyle name="Normal 57 3 6 6 3 2" xfId="46479" xr:uid="{00000000-0005-0000-0000-00005C830000}"/>
    <cellStyle name="Normal 57 3 6 6 4" xfId="27409" xr:uid="{00000000-0005-0000-0000-00005D830000}"/>
    <cellStyle name="Normal 57 3 6 7" xfId="5729" xr:uid="{00000000-0005-0000-0000-00005E830000}"/>
    <cellStyle name="Normal 57 3 6 7 2" xfId="14556" xr:uid="{00000000-0005-0000-0000-00005F830000}"/>
    <cellStyle name="Normal 57 3 6 7 2 2" xfId="40111" xr:uid="{00000000-0005-0000-0000-000060830000}"/>
    <cellStyle name="Normal 57 3 6 7 3" xfId="24807" xr:uid="{00000000-0005-0000-0000-000061830000}"/>
    <cellStyle name="Normal 57 3 6 7 3 2" xfId="50360" xr:uid="{00000000-0005-0000-0000-000062830000}"/>
    <cellStyle name="Normal 57 3 6 7 4" xfId="31290" xr:uid="{00000000-0005-0000-0000-000063830000}"/>
    <cellStyle name="Normal 57 3 6 8" xfId="7173" xr:uid="{00000000-0005-0000-0000-000064830000}"/>
    <cellStyle name="Normal 57 3 6 8 2" xfId="19899" xr:uid="{00000000-0005-0000-0000-000065830000}"/>
    <cellStyle name="Normal 57 3 6 8 2 2" xfId="45452" xr:uid="{00000000-0005-0000-0000-000066830000}"/>
    <cellStyle name="Normal 57 3 6 8 3" xfId="32730" xr:uid="{00000000-0005-0000-0000-000067830000}"/>
    <cellStyle name="Normal 57 3 6 9" xfId="15919" xr:uid="{00000000-0005-0000-0000-000068830000}"/>
    <cellStyle name="Normal 57 3 6 9 2" xfId="41472" xr:uid="{00000000-0005-0000-0000-000069830000}"/>
    <cellStyle name="Normal 57 3 6_Degree data" xfId="3953" xr:uid="{00000000-0005-0000-0000-00006A830000}"/>
    <cellStyle name="Normal 57 3 7" xfId="301" xr:uid="{00000000-0005-0000-0000-00006B830000}"/>
    <cellStyle name="Normal 57 3 7 10" xfId="26230" xr:uid="{00000000-0005-0000-0000-00006C830000}"/>
    <cellStyle name="Normal 57 3 7 2" xfId="848" xr:uid="{00000000-0005-0000-0000-00006D830000}"/>
    <cellStyle name="Normal 57 3 7 2 2" xfId="3333" xr:uid="{00000000-0005-0000-0000-00006E830000}"/>
    <cellStyle name="Normal 57 3 7 2 2 2" xfId="12475" xr:uid="{00000000-0005-0000-0000-00006F830000}"/>
    <cellStyle name="Normal 57 3 7 2 2 2 2" xfId="22694" xr:uid="{00000000-0005-0000-0000-000070830000}"/>
    <cellStyle name="Normal 57 3 7 2 2 2 2 2" xfId="48247" xr:uid="{00000000-0005-0000-0000-000071830000}"/>
    <cellStyle name="Normal 57 3 7 2 2 2 3" xfId="38030" xr:uid="{00000000-0005-0000-0000-000072830000}"/>
    <cellStyle name="Normal 57 3 7 2 2 3" xfId="8897" xr:uid="{00000000-0005-0000-0000-000073830000}"/>
    <cellStyle name="Normal 57 3 7 2 2 3 2" xfId="34454" xr:uid="{00000000-0005-0000-0000-000074830000}"/>
    <cellStyle name="Normal 57 3 7 2 2 4" xfId="17687" xr:uid="{00000000-0005-0000-0000-000075830000}"/>
    <cellStyle name="Normal 57 3 7 2 2 4 2" xfId="43240" xr:uid="{00000000-0005-0000-0000-000076830000}"/>
    <cellStyle name="Normal 57 3 7 2 2 5" xfId="29177" xr:uid="{00000000-0005-0000-0000-000077830000}"/>
    <cellStyle name="Normal 57 3 7 2 3" xfId="4662" xr:uid="{00000000-0005-0000-0000-000078830000}"/>
    <cellStyle name="Normal 57 3 7 2 3 2" xfId="13500" xr:uid="{00000000-0005-0000-0000-000079830000}"/>
    <cellStyle name="Normal 57 3 7 2 3 2 2" xfId="23751" xr:uid="{00000000-0005-0000-0000-00007A830000}"/>
    <cellStyle name="Normal 57 3 7 2 3 2 2 2" xfId="49304" xr:uid="{00000000-0005-0000-0000-00007B830000}"/>
    <cellStyle name="Normal 57 3 7 2 3 2 3" xfId="39055" xr:uid="{00000000-0005-0000-0000-00007C830000}"/>
    <cellStyle name="Normal 57 3 7 2 3 3" xfId="9921" xr:uid="{00000000-0005-0000-0000-00007D830000}"/>
    <cellStyle name="Normal 57 3 7 2 3 3 2" xfId="35478" xr:uid="{00000000-0005-0000-0000-00007E830000}"/>
    <cellStyle name="Normal 57 3 7 2 3 4" xfId="18744" xr:uid="{00000000-0005-0000-0000-00007F830000}"/>
    <cellStyle name="Normal 57 3 7 2 3 4 2" xfId="44297" xr:uid="{00000000-0005-0000-0000-000080830000}"/>
    <cellStyle name="Normal 57 3 7 2 3 5" xfId="30234" xr:uid="{00000000-0005-0000-0000-000081830000}"/>
    <cellStyle name="Normal 57 3 7 2 4" xfId="2442" xr:uid="{00000000-0005-0000-0000-000082830000}"/>
    <cellStyle name="Normal 57 3 7 2 4 2" xfId="11807" xr:uid="{00000000-0005-0000-0000-000083830000}"/>
    <cellStyle name="Normal 57 3 7 2 4 2 2" xfId="37362" xr:uid="{00000000-0005-0000-0000-000084830000}"/>
    <cellStyle name="Normal 57 3 7 2 4 3" xfId="21811" xr:uid="{00000000-0005-0000-0000-000085830000}"/>
    <cellStyle name="Normal 57 3 7 2 4 3 2" xfId="47364" xr:uid="{00000000-0005-0000-0000-000086830000}"/>
    <cellStyle name="Normal 57 3 7 2 4 4" xfId="28294" xr:uid="{00000000-0005-0000-0000-000087830000}"/>
    <cellStyle name="Normal 57 3 7 2 5" xfId="6118" xr:uid="{00000000-0005-0000-0000-000088830000}"/>
    <cellStyle name="Normal 57 3 7 2 5 2" xfId="14945" xr:uid="{00000000-0005-0000-0000-000089830000}"/>
    <cellStyle name="Normal 57 3 7 2 5 2 2" xfId="40500" xr:uid="{00000000-0005-0000-0000-00008A830000}"/>
    <cellStyle name="Normal 57 3 7 2 5 3" xfId="25196" xr:uid="{00000000-0005-0000-0000-00008B830000}"/>
    <cellStyle name="Normal 57 3 7 2 5 3 2" xfId="50749" xr:uid="{00000000-0005-0000-0000-00008C830000}"/>
    <cellStyle name="Normal 57 3 7 2 5 4" xfId="31679" xr:uid="{00000000-0005-0000-0000-00008D830000}"/>
    <cellStyle name="Normal 57 3 7 2 6" xfId="7563" xr:uid="{00000000-0005-0000-0000-00008E830000}"/>
    <cellStyle name="Normal 57 3 7 2 6 2" xfId="20293" xr:uid="{00000000-0005-0000-0000-00008F830000}"/>
    <cellStyle name="Normal 57 3 7 2 6 2 2" xfId="45846" xr:uid="{00000000-0005-0000-0000-000090830000}"/>
    <cellStyle name="Normal 57 3 7 2 6 3" xfId="33120" xr:uid="{00000000-0005-0000-0000-000091830000}"/>
    <cellStyle name="Normal 57 3 7 2 7" xfId="16804" xr:uid="{00000000-0005-0000-0000-000092830000}"/>
    <cellStyle name="Normal 57 3 7 2 7 2" xfId="42357" xr:uid="{00000000-0005-0000-0000-000093830000}"/>
    <cellStyle name="Normal 57 3 7 2 8" xfId="26776" xr:uid="{00000000-0005-0000-0000-000094830000}"/>
    <cellStyle name="Normal 57 3 7 3" xfId="1073" xr:uid="{00000000-0005-0000-0000-000095830000}"/>
    <cellStyle name="Normal 57 3 7 3 2" xfId="3502" xr:uid="{00000000-0005-0000-0000-000096830000}"/>
    <cellStyle name="Normal 57 3 7 3 2 2" xfId="12638" xr:uid="{00000000-0005-0000-0000-000097830000}"/>
    <cellStyle name="Normal 57 3 7 3 2 2 2" xfId="22857" xr:uid="{00000000-0005-0000-0000-000098830000}"/>
    <cellStyle name="Normal 57 3 7 3 2 2 2 2" xfId="48410" xr:uid="{00000000-0005-0000-0000-000099830000}"/>
    <cellStyle name="Normal 57 3 7 3 2 2 3" xfId="38193" xr:uid="{00000000-0005-0000-0000-00009A830000}"/>
    <cellStyle name="Normal 57 3 7 3 2 3" xfId="9060" xr:uid="{00000000-0005-0000-0000-00009B830000}"/>
    <cellStyle name="Normal 57 3 7 3 2 3 2" xfId="34617" xr:uid="{00000000-0005-0000-0000-00009C830000}"/>
    <cellStyle name="Normal 57 3 7 3 2 4" xfId="17850" xr:uid="{00000000-0005-0000-0000-00009D830000}"/>
    <cellStyle name="Normal 57 3 7 3 2 4 2" xfId="43403" xr:uid="{00000000-0005-0000-0000-00009E830000}"/>
    <cellStyle name="Normal 57 3 7 3 2 5" xfId="29340" xr:uid="{00000000-0005-0000-0000-00009F830000}"/>
    <cellStyle name="Normal 57 3 7 3 3" xfId="5011" xr:uid="{00000000-0005-0000-0000-0000A0830000}"/>
    <cellStyle name="Normal 57 3 7 3 3 2" xfId="13848" xr:uid="{00000000-0005-0000-0000-0000A1830000}"/>
    <cellStyle name="Normal 57 3 7 3 3 2 2" xfId="24099" xr:uid="{00000000-0005-0000-0000-0000A2830000}"/>
    <cellStyle name="Normal 57 3 7 3 3 2 2 2" xfId="49652" xr:uid="{00000000-0005-0000-0000-0000A3830000}"/>
    <cellStyle name="Normal 57 3 7 3 3 2 3" xfId="39403" xr:uid="{00000000-0005-0000-0000-0000A4830000}"/>
    <cellStyle name="Normal 57 3 7 3 3 3" xfId="10269" xr:uid="{00000000-0005-0000-0000-0000A5830000}"/>
    <cellStyle name="Normal 57 3 7 3 3 3 2" xfId="35826" xr:uid="{00000000-0005-0000-0000-0000A6830000}"/>
    <cellStyle name="Normal 57 3 7 3 3 4" xfId="19092" xr:uid="{00000000-0005-0000-0000-0000A7830000}"/>
    <cellStyle name="Normal 57 3 7 3 3 4 2" xfId="44645" xr:uid="{00000000-0005-0000-0000-0000A8830000}"/>
    <cellStyle name="Normal 57 3 7 3 3 5" xfId="30582" xr:uid="{00000000-0005-0000-0000-0000A9830000}"/>
    <cellStyle name="Normal 57 3 7 3 4" xfId="2591" xr:uid="{00000000-0005-0000-0000-0000AA830000}"/>
    <cellStyle name="Normal 57 3 7 3 4 2" xfId="11955" xr:uid="{00000000-0005-0000-0000-0000AB830000}"/>
    <cellStyle name="Normal 57 3 7 3 4 2 2" xfId="37510" xr:uid="{00000000-0005-0000-0000-0000AC830000}"/>
    <cellStyle name="Normal 57 3 7 3 4 3" xfId="21959" xr:uid="{00000000-0005-0000-0000-0000AD830000}"/>
    <cellStyle name="Normal 57 3 7 3 4 3 2" xfId="47512" xr:uid="{00000000-0005-0000-0000-0000AE830000}"/>
    <cellStyle name="Normal 57 3 7 3 4 4" xfId="28442" xr:uid="{00000000-0005-0000-0000-0000AF830000}"/>
    <cellStyle name="Normal 57 3 7 3 5" xfId="6466" xr:uid="{00000000-0005-0000-0000-0000B0830000}"/>
    <cellStyle name="Normal 57 3 7 3 5 2" xfId="15293" xr:uid="{00000000-0005-0000-0000-0000B1830000}"/>
    <cellStyle name="Normal 57 3 7 3 5 2 2" xfId="40848" xr:uid="{00000000-0005-0000-0000-0000B2830000}"/>
    <cellStyle name="Normal 57 3 7 3 5 3" xfId="25544" xr:uid="{00000000-0005-0000-0000-0000B3830000}"/>
    <cellStyle name="Normal 57 3 7 3 5 3 2" xfId="51097" xr:uid="{00000000-0005-0000-0000-0000B4830000}"/>
    <cellStyle name="Normal 57 3 7 3 5 4" xfId="32027" xr:uid="{00000000-0005-0000-0000-0000B5830000}"/>
    <cellStyle name="Normal 57 3 7 3 6" xfId="7912" xr:uid="{00000000-0005-0000-0000-0000B6830000}"/>
    <cellStyle name="Normal 57 3 7 3 6 2" xfId="20456" xr:uid="{00000000-0005-0000-0000-0000B7830000}"/>
    <cellStyle name="Normal 57 3 7 3 6 2 2" xfId="46009" xr:uid="{00000000-0005-0000-0000-0000B8830000}"/>
    <cellStyle name="Normal 57 3 7 3 6 3" xfId="33469" xr:uid="{00000000-0005-0000-0000-0000B9830000}"/>
    <cellStyle name="Normal 57 3 7 3 7" xfId="16952" xr:uid="{00000000-0005-0000-0000-0000BA830000}"/>
    <cellStyle name="Normal 57 3 7 3 7 2" xfId="42505" xr:uid="{00000000-0005-0000-0000-0000BB830000}"/>
    <cellStyle name="Normal 57 3 7 3 8" xfId="26939" xr:uid="{00000000-0005-0000-0000-0000BC830000}"/>
    <cellStyle name="Normal 57 3 7 4" xfId="2787" xr:uid="{00000000-0005-0000-0000-0000BD830000}"/>
    <cellStyle name="Normal 57 3 7 4 2" xfId="5165" xr:uid="{00000000-0005-0000-0000-0000BE830000}"/>
    <cellStyle name="Normal 57 3 7 4 2 2" xfId="14002" xr:uid="{00000000-0005-0000-0000-0000BF830000}"/>
    <cellStyle name="Normal 57 3 7 4 2 2 2" xfId="24253" xr:uid="{00000000-0005-0000-0000-0000C0830000}"/>
    <cellStyle name="Normal 57 3 7 4 2 2 2 2" xfId="49806" xr:uid="{00000000-0005-0000-0000-0000C1830000}"/>
    <cellStyle name="Normal 57 3 7 4 2 2 3" xfId="39557" xr:uid="{00000000-0005-0000-0000-0000C2830000}"/>
    <cellStyle name="Normal 57 3 7 4 2 3" xfId="10423" xr:uid="{00000000-0005-0000-0000-0000C3830000}"/>
    <cellStyle name="Normal 57 3 7 4 2 3 2" xfId="35980" xr:uid="{00000000-0005-0000-0000-0000C4830000}"/>
    <cellStyle name="Normal 57 3 7 4 2 4" xfId="19246" xr:uid="{00000000-0005-0000-0000-0000C5830000}"/>
    <cellStyle name="Normal 57 3 7 4 2 4 2" xfId="44799" xr:uid="{00000000-0005-0000-0000-0000C6830000}"/>
    <cellStyle name="Normal 57 3 7 4 2 5" xfId="30736" xr:uid="{00000000-0005-0000-0000-0000C7830000}"/>
    <cellStyle name="Normal 57 3 7 4 3" xfId="6620" xr:uid="{00000000-0005-0000-0000-0000C8830000}"/>
    <cellStyle name="Normal 57 3 7 4 3 2" xfId="15447" xr:uid="{00000000-0005-0000-0000-0000C9830000}"/>
    <cellStyle name="Normal 57 3 7 4 3 2 2" xfId="41002" xr:uid="{00000000-0005-0000-0000-0000CA830000}"/>
    <cellStyle name="Normal 57 3 7 4 3 3" xfId="25698" xr:uid="{00000000-0005-0000-0000-0000CB830000}"/>
    <cellStyle name="Normal 57 3 7 4 3 3 2" xfId="51251" xr:uid="{00000000-0005-0000-0000-0000CC830000}"/>
    <cellStyle name="Normal 57 3 7 4 3 4" xfId="32181" xr:uid="{00000000-0005-0000-0000-0000CD830000}"/>
    <cellStyle name="Normal 57 3 7 4 4" xfId="8066" xr:uid="{00000000-0005-0000-0000-0000CE830000}"/>
    <cellStyle name="Normal 57 3 7 4 4 2" xfId="22148" xr:uid="{00000000-0005-0000-0000-0000CF830000}"/>
    <cellStyle name="Normal 57 3 7 4 4 2 2" xfId="47701" xr:uid="{00000000-0005-0000-0000-0000D0830000}"/>
    <cellStyle name="Normal 57 3 7 4 4 3" xfId="33623" xr:uid="{00000000-0005-0000-0000-0000D1830000}"/>
    <cellStyle name="Normal 57 3 7 4 5" xfId="17141" xr:uid="{00000000-0005-0000-0000-0000D2830000}"/>
    <cellStyle name="Normal 57 3 7 4 5 2" xfId="42694" xr:uid="{00000000-0005-0000-0000-0000D3830000}"/>
    <cellStyle name="Normal 57 3 7 4 6" xfId="28631" xr:uid="{00000000-0005-0000-0000-0000D4830000}"/>
    <cellStyle name="Normal 57 3 7 5" xfId="4119" xr:uid="{00000000-0005-0000-0000-0000D5830000}"/>
    <cellStyle name="Normal 57 3 7 5 2" xfId="12957" xr:uid="{00000000-0005-0000-0000-0000D6830000}"/>
    <cellStyle name="Normal 57 3 7 5 2 2" xfId="23208" xr:uid="{00000000-0005-0000-0000-0000D7830000}"/>
    <cellStyle name="Normal 57 3 7 5 2 2 2" xfId="48761" xr:uid="{00000000-0005-0000-0000-0000D8830000}"/>
    <cellStyle name="Normal 57 3 7 5 2 3" xfId="38512" xr:uid="{00000000-0005-0000-0000-0000D9830000}"/>
    <cellStyle name="Normal 57 3 7 5 3" xfId="9378" xr:uid="{00000000-0005-0000-0000-0000DA830000}"/>
    <cellStyle name="Normal 57 3 7 5 3 2" xfId="34935" xr:uid="{00000000-0005-0000-0000-0000DB830000}"/>
    <cellStyle name="Normal 57 3 7 5 4" xfId="18201" xr:uid="{00000000-0005-0000-0000-0000DC830000}"/>
    <cellStyle name="Normal 57 3 7 5 4 2" xfId="43754" xr:uid="{00000000-0005-0000-0000-0000DD830000}"/>
    <cellStyle name="Normal 57 3 7 5 5" xfId="29691" xr:uid="{00000000-0005-0000-0000-0000DE830000}"/>
    <cellStyle name="Normal 57 3 7 6" xfId="1896" xr:uid="{00000000-0005-0000-0000-0000DF830000}"/>
    <cellStyle name="Normal 57 3 7 6 2" xfId="11261" xr:uid="{00000000-0005-0000-0000-0000E0830000}"/>
    <cellStyle name="Normal 57 3 7 6 2 2" xfId="36816" xr:uid="{00000000-0005-0000-0000-0000E1830000}"/>
    <cellStyle name="Normal 57 3 7 6 3" xfId="21265" xr:uid="{00000000-0005-0000-0000-0000E2830000}"/>
    <cellStyle name="Normal 57 3 7 6 3 2" xfId="46818" xr:uid="{00000000-0005-0000-0000-0000E3830000}"/>
    <cellStyle name="Normal 57 3 7 6 4" xfId="27748" xr:uid="{00000000-0005-0000-0000-0000E4830000}"/>
    <cellStyle name="Normal 57 3 7 7" xfId="5577" xr:uid="{00000000-0005-0000-0000-0000E5830000}"/>
    <cellStyle name="Normal 57 3 7 7 2" xfId="14404" xr:uid="{00000000-0005-0000-0000-0000E6830000}"/>
    <cellStyle name="Normal 57 3 7 7 2 2" xfId="39959" xr:uid="{00000000-0005-0000-0000-0000E7830000}"/>
    <cellStyle name="Normal 57 3 7 7 3" xfId="24655" xr:uid="{00000000-0005-0000-0000-0000E8830000}"/>
    <cellStyle name="Normal 57 3 7 7 3 2" xfId="50208" xr:uid="{00000000-0005-0000-0000-0000E9830000}"/>
    <cellStyle name="Normal 57 3 7 7 4" xfId="31138" xr:uid="{00000000-0005-0000-0000-0000EA830000}"/>
    <cellStyle name="Normal 57 3 7 8" xfId="7021" xr:uid="{00000000-0005-0000-0000-0000EB830000}"/>
    <cellStyle name="Normal 57 3 7 8 2" xfId="19747" xr:uid="{00000000-0005-0000-0000-0000EC830000}"/>
    <cellStyle name="Normal 57 3 7 8 2 2" xfId="45300" xr:uid="{00000000-0005-0000-0000-0000ED830000}"/>
    <cellStyle name="Normal 57 3 7 8 3" xfId="32578" xr:uid="{00000000-0005-0000-0000-0000EE830000}"/>
    <cellStyle name="Normal 57 3 7 9" xfId="16258" xr:uid="{00000000-0005-0000-0000-0000EF830000}"/>
    <cellStyle name="Normal 57 3 7 9 2" xfId="41811" xr:uid="{00000000-0005-0000-0000-0000F0830000}"/>
    <cellStyle name="Normal 57 3 7_Degree data" xfId="3954" xr:uid="{00000000-0005-0000-0000-0000F1830000}"/>
    <cellStyle name="Normal 57 3 8" xfId="829" xr:uid="{00000000-0005-0000-0000-0000F2830000}"/>
    <cellStyle name="Normal 57 3 8 2" xfId="3314" xr:uid="{00000000-0005-0000-0000-0000F3830000}"/>
    <cellStyle name="Normal 57 3 8 2 2" xfId="12456" xr:uid="{00000000-0005-0000-0000-0000F4830000}"/>
    <cellStyle name="Normal 57 3 8 2 2 2" xfId="22675" xr:uid="{00000000-0005-0000-0000-0000F5830000}"/>
    <cellStyle name="Normal 57 3 8 2 2 2 2" xfId="48228" xr:uid="{00000000-0005-0000-0000-0000F6830000}"/>
    <cellStyle name="Normal 57 3 8 2 2 3" xfId="38011" xr:uid="{00000000-0005-0000-0000-0000F7830000}"/>
    <cellStyle name="Normal 57 3 8 2 3" xfId="8878" xr:uid="{00000000-0005-0000-0000-0000F8830000}"/>
    <cellStyle name="Normal 57 3 8 2 3 2" xfId="34435" xr:uid="{00000000-0005-0000-0000-0000F9830000}"/>
    <cellStyle name="Normal 57 3 8 2 4" xfId="17668" xr:uid="{00000000-0005-0000-0000-0000FA830000}"/>
    <cellStyle name="Normal 57 3 8 2 4 2" xfId="43221" xr:uid="{00000000-0005-0000-0000-0000FB830000}"/>
    <cellStyle name="Normal 57 3 8 2 5" xfId="29158" xr:uid="{00000000-0005-0000-0000-0000FC830000}"/>
    <cellStyle name="Normal 57 3 8 3" xfId="4643" xr:uid="{00000000-0005-0000-0000-0000FD830000}"/>
    <cellStyle name="Normal 57 3 8 3 2" xfId="13481" xr:uid="{00000000-0005-0000-0000-0000FE830000}"/>
    <cellStyle name="Normal 57 3 8 3 2 2" xfId="23732" xr:uid="{00000000-0005-0000-0000-0000FF830000}"/>
    <cellStyle name="Normal 57 3 8 3 2 2 2" xfId="49285" xr:uid="{00000000-0005-0000-0000-000000840000}"/>
    <cellStyle name="Normal 57 3 8 3 2 3" xfId="39036" xr:uid="{00000000-0005-0000-0000-000001840000}"/>
    <cellStyle name="Normal 57 3 8 3 3" xfId="9902" xr:uid="{00000000-0005-0000-0000-000002840000}"/>
    <cellStyle name="Normal 57 3 8 3 3 2" xfId="35459" xr:uid="{00000000-0005-0000-0000-000003840000}"/>
    <cellStyle name="Normal 57 3 8 3 4" xfId="18725" xr:uid="{00000000-0005-0000-0000-000004840000}"/>
    <cellStyle name="Normal 57 3 8 3 4 2" xfId="44278" xr:uid="{00000000-0005-0000-0000-000005840000}"/>
    <cellStyle name="Normal 57 3 8 3 5" xfId="30215" xr:uid="{00000000-0005-0000-0000-000006840000}"/>
    <cellStyle name="Normal 57 3 8 4" xfId="2423" xr:uid="{00000000-0005-0000-0000-000007840000}"/>
    <cellStyle name="Normal 57 3 8 4 2" xfId="11788" xr:uid="{00000000-0005-0000-0000-000008840000}"/>
    <cellStyle name="Normal 57 3 8 4 2 2" xfId="37343" xr:uid="{00000000-0005-0000-0000-000009840000}"/>
    <cellStyle name="Normal 57 3 8 4 3" xfId="21792" xr:uid="{00000000-0005-0000-0000-00000A840000}"/>
    <cellStyle name="Normal 57 3 8 4 3 2" xfId="47345" xr:uid="{00000000-0005-0000-0000-00000B840000}"/>
    <cellStyle name="Normal 57 3 8 4 4" xfId="28275" xr:uid="{00000000-0005-0000-0000-00000C840000}"/>
    <cellStyle name="Normal 57 3 8 5" xfId="6099" xr:uid="{00000000-0005-0000-0000-00000D840000}"/>
    <cellStyle name="Normal 57 3 8 5 2" xfId="14926" xr:uid="{00000000-0005-0000-0000-00000E840000}"/>
    <cellStyle name="Normal 57 3 8 5 2 2" xfId="40481" xr:uid="{00000000-0005-0000-0000-00000F840000}"/>
    <cellStyle name="Normal 57 3 8 5 3" xfId="25177" xr:uid="{00000000-0005-0000-0000-000010840000}"/>
    <cellStyle name="Normal 57 3 8 5 3 2" xfId="50730" xr:uid="{00000000-0005-0000-0000-000011840000}"/>
    <cellStyle name="Normal 57 3 8 5 4" xfId="31660" xr:uid="{00000000-0005-0000-0000-000012840000}"/>
    <cellStyle name="Normal 57 3 8 6" xfId="7544" xr:uid="{00000000-0005-0000-0000-000013840000}"/>
    <cellStyle name="Normal 57 3 8 6 2" xfId="20274" xr:uid="{00000000-0005-0000-0000-000014840000}"/>
    <cellStyle name="Normal 57 3 8 6 2 2" xfId="45827" xr:uid="{00000000-0005-0000-0000-000015840000}"/>
    <cellStyle name="Normal 57 3 8 6 3" xfId="33101" xr:uid="{00000000-0005-0000-0000-000016840000}"/>
    <cellStyle name="Normal 57 3 8 7" xfId="16785" xr:uid="{00000000-0005-0000-0000-000017840000}"/>
    <cellStyle name="Normal 57 3 8 7 2" xfId="42338" xr:uid="{00000000-0005-0000-0000-000018840000}"/>
    <cellStyle name="Normal 57 3 8 8" xfId="26757" xr:uid="{00000000-0005-0000-0000-000019840000}"/>
    <cellStyle name="Normal 57 3 9" xfId="1041" xr:uid="{00000000-0005-0000-0000-00001A840000}"/>
    <cellStyle name="Normal 57 3 9 2" xfId="3470" xr:uid="{00000000-0005-0000-0000-00001B840000}"/>
    <cellStyle name="Normal 57 3 9 2 2" xfId="12606" xr:uid="{00000000-0005-0000-0000-00001C840000}"/>
    <cellStyle name="Normal 57 3 9 2 2 2" xfId="22825" xr:uid="{00000000-0005-0000-0000-00001D840000}"/>
    <cellStyle name="Normal 57 3 9 2 2 2 2" xfId="48378" xr:uid="{00000000-0005-0000-0000-00001E840000}"/>
    <cellStyle name="Normal 57 3 9 2 2 3" xfId="38161" xr:uid="{00000000-0005-0000-0000-00001F840000}"/>
    <cellStyle name="Normal 57 3 9 2 3" xfId="9028" xr:uid="{00000000-0005-0000-0000-000020840000}"/>
    <cellStyle name="Normal 57 3 9 2 3 2" xfId="34585" xr:uid="{00000000-0005-0000-0000-000021840000}"/>
    <cellStyle name="Normal 57 3 9 2 4" xfId="17818" xr:uid="{00000000-0005-0000-0000-000022840000}"/>
    <cellStyle name="Normal 57 3 9 2 4 2" xfId="43371" xr:uid="{00000000-0005-0000-0000-000023840000}"/>
    <cellStyle name="Normal 57 3 9 2 5" xfId="29308" xr:uid="{00000000-0005-0000-0000-000024840000}"/>
    <cellStyle name="Normal 57 3 9 3" xfId="4992" xr:uid="{00000000-0005-0000-0000-000025840000}"/>
    <cellStyle name="Normal 57 3 9 3 2" xfId="13829" xr:uid="{00000000-0005-0000-0000-000026840000}"/>
    <cellStyle name="Normal 57 3 9 3 2 2" xfId="24080" xr:uid="{00000000-0005-0000-0000-000027840000}"/>
    <cellStyle name="Normal 57 3 9 3 2 2 2" xfId="49633" xr:uid="{00000000-0005-0000-0000-000028840000}"/>
    <cellStyle name="Normal 57 3 9 3 2 3" xfId="39384" xr:uid="{00000000-0005-0000-0000-000029840000}"/>
    <cellStyle name="Normal 57 3 9 3 3" xfId="10250" xr:uid="{00000000-0005-0000-0000-00002A840000}"/>
    <cellStyle name="Normal 57 3 9 3 3 2" xfId="35807" xr:uid="{00000000-0005-0000-0000-00002B840000}"/>
    <cellStyle name="Normal 57 3 9 3 4" xfId="19073" xr:uid="{00000000-0005-0000-0000-00002C840000}"/>
    <cellStyle name="Normal 57 3 9 3 4 2" xfId="44626" xr:uid="{00000000-0005-0000-0000-00002D840000}"/>
    <cellStyle name="Normal 57 3 9 3 5" xfId="30563" xr:uid="{00000000-0005-0000-0000-00002E840000}"/>
    <cellStyle name="Normal 57 3 9 4" xfId="1721" xr:uid="{00000000-0005-0000-0000-00002F840000}"/>
    <cellStyle name="Normal 57 3 9 4 2" xfId="11095" xr:uid="{00000000-0005-0000-0000-000030840000}"/>
    <cellStyle name="Normal 57 3 9 4 2 2" xfId="36650" xr:uid="{00000000-0005-0000-0000-000031840000}"/>
    <cellStyle name="Normal 57 3 9 4 3" xfId="21099" xr:uid="{00000000-0005-0000-0000-000032840000}"/>
    <cellStyle name="Normal 57 3 9 4 3 2" xfId="46652" xr:uid="{00000000-0005-0000-0000-000033840000}"/>
    <cellStyle name="Normal 57 3 9 4 4" xfId="27582" xr:uid="{00000000-0005-0000-0000-000034840000}"/>
    <cellStyle name="Normal 57 3 9 5" xfId="6447" xr:uid="{00000000-0005-0000-0000-000035840000}"/>
    <cellStyle name="Normal 57 3 9 5 2" xfId="15274" xr:uid="{00000000-0005-0000-0000-000036840000}"/>
    <cellStyle name="Normal 57 3 9 5 2 2" xfId="40829" xr:uid="{00000000-0005-0000-0000-000037840000}"/>
    <cellStyle name="Normal 57 3 9 5 3" xfId="25525" xr:uid="{00000000-0005-0000-0000-000038840000}"/>
    <cellStyle name="Normal 57 3 9 5 3 2" xfId="51078" xr:uid="{00000000-0005-0000-0000-000039840000}"/>
    <cellStyle name="Normal 57 3 9 5 4" xfId="32008" xr:uid="{00000000-0005-0000-0000-00003A840000}"/>
    <cellStyle name="Normal 57 3 9 6" xfId="7893" xr:uid="{00000000-0005-0000-0000-00003B840000}"/>
    <cellStyle name="Normal 57 3 9 6 2" xfId="20424" xr:uid="{00000000-0005-0000-0000-00003C840000}"/>
    <cellStyle name="Normal 57 3 9 6 2 2" xfId="45977" xr:uid="{00000000-0005-0000-0000-00003D840000}"/>
    <cellStyle name="Normal 57 3 9 6 3" xfId="33450" xr:uid="{00000000-0005-0000-0000-00003E840000}"/>
    <cellStyle name="Normal 57 3 9 7" xfId="16092" xr:uid="{00000000-0005-0000-0000-00003F840000}"/>
    <cellStyle name="Normal 57 3 9 7 2" xfId="41645" xr:uid="{00000000-0005-0000-0000-000040840000}"/>
    <cellStyle name="Normal 57 3 9 8" xfId="26907" xr:uid="{00000000-0005-0000-0000-000041840000}"/>
    <cellStyle name="Normal 57 3_Degree data" xfId="3935" xr:uid="{00000000-0005-0000-0000-000042840000}"/>
    <cellStyle name="Normal 57 4" xfId="103" xr:uid="{00000000-0005-0000-0000-000043840000}"/>
    <cellStyle name="Normal 57 4 10" xfId="4093" xr:uid="{00000000-0005-0000-0000-000044840000}"/>
    <cellStyle name="Normal 57 4 10 2" xfId="5551" xr:uid="{00000000-0005-0000-0000-000045840000}"/>
    <cellStyle name="Normal 57 4 10 2 2" xfId="14378" xr:uid="{00000000-0005-0000-0000-000046840000}"/>
    <cellStyle name="Normal 57 4 10 2 2 2" xfId="39933" xr:uid="{00000000-0005-0000-0000-000047840000}"/>
    <cellStyle name="Normal 57 4 10 2 3" xfId="24629" xr:uid="{00000000-0005-0000-0000-000048840000}"/>
    <cellStyle name="Normal 57 4 10 2 3 2" xfId="50182" xr:uid="{00000000-0005-0000-0000-000049840000}"/>
    <cellStyle name="Normal 57 4 10 2 4" xfId="31112" xr:uid="{00000000-0005-0000-0000-00004A840000}"/>
    <cellStyle name="Normal 57 4 10 3" xfId="6995" xr:uid="{00000000-0005-0000-0000-00004B840000}"/>
    <cellStyle name="Normal 57 4 10 3 2" xfId="23182" xr:uid="{00000000-0005-0000-0000-00004C840000}"/>
    <cellStyle name="Normal 57 4 10 3 2 2" xfId="48735" xr:uid="{00000000-0005-0000-0000-00004D840000}"/>
    <cellStyle name="Normal 57 4 10 3 3" xfId="32552" xr:uid="{00000000-0005-0000-0000-00004E840000}"/>
    <cellStyle name="Normal 57 4 10 4" xfId="18175" xr:uid="{00000000-0005-0000-0000-00004F840000}"/>
    <cellStyle name="Normal 57 4 10 4 2" xfId="43728" xr:uid="{00000000-0005-0000-0000-000050840000}"/>
    <cellStyle name="Normal 57 4 10 5" xfId="29665" xr:uid="{00000000-0005-0000-0000-000051840000}"/>
    <cellStyle name="Normal 57 4 11" xfId="1410" xr:uid="{00000000-0005-0000-0000-000052840000}"/>
    <cellStyle name="Normal 57 4 11 2" xfId="10787" xr:uid="{00000000-0005-0000-0000-000053840000}"/>
    <cellStyle name="Normal 57 4 11 2 2" xfId="36342" xr:uid="{00000000-0005-0000-0000-000054840000}"/>
    <cellStyle name="Normal 57 4 11 3" xfId="20791" xr:uid="{00000000-0005-0000-0000-000055840000}"/>
    <cellStyle name="Normal 57 4 11 3 2" xfId="46344" xr:uid="{00000000-0005-0000-0000-000056840000}"/>
    <cellStyle name="Normal 57 4 11 4" xfId="27274" xr:uid="{00000000-0005-0000-0000-000057840000}"/>
    <cellStyle name="Normal 57 4 12" xfId="5501" xr:uid="{00000000-0005-0000-0000-000058840000}"/>
    <cellStyle name="Normal 57 4 12 2" xfId="14328" xr:uid="{00000000-0005-0000-0000-000059840000}"/>
    <cellStyle name="Normal 57 4 12 2 2" xfId="39883" xr:uid="{00000000-0005-0000-0000-00005A840000}"/>
    <cellStyle name="Normal 57 4 12 3" xfId="24579" xr:uid="{00000000-0005-0000-0000-00005B840000}"/>
    <cellStyle name="Normal 57 4 12 3 2" xfId="50132" xr:uid="{00000000-0005-0000-0000-00005C840000}"/>
    <cellStyle name="Normal 57 4 12 4" xfId="31062" xr:uid="{00000000-0005-0000-0000-00005D840000}"/>
    <cellStyle name="Normal 57 4 13" xfId="6940" xr:uid="{00000000-0005-0000-0000-00005E840000}"/>
    <cellStyle name="Normal 57 4 13 2" xfId="19578" xr:uid="{00000000-0005-0000-0000-00005F840000}"/>
    <cellStyle name="Normal 57 4 13 2 2" xfId="45131" xr:uid="{00000000-0005-0000-0000-000060840000}"/>
    <cellStyle name="Normal 57 4 13 3" xfId="32498" xr:uid="{00000000-0005-0000-0000-000061840000}"/>
    <cellStyle name="Normal 57 4 14" xfId="15784" xr:uid="{00000000-0005-0000-0000-000062840000}"/>
    <cellStyle name="Normal 57 4 14 2" xfId="41337" xr:uid="{00000000-0005-0000-0000-000063840000}"/>
    <cellStyle name="Normal 57 4 15" xfId="26061" xr:uid="{00000000-0005-0000-0000-000064840000}"/>
    <cellStyle name="Normal 57 4 2" xfId="142" xr:uid="{00000000-0005-0000-0000-000065840000}"/>
    <cellStyle name="Normal 57 4 2 10" xfId="5521" xr:uid="{00000000-0005-0000-0000-000066840000}"/>
    <cellStyle name="Normal 57 4 2 10 2" xfId="14348" xr:uid="{00000000-0005-0000-0000-000067840000}"/>
    <cellStyle name="Normal 57 4 2 10 2 2" xfId="39903" xr:uid="{00000000-0005-0000-0000-000068840000}"/>
    <cellStyle name="Normal 57 4 2 10 3" xfId="24599" xr:uid="{00000000-0005-0000-0000-000069840000}"/>
    <cellStyle name="Normal 57 4 2 10 3 2" xfId="50152" xr:uid="{00000000-0005-0000-0000-00006A840000}"/>
    <cellStyle name="Normal 57 4 2 10 4" xfId="31082" xr:uid="{00000000-0005-0000-0000-00006B840000}"/>
    <cellStyle name="Normal 57 4 2 11" xfId="6962" xr:uid="{00000000-0005-0000-0000-00006C840000}"/>
    <cellStyle name="Normal 57 4 2 11 2" xfId="19606" xr:uid="{00000000-0005-0000-0000-00006D840000}"/>
    <cellStyle name="Normal 57 4 2 11 2 2" xfId="45159" xr:uid="{00000000-0005-0000-0000-00006E840000}"/>
    <cellStyle name="Normal 57 4 2 11 3" xfId="32520" xr:uid="{00000000-0005-0000-0000-00006F840000}"/>
    <cellStyle name="Normal 57 4 2 12" xfId="15843" xr:uid="{00000000-0005-0000-0000-000070840000}"/>
    <cellStyle name="Normal 57 4 2 12 2" xfId="41396" xr:uid="{00000000-0005-0000-0000-000071840000}"/>
    <cellStyle name="Normal 57 4 2 13" xfId="26089" xr:uid="{00000000-0005-0000-0000-000072840000}"/>
    <cellStyle name="Normal 57 4 2 2" xfId="192" xr:uid="{00000000-0005-0000-0000-000073840000}"/>
    <cellStyle name="Normal 57 4 2 2 10" xfId="7140" xr:uid="{00000000-0005-0000-0000-000074840000}"/>
    <cellStyle name="Normal 57 4 2 2 10 2" xfId="19649" xr:uid="{00000000-0005-0000-0000-000075840000}"/>
    <cellStyle name="Normal 57 4 2 2 10 2 2" xfId="45202" xr:uid="{00000000-0005-0000-0000-000076840000}"/>
    <cellStyle name="Normal 57 4 2 2 10 3" xfId="32697" xr:uid="{00000000-0005-0000-0000-000077840000}"/>
    <cellStyle name="Normal 57 4 2 2 11" xfId="15886" xr:uid="{00000000-0005-0000-0000-000078840000}"/>
    <cellStyle name="Normal 57 4 2 2 11 2" xfId="41439" xr:uid="{00000000-0005-0000-0000-000079840000}"/>
    <cellStyle name="Normal 57 4 2 2 12" xfId="26132" xr:uid="{00000000-0005-0000-0000-00007A840000}"/>
    <cellStyle name="Normal 57 4 2 2 2" xfId="520" xr:uid="{00000000-0005-0000-0000-00007B840000}"/>
    <cellStyle name="Normal 57 4 2 2 2 10" xfId="26449" xr:uid="{00000000-0005-0000-0000-00007C840000}"/>
    <cellStyle name="Normal 57 4 2 2 2 2" xfId="852" xr:uid="{00000000-0005-0000-0000-00007D840000}"/>
    <cellStyle name="Normal 57 4 2 2 2 2 2" xfId="3337" xr:uid="{00000000-0005-0000-0000-00007E840000}"/>
    <cellStyle name="Normal 57 4 2 2 2 2 2 2" xfId="12479" xr:uid="{00000000-0005-0000-0000-00007F840000}"/>
    <cellStyle name="Normal 57 4 2 2 2 2 2 2 2" xfId="22698" xr:uid="{00000000-0005-0000-0000-000080840000}"/>
    <cellStyle name="Normal 57 4 2 2 2 2 2 2 2 2" xfId="48251" xr:uid="{00000000-0005-0000-0000-000081840000}"/>
    <cellStyle name="Normal 57 4 2 2 2 2 2 2 3" xfId="38034" xr:uid="{00000000-0005-0000-0000-000082840000}"/>
    <cellStyle name="Normal 57 4 2 2 2 2 2 3" xfId="8901" xr:uid="{00000000-0005-0000-0000-000083840000}"/>
    <cellStyle name="Normal 57 4 2 2 2 2 2 3 2" xfId="34458" xr:uid="{00000000-0005-0000-0000-000084840000}"/>
    <cellStyle name="Normal 57 4 2 2 2 2 2 4" xfId="17691" xr:uid="{00000000-0005-0000-0000-000085840000}"/>
    <cellStyle name="Normal 57 4 2 2 2 2 2 4 2" xfId="43244" xr:uid="{00000000-0005-0000-0000-000086840000}"/>
    <cellStyle name="Normal 57 4 2 2 2 2 2 5" xfId="29181" xr:uid="{00000000-0005-0000-0000-000087840000}"/>
    <cellStyle name="Normal 57 4 2 2 2 2 3" xfId="4666" xr:uid="{00000000-0005-0000-0000-000088840000}"/>
    <cellStyle name="Normal 57 4 2 2 2 2 3 2" xfId="13504" xr:uid="{00000000-0005-0000-0000-000089840000}"/>
    <cellStyle name="Normal 57 4 2 2 2 2 3 2 2" xfId="23755" xr:uid="{00000000-0005-0000-0000-00008A840000}"/>
    <cellStyle name="Normal 57 4 2 2 2 2 3 2 2 2" xfId="49308" xr:uid="{00000000-0005-0000-0000-00008B840000}"/>
    <cellStyle name="Normal 57 4 2 2 2 2 3 2 3" xfId="39059" xr:uid="{00000000-0005-0000-0000-00008C840000}"/>
    <cellStyle name="Normal 57 4 2 2 2 2 3 3" xfId="9925" xr:uid="{00000000-0005-0000-0000-00008D840000}"/>
    <cellStyle name="Normal 57 4 2 2 2 2 3 3 2" xfId="35482" xr:uid="{00000000-0005-0000-0000-00008E840000}"/>
    <cellStyle name="Normal 57 4 2 2 2 2 3 4" xfId="18748" xr:uid="{00000000-0005-0000-0000-00008F840000}"/>
    <cellStyle name="Normal 57 4 2 2 2 2 3 4 2" xfId="44301" xr:uid="{00000000-0005-0000-0000-000090840000}"/>
    <cellStyle name="Normal 57 4 2 2 2 2 3 5" xfId="30238" xr:uid="{00000000-0005-0000-0000-000091840000}"/>
    <cellStyle name="Normal 57 4 2 2 2 2 4" xfId="2446" xr:uid="{00000000-0005-0000-0000-000092840000}"/>
    <cellStyle name="Normal 57 4 2 2 2 2 4 2" xfId="11811" xr:uid="{00000000-0005-0000-0000-000093840000}"/>
    <cellStyle name="Normal 57 4 2 2 2 2 4 2 2" xfId="37366" xr:uid="{00000000-0005-0000-0000-000094840000}"/>
    <cellStyle name="Normal 57 4 2 2 2 2 4 3" xfId="21815" xr:uid="{00000000-0005-0000-0000-000095840000}"/>
    <cellStyle name="Normal 57 4 2 2 2 2 4 3 2" xfId="47368" xr:uid="{00000000-0005-0000-0000-000096840000}"/>
    <cellStyle name="Normal 57 4 2 2 2 2 4 4" xfId="28298" xr:uid="{00000000-0005-0000-0000-000097840000}"/>
    <cellStyle name="Normal 57 4 2 2 2 2 5" xfId="6122" xr:uid="{00000000-0005-0000-0000-000098840000}"/>
    <cellStyle name="Normal 57 4 2 2 2 2 5 2" xfId="14949" xr:uid="{00000000-0005-0000-0000-000099840000}"/>
    <cellStyle name="Normal 57 4 2 2 2 2 5 2 2" xfId="40504" xr:uid="{00000000-0005-0000-0000-00009A840000}"/>
    <cellStyle name="Normal 57 4 2 2 2 2 5 3" xfId="25200" xr:uid="{00000000-0005-0000-0000-00009B840000}"/>
    <cellStyle name="Normal 57 4 2 2 2 2 5 3 2" xfId="50753" xr:uid="{00000000-0005-0000-0000-00009C840000}"/>
    <cellStyle name="Normal 57 4 2 2 2 2 5 4" xfId="31683" xr:uid="{00000000-0005-0000-0000-00009D840000}"/>
    <cellStyle name="Normal 57 4 2 2 2 2 6" xfId="7567" xr:uid="{00000000-0005-0000-0000-00009E840000}"/>
    <cellStyle name="Normal 57 4 2 2 2 2 6 2" xfId="20297" xr:uid="{00000000-0005-0000-0000-00009F840000}"/>
    <cellStyle name="Normal 57 4 2 2 2 2 6 2 2" xfId="45850" xr:uid="{00000000-0005-0000-0000-0000A0840000}"/>
    <cellStyle name="Normal 57 4 2 2 2 2 6 3" xfId="33124" xr:uid="{00000000-0005-0000-0000-0000A1840000}"/>
    <cellStyle name="Normal 57 4 2 2 2 2 7" xfId="16808" xr:uid="{00000000-0005-0000-0000-0000A2840000}"/>
    <cellStyle name="Normal 57 4 2 2 2 2 7 2" xfId="42361" xr:uid="{00000000-0005-0000-0000-0000A3840000}"/>
    <cellStyle name="Normal 57 4 2 2 2 2 8" xfId="26780" xr:uid="{00000000-0005-0000-0000-0000A4840000}"/>
    <cellStyle name="Normal 57 4 2 2 2 3" xfId="1292" xr:uid="{00000000-0005-0000-0000-0000A5840000}"/>
    <cellStyle name="Normal 57 4 2 2 2 3 2" xfId="3721" xr:uid="{00000000-0005-0000-0000-0000A6840000}"/>
    <cellStyle name="Normal 57 4 2 2 2 3 2 2" xfId="12857" xr:uid="{00000000-0005-0000-0000-0000A7840000}"/>
    <cellStyle name="Normal 57 4 2 2 2 3 2 2 2" xfId="23076" xr:uid="{00000000-0005-0000-0000-0000A8840000}"/>
    <cellStyle name="Normal 57 4 2 2 2 3 2 2 2 2" xfId="48629" xr:uid="{00000000-0005-0000-0000-0000A9840000}"/>
    <cellStyle name="Normal 57 4 2 2 2 3 2 2 3" xfId="38412" xr:uid="{00000000-0005-0000-0000-0000AA840000}"/>
    <cellStyle name="Normal 57 4 2 2 2 3 2 3" xfId="9278" xr:uid="{00000000-0005-0000-0000-0000AB840000}"/>
    <cellStyle name="Normal 57 4 2 2 2 3 2 3 2" xfId="34835" xr:uid="{00000000-0005-0000-0000-0000AC840000}"/>
    <cellStyle name="Normal 57 4 2 2 2 3 2 4" xfId="18069" xr:uid="{00000000-0005-0000-0000-0000AD840000}"/>
    <cellStyle name="Normal 57 4 2 2 2 3 2 4 2" xfId="43622" xr:uid="{00000000-0005-0000-0000-0000AE840000}"/>
    <cellStyle name="Normal 57 4 2 2 2 3 2 5" xfId="29559" xr:uid="{00000000-0005-0000-0000-0000AF840000}"/>
    <cellStyle name="Normal 57 4 2 2 2 3 3" xfId="5015" xr:uid="{00000000-0005-0000-0000-0000B0840000}"/>
    <cellStyle name="Normal 57 4 2 2 2 3 3 2" xfId="13852" xr:uid="{00000000-0005-0000-0000-0000B1840000}"/>
    <cellStyle name="Normal 57 4 2 2 2 3 3 2 2" xfId="24103" xr:uid="{00000000-0005-0000-0000-0000B2840000}"/>
    <cellStyle name="Normal 57 4 2 2 2 3 3 2 2 2" xfId="49656" xr:uid="{00000000-0005-0000-0000-0000B3840000}"/>
    <cellStyle name="Normal 57 4 2 2 2 3 3 2 3" xfId="39407" xr:uid="{00000000-0005-0000-0000-0000B4840000}"/>
    <cellStyle name="Normal 57 4 2 2 2 3 3 3" xfId="10273" xr:uid="{00000000-0005-0000-0000-0000B5840000}"/>
    <cellStyle name="Normal 57 4 2 2 2 3 3 3 2" xfId="35830" xr:uid="{00000000-0005-0000-0000-0000B6840000}"/>
    <cellStyle name="Normal 57 4 2 2 2 3 3 4" xfId="19096" xr:uid="{00000000-0005-0000-0000-0000B7840000}"/>
    <cellStyle name="Normal 57 4 2 2 2 3 3 4 2" xfId="44649" xr:uid="{00000000-0005-0000-0000-0000B8840000}"/>
    <cellStyle name="Normal 57 4 2 2 2 3 3 5" xfId="30586" xr:uid="{00000000-0005-0000-0000-0000B9840000}"/>
    <cellStyle name="Normal 57 4 2 2 2 3 4" xfId="2115" xr:uid="{00000000-0005-0000-0000-0000BA840000}"/>
    <cellStyle name="Normal 57 4 2 2 2 3 4 2" xfId="11480" xr:uid="{00000000-0005-0000-0000-0000BB840000}"/>
    <cellStyle name="Normal 57 4 2 2 2 3 4 2 2" xfId="37035" xr:uid="{00000000-0005-0000-0000-0000BC840000}"/>
    <cellStyle name="Normal 57 4 2 2 2 3 4 3" xfId="21484" xr:uid="{00000000-0005-0000-0000-0000BD840000}"/>
    <cellStyle name="Normal 57 4 2 2 2 3 4 3 2" xfId="47037" xr:uid="{00000000-0005-0000-0000-0000BE840000}"/>
    <cellStyle name="Normal 57 4 2 2 2 3 4 4" xfId="27967" xr:uid="{00000000-0005-0000-0000-0000BF840000}"/>
    <cellStyle name="Normal 57 4 2 2 2 3 5" xfId="6470" xr:uid="{00000000-0005-0000-0000-0000C0840000}"/>
    <cellStyle name="Normal 57 4 2 2 2 3 5 2" xfId="15297" xr:uid="{00000000-0005-0000-0000-0000C1840000}"/>
    <cellStyle name="Normal 57 4 2 2 2 3 5 2 2" xfId="40852" xr:uid="{00000000-0005-0000-0000-0000C2840000}"/>
    <cellStyle name="Normal 57 4 2 2 2 3 5 3" xfId="25548" xr:uid="{00000000-0005-0000-0000-0000C3840000}"/>
    <cellStyle name="Normal 57 4 2 2 2 3 5 3 2" xfId="51101" xr:uid="{00000000-0005-0000-0000-0000C4840000}"/>
    <cellStyle name="Normal 57 4 2 2 2 3 5 4" xfId="32031" xr:uid="{00000000-0005-0000-0000-0000C5840000}"/>
    <cellStyle name="Normal 57 4 2 2 2 3 6" xfId="7916" xr:uid="{00000000-0005-0000-0000-0000C6840000}"/>
    <cellStyle name="Normal 57 4 2 2 2 3 6 2" xfId="20675" xr:uid="{00000000-0005-0000-0000-0000C7840000}"/>
    <cellStyle name="Normal 57 4 2 2 2 3 6 2 2" xfId="46228" xr:uid="{00000000-0005-0000-0000-0000C8840000}"/>
    <cellStyle name="Normal 57 4 2 2 2 3 6 3" xfId="33473" xr:uid="{00000000-0005-0000-0000-0000C9840000}"/>
    <cellStyle name="Normal 57 4 2 2 2 3 7" xfId="16477" xr:uid="{00000000-0005-0000-0000-0000CA840000}"/>
    <cellStyle name="Normal 57 4 2 2 2 3 7 2" xfId="42030" xr:uid="{00000000-0005-0000-0000-0000CB840000}"/>
    <cellStyle name="Normal 57 4 2 2 2 3 8" xfId="27158" xr:uid="{00000000-0005-0000-0000-0000CC840000}"/>
    <cellStyle name="Normal 57 4 2 2 2 4" xfId="3006" xr:uid="{00000000-0005-0000-0000-0000CD840000}"/>
    <cellStyle name="Normal 57 4 2 2 2 4 2" xfId="5384" xr:uid="{00000000-0005-0000-0000-0000CE840000}"/>
    <cellStyle name="Normal 57 4 2 2 2 4 2 2" xfId="14221" xr:uid="{00000000-0005-0000-0000-0000CF840000}"/>
    <cellStyle name="Normal 57 4 2 2 2 4 2 2 2" xfId="24472" xr:uid="{00000000-0005-0000-0000-0000D0840000}"/>
    <cellStyle name="Normal 57 4 2 2 2 4 2 2 2 2" xfId="50025" xr:uid="{00000000-0005-0000-0000-0000D1840000}"/>
    <cellStyle name="Normal 57 4 2 2 2 4 2 2 3" xfId="39776" xr:uid="{00000000-0005-0000-0000-0000D2840000}"/>
    <cellStyle name="Normal 57 4 2 2 2 4 2 3" xfId="10642" xr:uid="{00000000-0005-0000-0000-0000D3840000}"/>
    <cellStyle name="Normal 57 4 2 2 2 4 2 3 2" xfId="36199" xr:uid="{00000000-0005-0000-0000-0000D4840000}"/>
    <cellStyle name="Normal 57 4 2 2 2 4 2 4" xfId="19465" xr:uid="{00000000-0005-0000-0000-0000D5840000}"/>
    <cellStyle name="Normal 57 4 2 2 2 4 2 4 2" xfId="45018" xr:uid="{00000000-0005-0000-0000-0000D6840000}"/>
    <cellStyle name="Normal 57 4 2 2 2 4 2 5" xfId="30955" xr:uid="{00000000-0005-0000-0000-0000D7840000}"/>
    <cellStyle name="Normal 57 4 2 2 2 4 3" xfId="6839" xr:uid="{00000000-0005-0000-0000-0000D8840000}"/>
    <cellStyle name="Normal 57 4 2 2 2 4 3 2" xfId="15666" xr:uid="{00000000-0005-0000-0000-0000D9840000}"/>
    <cellStyle name="Normal 57 4 2 2 2 4 3 2 2" xfId="41221" xr:uid="{00000000-0005-0000-0000-0000DA840000}"/>
    <cellStyle name="Normal 57 4 2 2 2 4 3 3" xfId="25917" xr:uid="{00000000-0005-0000-0000-0000DB840000}"/>
    <cellStyle name="Normal 57 4 2 2 2 4 3 3 2" xfId="51470" xr:uid="{00000000-0005-0000-0000-0000DC840000}"/>
    <cellStyle name="Normal 57 4 2 2 2 4 3 4" xfId="32400" xr:uid="{00000000-0005-0000-0000-0000DD840000}"/>
    <cellStyle name="Normal 57 4 2 2 2 4 4" xfId="8285" xr:uid="{00000000-0005-0000-0000-0000DE840000}"/>
    <cellStyle name="Normal 57 4 2 2 2 4 4 2" xfId="22367" xr:uid="{00000000-0005-0000-0000-0000DF840000}"/>
    <cellStyle name="Normal 57 4 2 2 2 4 4 2 2" xfId="47920" xr:uid="{00000000-0005-0000-0000-0000E0840000}"/>
    <cellStyle name="Normal 57 4 2 2 2 4 4 3" xfId="33842" xr:uid="{00000000-0005-0000-0000-0000E1840000}"/>
    <cellStyle name="Normal 57 4 2 2 2 4 5" xfId="17360" xr:uid="{00000000-0005-0000-0000-0000E2840000}"/>
    <cellStyle name="Normal 57 4 2 2 2 4 5 2" xfId="42913" xr:uid="{00000000-0005-0000-0000-0000E3840000}"/>
    <cellStyle name="Normal 57 4 2 2 2 4 6" xfId="28850" xr:uid="{00000000-0005-0000-0000-0000E4840000}"/>
    <cellStyle name="Normal 57 4 2 2 2 5" xfId="4340" xr:uid="{00000000-0005-0000-0000-0000E5840000}"/>
    <cellStyle name="Normal 57 4 2 2 2 5 2" xfId="13178" xr:uid="{00000000-0005-0000-0000-0000E6840000}"/>
    <cellStyle name="Normal 57 4 2 2 2 5 2 2" xfId="23429" xr:uid="{00000000-0005-0000-0000-0000E7840000}"/>
    <cellStyle name="Normal 57 4 2 2 2 5 2 2 2" xfId="48982" xr:uid="{00000000-0005-0000-0000-0000E8840000}"/>
    <cellStyle name="Normal 57 4 2 2 2 5 2 3" xfId="38733" xr:uid="{00000000-0005-0000-0000-0000E9840000}"/>
    <cellStyle name="Normal 57 4 2 2 2 5 3" xfId="9599" xr:uid="{00000000-0005-0000-0000-0000EA840000}"/>
    <cellStyle name="Normal 57 4 2 2 2 5 3 2" xfId="35156" xr:uid="{00000000-0005-0000-0000-0000EB840000}"/>
    <cellStyle name="Normal 57 4 2 2 2 5 4" xfId="18422" xr:uid="{00000000-0005-0000-0000-0000EC840000}"/>
    <cellStyle name="Normal 57 4 2 2 2 5 4 2" xfId="43975" xr:uid="{00000000-0005-0000-0000-0000ED840000}"/>
    <cellStyle name="Normal 57 4 2 2 2 5 5" xfId="29912" xr:uid="{00000000-0005-0000-0000-0000EE840000}"/>
    <cellStyle name="Normal 57 4 2 2 2 6" xfId="1612" xr:uid="{00000000-0005-0000-0000-0000EF840000}"/>
    <cellStyle name="Normal 57 4 2 2 2 6 2" xfId="10989" xr:uid="{00000000-0005-0000-0000-0000F0840000}"/>
    <cellStyle name="Normal 57 4 2 2 2 6 2 2" xfId="36544" xr:uid="{00000000-0005-0000-0000-0000F1840000}"/>
    <cellStyle name="Normal 57 4 2 2 2 6 3" xfId="20993" xr:uid="{00000000-0005-0000-0000-0000F2840000}"/>
    <cellStyle name="Normal 57 4 2 2 2 6 3 2" xfId="46546" xr:uid="{00000000-0005-0000-0000-0000F3840000}"/>
    <cellStyle name="Normal 57 4 2 2 2 6 4" xfId="27476" xr:uid="{00000000-0005-0000-0000-0000F4840000}"/>
    <cellStyle name="Normal 57 4 2 2 2 7" xfId="5796" xr:uid="{00000000-0005-0000-0000-0000F5840000}"/>
    <cellStyle name="Normal 57 4 2 2 2 7 2" xfId="14623" xr:uid="{00000000-0005-0000-0000-0000F6840000}"/>
    <cellStyle name="Normal 57 4 2 2 2 7 2 2" xfId="40178" xr:uid="{00000000-0005-0000-0000-0000F7840000}"/>
    <cellStyle name="Normal 57 4 2 2 2 7 3" xfId="24874" xr:uid="{00000000-0005-0000-0000-0000F8840000}"/>
    <cellStyle name="Normal 57 4 2 2 2 7 3 2" xfId="50427" xr:uid="{00000000-0005-0000-0000-0000F9840000}"/>
    <cellStyle name="Normal 57 4 2 2 2 7 4" xfId="31357" xr:uid="{00000000-0005-0000-0000-0000FA840000}"/>
    <cellStyle name="Normal 57 4 2 2 2 8" xfId="7240" xr:uid="{00000000-0005-0000-0000-0000FB840000}"/>
    <cellStyle name="Normal 57 4 2 2 2 8 2" xfId="19966" xr:uid="{00000000-0005-0000-0000-0000FC840000}"/>
    <cellStyle name="Normal 57 4 2 2 2 8 2 2" xfId="45519" xr:uid="{00000000-0005-0000-0000-0000FD840000}"/>
    <cellStyle name="Normal 57 4 2 2 2 8 3" xfId="32797" xr:uid="{00000000-0005-0000-0000-0000FE840000}"/>
    <cellStyle name="Normal 57 4 2 2 2 9" xfId="15986" xr:uid="{00000000-0005-0000-0000-0000FF840000}"/>
    <cellStyle name="Normal 57 4 2 2 2 9 2" xfId="41539" xr:uid="{00000000-0005-0000-0000-000000850000}"/>
    <cellStyle name="Normal 57 4 2 2 2_Degree data" xfId="3958" xr:uid="{00000000-0005-0000-0000-000001850000}"/>
    <cellStyle name="Normal 57 4 2 2 3" xfId="420" xr:uid="{00000000-0005-0000-0000-000002850000}"/>
    <cellStyle name="Normal 57 4 2 2 3 2" xfId="2906" xr:uid="{00000000-0005-0000-0000-000003850000}"/>
    <cellStyle name="Normal 57 4 2 2 3 2 2" xfId="12194" xr:uid="{00000000-0005-0000-0000-000004850000}"/>
    <cellStyle name="Normal 57 4 2 2 3 2 2 2" xfId="22267" xr:uid="{00000000-0005-0000-0000-000005850000}"/>
    <cellStyle name="Normal 57 4 2 2 3 2 2 2 2" xfId="47820" xr:uid="{00000000-0005-0000-0000-000006850000}"/>
    <cellStyle name="Normal 57 4 2 2 3 2 2 3" xfId="37749" xr:uid="{00000000-0005-0000-0000-000007850000}"/>
    <cellStyle name="Normal 57 4 2 2 3 2 3" xfId="8393" xr:uid="{00000000-0005-0000-0000-000008850000}"/>
    <cellStyle name="Normal 57 4 2 2 3 2 3 2" xfId="33950" xr:uid="{00000000-0005-0000-0000-000009850000}"/>
    <cellStyle name="Normal 57 4 2 2 3 2 4" xfId="17260" xr:uid="{00000000-0005-0000-0000-00000A850000}"/>
    <cellStyle name="Normal 57 4 2 2 3 2 4 2" xfId="42813" xr:uid="{00000000-0005-0000-0000-00000B850000}"/>
    <cellStyle name="Normal 57 4 2 2 3 2 5" xfId="28750" xr:uid="{00000000-0005-0000-0000-00000C850000}"/>
    <cellStyle name="Normal 57 4 2 2 3 3" xfId="4665" xr:uid="{00000000-0005-0000-0000-00000D850000}"/>
    <cellStyle name="Normal 57 4 2 2 3 3 2" xfId="13503" xr:uid="{00000000-0005-0000-0000-00000E850000}"/>
    <cellStyle name="Normal 57 4 2 2 3 3 2 2" xfId="23754" xr:uid="{00000000-0005-0000-0000-00000F850000}"/>
    <cellStyle name="Normal 57 4 2 2 3 3 2 2 2" xfId="49307" xr:uid="{00000000-0005-0000-0000-000010850000}"/>
    <cellStyle name="Normal 57 4 2 2 3 3 2 3" xfId="39058" xr:uid="{00000000-0005-0000-0000-000011850000}"/>
    <cellStyle name="Normal 57 4 2 2 3 3 3" xfId="9924" xr:uid="{00000000-0005-0000-0000-000012850000}"/>
    <cellStyle name="Normal 57 4 2 2 3 3 3 2" xfId="35481" xr:uid="{00000000-0005-0000-0000-000013850000}"/>
    <cellStyle name="Normal 57 4 2 2 3 3 4" xfId="18747" xr:uid="{00000000-0005-0000-0000-000014850000}"/>
    <cellStyle name="Normal 57 4 2 2 3 3 4 2" xfId="44300" xr:uid="{00000000-0005-0000-0000-000015850000}"/>
    <cellStyle name="Normal 57 4 2 2 3 3 5" xfId="30237" xr:uid="{00000000-0005-0000-0000-000016850000}"/>
    <cellStyle name="Normal 57 4 2 2 3 4" xfId="2015" xr:uid="{00000000-0005-0000-0000-000017850000}"/>
    <cellStyle name="Normal 57 4 2 2 3 4 2" xfId="11380" xr:uid="{00000000-0005-0000-0000-000018850000}"/>
    <cellStyle name="Normal 57 4 2 2 3 4 2 2" xfId="36935" xr:uid="{00000000-0005-0000-0000-000019850000}"/>
    <cellStyle name="Normal 57 4 2 2 3 4 3" xfId="21384" xr:uid="{00000000-0005-0000-0000-00001A850000}"/>
    <cellStyle name="Normal 57 4 2 2 3 4 3 2" xfId="46937" xr:uid="{00000000-0005-0000-0000-00001B850000}"/>
    <cellStyle name="Normal 57 4 2 2 3 4 4" xfId="27867" xr:uid="{00000000-0005-0000-0000-00001C850000}"/>
    <cellStyle name="Normal 57 4 2 2 3 5" xfId="6121" xr:uid="{00000000-0005-0000-0000-00001D850000}"/>
    <cellStyle name="Normal 57 4 2 2 3 5 2" xfId="14948" xr:uid="{00000000-0005-0000-0000-00001E850000}"/>
    <cellStyle name="Normal 57 4 2 2 3 5 2 2" xfId="40503" xr:uid="{00000000-0005-0000-0000-00001F850000}"/>
    <cellStyle name="Normal 57 4 2 2 3 5 3" xfId="25199" xr:uid="{00000000-0005-0000-0000-000020850000}"/>
    <cellStyle name="Normal 57 4 2 2 3 5 3 2" xfId="50752" xr:uid="{00000000-0005-0000-0000-000021850000}"/>
    <cellStyle name="Normal 57 4 2 2 3 5 4" xfId="31682" xr:uid="{00000000-0005-0000-0000-000022850000}"/>
    <cellStyle name="Normal 57 4 2 2 3 6" xfId="7566" xr:uid="{00000000-0005-0000-0000-000023850000}"/>
    <cellStyle name="Normal 57 4 2 2 3 6 2" xfId="19866" xr:uid="{00000000-0005-0000-0000-000024850000}"/>
    <cellStyle name="Normal 57 4 2 2 3 6 2 2" xfId="45419" xr:uid="{00000000-0005-0000-0000-000025850000}"/>
    <cellStyle name="Normal 57 4 2 2 3 6 3" xfId="33123" xr:uid="{00000000-0005-0000-0000-000026850000}"/>
    <cellStyle name="Normal 57 4 2 2 3 7" xfId="16377" xr:uid="{00000000-0005-0000-0000-000027850000}"/>
    <cellStyle name="Normal 57 4 2 2 3 7 2" xfId="41930" xr:uid="{00000000-0005-0000-0000-000028850000}"/>
    <cellStyle name="Normal 57 4 2 2 3 8" xfId="26349" xr:uid="{00000000-0005-0000-0000-000029850000}"/>
    <cellStyle name="Normal 57 4 2 2 4" xfId="851" xr:uid="{00000000-0005-0000-0000-00002A850000}"/>
    <cellStyle name="Normal 57 4 2 2 4 2" xfId="3336" xr:uid="{00000000-0005-0000-0000-00002B850000}"/>
    <cellStyle name="Normal 57 4 2 2 4 2 2" xfId="12478" xr:uid="{00000000-0005-0000-0000-00002C850000}"/>
    <cellStyle name="Normal 57 4 2 2 4 2 2 2" xfId="22697" xr:uid="{00000000-0005-0000-0000-00002D850000}"/>
    <cellStyle name="Normal 57 4 2 2 4 2 2 2 2" xfId="48250" xr:uid="{00000000-0005-0000-0000-00002E850000}"/>
    <cellStyle name="Normal 57 4 2 2 4 2 2 3" xfId="38033" xr:uid="{00000000-0005-0000-0000-00002F850000}"/>
    <cellStyle name="Normal 57 4 2 2 4 2 3" xfId="8900" xr:uid="{00000000-0005-0000-0000-000030850000}"/>
    <cellStyle name="Normal 57 4 2 2 4 2 3 2" xfId="34457" xr:uid="{00000000-0005-0000-0000-000031850000}"/>
    <cellStyle name="Normal 57 4 2 2 4 2 4" xfId="17690" xr:uid="{00000000-0005-0000-0000-000032850000}"/>
    <cellStyle name="Normal 57 4 2 2 4 2 4 2" xfId="43243" xr:uid="{00000000-0005-0000-0000-000033850000}"/>
    <cellStyle name="Normal 57 4 2 2 4 2 5" xfId="29180" xr:uid="{00000000-0005-0000-0000-000034850000}"/>
    <cellStyle name="Normal 57 4 2 2 4 3" xfId="5014" xr:uid="{00000000-0005-0000-0000-000035850000}"/>
    <cellStyle name="Normal 57 4 2 2 4 3 2" xfId="13851" xr:uid="{00000000-0005-0000-0000-000036850000}"/>
    <cellStyle name="Normal 57 4 2 2 4 3 2 2" xfId="24102" xr:uid="{00000000-0005-0000-0000-000037850000}"/>
    <cellStyle name="Normal 57 4 2 2 4 3 2 2 2" xfId="49655" xr:uid="{00000000-0005-0000-0000-000038850000}"/>
    <cellStyle name="Normal 57 4 2 2 4 3 2 3" xfId="39406" xr:uid="{00000000-0005-0000-0000-000039850000}"/>
    <cellStyle name="Normal 57 4 2 2 4 3 3" xfId="10272" xr:uid="{00000000-0005-0000-0000-00003A850000}"/>
    <cellStyle name="Normal 57 4 2 2 4 3 3 2" xfId="35829" xr:uid="{00000000-0005-0000-0000-00003B850000}"/>
    <cellStyle name="Normal 57 4 2 2 4 3 4" xfId="19095" xr:uid="{00000000-0005-0000-0000-00003C850000}"/>
    <cellStyle name="Normal 57 4 2 2 4 3 4 2" xfId="44648" xr:uid="{00000000-0005-0000-0000-00003D850000}"/>
    <cellStyle name="Normal 57 4 2 2 4 3 5" xfId="30585" xr:uid="{00000000-0005-0000-0000-00003E850000}"/>
    <cellStyle name="Normal 57 4 2 2 4 4" xfId="2445" xr:uid="{00000000-0005-0000-0000-00003F850000}"/>
    <cellStyle name="Normal 57 4 2 2 4 4 2" xfId="11810" xr:uid="{00000000-0005-0000-0000-000040850000}"/>
    <cellStyle name="Normal 57 4 2 2 4 4 2 2" xfId="37365" xr:uid="{00000000-0005-0000-0000-000041850000}"/>
    <cellStyle name="Normal 57 4 2 2 4 4 3" xfId="21814" xr:uid="{00000000-0005-0000-0000-000042850000}"/>
    <cellStyle name="Normal 57 4 2 2 4 4 3 2" xfId="47367" xr:uid="{00000000-0005-0000-0000-000043850000}"/>
    <cellStyle name="Normal 57 4 2 2 4 4 4" xfId="28297" xr:uid="{00000000-0005-0000-0000-000044850000}"/>
    <cellStyle name="Normal 57 4 2 2 4 5" xfId="6469" xr:uid="{00000000-0005-0000-0000-000045850000}"/>
    <cellStyle name="Normal 57 4 2 2 4 5 2" xfId="15296" xr:uid="{00000000-0005-0000-0000-000046850000}"/>
    <cellStyle name="Normal 57 4 2 2 4 5 2 2" xfId="40851" xr:uid="{00000000-0005-0000-0000-000047850000}"/>
    <cellStyle name="Normal 57 4 2 2 4 5 3" xfId="25547" xr:uid="{00000000-0005-0000-0000-000048850000}"/>
    <cellStyle name="Normal 57 4 2 2 4 5 3 2" xfId="51100" xr:uid="{00000000-0005-0000-0000-000049850000}"/>
    <cellStyle name="Normal 57 4 2 2 4 5 4" xfId="32030" xr:uid="{00000000-0005-0000-0000-00004A850000}"/>
    <cellStyle name="Normal 57 4 2 2 4 6" xfId="7915" xr:uid="{00000000-0005-0000-0000-00004B850000}"/>
    <cellStyle name="Normal 57 4 2 2 4 6 2" xfId="20296" xr:uid="{00000000-0005-0000-0000-00004C850000}"/>
    <cellStyle name="Normal 57 4 2 2 4 6 2 2" xfId="45849" xr:uid="{00000000-0005-0000-0000-00004D850000}"/>
    <cellStyle name="Normal 57 4 2 2 4 6 3" xfId="33472" xr:uid="{00000000-0005-0000-0000-00004E850000}"/>
    <cellStyle name="Normal 57 4 2 2 4 7" xfId="16807" xr:uid="{00000000-0005-0000-0000-00004F850000}"/>
    <cellStyle name="Normal 57 4 2 2 4 7 2" xfId="42360" xr:uid="{00000000-0005-0000-0000-000050850000}"/>
    <cellStyle name="Normal 57 4 2 2 4 8" xfId="26779" xr:uid="{00000000-0005-0000-0000-000051850000}"/>
    <cellStyle name="Normal 57 4 2 2 5" xfId="1192" xr:uid="{00000000-0005-0000-0000-000052850000}"/>
    <cellStyle name="Normal 57 4 2 2 5 2" xfId="3621" xr:uid="{00000000-0005-0000-0000-000053850000}"/>
    <cellStyle name="Normal 57 4 2 2 5 2 2" xfId="12757" xr:uid="{00000000-0005-0000-0000-000054850000}"/>
    <cellStyle name="Normal 57 4 2 2 5 2 2 2" xfId="22976" xr:uid="{00000000-0005-0000-0000-000055850000}"/>
    <cellStyle name="Normal 57 4 2 2 5 2 2 2 2" xfId="48529" xr:uid="{00000000-0005-0000-0000-000056850000}"/>
    <cellStyle name="Normal 57 4 2 2 5 2 2 3" xfId="38312" xr:uid="{00000000-0005-0000-0000-000057850000}"/>
    <cellStyle name="Normal 57 4 2 2 5 2 3" xfId="9178" xr:uid="{00000000-0005-0000-0000-000058850000}"/>
    <cellStyle name="Normal 57 4 2 2 5 2 3 2" xfId="34735" xr:uid="{00000000-0005-0000-0000-000059850000}"/>
    <cellStyle name="Normal 57 4 2 2 5 2 4" xfId="17969" xr:uid="{00000000-0005-0000-0000-00005A850000}"/>
    <cellStyle name="Normal 57 4 2 2 5 2 4 2" xfId="43522" xr:uid="{00000000-0005-0000-0000-00005B850000}"/>
    <cellStyle name="Normal 57 4 2 2 5 2 5" xfId="29459" xr:uid="{00000000-0005-0000-0000-00005C850000}"/>
    <cellStyle name="Normal 57 4 2 2 5 3" xfId="5284" xr:uid="{00000000-0005-0000-0000-00005D850000}"/>
    <cellStyle name="Normal 57 4 2 2 5 3 2" xfId="14121" xr:uid="{00000000-0005-0000-0000-00005E850000}"/>
    <cellStyle name="Normal 57 4 2 2 5 3 2 2" xfId="24372" xr:uid="{00000000-0005-0000-0000-00005F850000}"/>
    <cellStyle name="Normal 57 4 2 2 5 3 2 2 2" xfId="49925" xr:uid="{00000000-0005-0000-0000-000060850000}"/>
    <cellStyle name="Normal 57 4 2 2 5 3 2 3" xfId="39676" xr:uid="{00000000-0005-0000-0000-000061850000}"/>
    <cellStyle name="Normal 57 4 2 2 5 3 3" xfId="10542" xr:uid="{00000000-0005-0000-0000-000062850000}"/>
    <cellStyle name="Normal 57 4 2 2 5 3 3 2" xfId="36099" xr:uid="{00000000-0005-0000-0000-000063850000}"/>
    <cellStyle name="Normal 57 4 2 2 5 3 4" xfId="19365" xr:uid="{00000000-0005-0000-0000-000064850000}"/>
    <cellStyle name="Normal 57 4 2 2 5 3 4 2" xfId="44918" xr:uid="{00000000-0005-0000-0000-000065850000}"/>
    <cellStyle name="Normal 57 4 2 2 5 3 5" xfId="30855" xr:uid="{00000000-0005-0000-0000-000066850000}"/>
    <cellStyle name="Normal 57 4 2 2 5 4" xfId="1794" xr:uid="{00000000-0005-0000-0000-000067850000}"/>
    <cellStyle name="Normal 57 4 2 2 5 4 2" xfId="11163" xr:uid="{00000000-0005-0000-0000-000068850000}"/>
    <cellStyle name="Normal 57 4 2 2 5 4 2 2" xfId="36718" xr:uid="{00000000-0005-0000-0000-000069850000}"/>
    <cellStyle name="Normal 57 4 2 2 5 4 3" xfId="21167" xr:uid="{00000000-0005-0000-0000-00006A850000}"/>
    <cellStyle name="Normal 57 4 2 2 5 4 3 2" xfId="46720" xr:uid="{00000000-0005-0000-0000-00006B850000}"/>
    <cellStyle name="Normal 57 4 2 2 5 4 4" xfId="27650" xr:uid="{00000000-0005-0000-0000-00006C850000}"/>
    <cellStyle name="Normal 57 4 2 2 5 5" xfId="6739" xr:uid="{00000000-0005-0000-0000-00006D850000}"/>
    <cellStyle name="Normal 57 4 2 2 5 5 2" xfId="15566" xr:uid="{00000000-0005-0000-0000-00006E850000}"/>
    <cellStyle name="Normal 57 4 2 2 5 5 2 2" xfId="41121" xr:uid="{00000000-0005-0000-0000-00006F850000}"/>
    <cellStyle name="Normal 57 4 2 2 5 5 3" xfId="25817" xr:uid="{00000000-0005-0000-0000-000070850000}"/>
    <cellStyle name="Normal 57 4 2 2 5 5 3 2" xfId="51370" xr:uid="{00000000-0005-0000-0000-000071850000}"/>
    <cellStyle name="Normal 57 4 2 2 5 5 4" xfId="32300" xr:uid="{00000000-0005-0000-0000-000072850000}"/>
    <cellStyle name="Normal 57 4 2 2 5 6" xfId="8185" xr:uid="{00000000-0005-0000-0000-000073850000}"/>
    <cellStyle name="Normal 57 4 2 2 5 6 2" xfId="20575" xr:uid="{00000000-0005-0000-0000-000074850000}"/>
    <cellStyle name="Normal 57 4 2 2 5 6 2 2" xfId="46128" xr:uid="{00000000-0005-0000-0000-000075850000}"/>
    <cellStyle name="Normal 57 4 2 2 5 6 3" xfId="33742" xr:uid="{00000000-0005-0000-0000-000076850000}"/>
    <cellStyle name="Normal 57 4 2 2 5 7" xfId="16160" xr:uid="{00000000-0005-0000-0000-000077850000}"/>
    <cellStyle name="Normal 57 4 2 2 5 7 2" xfId="41713" xr:uid="{00000000-0005-0000-0000-000078850000}"/>
    <cellStyle name="Normal 57 4 2 2 5 8" xfId="27058" xr:uid="{00000000-0005-0000-0000-000079850000}"/>
    <cellStyle name="Normal 57 4 2 2 6" xfId="2689" xr:uid="{00000000-0005-0000-0000-00007A850000}"/>
    <cellStyle name="Normal 57 4 2 2 6 2" xfId="12006" xr:uid="{00000000-0005-0000-0000-00007B850000}"/>
    <cellStyle name="Normal 57 4 2 2 6 2 2" xfId="22050" xr:uid="{00000000-0005-0000-0000-00007C850000}"/>
    <cellStyle name="Normal 57 4 2 2 6 2 2 2" xfId="47603" xr:uid="{00000000-0005-0000-0000-00007D850000}"/>
    <cellStyle name="Normal 57 4 2 2 6 2 3" xfId="37561" xr:uid="{00000000-0005-0000-0000-00007E850000}"/>
    <cellStyle name="Normal 57 4 2 2 6 3" xfId="8495" xr:uid="{00000000-0005-0000-0000-00007F850000}"/>
    <cellStyle name="Normal 57 4 2 2 6 3 2" xfId="34052" xr:uid="{00000000-0005-0000-0000-000080850000}"/>
    <cellStyle name="Normal 57 4 2 2 6 4" xfId="17043" xr:uid="{00000000-0005-0000-0000-000081850000}"/>
    <cellStyle name="Normal 57 4 2 2 6 4 2" xfId="42596" xr:uid="{00000000-0005-0000-0000-000082850000}"/>
    <cellStyle name="Normal 57 4 2 2 6 5" xfId="28533" xr:uid="{00000000-0005-0000-0000-000083850000}"/>
    <cellStyle name="Normal 57 4 2 2 7" xfId="4240" xr:uid="{00000000-0005-0000-0000-000084850000}"/>
    <cellStyle name="Normal 57 4 2 2 7 2" xfId="13078" xr:uid="{00000000-0005-0000-0000-000085850000}"/>
    <cellStyle name="Normal 57 4 2 2 7 2 2" xfId="23329" xr:uid="{00000000-0005-0000-0000-000086850000}"/>
    <cellStyle name="Normal 57 4 2 2 7 2 2 2" xfId="48882" xr:uid="{00000000-0005-0000-0000-000087850000}"/>
    <cellStyle name="Normal 57 4 2 2 7 2 3" xfId="38633" xr:uid="{00000000-0005-0000-0000-000088850000}"/>
    <cellStyle name="Normal 57 4 2 2 7 3" xfId="9499" xr:uid="{00000000-0005-0000-0000-000089850000}"/>
    <cellStyle name="Normal 57 4 2 2 7 3 2" xfId="35056" xr:uid="{00000000-0005-0000-0000-00008A850000}"/>
    <cellStyle name="Normal 57 4 2 2 7 4" xfId="18322" xr:uid="{00000000-0005-0000-0000-00008B850000}"/>
    <cellStyle name="Normal 57 4 2 2 7 4 2" xfId="43875" xr:uid="{00000000-0005-0000-0000-00008C850000}"/>
    <cellStyle name="Normal 57 4 2 2 7 5" xfId="29812" xr:uid="{00000000-0005-0000-0000-00008D850000}"/>
    <cellStyle name="Normal 57 4 2 2 8" xfId="1512" xr:uid="{00000000-0005-0000-0000-00008E850000}"/>
    <cellStyle name="Normal 57 4 2 2 8 2" xfId="10889" xr:uid="{00000000-0005-0000-0000-00008F850000}"/>
    <cellStyle name="Normal 57 4 2 2 8 2 2" xfId="36444" xr:uid="{00000000-0005-0000-0000-000090850000}"/>
    <cellStyle name="Normal 57 4 2 2 8 3" xfId="20893" xr:uid="{00000000-0005-0000-0000-000091850000}"/>
    <cellStyle name="Normal 57 4 2 2 8 3 2" xfId="46446" xr:uid="{00000000-0005-0000-0000-000092850000}"/>
    <cellStyle name="Normal 57 4 2 2 8 4" xfId="27376" xr:uid="{00000000-0005-0000-0000-000093850000}"/>
    <cellStyle name="Normal 57 4 2 2 9" xfId="5696" xr:uid="{00000000-0005-0000-0000-000094850000}"/>
    <cellStyle name="Normal 57 4 2 2 9 2" xfId="14523" xr:uid="{00000000-0005-0000-0000-000095850000}"/>
    <cellStyle name="Normal 57 4 2 2 9 2 2" xfId="40078" xr:uid="{00000000-0005-0000-0000-000096850000}"/>
    <cellStyle name="Normal 57 4 2 2 9 3" xfId="24774" xr:uid="{00000000-0005-0000-0000-000097850000}"/>
    <cellStyle name="Normal 57 4 2 2 9 3 2" xfId="50327" xr:uid="{00000000-0005-0000-0000-000098850000}"/>
    <cellStyle name="Normal 57 4 2 2 9 4" xfId="31257" xr:uid="{00000000-0005-0000-0000-000099850000}"/>
    <cellStyle name="Normal 57 4 2 2_Degree data" xfId="3957" xr:uid="{00000000-0005-0000-0000-00009A850000}"/>
    <cellStyle name="Normal 57 4 2 3" xfId="477" xr:uid="{00000000-0005-0000-0000-00009B850000}"/>
    <cellStyle name="Normal 57 4 2 3 10" xfId="26406" xr:uid="{00000000-0005-0000-0000-00009C850000}"/>
    <cellStyle name="Normal 57 4 2 3 2" xfId="853" xr:uid="{00000000-0005-0000-0000-00009D850000}"/>
    <cellStyle name="Normal 57 4 2 3 2 2" xfId="3338" xr:uid="{00000000-0005-0000-0000-00009E850000}"/>
    <cellStyle name="Normal 57 4 2 3 2 2 2" xfId="12480" xr:uid="{00000000-0005-0000-0000-00009F850000}"/>
    <cellStyle name="Normal 57 4 2 3 2 2 2 2" xfId="22699" xr:uid="{00000000-0005-0000-0000-0000A0850000}"/>
    <cellStyle name="Normal 57 4 2 3 2 2 2 2 2" xfId="48252" xr:uid="{00000000-0005-0000-0000-0000A1850000}"/>
    <cellStyle name="Normal 57 4 2 3 2 2 2 3" xfId="38035" xr:uid="{00000000-0005-0000-0000-0000A2850000}"/>
    <cellStyle name="Normal 57 4 2 3 2 2 3" xfId="8902" xr:uid="{00000000-0005-0000-0000-0000A3850000}"/>
    <cellStyle name="Normal 57 4 2 3 2 2 3 2" xfId="34459" xr:uid="{00000000-0005-0000-0000-0000A4850000}"/>
    <cellStyle name="Normal 57 4 2 3 2 2 4" xfId="17692" xr:uid="{00000000-0005-0000-0000-0000A5850000}"/>
    <cellStyle name="Normal 57 4 2 3 2 2 4 2" xfId="43245" xr:uid="{00000000-0005-0000-0000-0000A6850000}"/>
    <cellStyle name="Normal 57 4 2 3 2 2 5" xfId="29182" xr:uid="{00000000-0005-0000-0000-0000A7850000}"/>
    <cellStyle name="Normal 57 4 2 3 2 3" xfId="4667" xr:uid="{00000000-0005-0000-0000-0000A8850000}"/>
    <cellStyle name="Normal 57 4 2 3 2 3 2" xfId="13505" xr:uid="{00000000-0005-0000-0000-0000A9850000}"/>
    <cellStyle name="Normal 57 4 2 3 2 3 2 2" xfId="23756" xr:uid="{00000000-0005-0000-0000-0000AA850000}"/>
    <cellStyle name="Normal 57 4 2 3 2 3 2 2 2" xfId="49309" xr:uid="{00000000-0005-0000-0000-0000AB850000}"/>
    <cellStyle name="Normal 57 4 2 3 2 3 2 3" xfId="39060" xr:uid="{00000000-0005-0000-0000-0000AC850000}"/>
    <cellStyle name="Normal 57 4 2 3 2 3 3" xfId="9926" xr:uid="{00000000-0005-0000-0000-0000AD850000}"/>
    <cellStyle name="Normal 57 4 2 3 2 3 3 2" xfId="35483" xr:uid="{00000000-0005-0000-0000-0000AE850000}"/>
    <cellStyle name="Normal 57 4 2 3 2 3 4" xfId="18749" xr:uid="{00000000-0005-0000-0000-0000AF850000}"/>
    <cellStyle name="Normal 57 4 2 3 2 3 4 2" xfId="44302" xr:uid="{00000000-0005-0000-0000-0000B0850000}"/>
    <cellStyle name="Normal 57 4 2 3 2 3 5" xfId="30239" xr:uid="{00000000-0005-0000-0000-0000B1850000}"/>
    <cellStyle name="Normal 57 4 2 3 2 4" xfId="2447" xr:uid="{00000000-0005-0000-0000-0000B2850000}"/>
    <cellStyle name="Normal 57 4 2 3 2 4 2" xfId="11812" xr:uid="{00000000-0005-0000-0000-0000B3850000}"/>
    <cellStyle name="Normal 57 4 2 3 2 4 2 2" xfId="37367" xr:uid="{00000000-0005-0000-0000-0000B4850000}"/>
    <cellStyle name="Normal 57 4 2 3 2 4 3" xfId="21816" xr:uid="{00000000-0005-0000-0000-0000B5850000}"/>
    <cellStyle name="Normal 57 4 2 3 2 4 3 2" xfId="47369" xr:uid="{00000000-0005-0000-0000-0000B6850000}"/>
    <cellStyle name="Normal 57 4 2 3 2 4 4" xfId="28299" xr:uid="{00000000-0005-0000-0000-0000B7850000}"/>
    <cellStyle name="Normal 57 4 2 3 2 5" xfId="6123" xr:uid="{00000000-0005-0000-0000-0000B8850000}"/>
    <cellStyle name="Normal 57 4 2 3 2 5 2" xfId="14950" xr:uid="{00000000-0005-0000-0000-0000B9850000}"/>
    <cellStyle name="Normal 57 4 2 3 2 5 2 2" xfId="40505" xr:uid="{00000000-0005-0000-0000-0000BA850000}"/>
    <cellStyle name="Normal 57 4 2 3 2 5 3" xfId="25201" xr:uid="{00000000-0005-0000-0000-0000BB850000}"/>
    <cellStyle name="Normal 57 4 2 3 2 5 3 2" xfId="50754" xr:uid="{00000000-0005-0000-0000-0000BC850000}"/>
    <cellStyle name="Normal 57 4 2 3 2 5 4" xfId="31684" xr:uid="{00000000-0005-0000-0000-0000BD850000}"/>
    <cellStyle name="Normal 57 4 2 3 2 6" xfId="7568" xr:uid="{00000000-0005-0000-0000-0000BE850000}"/>
    <cellStyle name="Normal 57 4 2 3 2 6 2" xfId="20298" xr:uid="{00000000-0005-0000-0000-0000BF850000}"/>
    <cellStyle name="Normal 57 4 2 3 2 6 2 2" xfId="45851" xr:uid="{00000000-0005-0000-0000-0000C0850000}"/>
    <cellStyle name="Normal 57 4 2 3 2 6 3" xfId="33125" xr:uid="{00000000-0005-0000-0000-0000C1850000}"/>
    <cellStyle name="Normal 57 4 2 3 2 7" xfId="16809" xr:uid="{00000000-0005-0000-0000-0000C2850000}"/>
    <cellStyle name="Normal 57 4 2 3 2 7 2" xfId="42362" xr:uid="{00000000-0005-0000-0000-0000C3850000}"/>
    <cellStyle name="Normal 57 4 2 3 2 8" xfId="26781" xr:uid="{00000000-0005-0000-0000-0000C4850000}"/>
    <cellStyle name="Normal 57 4 2 3 3" xfId="1249" xr:uid="{00000000-0005-0000-0000-0000C5850000}"/>
    <cellStyle name="Normal 57 4 2 3 3 2" xfId="3678" xr:uid="{00000000-0005-0000-0000-0000C6850000}"/>
    <cellStyle name="Normal 57 4 2 3 3 2 2" xfId="12814" xr:uid="{00000000-0005-0000-0000-0000C7850000}"/>
    <cellStyle name="Normal 57 4 2 3 3 2 2 2" xfId="23033" xr:uid="{00000000-0005-0000-0000-0000C8850000}"/>
    <cellStyle name="Normal 57 4 2 3 3 2 2 2 2" xfId="48586" xr:uid="{00000000-0005-0000-0000-0000C9850000}"/>
    <cellStyle name="Normal 57 4 2 3 3 2 2 3" xfId="38369" xr:uid="{00000000-0005-0000-0000-0000CA850000}"/>
    <cellStyle name="Normal 57 4 2 3 3 2 3" xfId="9235" xr:uid="{00000000-0005-0000-0000-0000CB850000}"/>
    <cellStyle name="Normal 57 4 2 3 3 2 3 2" xfId="34792" xr:uid="{00000000-0005-0000-0000-0000CC850000}"/>
    <cellStyle name="Normal 57 4 2 3 3 2 4" xfId="18026" xr:uid="{00000000-0005-0000-0000-0000CD850000}"/>
    <cellStyle name="Normal 57 4 2 3 3 2 4 2" xfId="43579" xr:uid="{00000000-0005-0000-0000-0000CE850000}"/>
    <cellStyle name="Normal 57 4 2 3 3 2 5" xfId="29516" xr:uid="{00000000-0005-0000-0000-0000CF850000}"/>
    <cellStyle name="Normal 57 4 2 3 3 3" xfId="5016" xr:uid="{00000000-0005-0000-0000-0000D0850000}"/>
    <cellStyle name="Normal 57 4 2 3 3 3 2" xfId="13853" xr:uid="{00000000-0005-0000-0000-0000D1850000}"/>
    <cellStyle name="Normal 57 4 2 3 3 3 2 2" xfId="24104" xr:uid="{00000000-0005-0000-0000-0000D2850000}"/>
    <cellStyle name="Normal 57 4 2 3 3 3 2 2 2" xfId="49657" xr:uid="{00000000-0005-0000-0000-0000D3850000}"/>
    <cellStyle name="Normal 57 4 2 3 3 3 2 3" xfId="39408" xr:uid="{00000000-0005-0000-0000-0000D4850000}"/>
    <cellStyle name="Normal 57 4 2 3 3 3 3" xfId="10274" xr:uid="{00000000-0005-0000-0000-0000D5850000}"/>
    <cellStyle name="Normal 57 4 2 3 3 3 3 2" xfId="35831" xr:uid="{00000000-0005-0000-0000-0000D6850000}"/>
    <cellStyle name="Normal 57 4 2 3 3 3 4" xfId="19097" xr:uid="{00000000-0005-0000-0000-0000D7850000}"/>
    <cellStyle name="Normal 57 4 2 3 3 3 4 2" xfId="44650" xr:uid="{00000000-0005-0000-0000-0000D8850000}"/>
    <cellStyle name="Normal 57 4 2 3 3 3 5" xfId="30587" xr:uid="{00000000-0005-0000-0000-0000D9850000}"/>
    <cellStyle name="Normal 57 4 2 3 3 4" xfId="2072" xr:uid="{00000000-0005-0000-0000-0000DA850000}"/>
    <cellStyle name="Normal 57 4 2 3 3 4 2" xfId="11437" xr:uid="{00000000-0005-0000-0000-0000DB850000}"/>
    <cellStyle name="Normal 57 4 2 3 3 4 2 2" xfId="36992" xr:uid="{00000000-0005-0000-0000-0000DC850000}"/>
    <cellStyle name="Normal 57 4 2 3 3 4 3" xfId="21441" xr:uid="{00000000-0005-0000-0000-0000DD850000}"/>
    <cellStyle name="Normal 57 4 2 3 3 4 3 2" xfId="46994" xr:uid="{00000000-0005-0000-0000-0000DE850000}"/>
    <cellStyle name="Normal 57 4 2 3 3 4 4" xfId="27924" xr:uid="{00000000-0005-0000-0000-0000DF850000}"/>
    <cellStyle name="Normal 57 4 2 3 3 5" xfId="6471" xr:uid="{00000000-0005-0000-0000-0000E0850000}"/>
    <cellStyle name="Normal 57 4 2 3 3 5 2" xfId="15298" xr:uid="{00000000-0005-0000-0000-0000E1850000}"/>
    <cellStyle name="Normal 57 4 2 3 3 5 2 2" xfId="40853" xr:uid="{00000000-0005-0000-0000-0000E2850000}"/>
    <cellStyle name="Normal 57 4 2 3 3 5 3" xfId="25549" xr:uid="{00000000-0005-0000-0000-0000E3850000}"/>
    <cellStyle name="Normal 57 4 2 3 3 5 3 2" xfId="51102" xr:uid="{00000000-0005-0000-0000-0000E4850000}"/>
    <cellStyle name="Normal 57 4 2 3 3 5 4" xfId="32032" xr:uid="{00000000-0005-0000-0000-0000E5850000}"/>
    <cellStyle name="Normal 57 4 2 3 3 6" xfId="7917" xr:uid="{00000000-0005-0000-0000-0000E6850000}"/>
    <cellStyle name="Normal 57 4 2 3 3 6 2" xfId="20632" xr:uid="{00000000-0005-0000-0000-0000E7850000}"/>
    <cellStyle name="Normal 57 4 2 3 3 6 2 2" xfId="46185" xr:uid="{00000000-0005-0000-0000-0000E8850000}"/>
    <cellStyle name="Normal 57 4 2 3 3 6 3" xfId="33474" xr:uid="{00000000-0005-0000-0000-0000E9850000}"/>
    <cellStyle name="Normal 57 4 2 3 3 7" xfId="16434" xr:uid="{00000000-0005-0000-0000-0000EA850000}"/>
    <cellStyle name="Normal 57 4 2 3 3 7 2" xfId="41987" xr:uid="{00000000-0005-0000-0000-0000EB850000}"/>
    <cellStyle name="Normal 57 4 2 3 3 8" xfId="27115" xr:uid="{00000000-0005-0000-0000-0000EC850000}"/>
    <cellStyle name="Normal 57 4 2 3 4" xfId="2963" xr:uid="{00000000-0005-0000-0000-0000ED850000}"/>
    <cellStyle name="Normal 57 4 2 3 4 2" xfId="5341" xr:uid="{00000000-0005-0000-0000-0000EE850000}"/>
    <cellStyle name="Normal 57 4 2 3 4 2 2" xfId="14178" xr:uid="{00000000-0005-0000-0000-0000EF850000}"/>
    <cellStyle name="Normal 57 4 2 3 4 2 2 2" xfId="24429" xr:uid="{00000000-0005-0000-0000-0000F0850000}"/>
    <cellStyle name="Normal 57 4 2 3 4 2 2 2 2" xfId="49982" xr:uid="{00000000-0005-0000-0000-0000F1850000}"/>
    <cellStyle name="Normal 57 4 2 3 4 2 2 3" xfId="39733" xr:uid="{00000000-0005-0000-0000-0000F2850000}"/>
    <cellStyle name="Normal 57 4 2 3 4 2 3" xfId="10599" xr:uid="{00000000-0005-0000-0000-0000F3850000}"/>
    <cellStyle name="Normal 57 4 2 3 4 2 3 2" xfId="36156" xr:uid="{00000000-0005-0000-0000-0000F4850000}"/>
    <cellStyle name="Normal 57 4 2 3 4 2 4" xfId="19422" xr:uid="{00000000-0005-0000-0000-0000F5850000}"/>
    <cellStyle name="Normal 57 4 2 3 4 2 4 2" xfId="44975" xr:uid="{00000000-0005-0000-0000-0000F6850000}"/>
    <cellStyle name="Normal 57 4 2 3 4 2 5" xfId="30912" xr:uid="{00000000-0005-0000-0000-0000F7850000}"/>
    <cellStyle name="Normal 57 4 2 3 4 3" xfId="6796" xr:uid="{00000000-0005-0000-0000-0000F8850000}"/>
    <cellStyle name="Normal 57 4 2 3 4 3 2" xfId="15623" xr:uid="{00000000-0005-0000-0000-0000F9850000}"/>
    <cellStyle name="Normal 57 4 2 3 4 3 2 2" xfId="41178" xr:uid="{00000000-0005-0000-0000-0000FA850000}"/>
    <cellStyle name="Normal 57 4 2 3 4 3 3" xfId="25874" xr:uid="{00000000-0005-0000-0000-0000FB850000}"/>
    <cellStyle name="Normal 57 4 2 3 4 3 3 2" xfId="51427" xr:uid="{00000000-0005-0000-0000-0000FC850000}"/>
    <cellStyle name="Normal 57 4 2 3 4 3 4" xfId="32357" xr:uid="{00000000-0005-0000-0000-0000FD850000}"/>
    <cellStyle name="Normal 57 4 2 3 4 4" xfId="8242" xr:uid="{00000000-0005-0000-0000-0000FE850000}"/>
    <cellStyle name="Normal 57 4 2 3 4 4 2" xfId="22324" xr:uid="{00000000-0005-0000-0000-0000FF850000}"/>
    <cellStyle name="Normal 57 4 2 3 4 4 2 2" xfId="47877" xr:uid="{00000000-0005-0000-0000-000000860000}"/>
    <cellStyle name="Normal 57 4 2 3 4 4 3" xfId="33799" xr:uid="{00000000-0005-0000-0000-000001860000}"/>
    <cellStyle name="Normal 57 4 2 3 4 5" xfId="17317" xr:uid="{00000000-0005-0000-0000-000002860000}"/>
    <cellStyle name="Normal 57 4 2 3 4 5 2" xfId="42870" xr:uid="{00000000-0005-0000-0000-000003860000}"/>
    <cellStyle name="Normal 57 4 2 3 4 6" xfId="28807" xr:uid="{00000000-0005-0000-0000-000004860000}"/>
    <cellStyle name="Normal 57 4 2 3 5" xfId="4297" xr:uid="{00000000-0005-0000-0000-000005860000}"/>
    <cellStyle name="Normal 57 4 2 3 5 2" xfId="13135" xr:uid="{00000000-0005-0000-0000-000006860000}"/>
    <cellStyle name="Normal 57 4 2 3 5 2 2" xfId="23386" xr:uid="{00000000-0005-0000-0000-000007860000}"/>
    <cellStyle name="Normal 57 4 2 3 5 2 2 2" xfId="48939" xr:uid="{00000000-0005-0000-0000-000008860000}"/>
    <cellStyle name="Normal 57 4 2 3 5 2 3" xfId="38690" xr:uid="{00000000-0005-0000-0000-000009860000}"/>
    <cellStyle name="Normal 57 4 2 3 5 3" xfId="9556" xr:uid="{00000000-0005-0000-0000-00000A860000}"/>
    <cellStyle name="Normal 57 4 2 3 5 3 2" xfId="35113" xr:uid="{00000000-0005-0000-0000-00000B860000}"/>
    <cellStyle name="Normal 57 4 2 3 5 4" xfId="18379" xr:uid="{00000000-0005-0000-0000-00000C860000}"/>
    <cellStyle name="Normal 57 4 2 3 5 4 2" xfId="43932" xr:uid="{00000000-0005-0000-0000-00000D860000}"/>
    <cellStyle name="Normal 57 4 2 3 5 5" xfId="29869" xr:uid="{00000000-0005-0000-0000-00000E860000}"/>
    <cellStyle name="Normal 57 4 2 3 6" xfId="1569" xr:uid="{00000000-0005-0000-0000-00000F860000}"/>
    <cellStyle name="Normal 57 4 2 3 6 2" xfId="10946" xr:uid="{00000000-0005-0000-0000-000010860000}"/>
    <cellStyle name="Normal 57 4 2 3 6 2 2" xfId="36501" xr:uid="{00000000-0005-0000-0000-000011860000}"/>
    <cellStyle name="Normal 57 4 2 3 6 3" xfId="20950" xr:uid="{00000000-0005-0000-0000-000012860000}"/>
    <cellStyle name="Normal 57 4 2 3 6 3 2" xfId="46503" xr:uid="{00000000-0005-0000-0000-000013860000}"/>
    <cellStyle name="Normal 57 4 2 3 6 4" xfId="27433" xr:uid="{00000000-0005-0000-0000-000014860000}"/>
    <cellStyle name="Normal 57 4 2 3 7" xfId="5753" xr:uid="{00000000-0005-0000-0000-000015860000}"/>
    <cellStyle name="Normal 57 4 2 3 7 2" xfId="14580" xr:uid="{00000000-0005-0000-0000-000016860000}"/>
    <cellStyle name="Normal 57 4 2 3 7 2 2" xfId="40135" xr:uid="{00000000-0005-0000-0000-000017860000}"/>
    <cellStyle name="Normal 57 4 2 3 7 3" xfId="24831" xr:uid="{00000000-0005-0000-0000-000018860000}"/>
    <cellStyle name="Normal 57 4 2 3 7 3 2" xfId="50384" xr:uid="{00000000-0005-0000-0000-000019860000}"/>
    <cellStyle name="Normal 57 4 2 3 7 4" xfId="31314" xr:uid="{00000000-0005-0000-0000-00001A860000}"/>
    <cellStyle name="Normal 57 4 2 3 8" xfId="7197" xr:uid="{00000000-0005-0000-0000-00001B860000}"/>
    <cellStyle name="Normal 57 4 2 3 8 2" xfId="19923" xr:uid="{00000000-0005-0000-0000-00001C860000}"/>
    <cellStyle name="Normal 57 4 2 3 8 2 2" xfId="45476" xr:uid="{00000000-0005-0000-0000-00001D860000}"/>
    <cellStyle name="Normal 57 4 2 3 8 3" xfId="32754" xr:uid="{00000000-0005-0000-0000-00001E860000}"/>
    <cellStyle name="Normal 57 4 2 3 9" xfId="15943" xr:uid="{00000000-0005-0000-0000-00001F860000}"/>
    <cellStyle name="Normal 57 4 2 3 9 2" xfId="41496" xr:uid="{00000000-0005-0000-0000-000020860000}"/>
    <cellStyle name="Normal 57 4 2 3_Degree data" xfId="3959" xr:uid="{00000000-0005-0000-0000-000021860000}"/>
    <cellStyle name="Normal 57 4 2 4" xfId="377" xr:uid="{00000000-0005-0000-0000-000022860000}"/>
    <cellStyle name="Normal 57 4 2 4 2" xfId="2863" xr:uid="{00000000-0005-0000-0000-000023860000}"/>
    <cellStyle name="Normal 57 4 2 4 2 2" xfId="12151" xr:uid="{00000000-0005-0000-0000-000024860000}"/>
    <cellStyle name="Normal 57 4 2 4 2 2 2" xfId="22224" xr:uid="{00000000-0005-0000-0000-000025860000}"/>
    <cellStyle name="Normal 57 4 2 4 2 2 2 2" xfId="47777" xr:uid="{00000000-0005-0000-0000-000026860000}"/>
    <cellStyle name="Normal 57 4 2 4 2 2 3" xfId="37706" xr:uid="{00000000-0005-0000-0000-000027860000}"/>
    <cellStyle name="Normal 57 4 2 4 2 3" xfId="8432" xr:uid="{00000000-0005-0000-0000-000028860000}"/>
    <cellStyle name="Normal 57 4 2 4 2 3 2" xfId="33989" xr:uid="{00000000-0005-0000-0000-000029860000}"/>
    <cellStyle name="Normal 57 4 2 4 2 4" xfId="17217" xr:uid="{00000000-0005-0000-0000-00002A860000}"/>
    <cellStyle name="Normal 57 4 2 4 2 4 2" xfId="42770" xr:uid="{00000000-0005-0000-0000-00002B860000}"/>
    <cellStyle name="Normal 57 4 2 4 2 5" xfId="28707" xr:uid="{00000000-0005-0000-0000-00002C860000}"/>
    <cellStyle name="Normal 57 4 2 4 3" xfId="4664" xr:uid="{00000000-0005-0000-0000-00002D860000}"/>
    <cellStyle name="Normal 57 4 2 4 3 2" xfId="13502" xr:uid="{00000000-0005-0000-0000-00002E860000}"/>
    <cellStyle name="Normal 57 4 2 4 3 2 2" xfId="23753" xr:uid="{00000000-0005-0000-0000-00002F860000}"/>
    <cellStyle name="Normal 57 4 2 4 3 2 2 2" xfId="49306" xr:uid="{00000000-0005-0000-0000-000030860000}"/>
    <cellStyle name="Normal 57 4 2 4 3 2 3" xfId="39057" xr:uid="{00000000-0005-0000-0000-000031860000}"/>
    <cellStyle name="Normal 57 4 2 4 3 3" xfId="9923" xr:uid="{00000000-0005-0000-0000-000032860000}"/>
    <cellStyle name="Normal 57 4 2 4 3 3 2" xfId="35480" xr:uid="{00000000-0005-0000-0000-000033860000}"/>
    <cellStyle name="Normal 57 4 2 4 3 4" xfId="18746" xr:uid="{00000000-0005-0000-0000-000034860000}"/>
    <cellStyle name="Normal 57 4 2 4 3 4 2" xfId="44299" xr:uid="{00000000-0005-0000-0000-000035860000}"/>
    <cellStyle name="Normal 57 4 2 4 3 5" xfId="30236" xr:uid="{00000000-0005-0000-0000-000036860000}"/>
    <cellStyle name="Normal 57 4 2 4 4" xfId="1972" xr:uid="{00000000-0005-0000-0000-000037860000}"/>
    <cellStyle name="Normal 57 4 2 4 4 2" xfId="11337" xr:uid="{00000000-0005-0000-0000-000038860000}"/>
    <cellStyle name="Normal 57 4 2 4 4 2 2" xfId="36892" xr:uid="{00000000-0005-0000-0000-000039860000}"/>
    <cellStyle name="Normal 57 4 2 4 4 3" xfId="21341" xr:uid="{00000000-0005-0000-0000-00003A860000}"/>
    <cellStyle name="Normal 57 4 2 4 4 3 2" xfId="46894" xr:uid="{00000000-0005-0000-0000-00003B860000}"/>
    <cellStyle name="Normal 57 4 2 4 4 4" xfId="27824" xr:uid="{00000000-0005-0000-0000-00003C860000}"/>
    <cellStyle name="Normal 57 4 2 4 5" xfId="6120" xr:uid="{00000000-0005-0000-0000-00003D860000}"/>
    <cellStyle name="Normal 57 4 2 4 5 2" xfId="14947" xr:uid="{00000000-0005-0000-0000-00003E860000}"/>
    <cellStyle name="Normal 57 4 2 4 5 2 2" xfId="40502" xr:uid="{00000000-0005-0000-0000-00003F860000}"/>
    <cellStyle name="Normal 57 4 2 4 5 3" xfId="25198" xr:uid="{00000000-0005-0000-0000-000040860000}"/>
    <cellStyle name="Normal 57 4 2 4 5 3 2" xfId="50751" xr:uid="{00000000-0005-0000-0000-000041860000}"/>
    <cellStyle name="Normal 57 4 2 4 5 4" xfId="31681" xr:uid="{00000000-0005-0000-0000-000042860000}"/>
    <cellStyle name="Normal 57 4 2 4 6" xfId="7565" xr:uid="{00000000-0005-0000-0000-000043860000}"/>
    <cellStyle name="Normal 57 4 2 4 6 2" xfId="19823" xr:uid="{00000000-0005-0000-0000-000044860000}"/>
    <cellStyle name="Normal 57 4 2 4 6 2 2" xfId="45376" xr:uid="{00000000-0005-0000-0000-000045860000}"/>
    <cellStyle name="Normal 57 4 2 4 6 3" xfId="33122" xr:uid="{00000000-0005-0000-0000-000046860000}"/>
    <cellStyle name="Normal 57 4 2 4 7" xfId="16334" xr:uid="{00000000-0005-0000-0000-000047860000}"/>
    <cellStyle name="Normal 57 4 2 4 7 2" xfId="41887" xr:uid="{00000000-0005-0000-0000-000048860000}"/>
    <cellStyle name="Normal 57 4 2 4 8" xfId="26306" xr:uid="{00000000-0005-0000-0000-000049860000}"/>
    <cellStyle name="Normal 57 4 2 5" xfId="850" xr:uid="{00000000-0005-0000-0000-00004A860000}"/>
    <cellStyle name="Normal 57 4 2 5 2" xfId="3335" xr:uid="{00000000-0005-0000-0000-00004B860000}"/>
    <cellStyle name="Normal 57 4 2 5 2 2" xfId="12477" xr:uid="{00000000-0005-0000-0000-00004C860000}"/>
    <cellStyle name="Normal 57 4 2 5 2 2 2" xfId="22696" xr:uid="{00000000-0005-0000-0000-00004D860000}"/>
    <cellStyle name="Normal 57 4 2 5 2 2 2 2" xfId="48249" xr:uid="{00000000-0005-0000-0000-00004E860000}"/>
    <cellStyle name="Normal 57 4 2 5 2 2 3" xfId="38032" xr:uid="{00000000-0005-0000-0000-00004F860000}"/>
    <cellStyle name="Normal 57 4 2 5 2 3" xfId="8899" xr:uid="{00000000-0005-0000-0000-000050860000}"/>
    <cellStyle name="Normal 57 4 2 5 2 3 2" xfId="34456" xr:uid="{00000000-0005-0000-0000-000051860000}"/>
    <cellStyle name="Normal 57 4 2 5 2 4" xfId="17689" xr:uid="{00000000-0005-0000-0000-000052860000}"/>
    <cellStyle name="Normal 57 4 2 5 2 4 2" xfId="43242" xr:uid="{00000000-0005-0000-0000-000053860000}"/>
    <cellStyle name="Normal 57 4 2 5 2 5" xfId="29179" xr:uid="{00000000-0005-0000-0000-000054860000}"/>
    <cellStyle name="Normal 57 4 2 5 3" xfId="5013" xr:uid="{00000000-0005-0000-0000-000055860000}"/>
    <cellStyle name="Normal 57 4 2 5 3 2" xfId="13850" xr:uid="{00000000-0005-0000-0000-000056860000}"/>
    <cellStyle name="Normal 57 4 2 5 3 2 2" xfId="24101" xr:uid="{00000000-0005-0000-0000-000057860000}"/>
    <cellStyle name="Normal 57 4 2 5 3 2 2 2" xfId="49654" xr:uid="{00000000-0005-0000-0000-000058860000}"/>
    <cellStyle name="Normal 57 4 2 5 3 2 3" xfId="39405" xr:uid="{00000000-0005-0000-0000-000059860000}"/>
    <cellStyle name="Normal 57 4 2 5 3 3" xfId="10271" xr:uid="{00000000-0005-0000-0000-00005A860000}"/>
    <cellStyle name="Normal 57 4 2 5 3 3 2" xfId="35828" xr:uid="{00000000-0005-0000-0000-00005B860000}"/>
    <cellStyle name="Normal 57 4 2 5 3 4" xfId="19094" xr:uid="{00000000-0005-0000-0000-00005C860000}"/>
    <cellStyle name="Normal 57 4 2 5 3 4 2" xfId="44647" xr:uid="{00000000-0005-0000-0000-00005D860000}"/>
    <cellStyle name="Normal 57 4 2 5 3 5" xfId="30584" xr:uid="{00000000-0005-0000-0000-00005E860000}"/>
    <cellStyle name="Normal 57 4 2 5 4" xfId="2444" xr:uid="{00000000-0005-0000-0000-00005F860000}"/>
    <cellStyle name="Normal 57 4 2 5 4 2" xfId="11809" xr:uid="{00000000-0005-0000-0000-000060860000}"/>
    <cellStyle name="Normal 57 4 2 5 4 2 2" xfId="37364" xr:uid="{00000000-0005-0000-0000-000061860000}"/>
    <cellStyle name="Normal 57 4 2 5 4 3" xfId="21813" xr:uid="{00000000-0005-0000-0000-000062860000}"/>
    <cellStyle name="Normal 57 4 2 5 4 3 2" xfId="47366" xr:uid="{00000000-0005-0000-0000-000063860000}"/>
    <cellStyle name="Normal 57 4 2 5 4 4" xfId="28296" xr:uid="{00000000-0005-0000-0000-000064860000}"/>
    <cellStyle name="Normal 57 4 2 5 5" xfId="6468" xr:uid="{00000000-0005-0000-0000-000065860000}"/>
    <cellStyle name="Normal 57 4 2 5 5 2" xfId="15295" xr:uid="{00000000-0005-0000-0000-000066860000}"/>
    <cellStyle name="Normal 57 4 2 5 5 2 2" xfId="40850" xr:uid="{00000000-0005-0000-0000-000067860000}"/>
    <cellStyle name="Normal 57 4 2 5 5 3" xfId="25546" xr:uid="{00000000-0005-0000-0000-000068860000}"/>
    <cellStyle name="Normal 57 4 2 5 5 3 2" xfId="51099" xr:uid="{00000000-0005-0000-0000-000069860000}"/>
    <cellStyle name="Normal 57 4 2 5 5 4" xfId="32029" xr:uid="{00000000-0005-0000-0000-00006A860000}"/>
    <cellStyle name="Normal 57 4 2 5 6" xfId="7914" xr:uid="{00000000-0005-0000-0000-00006B860000}"/>
    <cellStyle name="Normal 57 4 2 5 6 2" xfId="20295" xr:uid="{00000000-0005-0000-0000-00006C860000}"/>
    <cellStyle name="Normal 57 4 2 5 6 2 2" xfId="45848" xr:uid="{00000000-0005-0000-0000-00006D860000}"/>
    <cellStyle name="Normal 57 4 2 5 6 3" xfId="33471" xr:uid="{00000000-0005-0000-0000-00006E860000}"/>
    <cellStyle name="Normal 57 4 2 5 7" xfId="16806" xr:uid="{00000000-0005-0000-0000-00006F860000}"/>
    <cellStyle name="Normal 57 4 2 5 7 2" xfId="42359" xr:uid="{00000000-0005-0000-0000-000070860000}"/>
    <cellStyle name="Normal 57 4 2 5 8" xfId="26778" xr:uid="{00000000-0005-0000-0000-000071860000}"/>
    <cellStyle name="Normal 57 4 2 6" xfId="1149" xr:uid="{00000000-0005-0000-0000-000072860000}"/>
    <cellStyle name="Normal 57 4 2 6 2" xfId="3578" xr:uid="{00000000-0005-0000-0000-000073860000}"/>
    <cellStyle name="Normal 57 4 2 6 2 2" xfId="12714" xr:uid="{00000000-0005-0000-0000-000074860000}"/>
    <cellStyle name="Normal 57 4 2 6 2 2 2" xfId="22933" xr:uid="{00000000-0005-0000-0000-000075860000}"/>
    <cellStyle name="Normal 57 4 2 6 2 2 2 2" xfId="48486" xr:uid="{00000000-0005-0000-0000-000076860000}"/>
    <cellStyle name="Normal 57 4 2 6 2 2 3" xfId="38269" xr:uid="{00000000-0005-0000-0000-000077860000}"/>
    <cellStyle name="Normal 57 4 2 6 2 3" xfId="9135" xr:uid="{00000000-0005-0000-0000-000078860000}"/>
    <cellStyle name="Normal 57 4 2 6 2 3 2" xfId="34692" xr:uid="{00000000-0005-0000-0000-000079860000}"/>
    <cellStyle name="Normal 57 4 2 6 2 4" xfId="17926" xr:uid="{00000000-0005-0000-0000-00007A860000}"/>
    <cellStyle name="Normal 57 4 2 6 2 4 2" xfId="43479" xr:uid="{00000000-0005-0000-0000-00007B860000}"/>
    <cellStyle name="Normal 57 4 2 6 2 5" xfId="29416" xr:uid="{00000000-0005-0000-0000-00007C860000}"/>
    <cellStyle name="Normal 57 4 2 6 3" xfId="5241" xr:uid="{00000000-0005-0000-0000-00007D860000}"/>
    <cellStyle name="Normal 57 4 2 6 3 2" xfId="14078" xr:uid="{00000000-0005-0000-0000-00007E860000}"/>
    <cellStyle name="Normal 57 4 2 6 3 2 2" xfId="24329" xr:uid="{00000000-0005-0000-0000-00007F860000}"/>
    <cellStyle name="Normal 57 4 2 6 3 2 2 2" xfId="49882" xr:uid="{00000000-0005-0000-0000-000080860000}"/>
    <cellStyle name="Normal 57 4 2 6 3 2 3" xfId="39633" xr:uid="{00000000-0005-0000-0000-000081860000}"/>
    <cellStyle name="Normal 57 4 2 6 3 3" xfId="10499" xr:uid="{00000000-0005-0000-0000-000082860000}"/>
    <cellStyle name="Normal 57 4 2 6 3 3 2" xfId="36056" xr:uid="{00000000-0005-0000-0000-000083860000}"/>
    <cellStyle name="Normal 57 4 2 6 3 4" xfId="19322" xr:uid="{00000000-0005-0000-0000-000084860000}"/>
    <cellStyle name="Normal 57 4 2 6 3 4 2" xfId="44875" xr:uid="{00000000-0005-0000-0000-000085860000}"/>
    <cellStyle name="Normal 57 4 2 6 3 5" xfId="30812" xr:uid="{00000000-0005-0000-0000-000086860000}"/>
    <cellStyle name="Normal 57 4 2 6 4" xfId="1748" xr:uid="{00000000-0005-0000-0000-000087860000}"/>
    <cellStyle name="Normal 57 4 2 6 4 2" xfId="11119" xr:uid="{00000000-0005-0000-0000-000088860000}"/>
    <cellStyle name="Normal 57 4 2 6 4 2 2" xfId="36674" xr:uid="{00000000-0005-0000-0000-000089860000}"/>
    <cellStyle name="Normal 57 4 2 6 4 3" xfId="21123" xr:uid="{00000000-0005-0000-0000-00008A860000}"/>
    <cellStyle name="Normal 57 4 2 6 4 3 2" xfId="46676" xr:uid="{00000000-0005-0000-0000-00008B860000}"/>
    <cellStyle name="Normal 57 4 2 6 4 4" xfId="27606" xr:uid="{00000000-0005-0000-0000-00008C860000}"/>
    <cellStyle name="Normal 57 4 2 6 5" xfId="6696" xr:uid="{00000000-0005-0000-0000-00008D860000}"/>
    <cellStyle name="Normal 57 4 2 6 5 2" xfId="15523" xr:uid="{00000000-0005-0000-0000-00008E860000}"/>
    <cellStyle name="Normal 57 4 2 6 5 2 2" xfId="41078" xr:uid="{00000000-0005-0000-0000-00008F860000}"/>
    <cellStyle name="Normal 57 4 2 6 5 3" xfId="25774" xr:uid="{00000000-0005-0000-0000-000090860000}"/>
    <cellStyle name="Normal 57 4 2 6 5 3 2" xfId="51327" xr:uid="{00000000-0005-0000-0000-000091860000}"/>
    <cellStyle name="Normal 57 4 2 6 5 4" xfId="32257" xr:uid="{00000000-0005-0000-0000-000092860000}"/>
    <cellStyle name="Normal 57 4 2 6 6" xfId="8142" xr:uid="{00000000-0005-0000-0000-000093860000}"/>
    <cellStyle name="Normal 57 4 2 6 6 2" xfId="20532" xr:uid="{00000000-0005-0000-0000-000094860000}"/>
    <cellStyle name="Normal 57 4 2 6 6 2 2" xfId="46085" xr:uid="{00000000-0005-0000-0000-000095860000}"/>
    <cellStyle name="Normal 57 4 2 6 6 3" xfId="33699" xr:uid="{00000000-0005-0000-0000-000096860000}"/>
    <cellStyle name="Normal 57 4 2 6 7" xfId="16116" xr:uid="{00000000-0005-0000-0000-000097860000}"/>
    <cellStyle name="Normal 57 4 2 6 7 2" xfId="41669" xr:uid="{00000000-0005-0000-0000-000098860000}"/>
    <cellStyle name="Normal 57 4 2 6 8" xfId="27015" xr:uid="{00000000-0005-0000-0000-000099860000}"/>
    <cellStyle name="Normal 57 4 2 7" xfId="2646" xr:uid="{00000000-0005-0000-0000-00009A860000}"/>
    <cellStyle name="Normal 57 4 2 7 2" xfId="5653" xr:uid="{00000000-0005-0000-0000-00009B860000}"/>
    <cellStyle name="Normal 57 4 2 7 2 2" xfId="14480" xr:uid="{00000000-0005-0000-0000-00009C860000}"/>
    <cellStyle name="Normal 57 4 2 7 2 2 2" xfId="40035" xr:uid="{00000000-0005-0000-0000-00009D860000}"/>
    <cellStyle name="Normal 57 4 2 7 2 3" xfId="24731" xr:uid="{00000000-0005-0000-0000-00009E860000}"/>
    <cellStyle name="Normal 57 4 2 7 2 3 2" xfId="50284" xr:uid="{00000000-0005-0000-0000-00009F860000}"/>
    <cellStyle name="Normal 57 4 2 7 2 4" xfId="31214" xr:uid="{00000000-0005-0000-0000-0000A0860000}"/>
    <cellStyle name="Normal 57 4 2 7 3" xfId="7097" xr:uid="{00000000-0005-0000-0000-0000A1860000}"/>
    <cellStyle name="Normal 57 4 2 7 3 2" xfId="22007" xr:uid="{00000000-0005-0000-0000-0000A2860000}"/>
    <cellStyle name="Normal 57 4 2 7 3 2 2" xfId="47560" xr:uid="{00000000-0005-0000-0000-0000A3860000}"/>
    <cellStyle name="Normal 57 4 2 7 3 3" xfId="32654" xr:uid="{00000000-0005-0000-0000-0000A4860000}"/>
    <cellStyle name="Normal 57 4 2 7 4" xfId="17000" xr:uid="{00000000-0005-0000-0000-0000A5860000}"/>
    <cellStyle name="Normal 57 4 2 7 4 2" xfId="42553" xr:uid="{00000000-0005-0000-0000-0000A6860000}"/>
    <cellStyle name="Normal 57 4 2 7 5" xfId="28490" xr:uid="{00000000-0005-0000-0000-0000A7860000}"/>
    <cellStyle name="Normal 57 4 2 8" xfId="4197" xr:uid="{00000000-0005-0000-0000-0000A8860000}"/>
    <cellStyle name="Normal 57 4 2 8 2" xfId="13035" xr:uid="{00000000-0005-0000-0000-0000A9860000}"/>
    <cellStyle name="Normal 57 4 2 8 2 2" xfId="23286" xr:uid="{00000000-0005-0000-0000-0000AA860000}"/>
    <cellStyle name="Normal 57 4 2 8 2 2 2" xfId="48839" xr:uid="{00000000-0005-0000-0000-0000AB860000}"/>
    <cellStyle name="Normal 57 4 2 8 2 3" xfId="38590" xr:uid="{00000000-0005-0000-0000-0000AC860000}"/>
    <cellStyle name="Normal 57 4 2 8 3" xfId="9456" xr:uid="{00000000-0005-0000-0000-0000AD860000}"/>
    <cellStyle name="Normal 57 4 2 8 3 2" xfId="35013" xr:uid="{00000000-0005-0000-0000-0000AE860000}"/>
    <cellStyle name="Normal 57 4 2 8 4" xfId="18279" xr:uid="{00000000-0005-0000-0000-0000AF860000}"/>
    <cellStyle name="Normal 57 4 2 8 4 2" xfId="43832" xr:uid="{00000000-0005-0000-0000-0000B0860000}"/>
    <cellStyle name="Normal 57 4 2 8 5" xfId="29769" xr:uid="{00000000-0005-0000-0000-0000B1860000}"/>
    <cellStyle name="Normal 57 4 2 9" xfId="1469" xr:uid="{00000000-0005-0000-0000-0000B2860000}"/>
    <cellStyle name="Normal 57 4 2 9 2" xfId="10846" xr:uid="{00000000-0005-0000-0000-0000B3860000}"/>
    <cellStyle name="Normal 57 4 2 9 2 2" xfId="36401" xr:uid="{00000000-0005-0000-0000-0000B4860000}"/>
    <cellStyle name="Normal 57 4 2 9 3" xfId="20850" xr:uid="{00000000-0005-0000-0000-0000B5860000}"/>
    <cellStyle name="Normal 57 4 2 9 3 2" xfId="46403" xr:uid="{00000000-0005-0000-0000-0000B6860000}"/>
    <cellStyle name="Normal 57 4 2 9 4" xfId="27333" xr:uid="{00000000-0005-0000-0000-0000B7860000}"/>
    <cellStyle name="Normal 57 4 2_Degree data" xfId="3956" xr:uid="{00000000-0005-0000-0000-0000B8860000}"/>
    <cellStyle name="Normal 57 4 3" xfId="177" xr:uid="{00000000-0005-0000-0000-0000B9860000}"/>
    <cellStyle name="Normal 57 4 3 10" xfId="7125" xr:uid="{00000000-0005-0000-0000-0000BA860000}"/>
    <cellStyle name="Normal 57 4 3 10 2" xfId="19634" xr:uid="{00000000-0005-0000-0000-0000BB860000}"/>
    <cellStyle name="Normal 57 4 3 10 2 2" xfId="45187" xr:uid="{00000000-0005-0000-0000-0000BC860000}"/>
    <cellStyle name="Normal 57 4 3 10 3" xfId="32682" xr:uid="{00000000-0005-0000-0000-0000BD860000}"/>
    <cellStyle name="Normal 57 4 3 11" xfId="15871" xr:uid="{00000000-0005-0000-0000-0000BE860000}"/>
    <cellStyle name="Normal 57 4 3 11 2" xfId="41424" xr:uid="{00000000-0005-0000-0000-0000BF860000}"/>
    <cellStyle name="Normal 57 4 3 12" xfId="26117" xr:uid="{00000000-0005-0000-0000-0000C0860000}"/>
    <cellStyle name="Normal 57 4 3 2" xfId="505" xr:uid="{00000000-0005-0000-0000-0000C1860000}"/>
    <cellStyle name="Normal 57 4 3 2 10" xfId="26434" xr:uid="{00000000-0005-0000-0000-0000C2860000}"/>
    <cellStyle name="Normal 57 4 3 2 2" xfId="855" xr:uid="{00000000-0005-0000-0000-0000C3860000}"/>
    <cellStyle name="Normal 57 4 3 2 2 2" xfId="3340" xr:uid="{00000000-0005-0000-0000-0000C4860000}"/>
    <cellStyle name="Normal 57 4 3 2 2 2 2" xfId="12482" xr:uid="{00000000-0005-0000-0000-0000C5860000}"/>
    <cellStyle name="Normal 57 4 3 2 2 2 2 2" xfId="22701" xr:uid="{00000000-0005-0000-0000-0000C6860000}"/>
    <cellStyle name="Normal 57 4 3 2 2 2 2 2 2" xfId="48254" xr:uid="{00000000-0005-0000-0000-0000C7860000}"/>
    <cellStyle name="Normal 57 4 3 2 2 2 2 3" xfId="38037" xr:uid="{00000000-0005-0000-0000-0000C8860000}"/>
    <cellStyle name="Normal 57 4 3 2 2 2 3" xfId="8904" xr:uid="{00000000-0005-0000-0000-0000C9860000}"/>
    <cellStyle name="Normal 57 4 3 2 2 2 3 2" xfId="34461" xr:uid="{00000000-0005-0000-0000-0000CA860000}"/>
    <cellStyle name="Normal 57 4 3 2 2 2 4" xfId="17694" xr:uid="{00000000-0005-0000-0000-0000CB860000}"/>
    <cellStyle name="Normal 57 4 3 2 2 2 4 2" xfId="43247" xr:uid="{00000000-0005-0000-0000-0000CC860000}"/>
    <cellStyle name="Normal 57 4 3 2 2 2 5" xfId="29184" xr:uid="{00000000-0005-0000-0000-0000CD860000}"/>
    <cellStyle name="Normal 57 4 3 2 2 3" xfId="4669" xr:uid="{00000000-0005-0000-0000-0000CE860000}"/>
    <cellStyle name="Normal 57 4 3 2 2 3 2" xfId="13507" xr:uid="{00000000-0005-0000-0000-0000CF860000}"/>
    <cellStyle name="Normal 57 4 3 2 2 3 2 2" xfId="23758" xr:uid="{00000000-0005-0000-0000-0000D0860000}"/>
    <cellStyle name="Normal 57 4 3 2 2 3 2 2 2" xfId="49311" xr:uid="{00000000-0005-0000-0000-0000D1860000}"/>
    <cellStyle name="Normal 57 4 3 2 2 3 2 3" xfId="39062" xr:uid="{00000000-0005-0000-0000-0000D2860000}"/>
    <cellStyle name="Normal 57 4 3 2 2 3 3" xfId="9928" xr:uid="{00000000-0005-0000-0000-0000D3860000}"/>
    <cellStyle name="Normal 57 4 3 2 2 3 3 2" xfId="35485" xr:uid="{00000000-0005-0000-0000-0000D4860000}"/>
    <cellStyle name="Normal 57 4 3 2 2 3 4" xfId="18751" xr:uid="{00000000-0005-0000-0000-0000D5860000}"/>
    <cellStyle name="Normal 57 4 3 2 2 3 4 2" xfId="44304" xr:uid="{00000000-0005-0000-0000-0000D6860000}"/>
    <cellStyle name="Normal 57 4 3 2 2 3 5" xfId="30241" xr:uid="{00000000-0005-0000-0000-0000D7860000}"/>
    <cellStyle name="Normal 57 4 3 2 2 4" xfId="2449" xr:uid="{00000000-0005-0000-0000-0000D8860000}"/>
    <cellStyle name="Normal 57 4 3 2 2 4 2" xfId="11814" xr:uid="{00000000-0005-0000-0000-0000D9860000}"/>
    <cellStyle name="Normal 57 4 3 2 2 4 2 2" xfId="37369" xr:uid="{00000000-0005-0000-0000-0000DA860000}"/>
    <cellStyle name="Normal 57 4 3 2 2 4 3" xfId="21818" xr:uid="{00000000-0005-0000-0000-0000DB860000}"/>
    <cellStyle name="Normal 57 4 3 2 2 4 3 2" xfId="47371" xr:uid="{00000000-0005-0000-0000-0000DC860000}"/>
    <cellStyle name="Normal 57 4 3 2 2 4 4" xfId="28301" xr:uid="{00000000-0005-0000-0000-0000DD860000}"/>
    <cellStyle name="Normal 57 4 3 2 2 5" xfId="6125" xr:uid="{00000000-0005-0000-0000-0000DE860000}"/>
    <cellStyle name="Normal 57 4 3 2 2 5 2" xfId="14952" xr:uid="{00000000-0005-0000-0000-0000DF860000}"/>
    <cellStyle name="Normal 57 4 3 2 2 5 2 2" xfId="40507" xr:uid="{00000000-0005-0000-0000-0000E0860000}"/>
    <cellStyle name="Normal 57 4 3 2 2 5 3" xfId="25203" xr:uid="{00000000-0005-0000-0000-0000E1860000}"/>
    <cellStyle name="Normal 57 4 3 2 2 5 3 2" xfId="50756" xr:uid="{00000000-0005-0000-0000-0000E2860000}"/>
    <cellStyle name="Normal 57 4 3 2 2 5 4" xfId="31686" xr:uid="{00000000-0005-0000-0000-0000E3860000}"/>
    <cellStyle name="Normal 57 4 3 2 2 6" xfId="7570" xr:uid="{00000000-0005-0000-0000-0000E4860000}"/>
    <cellStyle name="Normal 57 4 3 2 2 6 2" xfId="20300" xr:uid="{00000000-0005-0000-0000-0000E5860000}"/>
    <cellStyle name="Normal 57 4 3 2 2 6 2 2" xfId="45853" xr:uid="{00000000-0005-0000-0000-0000E6860000}"/>
    <cellStyle name="Normal 57 4 3 2 2 6 3" xfId="33127" xr:uid="{00000000-0005-0000-0000-0000E7860000}"/>
    <cellStyle name="Normal 57 4 3 2 2 7" xfId="16811" xr:uid="{00000000-0005-0000-0000-0000E8860000}"/>
    <cellStyle name="Normal 57 4 3 2 2 7 2" xfId="42364" xr:uid="{00000000-0005-0000-0000-0000E9860000}"/>
    <cellStyle name="Normal 57 4 3 2 2 8" xfId="26783" xr:uid="{00000000-0005-0000-0000-0000EA860000}"/>
    <cellStyle name="Normal 57 4 3 2 3" xfId="1277" xr:uid="{00000000-0005-0000-0000-0000EB860000}"/>
    <cellStyle name="Normal 57 4 3 2 3 2" xfId="3706" xr:uid="{00000000-0005-0000-0000-0000EC860000}"/>
    <cellStyle name="Normal 57 4 3 2 3 2 2" xfId="12842" xr:uid="{00000000-0005-0000-0000-0000ED860000}"/>
    <cellStyle name="Normal 57 4 3 2 3 2 2 2" xfId="23061" xr:uid="{00000000-0005-0000-0000-0000EE860000}"/>
    <cellStyle name="Normal 57 4 3 2 3 2 2 2 2" xfId="48614" xr:uid="{00000000-0005-0000-0000-0000EF860000}"/>
    <cellStyle name="Normal 57 4 3 2 3 2 2 3" xfId="38397" xr:uid="{00000000-0005-0000-0000-0000F0860000}"/>
    <cellStyle name="Normal 57 4 3 2 3 2 3" xfId="9263" xr:uid="{00000000-0005-0000-0000-0000F1860000}"/>
    <cellStyle name="Normal 57 4 3 2 3 2 3 2" xfId="34820" xr:uid="{00000000-0005-0000-0000-0000F2860000}"/>
    <cellStyle name="Normal 57 4 3 2 3 2 4" xfId="18054" xr:uid="{00000000-0005-0000-0000-0000F3860000}"/>
    <cellStyle name="Normal 57 4 3 2 3 2 4 2" xfId="43607" xr:uid="{00000000-0005-0000-0000-0000F4860000}"/>
    <cellStyle name="Normal 57 4 3 2 3 2 5" xfId="29544" xr:uid="{00000000-0005-0000-0000-0000F5860000}"/>
    <cellStyle name="Normal 57 4 3 2 3 3" xfId="5018" xr:uid="{00000000-0005-0000-0000-0000F6860000}"/>
    <cellStyle name="Normal 57 4 3 2 3 3 2" xfId="13855" xr:uid="{00000000-0005-0000-0000-0000F7860000}"/>
    <cellStyle name="Normal 57 4 3 2 3 3 2 2" xfId="24106" xr:uid="{00000000-0005-0000-0000-0000F8860000}"/>
    <cellStyle name="Normal 57 4 3 2 3 3 2 2 2" xfId="49659" xr:uid="{00000000-0005-0000-0000-0000F9860000}"/>
    <cellStyle name="Normal 57 4 3 2 3 3 2 3" xfId="39410" xr:uid="{00000000-0005-0000-0000-0000FA860000}"/>
    <cellStyle name="Normal 57 4 3 2 3 3 3" xfId="10276" xr:uid="{00000000-0005-0000-0000-0000FB860000}"/>
    <cellStyle name="Normal 57 4 3 2 3 3 3 2" xfId="35833" xr:uid="{00000000-0005-0000-0000-0000FC860000}"/>
    <cellStyle name="Normal 57 4 3 2 3 3 4" xfId="19099" xr:uid="{00000000-0005-0000-0000-0000FD860000}"/>
    <cellStyle name="Normal 57 4 3 2 3 3 4 2" xfId="44652" xr:uid="{00000000-0005-0000-0000-0000FE860000}"/>
    <cellStyle name="Normal 57 4 3 2 3 3 5" xfId="30589" xr:uid="{00000000-0005-0000-0000-0000FF860000}"/>
    <cellStyle name="Normal 57 4 3 2 3 4" xfId="2100" xr:uid="{00000000-0005-0000-0000-000000870000}"/>
    <cellStyle name="Normal 57 4 3 2 3 4 2" xfId="11465" xr:uid="{00000000-0005-0000-0000-000001870000}"/>
    <cellStyle name="Normal 57 4 3 2 3 4 2 2" xfId="37020" xr:uid="{00000000-0005-0000-0000-000002870000}"/>
    <cellStyle name="Normal 57 4 3 2 3 4 3" xfId="21469" xr:uid="{00000000-0005-0000-0000-000003870000}"/>
    <cellStyle name="Normal 57 4 3 2 3 4 3 2" xfId="47022" xr:uid="{00000000-0005-0000-0000-000004870000}"/>
    <cellStyle name="Normal 57 4 3 2 3 4 4" xfId="27952" xr:uid="{00000000-0005-0000-0000-000005870000}"/>
    <cellStyle name="Normal 57 4 3 2 3 5" xfId="6473" xr:uid="{00000000-0005-0000-0000-000006870000}"/>
    <cellStyle name="Normal 57 4 3 2 3 5 2" xfId="15300" xr:uid="{00000000-0005-0000-0000-000007870000}"/>
    <cellStyle name="Normal 57 4 3 2 3 5 2 2" xfId="40855" xr:uid="{00000000-0005-0000-0000-000008870000}"/>
    <cellStyle name="Normal 57 4 3 2 3 5 3" xfId="25551" xr:uid="{00000000-0005-0000-0000-000009870000}"/>
    <cellStyle name="Normal 57 4 3 2 3 5 3 2" xfId="51104" xr:uid="{00000000-0005-0000-0000-00000A870000}"/>
    <cellStyle name="Normal 57 4 3 2 3 5 4" xfId="32034" xr:uid="{00000000-0005-0000-0000-00000B870000}"/>
    <cellStyle name="Normal 57 4 3 2 3 6" xfId="7919" xr:uid="{00000000-0005-0000-0000-00000C870000}"/>
    <cellStyle name="Normal 57 4 3 2 3 6 2" xfId="20660" xr:uid="{00000000-0005-0000-0000-00000D870000}"/>
    <cellStyle name="Normal 57 4 3 2 3 6 2 2" xfId="46213" xr:uid="{00000000-0005-0000-0000-00000E870000}"/>
    <cellStyle name="Normal 57 4 3 2 3 6 3" xfId="33476" xr:uid="{00000000-0005-0000-0000-00000F870000}"/>
    <cellStyle name="Normal 57 4 3 2 3 7" xfId="16462" xr:uid="{00000000-0005-0000-0000-000010870000}"/>
    <cellStyle name="Normal 57 4 3 2 3 7 2" xfId="42015" xr:uid="{00000000-0005-0000-0000-000011870000}"/>
    <cellStyle name="Normal 57 4 3 2 3 8" xfId="27143" xr:uid="{00000000-0005-0000-0000-000012870000}"/>
    <cellStyle name="Normal 57 4 3 2 4" xfId="2991" xr:uid="{00000000-0005-0000-0000-000013870000}"/>
    <cellStyle name="Normal 57 4 3 2 4 2" xfId="5369" xr:uid="{00000000-0005-0000-0000-000014870000}"/>
    <cellStyle name="Normal 57 4 3 2 4 2 2" xfId="14206" xr:uid="{00000000-0005-0000-0000-000015870000}"/>
    <cellStyle name="Normal 57 4 3 2 4 2 2 2" xfId="24457" xr:uid="{00000000-0005-0000-0000-000016870000}"/>
    <cellStyle name="Normal 57 4 3 2 4 2 2 2 2" xfId="50010" xr:uid="{00000000-0005-0000-0000-000017870000}"/>
    <cellStyle name="Normal 57 4 3 2 4 2 2 3" xfId="39761" xr:uid="{00000000-0005-0000-0000-000018870000}"/>
    <cellStyle name="Normal 57 4 3 2 4 2 3" xfId="10627" xr:uid="{00000000-0005-0000-0000-000019870000}"/>
    <cellStyle name="Normal 57 4 3 2 4 2 3 2" xfId="36184" xr:uid="{00000000-0005-0000-0000-00001A870000}"/>
    <cellStyle name="Normal 57 4 3 2 4 2 4" xfId="19450" xr:uid="{00000000-0005-0000-0000-00001B870000}"/>
    <cellStyle name="Normal 57 4 3 2 4 2 4 2" xfId="45003" xr:uid="{00000000-0005-0000-0000-00001C870000}"/>
    <cellStyle name="Normal 57 4 3 2 4 2 5" xfId="30940" xr:uid="{00000000-0005-0000-0000-00001D870000}"/>
    <cellStyle name="Normal 57 4 3 2 4 3" xfId="6824" xr:uid="{00000000-0005-0000-0000-00001E870000}"/>
    <cellStyle name="Normal 57 4 3 2 4 3 2" xfId="15651" xr:uid="{00000000-0005-0000-0000-00001F870000}"/>
    <cellStyle name="Normal 57 4 3 2 4 3 2 2" xfId="41206" xr:uid="{00000000-0005-0000-0000-000020870000}"/>
    <cellStyle name="Normal 57 4 3 2 4 3 3" xfId="25902" xr:uid="{00000000-0005-0000-0000-000021870000}"/>
    <cellStyle name="Normal 57 4 3 2 4 3 3 2" xfId="51455" xr:uid="{00000000-0005-0000-0000-000022870000}"/>
    <cellStyle name="Normal 57 4 3 2 4 3 4" xfId="32385" xr:uid="{00000000-0005-0000-0000-000023870000}"/>
    <cellStyle name="Normal 57 4 3 2 4 4" xfId="8270" xr:uid="{00000000-0005-0000-0000-000024870000}"/>
    <cellStyle name="Normal 57 4 3 2 4 4 2" xfId="22352" xr:uid="{00000000-0005-0000-0000-000025870000}"/>
    <cellStyle name="Normal 57 4 3 2 4 4 2 2" xfId="47905" xr:uid="{00000000-0005-0000-0000-000026870000}"/>
    <cellStyle name="Normal 57 4 3 2 4 4 3" xfId="33827" xr:uid="{00000000-0005-0000-0000-000027870000}"/>
    <cellStyle name="Normal 57 4 3 2 4 5" xfId="17345" xr:uid="{00000000-0005-0000-0000-000028870000}"/>
    <cellStyle name="Normal 57 4 3 2 4 5 2" xfId="42898" xr:uid="{00000000-0005-0000-0000-000029870000}"/>
    <cellStyle name="Normal 57 4 3 2 4 6" xfId="28835" xr:uid="{00000000-0005-0000-0000-00002A870000}"/>
    <cellStyle name="Normal 57 4 3 2 5" xfId="4325" xr:uid="{00000000-0005-0000-0000-00002B870000}"/>
    <cellStyle name="Normal 57 4 3 2 5 2" xfId="13163" xr:uid="{00000000-0005-0000-0000-00002C870000}"/>
    <cellStyle name="Normal 57 4 3 2 5 2 2" xfId="23414" xr:uid="{00000000-0005-0000-0000-00002D870000}"/>
    <cellStyle name="Normal 57 4 3 2 5 2 2 2" xfId="48967" xr:uid="{00000000-0005-0000-0000-00002E870000}"/>
    <cellStyle name="Normal 57 4 3 2 5 2 3" xfId="38718" xr:uid="{00000000-0005-0000-0000-00002F870000}"/>
    <cellStyle name="Normal 57 4 3 2 5 3" xfId="9584" xr:uid="{00000000-0005-0000-0000-000030870000}"/>
    <cellStyle name="Normal 57 4 3 2 5 3 2" xfId="35141" xr:uid="{00000000-0005-0000-0000-000031870000}"/>
    <cellStyle name="Normal 57 4 3 2 5 4" xfId="18407" xr:uid="{00000000-0005-0000-0000-000032870000}"/>
    <cellStyle name="Normal 57 4 3 2 5 4 2" xfId="43960" xr:uid="{00000000-0005-0000-0000-000033870000}"/>
    <cellStyle name="Normal 57 4 3 2 5 5" xfId="29897" xr:uid="{00000000-0005-0000-0000-000034870000}"/>
    <cellStyle name="Normal 57 4 3 2 6" xfId="1597" xr:uid="{00000000-0005-0000-0000-000035870000}"/>
    <cellStyle name="Normal 57 4 3 2 6 2" xfId="10974" xr:uid="{00000000-0005-0000-0000-000036870000}"/>
    <cellStyle name="Normal 57 4 3 2 6 2 2" xfId="36529" xr:uid="{00000000-0005-0000-0000-000037870000}"/>
    <cellStyle name="Normal 57 4 3 2 6 3" xfId="20978" xr:uid="{00000000-0005-0000-0000-000038870000}"/>
    <cellStyle name="Normal 57 4 3 2 6 3 2" xfId="46531" xr:uid="{00000000-0005-0000-0000-000039870000}"/>
    <cellStyle name="Normal 57 4 3 2 6 4" xfId="27461" xr:uid="{00000000-0005-0000-0000-00003A870000}"/>
    <cellStyle name="Normal 57 4 3 2 7" xfId="5781" xr:uid="{00000000-0005-0000-0000-00003B870000}"/>
    <cellStyle name="Normal 57 4 3 2 7 2" xfId="14608" xr:uid="{00000000-0005-0000-0000-00003C870000}"/>
    <cellStyle name="Normal 57 4 3 2 7 2 2" xfId="40163" xr:uid="{00000000-0005-0000-0000-00003D870000}"/>
    <cellStyle name="Normal 57 4 3 2 7 3" xfId="24859" xr:uid="{00000000-0005-0000-0000-00003E870000}"/>
    <cellStyle name="Normal 57 4 3 2 7 3 2" xfId="50412" xr:uid="{00000000-0005-0000-0000-00003F870000}"/>
    <cellStyle name="Normal 57 4 3 2 7 4" xfId="31342" xr:uid="{00000000-0005-0000-0000-000040870000}"/>
    <cellStyle name="Normal 57 4 3 2 8" xfId="7225" xr:uid="{00000000-0005-0000-0000-000041870000}"/>
    <cellStyle name="Normal 57 4 3 2 8 2" xfId="19951" xr:uid="{00000000-0005-0000-0000-000042870000}"/>
    <cellStyle name="Normal 57 4 3 2 8 2 2" xfId="45504" xr:uid="{00000000-0005-0000-0000-000043870000}"/>
    <cellStyle name="Normal 57 4 3 2 8 3" xfId="32782" xr:uid="{00000000-0005-0000-0000-000044870000}"/>
    <cellStyle name="Normal 57 4 3 2 9" xfId="15971" xr:uid="{00000000-0005-0000-0000-000045870000}"/>
    <cellStyle name="Normal 57 4 3 2 9 2" xfId="41524" xr:uid="{00000000-0005-0000-0000-000046870000}"/>
    <cellStyle name="Normal 57 4 3 2_Degree data" xfId="3961" xr:uid="{00000000-0005-0000-0000-000047870000}"/>
    <cellStyle name="Normal 57 4 3 3" xfId="405" xr:uid="{00000000-0005-0000-0000-000048870000}"/>
    <cellStyle name="Normal 57 4 3 3 2" xfId="2891" xr:uid="{00000000-0005-0000-0000-000049870000}"/>
    <cellStyle name="Normal 57 4 3 3 2 2" xfId="12179" xr:uid="{00000000-0005-0000-0000-00004A870000}"/>
    <cellStyle name="Normal 57 4 3 3 2 2 2" xfId="22252" xr:uid="{00000000-0005-0000-0000-00004B870000}"/>
    <cellStyle name="Normal 57 4 3 3 2 2 2 2" xfId="47805" xr:uid="{00000000-0005-0000-0000-00004C870000}"/>
    <cellStyle name="Normal 57 4 3 3 2 2 3" xfId="37734" xr:uid="{00000000-0005-0000-0000-00004D870000}"/>
    <cellStyle name="Normal 57 4 3 3 2 3" xfId="8610" xr:uid="{00000000-0005-0000-0000-00004E870000}"/>
    <cellStyle name="Normal 57 4 3 3 2 3 2" xfId="34167" xr:uid="{00000000-0005-0000-0000-00004F870000}"/>
    <cellStyle name="Normal 57 4 3 3 2 4" xfId="17245" xr:uid="{00000000-0005-0000-0000-000050870000}"/>
    <cellStyle name="Normal 57 4 3 3 2 4 2" xfId="42798" xr:uid="{00000000-0005-0000-0000-000051870000}"/>
    <cellStyle name="Normal 57 4 3 3 2 5" xfId="28735" xr:uid="{00000000-0005-0000-0000-000052870000}"/>
    <cellStyle name="Normal 57 4 3 3 3" xfId="4668" xr:uid="{00000000-0005-0000-0000-000053870000}"/>
    <cellStyle name="Normal 57 4 3 3 3 2" xfId="13506" xr:uid="{00000000-0005-0000-0000-000054870000}"/>
    <cellStyle name="Normal 57 4 3 3 3 2 2" xfId="23757" xr:uid="{00000000-0005-0000-0000-000055870000}"/>
    <cellStyle name="Normal 57 4 3 3 3 2 2 2" xfId="49310" xr:uid="{00000000-0005-0000-0000-000056870000}"/>
    <cellStyle name="Normal 57 4 3 3 3 2 3" xfId="39061" xr:uid="{00000000-0005-0000-0000-000057870000}"/>
    <cellStyle name="Normal 57 4 3 3 3 3" xfId="9927" xr:uid="{00000000-0005-0000-0000-000058870000}"/>
    <cellStyle name="Normal 57 4 3 3 3 3 2" xfId="35484" xr:uid="{00000000-0005-0000-0000-000059870000}"/>
    <cellStyle name="Normal 57 4 3 3 3 4" xfId="18750" xr:uid="{00000000-0005-0000-0000-00005A870000}"/>
    <cellStyle name="Normal 57 4 3 3 3 4 2" xfId="44303" xr:uid="{00000000-0005-0000-0000-00005B870000}"/>
    <cellStyle name="Normal 57 4 3 3 3 5" xfId="30240" xr:uid="{00000000-0005-0000-0000-00005C870000}"/>
    <cellStyle name="Normal 57 4 3 3 4" xfId="2000" xr:uid="{00000000-0005-0000-0000-00005D870000}"/>
    <cellStyle name="Normal 57 4 3 3 4 2" xfId="11365" xr:uid="{00000000-0005-0000-0000-00005E870000}"/>
    <cellStyle name="Normal 57 4 3 3 4 2 2" xfId="36920" xr:uid="{00000000-0005-0000-0000-00005F870000}"/>
    <cellStyle name="Normal 57 4 3 3 4 3" xfId="21369" xr:uid="{00000000-0005-0000-0000-000060870000}"/>
    <cellStyle name="Normal 57 4 3 3 4 3 2" xfId="46922" xr:uid="{00000000-0005-0000-0000-000061870000}"/>
    <cellStyle name="Normal 57 4 3 3 4 4" xfId="27852" xr:uid="{00000000-0005-0000-0000-000062870000}"/>
    <cellStyle name="Normal 57 4 3 3 5" xfId="6124" xr:uid="{00000000-0005-0000-0000-000063870000}"/>
    <cellStyle name="Normal 57 4 3 3 5 2" xfId="14951" xr:uid="{00000000-0005-0000-0000-000064870000}"/>
    <cellStyle name="Normal 57 4 3 3 5 2 2" xfId="40506" xr:uid="{00000000-0005-0000-0000-000065870000}"/>
    <cellStyle name="Normal 57 4 3 3 5 3" xfId="25202" xr:uid="{00000000-0005-0000-0000-000066870000}"/>
    <cellStyle name="Normal 57 4 3 3 5 3 2" xfId="50755" xr:uid="{00000000-0005-0000-0000-000067870000}"/>
    <cellStyle name="Normal 57 4 3 3 5 4" xfId="31685" xr:uid="{00000000-0005-0000-0000-000068870000}"/>
    <cellStyle name="Normal 57 4 3 3 6" xfId="7569" xr:uid="{00000000-0005-0000-0000-000069870000}"/>
    <cellStyle name="Normal 57 4 3 3 6 2" xfId="19851" xr:uid="{00000000-0005-0000-0000-00006A870000}"/>
    <cellStyle name="Normal 57 4 3 3 6 2 2" xfId="45404" xr:uid="{00000000-0005-0000-0000-00006B870000}"/>
    <cellStyle name="Normal 57 4 3 3 6 3" xfId="33126" xr:uid="{00000000-0005-0000-0000-00006C870000}"/>
    <cellStyle name="Normal 57 4 3 3 7" xfId="16362" xr:uid="{00000000-0005-0000-0000-00006D870000}"/>
    <cellStyle name="Normal 57 4 3 3 7 2" xfId="41915" xr:uid="{00000000-0005-0000-0000-00006E870000}"/>
    <cellStyle name="Normal 57 4 3 3 8" xfId="26334" xr:uid="{00000000-0005-0000-0000-00006F870000}"/>
    <cellStyle name="Normal 57 4 3 4" xfId="854" xr:uid="{00000000-0005-0000-0000-000070870000}"/>
    <cellStyle name="Normal 57 4 3 4 2" xfId="3339" xr:uid="{00000000-0005-0000-0000-000071870000}"/>
    <cellStyle name="Normal 57 4 3 4 2 2" xfId="12481" xr:uid="{00000000-0005-0000-0000-000072870000}"/>
    <cellStyle name="Normal 57 4 3 4 2 2 2" xfId="22700" xr:uid="{00000000-0005-0000-0000-000073870000}"/>
    <cellStyle name="Normal 57 4 3 4 2 2 2 2" xfId="48253" xr:uid="{00000000-0005-0000-0000-000074870000}"/>
    <cellStyle name="Normal 57 4 3 4 2 2 3" xfId="38036" xr:uid="{00000000-0005-0000-0000-000075870000}"/>
    <cellStyle name="Normal 57 4 3 4 2 3" xfId="8903" xr:uid="{00000000-0005-0000-0000-000076870000}"/>
    <cellStyle name="Normal 57 4 3 4 2 3 2" xfId="34460" xr:uid="{00000000-0005-0000-0000-000077870000}"/>
    <cellStyle name="Normal 57 4 3 4 2 4" xfId="17693" xr:uid="{00000000-0005-0000-0000-000078870000}"/>
    <cellStyle name="Normal 57 4 3 4 2 4 2" xfId="43246" xr:uid="{00000000-0005-0000-0000-000079870000}"/>
    <cellStyle name="Normal 57 4 3 4 2 5" xfId="29183" xr:uid="{00000000-0005-0000-0000-00007A870000}"/>
    <cellStyle name="Normal 57 4 3 4 3" xfId="5017" xr:uid="{00000000-0005-0000-0000-00007B870000}"/>
    <cellStyle name="Normal 57 4 3 4 3 2" xfId="13854" xr:uid="{00000000-0005-0000-0000-00007C870000}"/>
    <cellStyle name="Normal 57 4 3 4 3 2 2" xfId="24105" xr:uid="{00000000-0005-0000-0000-00007D870000}"/>
    <cellStyle name="Normal 57 4 3 4 3 2 2 2" xfId="49658" xr:uid="{00000000-0005-0000-0000-00007E870000}"/>
    <cellStyle name="Normal 57 4 3 4 3 2 3" xfId="39409" xr:uid="{00000000-0005-0000-0000-00007F870000}"/>
    <cellStyle name="Normal 57 4 3 4 3 3" xfId="10275" xr:uid="{00000000-0005-0000-0000-000080870000}"/>
    <cellStyle name="Normal 57 4 3 4 3 3 2" xfId="35832" xr:uid="{00000000-0005-0000-0000-000081870000}"/>
    <cellStyle name="Normal 57 4 3 4 3 4" xfId="19098" xr:uid="{00000000-0005-0000-0000-000082870000}"/>
    <cellStyle name="Normal 57 4 3 4 3 4 2" xfId="44651" xr:uid="{00000000-0005-0000-0000-000083870000}"/>
    <cellStyle name="Normal 57 4 3 4 3 5" xfId="30588" xr:uid="{00000000-0005-0000-0000-000084870000}"/>
    <cellStyle name="Normal 57 4 3 4 4" xfId="2448" xr:uid="{00000000-0005-0000-0000-000085870000}"/>
    <cellStyle name="Normal 57 4 3 4 4 2" xfId="11813" xr:uid="{00000000-0005-0000-0000-000086870000}"/>
    <cellStyle name="Normal 57 4 3 4 4 2 2" xfId="37368" xr:uid="{00000000-0005-0000-0000-000087870000}"/>
    <cellStyle name="Normal 57 4 3 4 4 3" xfId="21817" xr:uid="{00000000-0005-0000-0000-000088870000}"/>
    <cellStyle name="Normal 57 4 3 4 4 3 2" xfId="47370" xr:uid="{00000000-0005-0000-0000-000089870000}"/>
    <cellStyle name="Normal 57 4 3 4 4 4" xfId="28300" xr:uid="{00000000-0005-0000-0000-00008A870000}"/>
    <cellStyle name="Normal 57 4 3 4 5" xfId="6472" xr:uid="{00000000-0005-0000-0000-00008B870000}"/>
    <cellStyle name="Normal 57 4 3 4 5 2" xfId="15299" xr:uid="{00000000-0005-0000-0000-00008C870000}"/>
    <cellStyle name="Normal 57 4 3 4 5 2 2" xfId="40854" xr:uid="{00000000-0005-0000-0000-00008D870000}"/>
    <cellStyle name="Normal 57 4 3 4 5 3" xfId="25550" xr:uid="{00000000-0005-0000-0000-00008E870000}"/>
    <cellStyle name="Normal 57 4 3 4 5 3 2" xfId="51103" xr:uid="{00000000-0005-0000-0000-00008F870000}"/>
    <cellStyle name="Normal 57 4 3 4 5 4" xfId="32033" xr:uid="{00000000-0005-0000-0000-000090870000}"/>
    <cellStyle name="Normal 57 4 3 4 6" xfId="7918" xr:uid="{00000000-0005-0000-0000-000091870000}"/>
    <cellStyle name="Normal 57 4 3 4 6 2" xfId="20299" xr:uid="{00000000-0005-0000-0000-000092870000}"/>
    <cellStyle name="Normal 57 4 3 4 6 2 2" xfId="45852" xr:uid="{00000000-0005-0000-0000-000093870000}"/>
    <cellStyle name="Normal 57 4 3 4 6 3" xfId="33475" xr:uid="{00000000-0005-0000-0000-000094870000}"/>
    <cellStyle name="Normal 57 4 3 4 7" xfId="16810" xr:uid="{00000000-0005-0000-0000-000095870000}"/>
    <cellStyle name="Normal 57 4 3 4 7 2" xfId="42363" xr:uid="{00000000-0005-0000-0000-000096870000}"/>
    <cellStyle name="Normal 57 4 3 4 8" xfId="26782" xr:uid="{00000000-0005-0000-0000-000097870000}"/>
    <cellStyle name="Normal 57 4 3 5" xfId="1177" xr:uid="{00000000-0005-0000-0000-000098870000}"/>
    <cellStyle name="Normal 57 4 3 5 2" xfId="3606" xr:uid="{00000000-0005-0000-0000-000099870000}"/>
    <cellStyle name="Normal 57 4 3 5 2 2" xfId="12742" xr:uid="{00000000-0005-0000-0000-00009A870000}"/>
    <cellStyle name="Normal 57 4 3 5 2 2 2" xfId="22961" xr:uid="{00000000-0005-0000-0000-00009B870000}"/>
    <cellStyle name="Normal 57 4 3 5 2 2 2 2" xfId="48514" xr:uid="{00000000-0005-0000-0000-00009C870000}"/>
    <cellStyle name="Normal 57 4 3 5 2 2 3" xfId="38297" xr:uid="{00000000-0005-0000-0000-00009D870000}"/>
    <cellStyle name="Normal 57 4 3 5 2 3" xfId="9163" xr:uid="{00000000-0005-0000-0000-00009E870000}"/>
    <cellStyle name="Normal 57 4 3 5 2 3 2" xfId="34720" xr:uid="{00000000-0005-0000-0000-00009F870000}"/>
    <cellStyle name="Normal 57 4 3 5 2 4" xfId="17954" xr:uid="{00000000-0005-0000-0000-0000A0870000}"/>
    <cellStyle name="Normal 57 4 3 5 2 4 2" xfId="43507" xr:uid="{00000000-0005-0000-0000-0000A1870000}"/>
    <cellStyle name="Normal 57 4 3 5 2 5" xfId="29444" xr:uid="{00000000-0005-0000-0000-0000A2870000}"/>
    <cellStyle name="Normal 57 4 3 5 3" xfId="5269" xr:uid="{00000000-0005-0000-0000-0000A3870000}"/>
    <cellStyle name="Normal 57 4 3 5 3 2" xfId="14106" xr:uid="{00000000-0005-0000-0000-0000A4870000}"/>
    <cellStyle name="Normal 57 4 3 5 3 2 2" xfId="24357" xr:uid="{00000000-0005-0000-0000-0000A5870000}"/>
    <cellStyle name="Normal 57 4 3 5 3 2 2 2" xfId="49910" xr:uid="{00000000-0005-0000-0000-0000A6870000}"/>
    <cellStyle name="Normal 57 4 3 5 3 2 3" xfId="39661" xr:uid="{00000000-0005-0000-0000-0000A7870000}"/>
    <cellStyle name="Normal 57 4 3 5 3 3" xfId="10527" xr:uid="{00000000-0005-0000-0000-0000A8870000}"/>
    <cellStyle name="Normal 57 4 3 5 3 3 2" xfId="36084" xr:uid="{00000000-0005-0000-0000-0000A9870000}"/>
    <cellStyle name="Normal 57 4 3 5 3 4" xfId="19350" xr:uid="{00000000-0005-0000-0000-0000AA870000}"/>
    <cellStyle name="Normal 57 4 3 5 3 4 2" xfId="44903" xr:uid="{00000000-0005-0000-0000-0000AB870000}"/>
    <cellStyle name="Normal 57 4 3 5 3 5" xfId="30840" xr:uid="{00000000-0005-0000-0000-0000AC870000}"/>
    <cellStyle name="Normal 57 4 3 5 4" xfId="1779" xr:uid="{00000000-0005-0000-0000-0000AD870000}"/>
    <cellStyle name="Normal 57 4 3 5 4 2" xfId="11148" xr:uid="{00000000-0005-0000-0000-0000AE870000}"/>
    <cellStyle name="Normal 57 4 3 5 4 2 2" xfId="36703" xr:uid="{00000000-0005-0000-0000-0000AF870000}"/>
    <cellStyle name="Normal 57 4 3 5 4 3" xfId="21152" xr:uid="{00000000-0005-0000-0000-0000B0870000}"/>
    <cellStyle name="Normal 57 4 3 5 4 3 2" xfId="46705" xr:uid="{00000000-0005-0000-0000-0000B1870000}"/>
    <cellStyle name="Normal 57 4 3 5 4 4" xfId="27635" xr:uid="{00000000-0005-0000-0000-0000B2870000}"/>
    <cellStyle name="Normal 57 4 3 5 5" xfId="6724" xr:uid="{00000000-0005-0000-0000-0000B3870000}"/>
    <cellStyle name="Normal 57 4 3 5 5 2" xfId="15551" xr:uid="{00000000-0005-0000-0000-0000B4870000}"/>
    <cellStyle name="Normal 57 4 3 5 5 2 2" xfId="41106" xr:uid="{00000000-0005-0000-0000-0000B5870000}"/>
    <cellStyle name="Normal 57 4 3 5 5 3" xfId="25802" xr:uid="{00000000-0005-0000-0000-0000B6870000}"/>
    <cellStyle name="Normal 57 4 3 5 5 3 2" xfId="51355" xr:uid="{00000000-0005-0000-0000-0000B7870000}"/>
    <cellStyle name="Normal 57 4 3 5 5 4" xfId="32285" xr:uid="{00000000-0005-0000-0000-0000B8870000}"/>
    <cellStyle name="Normal 57 4 3 5 6" xfId="8170" xr:uid="{00000000-0005-0000-0000-0000B9870000}"/>
    <cellStyle name="Normal 57 4 3 5 6 2" xfId="20560" xr:uid="{00000000-0005-0000-0000-0000BA870000}"/>
    <cellStyle name="Normal 57 4 3 5 6 2 2" xfId="46113" xr:uid="{00000000-0005-0000-0000-0000BB870000}"/>
    <cellStyle name="Normal 57 4 3 5 6 3" xfId="33727" xr:uid="{00000000-0005-0000-0000-0000BC870000}"/>
    <cellStyle name="Normal 57 4 3 5 7" xfId="16145" xr:uid="{00000000-0005-0000-0000-0000BD870000}"/>
    <cellStyle name="Normal 57 4 3 5 7 2" xfId="41698" xr:uid="{00000000-0005-0000-0000-0000BE870000}"/>
    <cellStyle name="Normal 57 4 3 5 8" xfId="27043" xr:uid="{00000000-0005-0000-0000-0000BF870000}"/>
    <cellStyle name="Normal 57 4 3 6" xfId="2674" xr:uid="{00000000-0005-0000-0000-0000C0870000}"/>
    <cellStyle name="Normal 57 4 3 6 2" xfId="11991" xr:uid="{00000000-0005-0000-0000-0000C1870000}"/>
    <cellStyle name="Normal 57 4 3 6 2 2" xfId="22035" xr:uid="{00000000-0005-0000-0000-0000C2870000}"/>
    <cellStyle name="Normal 57 4 3 6 2 2 2" xfId="47588" xr:uid="{00000000-0005-0000-0000-0000C3870000}"/>
    <cellStyle name="Normal 57 4 3 6 2 3" xfId="37546" xr:uid="{00000000-0005-0000-0000-0000C4870000}"/>
    <cellStyle name="Normal 57 4 3 6 3" xfId="8585" xr:uid="{00000000-0005-0000-0000-0000C5870000}"/>
    <cellStyle name="Normal 57 4 3 6 3 2" xfId="34142" xr:uid="{00000000-0005-0000-0000-0000C6870000}"/>
    <cellStyle name="Normal 57 4 3 6 4" xfId="17028" xr:uid="{00000000-0005-0000-0000-0000C7870000}"/>
    <cellStyle name="Normal 57 4 3 6 4 2" xfId="42581" xr:uid="{00000000-0005-0000-0000-0000C8870000}"/>
    <cellStyle name="Normal 57 4 3 6 5" xfId="28518" xr:uid="{00000000-0005-0000-0000-0000C9870000}"/>
    <cellStyle name="Normal 57 4 3 7" xfId="4225" xr:uid="{00000000-0005-0000-0000-0000CA870000}"/>
    <cellStyle name="Normal 57 4 3 7 2" xfId="13063" xr:uid="{00000000-0005-0000-0000-0000CB870000}"/>
    <cellStyle name="Normal 57 4 3 7 2 2" xfId="23314" xr:uid="{00000000-0005-0000-0000-0000CC870000}"/>
    <cellStyle name="Normal 57 4 3 7 2 2 2" xfId="48867" xr:uid="{00000000-0005-0000-0000-0000CD870000}"/>
    <cellStyle name="Normal 57 4 3 7 2 3" xfId="38618" xr:uid="{00000000-0005-0000-0000-0000CE870000}"/>
    <cellStyle name="Normal 57 4 3 7 3" xfId="9484" xr:uid="{00000000-0005-0000-0000-0000CF870000}"/>
    <cellStyle name="Normal 57 4 3 7 3 2" xfId="35041" xr:uid="{00000000-0005-0000-0000-0000D0870000}"/>
    <cellStyle name="Normal 57 4 3 7 4" xfId="18307" xr:uid="{00000000-0005-0000-0000-0000D1870000}"/>
    <cellStyle name="Normal 57 4 3 7 4 2" xfId="43860" xr:uid="{00000000-0005-0000-0000-0000D2870000}"/>
    <cellStyle name="Normal 57 4 3 7 5" xfId="29797" xr:uid="{00000000-0005-0000-0000-0000D3870000}"/>
    <cellStyle name="Normal 57 4 3 8" xfId="1497" xr:uid="{00000000-0005-0000-0000-0000D4870000}"/>
    <cellStyle name="Normal 57 4 3 8 2" xfId="10874" xr:uid="{00000000-0005-0000-0000-0000D5870000}"/>
    <cellStyle name="Normal 57 4 3 8 2 2" xfId="36429" xr:uid="{00000000-0005-0000-0000-0000D6870000}"/>
    <cellStyle name="Normal 57 4 3 8 3" xfId="20878" xr:uid="{00000000-0005-0000-0000-0000D7870000}"/>
    <cellStyle name="Normal 57 4 3 8 3 2" xfId="46431" xr:uid="{00000000-0005-0000-0000-0000D8870000}"/>
    <cellStyle name="Normal 57 4 3 8 4" xfId="27361" xr:uid="{00000000-0005-0000-0000-0000D9870000}"/>
    <cellStyle name="Normal 57 4 3 9" xfId="5681" xr:uid="{00000000-0005-0000-0000-0000DA870000}"/>
    <cellStyle name="Normal 57 4 3 9 2" xfId="14508" xr:uid="{00000000-0005-0000-0000-0000DB870000}"/>
    <cellStyle name="Normal 57 4 3 9 2 2" xfId="40063" xr:uid="{00000000-0005-0000-0000-0000DC870000}"/>
    <cellStyle name="Normal 57 4 3 9 3" xfId="24759" xr:uid="{00000000-0005-0000-0000-0000DD870000}"/>
    <cellStyle name="Normal 57 4 3 9 3 2" xfId="50312" xr:uid="{00000000-0005-0000-0000-0000DE870000}"/>
    <cellStyle name="Normal 57 4 3 9 4" xfId="31242" xr:uid="{00000000-0005-0000-0000-0000DF870000}"/>
    <cellStyle name="Normal 57 4 3_Degree data" xfId="3960" xr:uid="{00000000-0005-0000-0000-0000E0870000}"/>
    <cellStyle name="Normal 57 4 4" xfId="231" xr:uid="{00000000-0005-0000-0000-0000E1870000}"/>
    <cellStyle name="Normal 57 4 4 10" xfId="7069" xr:uid="{00000000-0005-0000-0000-0000E2870000}"/>
    <cellStyle name="Normal 57 4 4 10 2" xfId="19683" xr:uid="{00000000-0005-0000-0000-0000E3870000}"/>
    <cellStyle name="Normal 57 4 4 10 2 2" xfId="45236" xr:uid="{00000000-0005-0000-0000-0000E4870000}"/>
    <cellStyle name="Normal 57 4 4 10 3" xfId="32626" xr:uid="{00000000-0005-0000-0000-0000E5870000}"/>
    <cellStyle name="Normal 57 4 4 11" xfId="15815" xr:uid="{00000000-0005-0000-0000-0000E6870000}"/>
    <cellStyle name="Normal 57 4 4 11 2" xfId="41368" xr:uid="{00000000-0005-0000-0000-0000E7870000}"/>
    <cellStyle name="Normal 57 4 4 12" xfId="26166" xr:uid="{00000000-0005-0000-0000-0000E8870000}"/>
    <cellStyle name="Normal 57 4 4 2" xfId="554" xr:uid="{00000000-0005-0000-0000-0000E9870000}"/>
    <cellStyle name="Normal 57 4 4 2 10" xfId="26483" xr:uid="{00000000-0005-0000-0000-0000EA870000}"/>
    <cellStyle name="Normal 57 4 4 2 2" xfId="857" xr:uid="{00000000-0005-0000-0000-0000EB870000}"/>
    <cellStyle name="Normal 57 4 4 2 2 2" xfId="3342" xr:uid="{00000000-0005-0000-0000-0000EC870000}"/>
    <cellStyle name="Normal 57 4 4 2 2 2 2" xfId="12484" xr:uid="{00000000-0005-0000-0000-0000ED870000}"/>
    <cellStyle name="Normal 57 4 4 2 2 2 2 2" xfId="22703" xr:uid="{00000000-0005-0000-0000-0000EE870000}"/>
    <cellStyle name="Normal 57 4 4 2 2 2 2 2 2" xfId="48256" xr:uid="{00000000-0005-0000-0000-0000EF870000}"/>
    <cellStyle name="Normal 57 4 4 2 2 2 2 3" xfId="38039" xr:uid="{00000000-0005-0000-0000-0000F0870000}"/>
    <cellStyle name="Normal 57 4 4 2 2 2 3" xfId="8906" xr:uid="{00000000-0005-0000-0000-0000F1870000}"/>
    <cellStyle name="Normal 57 4 4 2 2 2 3 2" xfId="34463" xr:uid="{00000000-0005-0000-0000-0000F2870000}"/>
    <cellStyle name="Normal 57 4 4 2 2 2 4" xfId="17696" xr:uid="{00000000-0005-0000-0000-0000F3870000}"/>
    <cellStyle name="Normal 57 4 4 2 2 2 4 2" xfId="43249" xr:uid="{00000000-0005-0000-0000-0000F4870000}"/>
    <cellStyle name="Normal 57 4 4 2 2 2 5" xfId="29186" xr:uid="{00000000-0005-0000-0000-0000F5870000}"/>
    <cellStyle name="Normal 57 4 4 2 2 3" xfId="4671" xr:uid="{00000000-0005-0000-0000-0000F6870000}"/>
    <cellStyle name="Normal 57 4 4 2 2 3 2" xfId="13509" xr:uid="{00000000-0005-0000-0000-0000F7870000}"/>
    <cellStyle name="Normal 57 4 4 2 2 3 2 2" xfId="23760" xr:uid="{00000000-0005-0000-0000-0000F8870000}"/>
    <cellStyle name="Normal 57 4 4 2 2 3 2 2 2" xfId="49313" xr:uid="{00000000-0005-0000-0000-0000F9870000}"/>
    <cellStyle name="Normal 57 4 4 2 2 3 2 3" xfId="39064" xr:uid="{00000000-0005-0000-0000-0000FA870000}"/>
    <cellStyle name="Normal 57 4 4 2 2 3 3" xfId="9930" xr:uid="{00000000-0005-0000-0000-0000FB870000}"/>
    <cellStyle name="Normal 57 4 4 2 2 3 3 2" xfId="35487" xr:uid="{00000000-0005-0000-0000-0000FC870000}"/>
    <cellStyle name="Normal 57 4 4 2 2 3 4" xfId="18753" xr:uid="{00000000-0005-0000-0000-0000FD870000}"/>
    <cellStyle name="Normal 57 4 4 2 2 3 4 2" xfId="44306" xr:uid="{00000000-0005-0000-0000-0000FE870000}"/>
    <cellStyle name="Normal 57 4 4 2 2 3 5" xfId="30243" xr:uid="{00000000-0005-0000-0000-0000FF870000}"/>
    <cellStyle name="Normal 57 4 4 2 2 4" xfId="2451" xr:uid="{00000000-0005-0000-0000-000000880000}"/>
    <cellStyle name="Normal 57 4 4 2 2 4 2" xfId="11816" xr:uid="{00000000-0005-0000-0000-000001880000}"/>
    <cellStyle name="Normal 57 4 4 2 2 4 2 2" xfId="37371" xr:uid="{00000000-0005-0000-0000-000002880000}"/>
    <cellStyle name="Normal 57 4 4 2 2 4 3" xfId="21820" xr:uid="{00000000-0005-0000-0000-000003880000}"/>
    <cellStyle name="Normal 57 4 4 2 2 4 3 2" xfId="47373" xr:uid="{00000000-0005-0000-0000-000004880000}"/>
    <cellStyle name="Normal 57 4 4 2 2 4 4" xfId="28303" xr:uid="{00000000-0005-0000-0000-000005880000}"/>
    <cellStyle name="Normal 57 4 4 2 2 5" xfId="6127" xr:uid="{00000000-0005-0000-0000-000006880000}"/>
    <cellStyle name="Normal 57 4 4 2 2 5 2" xfId="14954" xr:uid="{00000000-0005-0000-0000-000007880000}"/>
    <cellStyle name="Normal 57 4 4 2 2 5 2 2" xfId="40509" xr:uid="{00000000-0005-0000-0000-000008880000}"/>
    <cellStyle name="Normal 57 4 4 2 2 5 3" xfId="25205" xr:uid="{00000000-0005-0000-0000-000009880000}"/>
    <cellStyle name="Normal 57 4 4 2 2 5 3 2" xfId="50758" xr:uid="{00000000-0005-0000-0000-00000A880000}"/>
    <cellStyle name="Normal 57 4 4 2 2 5 4" xfId="31688" xr:uid="{00000000-0005-0000-0000-00000B880000}"/>
    <cellStyle name="Normal 57 4 4 2 2 6" xfId="7572" xr:uid="{00000000-0005-0000-0000-00000C880000}"/>
    <cellStyle name="Normal 57 4 4 2 2 6 2" xfId="20302" xr:uid="{00000000-0005-0000-0000-00000D880000}"/>
    <cellStyle name="Normal 57 4 4 2 2 6 2 2" xfId="45855" xr:uid="{00000000-0005-0000-0000-00000E880000}"/>
    <cellStyle name="Normal 57 4 4 2 2 6 3" xfId="33129" xr:uid="{00000000-0005-0000-0000-00000F880000}"/>
    <cellStyle name="Normal 57 4 4 2 2 7" xfId="16813" xr:uid="{00000000-0005-0000-0000-000010880000}"/>
    <cellStyle name="Normal 57 4 4 2 2 7 2" xfId="42366" xr:uid="{00000000-0005-0000-0000-000011880000}"/>
    <cellStyle name="Normal 57 4 4 2 2 8" xfId="26785" xr:uid="{00000000-0005-0000-0000-000012880000}"/>
    <cellStyle name="Normal 57 4 4 2 3" xfId="1326" xr:uid="{00000000-0005-0000-0000-000013880000}"/>
    <cellStyle name="Normal 57 4 4 2 3 2" xfId="3755" xr:uid="{00000000-0005-0000-0000-000014880000}"/>
    <cellStyle name="Normal 57 4 4 2 3 2 2" xfId="12891" xr:uid="{00000000-0005-0000-0000-000015880000}"/>
    <cellStyle name="Normal 57 4 4 2 3 2 2 2" xfId="23110" xr:uid="{00000000-0005-0000-0000-000016880000}"/>
    <cellStyle name="Normal 57 4 4 2 3 2 2 2 2" xfId="48663" xr:uid="{00000000-0005-0000-0000-000017880000}"/>
    <cellStyle name="Normal 57 4 4 2 3 2 2 3" xfId="38446" xr:uid="{00000000-0005-0000-0000-000018880000}"/>
    <cellStyle name="Normal 57 4 4 2 3 2 3" xfId="9312" xr:uid="{00000000-0005-0000-0000-000019880000}"/>
    <cellStyle name="Normal 57 4 4 2 3 2 3 2" xfId="34869" xr:uid="{00000000-0005-0000-0000-00001A880000}"/>
    <cellStyle name="Normal 57 4 4 2 3 2 4" xfId="18103" xr:uid="{00000000-0005-0000-0000-00001B880000}"/>
    <cellStyle name="Normal 57 4 4 2 3 2 4 2" xfId="43656" xr:uid="{00000000-0005-0000-0000-00001C880000}"/>
    <cellStyle name="Normal 57 4 4 2 3 2 5" xfId="29593" xr:uid="{00000000-0005-0000-0000-00001D880000}"/>
    <cellStyle name="Normal 57 4 4 2 3 3" xfId="5020" xr:uid="{00000000-0005-0000-0000-00001E880000}"/>
    <cellStyle name="Normal 57 4 4 2 3 3 2" xfId="13857" xr:uid="{00000000-0005-0000-0000-00001F880000}"/>
    <cellStyle name="Normal 57 4 4 2 3 3 2 2" xfId="24108" xr:uid="{00000000-0005-0000-0000-000020880000}"/>
    <cellStyle name="Normal 57 4 4 2 3 3 2 2 2" xfId="49661" xr:uid="{00000000-0005-0000-0000-000021880000}"/>
    <cellStyle name="Normal 57 4 4 2 3 3 2 3" xfId="39412" xr:uid="{00000000-0005-0000-0000-000022880000}"/>
    <cellStyle name="Normal 57 4 4 2 3 3 3" xfId="10278" xr:uid="{00000000-0005-0000-0000-000023880000}"/>
    <cellStyle name="Normal 57 4 4 2 3 3 3 2" xfId="35835" xr:uid="{00000000-0005-0000-0000-000024880000}"/>
    <cellStyle name="Normal 57 4 4 2 3 3 4" xfId="19101" xr:uid="{00000000-0005-0000-0000-000025880000}"/>
    <cellStyle name="Normal 57 4 4 2 3 3 4 2" xfId="44654" xr:uid="{00000000-0005-0000-0000-000026880000}"/>
    <cellStyle name="Normal 57 4 4 2 3 3 5" xfId="30591" xr:uid="{00000000-0005-0000-0000-000027880000}"/>
    <cellStyle name="Normal 57 4 4 2 3 4" xfId="2149" xr:uid="{00000000-0005-0000-0000-000028880000}"/>
    <cellStyle name="Normal 57 4 4 2 3 4 2" xfId="11514" xr:uid="{00000000-0005-0000-0000-000029880000}"/>
    <cellStyle name="Normal 57 4 4 2 3 4 2 2" xfId="37069" xr:uid="{00000000-0005-0000-0000-00002A880000}"/>
    <cellStyle name="Normal 57 4 4 2 3 4 3" xfId="21518" xr:uid="{00000000-0005-0000-0000-00002B880000}"/>
    <cellStyle name="Normal 57 4 4 2 3 4 3 2" xfId="47071" xr:uid="{00000000-0005-0000-0000-00002C880000}"/>
    <cellStyle name="Normal 57 4 4 2 3 4 4" xfId="28001" xr:uid="{00000000-0005-0000-0000-00002D880000}"/>
    <cellStyle name="Normal 57 4 4 2 3 5" xfId="6475" xr:uid="{00000000-0005-0000-0000-00002E880000}"/>
    <cellStyle name="Normal 57 4 4 2 3 5 2" xfId="15302" xr:uid="{00000000-0005-0000-0000-00002F880000}"/>
    <cellStyle name="Normal 57 4 4 2 3 5 2 2" xfId="40857" xr:uid="{00000000-0005-0000-0000-000030880000}"/>
    <cellStyle name="Normal 57 4 4 2 3 5 3" xfId="25553" xr:uid="{00000000-0005-0000-0000-000031880000}"/>
    <cellStyle name="Normal 57 4 4 2 3 5 3 2" xfId="51106" xr:uid="{00000000-0005-0000-0000-000032880000}"/>
    <cellStyle name="Normal 57 4 4 2 3 5 4" xfId="32036" xr:uid="{00000000-0005-0000-0000-000033880000}"/>
    <cellStyle name="Normal 57 4 4 2 3 6" xfId="7921" xr:uid="{00000000-0005-0000-0000-000034880000}"/>
    <cellStyle name="Normal 57 4 4 2 3 6 2" xfId="20709" xr:uid="{00000000-0005-0000-0000-000035880000}"/>
    <cellStyle name="Normal 57 4 4 2 3 6 2 2" xfId="46262" xr:uid="{00000000-0005-0000-0000-000036880000}"/>
    <cellStyle name="Normal 57 4 4 2 3 6 3" xfId="33478" xr:uid="{00000000-0005-0000-0000-000037880000}"/>
    <cellStyle name="Normal 57 4 4 2 3 7" xfId="16511" xr:uid="{00000000-0005-0000-0000-000038880000}"/>
    <cellStyle name="Normal 57 4 4 2 3 7 2" xfId="42064" xr:uid="{00000000-0005-0000-0000-000039880000}"/>
    <cellStyle name="Normal 57 4 4 2 3 8" xfId="27192" xr:uid="{00000000-0005-0000-0000-00003A880000}"/>
    <cellStyle name="Normal 57 4 4 2 4" xfId="3040" xr:uid="{00000000-0005-0000-0000-00003B880000}"/>
    <cellStyle name="Normal 57 4 4 2 4 2" xfId="5418" xr:uid="{00000000-0005-0000-0000-00003C880000}"/>
    <cellStyle name="Normal 57 4 4 2 4 2 2" xfId="14255" xr:uid="{00000000-0005-0000-0000-00003D880000}"/>
    <cellStyle name="Normal 57 4 4 2 4 2 2 2" xfId="24506" xr:uid="{00000000-0005-0000-0000-00003E880000}"/>
    <cellStyle name="Normal 57 4 4 2 4 2 2 2 2" xfId="50059" xr:uid="{00000000-0005-0000-0000-00003F880000}"/>
    <cellStyle name="Normal 57 4 4 2 4 2 2 3" xfId="39810" xr:uid="{00000000-0005-0000-0000-000040880000}"/>
    <cellStyle name="Normal 57 4 4 2 4 2 3" xfId="10676" xr:uid="{00000000-0005-0000-0000-000041880000}"/>
    <cellStyle name="Normal 57 4 4 2 4 2 3 2" xfId="36233" xr:uid="{00000000-0005-0000-0000-000042880000}"/>
    <cellStyle name="Normal 57 4 4 2 4 2 4" xfId="19499" xr:uid="{00000000-0005-0000-0000-000043880000}"/>
    <cellStyle name="Normal 57 4 4 2 4 2 4 2" xfId="45052" xr:uid="{00000000-0005-0000-0000-000044880000}"/>
    <cellStyle name="Normal 57 4 4 2 4 2 5" xfId="30989" xr:uid="{00000000-0005-0000-0000-000045880000}"/>
    <cellStyle name="Normal 57 4 4 2 4 3" xfId="6873" xr:uid="{00000000-0005-0000-0000-000046880000}"/>
    <cellStyle name="Normal 57 4 4 2 4 3 2" xfId="15700" xr:uid="{00000000-0005-0000-0000-000047880000}"/>
    <cellStyle name="Normal 57 4 4 2 4 3 2 2" xfId="41255" xr:uid="{00000000-0005-0000-0000-000048880000}"/>
    <cellStyle name="Normal 57 4 4 2 4 3 3" xfId="25951" xr:uid="{00000000-0005-0000-0000-000049880000}"/>
    <cellStyle name="Normal 57 4 4 2 4 3 3 2" xfId="51504" xr:uid="{00000000-0005-0000-0000-00004A880000}"/>
    <cellStyle name="Normal 57 4 4 2 4 3 4" xfId="32434" xr:uid="{00000000-0005-0000-0000-00004B880000}"/>
    <cellStyle name="Normal 57 4 4 2 4 4" xfId="8319" xr:uid="{00000000-0005-0000-0000-00004C880000}"/>
    <cellStyle name="Normal 57 4 4 2 4 4 2" xfId="22401" xr:uid="{00000000-0005-0000-0000-00004D880000}"/>
    <cellStyle name="Normal 57 4 4 2 4 4 2 2" xfId="47954" xr:uid="{00000000-0005-0000-0000-00004E880000}"/>
    <cellStyle name="Normal 57 4 4 2 4 4 3" xfId="33876" xr:uid="{00000000-0005-0000-0000-00004F880000}"/>
    <cellStyle name="Normal 57 4 4 2 4 5" xfId="17394" xr:uid="{00000000-0005-0000-0000-000050880000}"/>
    <cellStyle name="Normal 57 4 4 2 4 5 2" xfId="42947" xr:uid="{00000000-0005-0000-0000-000051880000}"/>
    <cellStyle name="Normal 57 4 4 2 4 6" xfId="28884" xr:uid="{00000000-0005-0000-0000-000052880000}"/>
    <cellStyle name="Normal 57 4 4 2 5" xfId="4374" xr:uid="{00000000-0005-0000-0000-000053880000}"/>
    <cellStyle name="Normal 57 4 4 2 5 2" xfId="13212" xr:uid="{00000000-0005-0000-0000-000054880000}"/>
    <cellStyle name="Normal 57 4 4 2 5 2 2" xfId="23463" xr:uid="{00000000-0005-0000-0000-000055880000}"/>
    <cellStyle name="Normal 57 4 4 2 5 2 2 2" xfId="49016" xr:uid="{00000000-0005-0000-0000-000056880000}"/>
    <cellStyle name="Normal 57 4 4 2 5 2 3" xfId="38767" xr:uid="{00000000-0005-0000-0000-000057880000}"/>
    <cellStyle name="Normal 57 4 4 2 5 3" xfId="9633" xr:uid="{00000000-0005-0000-0000-000058880000}"/>
    <cellStyle name="Normal 57 4 4 2 5 3 2" xfId="35190" xr:uid="{00000000-0005-0000-0000-000059880000}"/>
    <cellStyle name="Normal 57 4 4 2 5 4" xfId="18456" xr:uid="{00000000-0005-0000-0000-00005A880000}"/>
    <cellStyle name="Normal 57 4 4 2 5 4 2" xfId="44009" xr:uid="{00000000-0005-0000-0000-00005B880000}"/>
    <cellStyle name="Normal 57 4 4 2 5 5" xfId="29946" xr:uid="{00000000-0005-0000-0000-00005C880000}"/>
    <cellStyle name="Normal 57 4 4 2 6" xfId="1646" xr:uid="{00000000-0005-0000-0000-00005D880000}"/>
    <cellStyle name="Normal 57 4 4 2 6 2" xfId="11023" xr:uid="{00000000-0005-0000-0000-00005E880000}"/>
    <cellStyle name="Normal 57 4 4 2 6 2 2" xfId="36578" xr:uid="{00000000-0005-0000-0000-00005F880000}"/>
    <cellStyle name="Normal 57 4 4 2 6 3" xfId="21027" xr:uid="{00000000-0005-0000-0000-000060880000}"/>
    <cellStyle name="Normal 57 4 4 2 6 3 2" xfId="46580" xr:uid="{00000000-0005-0000-0000-000061880000}"/>
    <cellStyle name="Normal 57 4 4 2 6 4" xfId="27510" xr:uid="{00000000-0005-0000-0000-000062880000}"/>
    <cellStyle name="Normal 57 4 4 2 7" xfId="5830" xr:uid="{00000000-0005-0000-0000-000063880000}"/>
    <cellStyle name="Normal 57 4 4 2 7 2" xfId="14657" xr:uid="{00000000-0005-0000-0000-000064880000}"/>
    <cellStyle name="Normal 57 4 4 2 7 2 2" xfId="40212" xr:uid="{00000000-0005-0000-0000-000065880000}"/>
    <cellStyle name="Normal 57 4 4 2 7 3" xfId="24908" xr:uid="{00000000-0005-0000-0000-000066880000}"/>
    <cellStyle name="Normal 57 4 4 2 7 3 2" xfId="50461" xr:uid="{00000000-0005-0000-0000-000067880000}"/>
    <cellStyle name="Normal 57 4 4 2 7 4" xfId="31391" xr:uid="{00000000-0005-0000-0000-000068880000}"/>
    <cellStyle name="Normal 57 4 4 2 8" xfId="7274" xr:uid="{00000000-0005-0000-0000-000069880000}"/>
    <cellStyle name="Normal 57 4 4 2 8 2" xfId="20000" xr:uid="{00000000-0005-0000-0000-00006A880000}"/>
    <cellStyle name="Normal 57 4 4 2 8 2 2" xfId="45553" xr:uid="{00000000-0005-0000-0000-00006B880000}"/>
    <cellStyle name="Normal 57 4 4 2 8 3" xfId="32831" xr:uid="{00000000-0005-0000-0000-00006C880000}"/>
    <cellStyle name="Normal 57 4 4 2 9" xfId="16020" xr:uid="{00000000-0005-0000-0000-00006D880000}"/>
    <cellStyle name="Normal 57 4 4 2 9 2" xfId="41573" xr:uid="{00000000-0005-0000-0000-00006E880000}"/>
    <cellStyle name="Normal 57 4 4 2_Degree data" xfId="3963" xr:uid="{00000000-0005-0000-0000-00006F880000}"/>
    <cellStyle name="Normal 57 4 4 3" xfId="349" xr:uid="{00000000-0005-0000-0000-000070880000}"/>
    <cellStyle name="Normal 57 4 4 3 2" xfId="2835" xr:uid="{00000000-0005-0000-0000-000071880000}"/>
    <cellStyle name="Normal 57 4 4 3 2 2" xfId="12123" xr:uid="{00000000-0005-0000-0000-000072880000}"/>
    <cellStyle name="Normal 57 4 4 3 2 2 2" xfId="22196" xr:uid="{00000000-0005-0000-0000-000073880000}"/>
    <cellStyle name="Normal 57 4 4 3 2 2 2 2" xfId="47749" xr:uid="{00000000-0005-0000-0000-000074880000}"/>
    <cellStyle name="Normal 57 4 4 3 2 2 3" xfId="37678" xr:uid="{00000000-0005-0000-0000-000075880000}"/>
    <cellStyle name="Normal 57 4 4 3 2 3" xfId="8618" xr:uid="{00000000-0005-0000-0000-000076880000}"/>
    <cellStyle name="Normal 57 4 4 3 2 3 2" xfId="34175" xr:uid="{00000000-0005-0000-0000-000077880000}"/>
    <cellStyle name="Normal 57 4 4 3 2 4" xfId="17189" xr:uid="{00000000-0005-0000-0000-000078880000}"/>
    <cellStyle name="Normal 57 4 4 3 2 4 2" xfId="42742" xr:uid="{00000000-0005-0000-0000-000079880000}"/>
    <cellStyle name="Normal 57 4 4 3 2 5" xfId="28679" xr:uid="{00000000-0005-0000-0000-00007A880000}"/>
    <cellStyle name="Normal 57 4 4 3 3" xfId="4670" xr:uid="{00000000-0005-0000-0000-00007B880000}"/>
    <cellStyle name="Normal 57 4 4 3 3 2" xfId="13508" xr:uid="{00000000-0005-0000-0000-00007C880000}"/>
    <cellStyle name="Normal 57 4 4 3 3 2 2" xfId="23759" xr:uid="{00000000-0005-0000-0000-00007D880000}"/>
    <cellStyle name="Normal 57 4 4 3 3 2 2 2" xfId="49312" xr:uid="{00000000-0005-0000-0000-00007E880000}"/>
    <cellStyle name="Normal 57 4 4 3 3 2 3" xfId="39063" xr:uid="{00000000-0005-0000-0000-00007F880000}"/>
    <cellStyle name="Normal 57 4 4 3 3 3" xfId="9929" xr:uid="{00000000-0005-0000-0000-000080880000}"/>
    <cellStyle name="Normal 57 4 4 3 3 3 2" xfId="35486" xr:uid="{00000000-0005-0000-0000-000081880000}"/>
    <cellStyle name="Normal 57 4 4 3 3 4" xfId="18752" xr:uid="{00000000-0005-0000-0000-000082880000}"/>
    <cellStyle name="Normal 57 4 4 3 3 4 2" xfId="44305" xr:uid="{00000000-0005-0000-0000-000083880000}"/>
    <cellStyle name="Normal 57 4 4 3 3 5" xfId="30242" xr:uid="{00000000-0005-0000-0000-000084880000}"/>
    <cellStyle name="Normal 57 4 4 3 4" xfId="1944" xr:uid="{00000000-0005-0000-0000-000085880000}"/>
    <cellStyle name="Normal 57 4 4 3 4 2" xfId="11309" xr:uid="{00000000-0005-0000-0000-000086880000}"/>
    <cellStyle name="Normal 57 4 4 3 4 2 2" xfId="36864" xr:uid="{00000000-0005-0000-0000-000087880000}"/>
    <cellStyle name="Normal 57 4 4 3 4 3" xfId="21313" xr:uid="{00000000-0005-0000-0000-000088880000}"/>
    <cellStyle name="Normal 57 4 4 3 4 3 2" xfId="46866" xr:uid="{00000000-0005-0000-0000-000089880000}"/>
    <cellStyle name="Normal 57 4 4 3 4 4" xfId="27796" xr:uid="{00000000-0005-0000-0000-00008A880000}"/>
    <cellStyle name="Normal 57 4 4 3 5" xfId="6126" xr:uid="{00000000-0005-0000-0000-00008B880000}"/>
    <cellStyle name="Normal 57 4 4 3 5 2" xfId="14953" xr:uid="{00000000-0005-0000-0000-00008C880000}"/>
    <cellStyle name="Normal 57 4 4 3 5 2 2" xfId="40508" xr:uid="{00000000-0005-0000-0000-00008D880000}"/>
    <cellStyle name="Normal 57 4 4 3 5 3" xfId="25204" xr:uid="{00000000-0005-0000-0000-00008E880000}"/>
    <cellStyle name="Normal 57 4 4 3 5 3 2" xfId="50757" xr:uid="{00000000-0005-0000-0000-00008F880000}"/>
    <cellStyle name="Normal 57 4 4 3 5 4" xfId="31687" xr:uid="{00000000-0005-0000-0000-000090880000}"/>
    <cellStyle name="Normal 57 4 4 3 6" xfId="7571" xr:uid="{00000000-0005-0000-0000-000091880000}"/>
    <cellStyle name="Normal 57 4 4 3 6 2" xfId="19795" xr:uid="{00000000-0005-0000-0000-000092880000}"/>
    <cellStyle name="Normal 57 4 4 3 6 2 2" xfId="45348" xr:uid="{00000000-0005-0000-0000-000093880000}"/>
    <cellStyle name="Normal 57 4 4 3 6 3" xfId="33128" xr:uid="{00000000-0005-0000-0000-000094880000}"/>
    <cellStyle name="Normal 57 4 4 3 7" xfId="16306" xr:uid="{00000000-0005-0000-0000-000095880000}"/>
    <cellStyle name="Normal 57 4 4 3 7 2" xfId="41859" xr:uid="{00000000-0005-0000-0000-000096880000}"/>
    <cellStyle name="Normal 57 4 4 3 8" xfId="26278" xr:uid="{00000000-0005-0000-0000-000097880000}"/>
    <cellStyle name="Normal 57 4 4 4" xfId="856" xr:uid="{00000000-0005-0000-0000-000098880000}"/>
    <cellStyle name="Normal 57 4 4 4 2" xfId="3341" xr:uid="{00000000-0005-0000-0000-000099880000}"/>
    <cellStyle name="Normal 57 4 4 4 2 2" xfId="12483" xr:uid="{00000000-0005-0000-0000-00009A880000}"/>
    <cellStyle name="Normal 57 4 4 4 2 2 2" xfId="22702" xr:uid="{00000000-0005-0000-0000-00009B880000}"/>
    <cellStyle name="Normal 57 4 4 4 2 2 2 2" xfId="48255" xr:uid="{00000000-0005-0000-0000-00009C880000}"/>
    <cellStyle name="Normal 57 4 4 4 2 2 3" xfId="38038" xr:uid="{00000000-0005-0000-0000-00009D880000}"/>
    <cellStyle name="Normal 57 4 4 4 2 3" xfId="8905" xr:uid="{00000000-0005-0000-0000-00009E880000}"/>
    <cellStyle name="Normal 57 4 4 4 2 3 2" xfId="34462" xr:uid="{00000000-0005-0000-0000-00009F880000}"/>
    <cellStyle name="Normal 57 4 4 4 2 4" xfId="17695" xr:uid="{00000000-0005-0000-0000-0000A0880000}"/>
    <cellStyle name="Normal 57 4 4 4 2 4 2" xfId="43248" xr:uid="{00000000-0005-0000-0000-0000A1880000}"/>
    <cellStyle name="Normal 57 4 4 4 2 5" xfId="29185" xr:uid="{00000000-0005-0000-0000-0000A2880000}"/>
    <cellStyle name="Normal 57 4 4 4 3" xfId="5019" xr:uid="{00000000-0005-0000-0000-0000A3880000}"/>
    <cellStyle name="Normal 57 4 4 4 3 2" xfId="13856" xr:uid="{00000000-0005-0000-0000-0000A4880000}"/>
    <cellStyle name="Normal 57 4 4 4 3 2 2" xfId="24107" xr:uid="{00000000-0005-0000-0000-0000A5880000}"/>
    <cellStyle name="Normal 57 4 4 4 3 2 2 2" xfId="49660" xr:uid="{00000000-0005-0000-0000-0000A6880000}"/>
    <cellStyle name="Normal 57 4 4 4 3 2 3" xfId="39411" xr:uid="{00000000-0005-0000-0000-0000A7880000}"/>
    <cellStyle name="Normal 57 4 4 4 3 3" xfId="10277" xr:uid="{00000000-0005-0000-0000-0000A8880000}"/>
    <cellStyle name="Normal 57 4 4 4 3 3 2" xfId="35834" xr:uid="{00000000-0005-0000-0000-0000A9880000}"/>
    <cellStyle name="Normal 57 4 4 4 3 4" xfId="19100" xr:uid="{00000000-0005-0000-0000-0000AA880000}"/>
    <cellStyle name="Normal 57 4 4 4 3 4 2" xfId="44653" xr:uid="{00000000-0005-0000-0000-0000AB880000}"/>
    <cellStyle name="Normal 57 4 4 4 3 5" xfId="30590" xr:uid="{00000000-0005-0000-0000-0000AC880000}"/>
    <cellStyle name="Normal 57 4 4 4 4" xfId="2450" xr:uid="{00000000-0005-0000-0000-0000AD880000}"/>
    <cellStyle name="Normal 57 4 4 4 4 2" xfId="11815" xr:uid="{00000000-0005-0000-0000-0000AE880000}"/>
    <cellStyle name="Normal 57 4 4 4 4 2 2" xfId="37370" xr:uid="{00000000-0005-0000-0000-0000AF880000}"/>
    <cellStyle name="Normal 57 4 4 4 4 3" xfId="21819" xr:uid="{00000000-0005-0000-0000-0000B0880000}"/>
    <cellStyle name="Normal 57 4 4 4 4 3 2" xfId="47372" xr:uid="{00000000-0005-0000-0000-0000B1880000}"/>
    <cellStyle name="Normal 57 4 4 4 4 4" xfId="28302" xr:uid="{00000000-0005-0000-0000-0000B2880000}"/>
    <cellStyle name="Normal 57 4 4 4 5" xfId="6474" xr:uid="{00000000-0005-0000-0000-0000B3880000}"/>
    <cellStyle name="Normal 57 4 4 4 5 2" xfId="15301" xr:uid="{00000000-0005-0000-0000-0000B4880000}"/>
    <cellStyle name="Normal 57 4 4 4 5 2 2" xfId="40856" xr:uid="{00000000-0005-0000-0000-0000B5880000}"/>
    <cellStyle name="Normal 57 4 4 4 5 3" xfId="25552" xr:uid="{00000000-0005-0000-0000-0000B6880000}"/>
    <cellStyle name="Normal 57 4 4 4 5 3 2" xfId="51105" xr:uid="{00000000-0005-0000-0000-0000B7880000}"/>
    <cellStyle name="Normal 57 4 4 4 5 4" xfId="32035" xr:uid="{00000000-0005-0000-0000-0000B8880000}"/>
    <cellStyle name="Normal 57 4 4 4 6" xfId="7920" xr:uid="{00000000-0005-0000-0000-0000B9880000}"/>
    <cellStyle name="Normal 57 4 4 4 6 2" xfId="20301" xr:uid="{00000000-0005-0000-0000-0000BA880000}"/>
    <cellStyle name="Normal 57 4 4 4 6 2 2" xfId="45854" xr:uid="{00000000-0005-0000-0000-0000BB880000}"/>
    <cellStyle name="Normal 57 4 4 4 6 3" xfId="33477" xr:uid="{00000000-0005-0000-0000-0000BC880000}"/>
    <cellStyle name="Normal 57 4 4 4 7" xfId="16812" xr:uid="{00000000-0005-0000-0000-0000BD880000}"/>
    <cellStyle name="Normal 57 4 4 4 7 2" xfId="42365" xr:uid="{00000000-0005-0000-0000-0000BE880000}"/>
    <cellStyle name="Normal 57 4 4 4 8" xfId="26784" xr:uid="{00000000-0005-0000-0000-0000BF880000}"/>
    <cellStyle name="Normal 57 4 4 5" xfId="1121" xr:uid="{00000000-0005-0000-0000-0000C0880000}"/>
    <cellStyle name="Normal 57 4 4 5 2" xfId="3550" xr:uid="{00000000-0005-0000-0000-0000C1880000}"/>
    <cellStyle name="Normal 57 4 4 5 2 2" xfId="12686" xr:uid="{00000000-0005-0000-0000-0000C2880000}"/>
    <cellStyle name="Normal 57 4 4 5 2 2 2" xfId="22905" xr:uid="{00000000-0005-0000-0000-0000C3880000}"/>
    <cellStyle name="Normal 57 4 4 5 2 2 2 2" xfId="48458" xr:uid="{00000000-0005-0000-0000-0000C4880000}"/>
    <cellStyle name="Normal 57 4 4 5 2 2 3" xfId="38241" xr:uid="{00000000-0005-0000-0000-0000C5880000}"/>
    <cellStyle name="Normal 57 4 4 5 2 3" xfId="9107" xr:uid="{00000000-0005-0000-0000-0000C6880000}"/>
    <cellStyle name="Normal 57 4 4 5 2 3 2" xfId="34664" xr:uid="{00000000-0005-0000-0000-0000C7880000}"/>
    <cellStyle name="Normal 57 4 4 5 2 4" xfId="17898" xr:uid="{00000000-0005-0000-0000-0000C8880000}"/>
    <cellStyle name="Normal 57 4 4 5 2 4 2" xfId="43451" xr:uid="{00000000-0005-0000-0000-0000C9880000}"/>
    <cellStyle name="Normal 57 4 4 5 2 5" xfId="29388" xr:uid="{00000000-0005-0000-0000-0000CA880000}"/>
    <cellStyle name="Normal 57 4 4 5 3" xfId="5213" xr:uid="{00000000-0005-0000-0000-0000CB880000}"/>
    <cellStyle name="Normal 57 4 4 5 3 2" xfId="14050" xr:uid="{00000000-0005-0000-0000-0000CC880000}"/>
    <cellStyle name="Normal 57 4 4 5 3 2 2" xfId="24301" xr:uid="{00000000-0005-0000-0000-0000CD880000}"/>
    <cellStyle name="Normal 57 4 4 5 3 2 2 2" xfId="49854" xr:uid="{00000000-0005-0000-0000-0000CE880000}"/>
    <cellStyle name="Normal 57 4 4 5 3 2 3" xfId="39605" xr:uid="{00000000-0005-0000-0000-0000CF880000}"/>
    <cellStyle name="Normal 57 4 4 5 3 3" xfId="10471" xr:uid="{00000000-0005-0000-0000-0000D0880000}"/>
    <cellStyle name="Normal 57 4 4 5 3 3 2" xfId="36028" xr:uid="{00000000-0005-0000-0000-0000D1880000}"/>
    <cellStyle name="Normal 57 4 4 5 3 4" xfId="19294" xr:uid="{00000000-0005-0000-0000-0000D2880000}"/>
    <cellStyle name="Normal 57 4 4 5 3 4 2" xfId="44847" xr:uid="{00000000-0005-0000-0000-0000D3880000}"/>
    <cellStyle name="Normal 57 4 4 5 3 5" xfId="30784" xr:uid="{00000000-0005-0000-0000-0000D4880000}"/>
    <cellStyle name="Normal 57 4 4 5 4" xfId="1829" xr:uid="{00000000-0005-0000-0000-0000D5880000}"/>
    <cellStyle name="Normal 57 4 4 5 4 2" xfId="11197" xr:uid="{00000000-0005-0000-0000-0000D6880000}"/>
    <cellStyle name="Normal 57 4 4 5 4 2 2" xfId="36752" xr:uid="{00000000-0005-0000-0000-0000D7880000}"/>
    <cellStyle name="Normal 57 4 4 5 4 3" xfId="21201" xr:uid="{00000000-0005-0000-0000-0000D8880000}"/>
    <cellStyle name="Normal 57 4 4 5 4 3 2" xfId="46754" xr:uid="{00000000-0005-0000-0000-0000D9880000}"/>
    <cellStyle name="Normal 57 4 4 5 4 4" xfId="27684" xr:uid="{00000000-0005-0000-0000-0000DA880000}"/>
    <cellStyle name="Normal 57 4 4 5 5" xfId="6668" xr:uid="{00000000-0005-0000-0000-0000DB880000}"/>
    <cellStyle name="Normal 57 4 4 5 5 2" xfId="15495" xr:uid="{00000000-0005-0000-0000-0000DC880000}"/>
    <cellStyle name="Normal 57 4 4 5 5 2 2" xfId="41050" xr:uid="{00000000-0005-0000-0000-0000DD880000}"/>
    <cellStyle name="Normal 57 4 4 5 5 3" xfId="25746" xr:uid="{00000000-0005-0000-0000-0000DE880000}"/>
    <cellStyle name="Normal 57 4 4 5 5 3 2" xfId="51299" xr:uid="{00000000-0005-0000-0000-0000DF880000}"/>
    <cellStyle name="Normal 57 4 4 5 5 4" xfId="32229" xr:uid="{00000000-0005-0000-0000-0000E0880000}"/>
    <cellStyle name="Normal 57 4 4 5 6" xfId="8114" xr:uid="{00000000-0005-0000-0000-0000E1880000}"/>
    <cellStyle name="Normal 57 4 4 5 6 2" xfId="20504" xr:uid="{00000000-0005-0000-0000-0000E2880000}"/>
    <cellStyle name="Normal 57 4 4 5 6 2 2" xfId="46057" xr:uid="{00000000-0005-0000-0000-0000E3880000}"/>
    <cellStyle name="Normal 57 4 4 5 6 3" xfId="33671" xr:uid="{00000000-0005-0000-0000-0000E4880000}"/>
    <cellStyle name="Normal 57 4 4 5 7" xfId="16194" xr:uid="{00000000-0005-0000-0000-0000E5880000}"/>
    <cellStyle name="Normal 57 4 4 5 7 2" xfId="41747" xr:uid="{00000000-0005-0000-0000-0000E6880000}"/>
    <cellStyle name="Normal 57 4 4 5 8" xfId="26987" xr:uid="{00000000-0005-0000-0000-0000E7880000}"/>
    <cellStyle name="Normal 57 4 4 6" xfId="2723" xr:uid="{00000000-0005-0000-0000-0000E8880000}"/>
    <cellStyle name="Normal 57 4 4 6 2" xfId="12040" xr:uid="{00000000-0005-0000-0000-0000E9880000}"/>
    <cellStyle name="Normal 57 4 4 6 2 2" xfId="22084" xr:uid="{00000000-0005-0000-0000-0000EA880000}"/>
    <cellStyle name="Normal 57 4 4 6 2 2 2" xfId="47637" xr:uid="{00000000-0005-0000-0000-0000EB880000}"/>
    <cellStyle name="Normal 57 4 4 6 2 3" xfId="37595" xr:uid="{00000000-0005-0000-0000-0000EC880000}"/>
    <cellStyle name="Normal 57 4 4 6 3" xfId="8488" xr:uid="{00000000-0005-0000-0000-0000ED880000}"/>
    <cellStyle name="Normal 57 4 4 6 3 2" xfId="34045" xr:uid="{00000000-0005-0000-0000-0000EE880000}"/>
    <cellStyle name="Normal 57 4 4 6 4" xfId="17077" xr:uid="{00000000-0005-0000-0000-0000EF880000}"/>
    <cellStyle name="Normal 57 4 4 6 4 2" xfId="42630" xr:uid="{00000000-0005-0000-0000-0000F0880000}"/>
    <cellStyle name="Normal 57 4 4 6 5" xfId="28567" xr:uid="{00000000-0005-0000-0000-0000F1880000}"/>
    <cellStyle name="Normal 57 4 4 7" xfId="4169" xr:uid="{00000000-0005-0000-0000-0000F2880000}"/>
    <cellStyle name="Normal 57 4 4 7 2" xfId="13007" xr:uid="{00000000-0005-0000-0000-0000F3880000}"/>
    <cellStyle name="Normal 57 4 4 7 2 2" xfId="23258" xr:uid="{00000000-0005-0000-0000-0000F4880000}"/>
    <cellStyle name="Normal 57 4 4 7 2 2 2" xfId="48811" xr:uid="{00000000-0005-0000-0000-0000F5880000}"/>
    <cellStyle name="Normal 57 4 4 7 2 3" xfId="38562" xr:uid="{00000000-0005-0000-0000-0000F6880000}"/>
    <cellStyle name="Normal 57 4 4 7 3" xfId="9428" xr:uid="{00000000-0005-0000-0000-0000F7880000}"/>
    <cellStyle name="Normal 57 4 4 7 3 2" xfId="34985" xr:uid="{00000000-0005-0000-0000-0000F8880000}"/>
    <cellStyle name="Normal 57 4 4 7 4" xfId="18251" xr:uid="{00000000-0005-0000-0000-0000F9880000}"/>
    <cellStyle name="Normal 57 4 4 7 4 2" xfId="43804" xr:uid="{00000000-0005-0000-0000-0000FA880000}"/>
    <cellStyle name="Normal 57 4 4 7 5" xfId="29741" xr:uid="{00000000-0005-0000-0000-0000FB880000}"/>
    <cellStyle name="Normal 57 4 4 8" xfId="1441" xr:uid="{00000000-0005-0000-0000-0000FC880000}"/>
    <cellStyle name="Normal 57 4 4 8 2" xfId="10818" xr:uid="{00000000-0005-0000-0000-0000FD880000}"/>
    <cellStyle name="Normal 57 4 4 8 2 2" xfId="36373" xr:uid="{00000000-0005-0000-0000-0000FE880000}"/>
    <cellStyle name="Normal 57 4 4 8 3" xfId="20822" xr:uid="{00000000-0005-0000-0000-0000FF880000}"/>
    <cellStyle name="Normal 57 4 4 8 3 2" xfId="46375" xr:uid="{00000000-0005-0000-0000-000000890000}"/>
    <cellStyle name="Normal 57 4 4 8 4" xfId="27305" xr:uid="{00000000-0005-0000-0000-000001890000}"/>
    <cellStyle name="Normal 57 4 4 9" xfId="5625" xr:uid="{00000000-0005-0000-0000-000002890000}"/>
    <cellStyle name="Normal 57 4 4 9 2" xfId="14452" xr:uid="{00000000-0005-0000-0000-000003890000}"/>
    <cellStyle name="Normal 57 4 4 9 2 2" xfId="40007" xr:uid="{00000000-0005-0000-0000-000004890000}"/>
    <cellStyle name="Normal 57 4 4 9 3" xfId="24703" xr:uid="{00000000-0005-0000-0000-000005890000}"/>
    <cellStyle name="Normal 57 4 4 9 3 2" xfId="50256" xr:uid="{00000000-0005-0000-0000-000006890000}"/>
    <cellStyle name="Normal 57 4 4 9 4" xfId="31186" xr:uid="{00000000-0005-0000-0000-000007890000}"/>
    <cellStyle name="Normal 57 4 4_Degree data" xfId="3962" xr:uid="{00000000-0005-0000-0000-000008890000}"/>
    <cellStyle name="Normal 57 4 5" xfId="449" xr:uid="{00000000-0005-0000-0000-000009890000}"/>
    <cellStyle name="Normal 57 4 5 10" xfId="26378" xr:uid="{00000000-0005-0000-0000-00000A890000}"/>
    <cellStyle name="Normal 57 4 5 2" xfId="858" xr:uid="{00000000-0005-0000-0000-00000B890000}"/>
    <cellStyle name="Normal 57 4 5 2 2" xfId="3343" xr:uid="{00000000-0005-0000-0000-00000C890000}"/>
    <cellStyle name="Normal 57 4 5 2 2 2" xfId="12485" xr:uid="{00000000-0005-0000-0000-00000D890000}"/>
    <cellStyle name="Normal 57 4 5 2 2 2 2" xfId="22704" xr:uid="{00000000-0005-0000-0000-00000E890000}"/>
    <cellStyle name="Normal 57 4 5 2 2 2 2 2" xfId="48257" xr:uid="{00000000-0005-0000-0000-00000F890000}"/>
    <cellStyle name="Normal 57 4 5 2 2 2 3" xfId="38040" xr:uid="{00000000-0005-0000-0000-000010890000}"/>
    <cellStyle name="Normal 57 4 5 2 2 3" xfId="8907" xr:uid="{00000000-0005-0000-0000-000011890000}"/>
    <cellStyle name="Normal 57 4 5 2 2 3 2" xfId="34464" xr:uid="{00000000-0005-0000-0000-000012890000}"/>
    <cellStyle name="Normal 57 4 5 2 2 4" xfId="17697" xr:uid="{00000000-0005-0000-0000-000013890000}"/>
    <cellStyle name="Normal 57 4 5 2 2 4 2" xfId="43250" xr:uid="{00000000-0005-0000-0000-000014890000}"/>
    <cellStyle name="Normal 57 4 5 2 2 5" xfId="29187" xr:uid="{00000000-0005-0000-0000-000015890000}"/>
    <cellStyle name="Normal 57 4 5 2 3" xfId="4672" xr:uid="{00000000-0005-0000-0000-000016890000}"/>
    <cellStyle name="Normal 57 4 5 2 3 2" xfId="13510" xr:uid="{00000000-0005-0000-0000-000017890000}"/>
    <cellStyle name="Normal 57 4 5 2 3 2 2" xfId="23761" xr:uid="{00000000-0005-0000-0000-000018890000}"/>
    <cellStyle name="Normal 57 4 5 2 3 2 2 2" xfId="49314" xr:uid="{00000000-0005-0000-0000-000019890000}"/>
    <cellStyle name="Normal 57 4 5 2 3 2 3" xfId="39065" xr:uid="{00000000-0005-0000-0000-00001A890000}"/>
    <cellStyle name="Normal 57 4 5 2 3 3" xfId="9931" xr:uid="{00000000-0005-0000-0000-00001B890000}"/>
    <cellStyle name="Normal 57 4 5 2 3 3 2" xfId="35488" xr:uid="{00000000-0005-0000-0000-00001C890000}"/>
    <cellStyle name="Normal 57 4 5 2 3 4" xfId="18754" xr:uid="{00000000-0005-0000-0000-00001D890000}"/>
    <cellStyle name="Normal 57 4 5 2 3 4 2" xfId="44307" xr:uid="{00000000-0005-0000-0000-00001E890000}"/>
    <cellStyle name="Normal 57 4 5 2 3 5" xfId="30244" xr:uid="{00000000-0005-0000-0000-00001F890000}"/>
    <cellStyle name="Normal 57 4 5 2 4" xfId="2452" xr:uid="{00000000-0005-0000-0000-000020890000}"/>
    <cellStyle name="Normal 57 4 5 2 4 2" xfId="11817" xr:uid="{00000000-0005-0000-0000-000021890000}"/>
    <cellStyle name="Normal 57 4 5 2 4 2 2" xfId="37372" xr:uid="{00000000-0005-0000-0000-000022890000}"/>
    <cellStyle name="Normal 57 4 5 2 4 3" xfId="21821" xr:uid="{00000000-0005-0000-0000-000023890000}"/>
    <cellStyle name="Normal 57 4 5 2 4 3 2" xfId="47374" xr:uid="{00000000-0005-0000-0000-000024890000}"/>
    <cellStyle name="Normal 57 4 5 2 4 4" xfId="28304" xr:uid="{00000000-0005-0000-0000-000025890000}"/>
    <cellStyle name="Normal 57 4 5 2 5" xfId="6128" xr:uid="{00000000-0005-0000-0000-000026890000}"/>
    <cellStyle name="Normal 57 4 5 2 5 2" xfId="14955" xr:uid="{00000000-0005-0000-0000-000027890000}"/>
    <cellStyle name="Normal 57 4 5 2 5 2 2" xfId="40510" xr:uid="{00000000-0005-0000-0000-000028890000}"/>
    <cellStyle name="Normal 57 4 5 2 5 3" xfId="25206" xr:uid="{00000000-0005-0000-0000-000029890000}"/>
    <cellStyle name="Normal 57 4 5 2 5 3 2" xfId="50759" xr:uid="{00000000-0005-0000-0000-00002A890000}"/>
    <cellStyle name="Normal 57 4 5 2 5 4" xfId="31689" xr:uid="{00000000-0005-0000-0000-00002B890000}"/>
    <cellStyle name="Normal 57 4 5 2 6" xfId="7573" xr:uid="{00000000-0005-0000-0000-00002C890000}"/>
    <cellStyle name="Normal 57 4 5 2 6 2" xfId="20303" xr:uid="{00000000-0005-0000-0000-00002D890000}"/>
    <cellStyle name="Normal 57 4 5 2 6 2 2" xfId="45856" xr:uid="{00000000-0005-0000-0000-00002E890000}"/>
    <cellStyle name="Normal 57 4 5 2 6 3" xfId="33130" xr:uid="{00000000-0005-0000-0000-00002F890000}"/>
    <cellStyle name="Normal 57 4 5 2 7" xfId="16814" xr:uid="{00000000-0005-0000-0000-000030890000}"/>
    <cellStyle name="Normal 57 4 5 2 7 2" xfId="42367" xr:uid="{00000000-0005-0000-0000-000031890000}"/>
    <cellStyle name="Normal 57 4 5 2 8" xfId="26786" xr:uid="{00000000-0005-0000-0000-000032890000}"/>
    <cellStyle name="Normal 57 4 5 3" xfId="1221" xr:uid="{00000000-0005-0000-0000-000033890000}"/>
    <cellStyle name="Normal 57 4 5 3 2" xfId="3650" xr:uid="{00000000-0005-0000-0000-000034890000}"/>
    <cellStyle name="Normal 57 4 5 3 2 2" xfId="12786" xr:uid="{00000000-0005-0000-0000-000035890000}"/>
    <cellStyle name="Normal 57 4 5 3 2 2 2" xfId="23005" xr:uid="{00000000-0005-0000-0000-000036890000}"/>
    <cellStyle name="Normal 57 4 5 3 2 2 2 2" xfId="48558" xr:uid="{00000000-0005-0000-0000-000037890000}"/>
    <cellStyle name="Normal 57 4 5 3 2 2 3" xfId="38341" xr:uid="{00000000-0005-0000-0000-000038890000}"/>
    <cellStyle name="Normal 57 4 5 3 2 3" xfId="9207" xr:uid="{00000000-0005-0000-0000-000039890000}"/>
    <cellStyle name="Normal 57 4 5 3 2 3 2" xfId="34764" xr:uid="{00000000-0005-0000-0000-00003A890000}"/>
    <cellStyle name="Normal 57 4 5 3 2 4" xfId="17998" xr:uid="{00000000-0005-0000-0000-00003B890000}"/>
    <cellStyle name="Normal 57 4 5 3 2 4 2" xfId="43551" xr:uid="{00000000-0005-0000-0000-00003C890000}"/>
    <cellStyle name="Normal 57 4 5 3 2 5" xfId="29488" xr:uid="{00000000-0005-0000-0000-00003D890000}"/>
    <cellStyle name="Normal 57 4 5 3 3" xfId="5021" xr:uid="{00000000-0005-0000-0000-00003E890000}"/>
    <cellStyle name="Normal 57 4 5 3 3 2" xfId="13858" xr:uid="{00000000-0005-0000-0000-00003F890000}"/>
    <cellStyle name="Normal 57 4 5 3 3 2 2" xfId="24109" xr:uid="{00000000-0005-0000-0000-000040890000}"/>
    <cellStyle name="Normal 57 4 5 3 3 2 2 2" xfId="49662" xr:uid="{00000000-0005-0000-0000-000041890000}"/>
    <cellStyle name="Normal 57 4 5 3 3 2 3" xfId="39413" xr:uid="{00000000-0005-0000-0000-000042890000}"/>
    <cellStyle name="Normal 57 4 5 3 3 3" xfId="10279" xr:uid="{00000000-0005-0000-0000-000043890000}"/>
    <cellStyle name="Normal 57 4 5 3 3 3 2" xfId="35836" xr:uid="{00000000-0005-0000-0000-000044890000}"/>
    <cellStyle name="Normal 57 4 5 3 3 4" xfId="19102" xr:uid="{00000000-0005-0000-0000-000045890000}"/>
    <cellStyle name="Normal 57 4 5 3 3 4 2" xfId="44655" xr:uid="{00000000-0005-0000-0000-000046890000}"/>
    <cellStyle name="Normal 57 4 5 3 3 5" xfId="30592" xr:uid="{00000000-0005-0000-0000-000047890000}"/>
    <cellStyle name="Normal 57 4 5 3 4" xfId="2044" xr:uid="{00000000-0005-0000-0000-000048890000}"/>
    <cellStyle name="Normal 57 4 5 3 4 2" xfId="11409" xr:uid="{00000000-0005-0000-0000-000049890000}"/>
    <cellStyle name="Normal 57 4 5 3 4 2 2" xfId="36964" xr:uid="{00000000-0005-0000-0000-00004A890000}"/>
    <cellStyle name="Normal 57 4 5 3 4 3" xfId="21413" xr:uid="{00000000-0005-0000-0000-00004B890000}"/>
    <cellStyle name="Normal 57 4 5 3 4 3 2" xfId="46966" xr:uid="{00000000-0005-0000-0000-00004C890000}"/>
    <cellStyle name="Normal 57 4 5 3 4 4" xfId="27896" xr:uid="{00000000-0005-0000-0000-00004D890000}"/>
    <cellStyle name="Normal 57 4 5 3 5" xfId="6476" xr:uid="{00000000-0005-0000-0000-00004E890000}"/>
    <cellStyle name="Normal 57 4 5 3 5 2" xfId="15303" xr:uid="{00000000-0005-0000-0000-00004F890000}"/>
    <cellStyle name="Normal 57 4 5 3 5 2 2" xfId="40858" xr:uid="{00000000-0005-0000-0000-000050890000}"/>
    <cellStyle name="Normal 57 4 5 3 5 3" xfId="25554" xr:uid="{00000000-0005-0000-0000-000051890000}"/>
    <cellStyle name="Normal 57 4 5 3 5 3 2" xfId="51107" xr:uid="{00000000-0005-0000-0000-000052890000}"/>
    <cellStyle name="Normal 57 4 5 3 5 4" xfId="32037" xr:uid="{00000000-0005-0000-0000-000053890000}"/>
    <cellStyle name="Normal 57 4 5 3 6" xfId="7922" xr:uid="{00000000-0005-0000-0000-000054890000}"/>
    <cellStyle name="Normal 57 4 5 3 6 2" xfId="20604" xr:uid="{00000000-0005-0000-0000-000055890000}"/>
    <cellStyle name="Normal 57 4 5 3 6 2 2" xfId="46157" xr:uid="{00000000-0005-0000-0000-000056890000}"/>
    <cellStyle name="Normal 57 4 5 3 6 3" xfId="33479" xr:uid="{00000000-0005-0000-0000-000057890000}"/>
    <cellStyle name="Normal 57 4 5 3 7" xfId="16406" xr:uid="{00000000-0005-0000-0000-000058890000}"/>
    <cellStyle name="Normal 57 4 5 3 7 2" xfId="41959" xr:uid="{00000000-0005-0000-0000-000059890000}"/>
    <cellStyle name="Normal 57 4 5 3 8" xfId="27087" xr:uid="{00000000-0005-0000-0000-00005A890000}"/>
    <cellStyle name="Normal 57 4 5 4" xfId="2935" xr:uid="{00000000-0005-0000-0000-00005B890000}"/>
    <cellStyle name="Normal 57 4 5 4 2" xfId="5313" xr:uid="{00000000-0005-0000-0000-00005C890000}"/>
    <cellStyle name="Normal 57 4 5 4 2 2" xfId="14150" xr:uid="{00000000-0005-0000-0000-00005D890000}"/>
    <cellStyle name="Normal 57 4 5 4 2 2 2" xfId="24401" xr:uid="{00000000-0005-0000-0000-00005E890000}"/>
    <cellStyle name="Normal 57 4 5 4 2 2 2 2" xfId="49954" xr:uid="{00000000-0005-0000-0000-00005F890000}"/>
    <cellStyle name="Normal 57 4 5 4 2 2 3" xfId="39705" xr:uid="{00000000-0005-0000-0000-000060890000}"/>
    <cellStyle name="Normal 57 4 5 4 2 3" xfId="10571" xr:uid="{00000000-0005-0000-0000-000061890000}"/>
    <cellStyle name="Normal 57 4 5 4 2 3 2" xfId="36128" xr:uid="{00000000-0005-0000-0000-000062890000}"/>
    <cellStyle name="Normal 57 4 5 4 2 4" xfId="19394" xr:uid="{00000000-0005-0000-0000-000063890000}"/>
    <cellStyle name="Normal 57 4 5 4 2 4 2" xfId="44947" xr:uid="{00000000-0005-0000-0000-000064890000}"/>
    <cellStyle name="Normal 57 4 5 4 2 5" xfId="30884" xr:uid="{00000000-0005-0000-0000-000065890000}"/>
    <cellStyle name="Normal 57 4 5 4 3" xfId="6768" xr:uid="{00000000-0005-0000-0000-000066890000}"/>
    <cellStyle name="Normal 57 4 5 4 3 2" xfId="15595" xr:uid="{00000000-0005-0000-0000-000067890000}"/>
    <cellStyle name="Normal 57 4 5 4 3 2 2" xfId="41150" xr:uid="{00000000-0005-0000-0000-000068890000}"/>
    <cellStyle name="Normal 57 4 5 4 3 3" xfId="25846" xr:uid="{00000000-0005-0000-0000-000069890000}"/>
    <cellStyle name="Normal 57 4 5 4 3 3 2" xfId="51399" xr:uid="{00000000-0005-0000-0000-00006A890000}"/>
    <cellStyle name="Normal 57 4 5 4 3 4" xfId="32329" xr:uid="{00000000-0005-0000-0000-00006B890000}"/>
    <cellStyle name="Normal 57 4 5 4 4" xfId="8214" xr:uid="{00000000-0005-0000-0000-00006C890000}"/>
    <cellStyle name="Normal 57 4 5 4 4 2" xfId="22296" xr:uid="{00000000-0005-0000-0000-00006D890000}"/>
    <cellStyle name="Normal 57 4 5 4 4 2 2" xfId="47849" xr:uid="{00000000-0005-0000-0000-00006E890000}"/>
    <cellStyle name="Normal 57 4 5 4 4 3" xfId="33771" xr:uid="{00000000-0005-0000-0000-00006F890000}"/>
    <cellStyle name="Normal 57 4 5 4 5" xfId="17289" xr:uid="{00000000-0005-0000-0000-000070890000}"/>
    <cellStyle name="Normal 57 4 5 4 5 2" xfId="42842" xr:uid="{00000000-0005-0000-0000-000071890000}"/>
    <cellStyle name="Normal 57 4 5 4 6" xfId="28779" xr:uid="{00000000-0005-0000-0000-000072890000}"/>
    <cellStyle name="Normal 57 4 5 5" xfId="4269" xr:uid="{00000000-0005-0000-0000-000073890000}"/>
    <cellStyle name="Normal 57 4 5 5 2" xfId="13107" xr:uid="{00000000-0005-0000-0000-000074890000}"/>
    <cellStyle name="Normal 57 4 5 5 2 2" xfId="23358" xr:uid="{00000000-0005-0000-0000-000075890000}"/>
    <cellStyle name="Normal 57 4 5 5 2 2 2" xfId="48911" xr:uid="{00000000-0005-0000-0000-000076890000}"/>
    <cellStyle name="Normal 57 4 5 5 2 3" xfId="38662" xr:uid="{00000000-0005-0000-0000-000077890000}"/>
    <cellStyle name="Normal 57 4 5 5 3" xfId="9528" xr:uid="{00000000-0005-0000-0000-000078890000}"/>
    <cellStyle name="Normal 57 4 5 5 3 2" xfId="35085" xr:uid="{00000000-0005-0000-0000-000079890000}"/>
    <cellStyle name="Normal 57 4 5 5 4" xfId="18351" xr:uid="{00000000-0005-0000-0000-00007A890000}"/>
    <cellStyle name="Normal 57 4 5 5 4 2" xfId="43904" xr:uid="{00000000-0005-0000-0000-00007B890000}"/>
    <cellStyle name="Normal 57 4 5 5 5" xfId="29841" xr:uid="{00000000-0005-0000-0000-00007C890000}"/>
    <cellStyle name="Normal 57 4 5 6" xfId="1541" xr:uid="{00000000-0005-0000-0000-00007D890000}"/>
    <cellStyle name="Normal 57 4 5 6 2" xfId="10918" xr:uid="{00000000-0005-0000-0000-00007E890000}"/>
    <cellStyle name="Normal 57 4 5 6 2 2" xfId="36473" xr:uid="{00000000-0005-0000-0000-00007F890000}"/>
    <cellStyle name="Normal 57 4 5 6 3" xfId="20922" xr:uid="{00000000-0005-0000-0000-000080890000}"/>
    <cellStyle name="Normal 57 4 5 6 3 2" xfId="46475" xr:uid="{00000000-0005-0000-0000-000081890000}"/>
    <cellStyle name="Normal 57 4 5 6 4" xfId="27405" xr:uid="{00000000-0005-0000-0000-000082890000}"/>
    <cellStyle name="Normal 57 4 5 7" xfId="5725" xr:uid="{00000000-0005-0000-0000-000083890000}"/>
    <cellStyle name="Normal 57 4 5 7 2" xfId="14552" xr:uid="{00000000-0005-0000-0000-000084890000}"/>
    <cellStyle name="Normal 57 4 5 7 2 2" xfId="40107" xr:uid="{00000000-0005-0000-0000-000085890000}"/>
    <cellStyle name="Normal 57 4 5 7 3" xfId="24803" xr:uid="{00000000-0005-0000-0000-000086890000}"/>
    <cellStyle name="Normal 57 4 5 7 3 2" xfId="50356" xr:uid="{00000000-0005-0000-0000-000087890000}"/>
    <cellStyle name="Normal 57 4 5 7 4" xfId="31286" xr:uid="{00000000-0005-0000-0000-000088890000}"/>
    <cellStyle name="Normal 57 4 5 8" xfId="7169" xr:uid="{00000000-0005-0000-0000-000089890000}"/>
    <cellStyle name="Normal 57 4 5 8 2" xfId="19895" xr:uid="{00000000-0005-0000-0000-00008A890000}"/>
    <cellStyle name="Normal 57 4 5 8 2 2" xfId="45448" xr:uid="{00000000-0005-0000-0000-00008B890000}"/>
    <cellStyle name="Normal 57 4 5 8 3" xfId="32726" xr:uid="{00000000-0005-0000-0000-00008C890000}"/>
    <cellStyle name="Normal 57 4 5 9" xfId="15915" xr:uid="{00000000-0005-0000-0000-00008D890000}"/>
    <cellStyle name="Normal 57 4 5 9 2" xfId="41468" xr:uid="{00000000-0005-0000-0000-00008E890000}"/>
    <cellStyle name="Normal 57 4 5_Degree data" xfId="3964" xr:uid="{00000000-0005-0000-0000-00008F890000}"/>
    <cellStyle name="Normal 57 4 6" xfId="318" xr:uid="{00000000-0005-0000-0000-000090890000}"/>
    <cellStyle name="Normal 57 4 6 10" xfId="26247" xr:uid="{00000000-0005-0000-0000-000091890000}"/>
    <cellStyle name="Normal 57 4 6 2" xfId="859" xr:uid="{00000000-0005-0000-0000-000092890000}"/>
    <cellStyle name="Normal 57 4 6 2 2" xfId="3344" xr:uid="{00000000-0005-0000-0000-000093890000}"/>
    <cellStyle name="Normal 57 4 6 2 2 2" xfId="12486" xr:uid="{00000000-0005-0000-0000-000094890000}"/>
    <cellStyle name="Normal 57 4 6 2 2 2 2" xfId="22705" xr:uid="{00000000-0005-0000-0000-000095890000}"/>
    <cellStyle name="Normal 57 4 6 2 2 2 2 2" xfId="48258" xr:uid="{00000000-0005-0000-0000-000096890000}"/>
    <cellStyle name="Normal 57 4 6 2 2 2 3" xfId="38041" xr:uid="{00000000-0005-0000-0000-000097890000}"/>
    <cellStyle name="Normal 57 4 6 2 2 3" xfId="8908" xr:uid="{00000000-0005-0000-0000-000098890000}"/>
    <cellStyle name="Normal 57 4 6 2 2 3 2" xfId="34465" xr:uid="{00000000-0005-0000-0000-000099890000}"/>
    <cellStyle name="Normal 57 4 6 2 2 4" xfId="17698" xr:uid="{00000000-0005-0000-0000-00009A890000}"/>
    <cellStyle name="Normal 57 4 6 2 2 4 2" xfId="43251" xr:uid="{00000000-0005-0000-0000-00009B890000}"/>
    <cellStyle name="Normal 57 4 6 2 2 5" xfId="29188" xr:uid="{00000000-0005-0000-0000-00009C890000}"/>
    <cellStyle name="Normal 57 4 6 2 3" xfId="4673" xr:uid="{00000000-0005-0000-0000-00009D890000}"/>
    <cellStyle name="Normal 57 4 6 2 3 2" xfId="13511" xr:uid="{00000000-0005-0000-0000-00009E890000}"/>
    <cellStyle name="Normal 57 4 6 2 3 2 2" xfId="23762" xr:uid="{00000000-0005-0000-0000-00009F890000}"/>
    <cellStyle name="Normal 57 4 6 2 3 2 2 2" xfId="49315" xr:uid="{00000000-0005-0000-0000-0000A0890000}"/>
    <cellStyle name="Normal 57 4 6 2 3 2 3" xfId="39066" xr:uid="{00000000-0005-0000-0000-0000A1890000}"/>
    <cellStyle name="Normal 57 4 6 2 3 3" xfId="9932" xr:uid="{00000000-0005-0000-0000-0000A2890000}"/>
    <cellStyle name="Normal 57 4 6 2 3 3 2" xfId="35489" xr:uid="{00000000-0005-0000-0000-0000A3890000}"/>
    <cellStyle name="Normal 57 4 6 2 3 4" xfId="18755" xr:uid="{00000000-0005-0000-0000-0000A4890000}"/>
    <cellStyle name="Normal 57 4 6 2 3 4 2" xfId="44308" xr:uid="{00000000-0005-0000-0000-0000A5890000}"/>
    <cellStyle name="Normal 57 4 6 2 3 5" xfId="30245" xr:uid="{00000000-0005-0000-0000-0000A6890000}"/>
    <cellStyle name="Normal 57 4 6 2 4" xfId="2453" xr:uid="{00000000-0005-0000-0000-0000A7890000}"/>
    <cellStyle name="Normal 57 4 6 2 4 2" xfId="11818" xr:uid="{00000000-0005-0000-0000-0000A8890000}"/>
    <cellStyle name="Normal 57 4 6 2 4 2 2" xfId="37373" xr:uid="{00000000-0005-0000-0000-0000A9890000}"/>
    <cellStyle name="Normal 57 4 6 2 4 3" xfId="21822" xr:uid="{00000000-0005-0000-0000-0000AA890000}"/>
    <cellStyle name="Normal 57 4 6 2 4 3 2" xfId="47375" xr:uid="{00000000-0005-0000-0000-0000AB890000}"/>
    <cellStyle name="Normal 57 4 6 2 4 4" xfId="28305" xr:uid="{00000000-0005-0000-0000-0000AC890000}"/>
    <cellStyle name="Normal 57 4 6 2 5" xfId="6129" xr:uid="{00000000-0005-0000-0000-0000AD890000}"/>
    <cellStyle name="Normal 57 4 6 2 5 2" xfId="14956" xr:uid="{00000000-0005-0000-0000-0000AE890000}"/>
    <cellStyle name="Normal 57 4 6 2 5 2 2" xfId="40511" xr:uid="{00000000-0005-0000-0000-0000AF890000}"/>
    <cellStyle name="Normal 57 4 6 2 5 3" xfId="25207" xr:uid="{00000000-0005-0000-0000-0000B0890000}"/>
    <cellStyle name="Normal 57 4 6 2 5 3 2" xfId="50760" xr:uid="{00000000-0005-0000-0000-0000B1890000}"/>
    <cellStyle name="Normal 57 4 6 2 5 4" xfId="31690" xr:uid="{00000000-0005-0000-0000-0000B2890000}"/>
    <cellStyle name="Normal 57 4 6 2 6" xfId="7574" xr:uid="{00000000-0005-0000-0000-0000B3890000}"/>
    <cellStyle name="Normal 57 4 6 2 6 2" xfId="20304" xr:uid="{00000000-0005-0000-0000-0000B4890000}"/>
    <cellStyle name="Normal 57 4 6 2 6 2 2" xfId="45857" xr:uid="{00000000-0005-0000-0000-0000B5890000}"/>
    <cellStyle name="Normal 57 4 6 2 6 3" xfId="33131" xr:uid="{00000000-0005-0000-0000-0000B6890000}"/>
    <cellStyle name="Normal 57 4 6 2 7" xfId="16815" xr:uid="{00000000-0005-0000-0000-0000B7890000}"/>
    <cellStyle name="Normal 57 4 6 2 7 2" xfId="42368" xr:uid="{00000000-0005-0000-0000-0000B8890000}"/>
    <cellStyle name="Normal 57 4 6 2 8" xfId="26787" xr:uid="{00000000-0005-0000-0000-0000B9890000}"/>
    <cellStyle name="Normal 57 4 6 3" xfId="1090" xr:uid="{00000000-0005-0000-0000-0000BA890000}"/>
    <cellStyle name="Normal 57 4 6 3 2" xfId="3519" xr:uid="{00000000-0005-0000-0000-0000BB890000}"/>
    <cellStyle name="Normal 57 4 6 3 2 2" xfId="12655" xr:uid="{00000000-0005-0000-0000-0000BC890000}"/>
    <cellStyle name="Normal 57 4 6 3 2 2 2" xfId="22874" xr:uid="{00000000-0005-0000-0000-0000BD890000}"/>
    <cellStyle name="Normal 57 4 6 3 2 2 2 2" xfId="48427" xr:uid="{00000000-0005-0000-0000-0000BE890000}"/>
    <cellStyle name="Normal 57 4 6 3 2 2 3" xfId="38210" xr:uid="{00000000-0005-0000-0000-0000BF890000}"/>
    <cellStyle name="Normal 57 4 6 3 2 3" xfId="9077" xr:uid="{00000000-0005-0000-0000-0000C0890000}"/>
    <cellStyle name="Normal 57 4 6 3 2 3 2" xfId="34634" xr:uid="{00000000-0005-0000-0000-0000C1890000}"/>
    <cellStyle name="Normal 57 4 6 3 2 4" xfId="17867" xr:uid="{00000000-0005-0000-0000-0000C2890000}"/>
    <cellStyle name="Normal 57 4 6 3 2 4 2" xfId="43420" xr:uid="{00000000-0005-0000-0000-0000C3890000}"/>
    <cellStyle name="Normal 57 4 6 3 2 5" xfId="29357" xr:uid="{00000000-0005-0000-0000-0000C4890000}"/>
    <cellStyle name="Normal 57 4 6 3 3" xfId="5022" xr:uid="{00000000-0005-0000-0000-0000C5890000}"/>
    <cellStyle name="Normal 57 4 6 3 3 2" xfId="13859" xr:uid="{00000000-0005-0000-0000-0000C6890000}"/>
    <cellStyle name="Normal 57 4 6 3 3 2 2" xfId="24110" xr:uid="{00000000-0005-0000-0000-0000C7890000}"/>
    <cellStyle name="Normal 57 4 6 3 3 2 2 2" xfId="49663" xr:uid="{00000000-0005-0000-0000-0000C8890000}"/>
    <cellStyle name="Normal 57 4 6 3 3 2 3" xfId="39414" xr:uid="{00000000-0005-0000-0000-0000C9890000}"/>
    <cellStyle name="Normal 57 4 6 3 3 3" xfId="10280" xr:uid="{00000000-0005-0000-0000-0000CA890000}"/>
    <cellStyle name="Normal 57 4 6 3 3 3 2" xfId="35837" xr:uid="{00000000-0005-0000-0000-0000CB890000}"/>
    <cellStyle name="Normal 57 4 6 3 3 4" xfId="19103" xr:uid="{00000000-0005-0000-0000-0000CC890000}"/>
    <cellStyle name="Normal 57 4 6 3 3 4 2" xfId="44656" xr:uid="{00000000-0005-0000-0000-0000CD890000}"/>
    <cellStyle name="Normal 57 4 6 3 3 5" xfId="30593" xr:uid="{00000000-0005-0000-0000-0000CE890000}"/>
    <cellStyle name="Normal 57 4 6 3 4" xfId="2592" xr:uid="{00000000-0005-0000-0000-0000CF890000}"/>
    <cellStyle name="Normal 57 4 6 3 4 2" xfId="11956" xr:uid="{00000000-0005-0000-0000-0000D0890000}"/>
    <cellStyle name="Normal 57 4 6 3 4 2 2" xfId="37511" xr:uid="{00000000-0005-0000-0000-0000D1890000}"/>
    <cellStyle name="Normal 57 4 6 3 4 3" xfId="21960" xr:uid="{00000000-0005-0000-0000-0000D2890000}"/>
    <cellStyle name="Normal 57 4 6 3 4 3 2" xfId="47513" xr:uid="{00000000-0005-0000-0000-0000D3890000}"/>
    <cellStyle name="Normal 57 4 6 3 4 4" xfId="28443" xr:uid="{00000000-0005-0000-0000-0000D4890000}"/>
    <cellStyle name="Normal 57 4 6 3 5" xfId="6477" xr:uid="{00000000-0005-0000-0000-0000D5890000}"/>
    <cellStyle name="Normal 57 4 6 3 5 2" xfId="15304" xr:uid="{00000000-0005-0000-0000-0000D6890000}"/>
    <cellStyle name="Normal 57 4 6 3 5 2 2" xfId="40859" xr:uid="{00000000-0005-0000-0000-0000D7890000}"/>
    <cellStyle name="Normal 57 4 6 3 5 3" xfId="25555" xr:uid="{00000000-0005-0000-0000-0000D8890000}"/>
    <cellStyle name="Normal 57 4 6 3 5 3 2" xfId="51108" xr:uid="{00000000-0005-0000-0000-0000D9890000}"/>
    <cellStyle name="Normal 57 4 6 3 5 4" xfId="32038" xr:uid="{00000000-0005-0000-0000-0000DA890000}"/>
    <cellStyle name="Normal 57 4 6 3 6" xfId="7923" xr:uid="{00000000-0005-0000-0000-0000DB890000}"/>
    <cellStyle name="Normal 57 4 6 3 6 2" xfId="20473" xr:uid="{00000000-0005-0000-0000-0000DC890000}"/>
    <cellStyle name="Normal 57 4 6 3 6 2 2" xfId="46026" xr:uid="{00000000-0005-0000-0000-0000DD890000}"/>
    <cellStyle name="Normal 57 4 6 3 6 3" xfId="33480" xr:uid="{00000000-0005-0000-0000-0000DE890000}"/>
    <cellStyle name="Normal 57 4 6 3 7" xfId="16953" xr:uid="{00000000-0005-0000-0000-0000DF890000}"/>
    <cellStyle name="Normal 57 4 6 3 7 2" xfId="42506" xr:uid="{00000000-0005-0000-0000-0000E0890000}"/>
    <cellStyle name="Normal 57 4 6 3 8" xfId="26956" xr:uid="{00000000-0005-0000-0000-0000E1890000}"/>
    <cellStyle name="Normal 57 4 6 4" xfId="2804" xr:uid="{00000000-0005-0000-0000-0000E2890000}"/>
    <cellStyle name="Normal 57 4 6 4 2" xfId="5182" xr:uid="{00000000-0005-0000-0000-0000E3890000}"/>
    <cellStyle name="Normal 57 4 6 4 2 2" xfId="14019" xr:uid="{00000000-0005-0000-0000-0000E4890000}"/>
    <cellStyle name="Normal 57 4 6 4 2 2 2" xfId="24270" xr:uid="{00000000-0005-0000-0000-0000E5890000}"/>
    <cellStyle name="Normal 57 4 6 4 2 2 2 2" xfId="49823" xr:uid="{00000000-0005-0000-0000-0000E6890000}"/>
    <cellStyle name="Normal 57 4 6 4 2 2 3" xfId="39574" xr:uid="{00000000-0005-0000-0000-0000E7890000}"/>
    <cellStyle name="Normal 57 4 6 4 2 3" xfId="10440" xr:uid="{00000000-0005-0000-0000-0000E8890000}"/>
    <cellStyle name="Normal 57 4 6 4 2 3 2" xfId="35997" xr:uid="{00000000-0005-0000-0000-0000E9890000}"/>
    <cellStyle name="Normal 57 4 6 4 2 4" xfId="19263" xr:uid="{00000000-0005-0000-0000-0000EA890000}"/>
    <cellStyle name="Normal 57 4 6 4 2 4 2" xfId="44816" xr:uid="{00000000-0005-0000-0000-0000EB890000}"/>
    <cellStyle name="Normal 57 4 6 4 2 5" xfId="30753" xr:uid="{00000000-0005-0000-0000-0000EC890000}"/>
    <cellStyle name="Normal 57 4 6 4 3" xfId="6637" xr:uid="{00000000-0005-0000-0000-0000ED890000}"/>
    <cellStyle name="Normal 57 4 6 4 3 2" xfId="15464" xr:uid="{00000000-0005-0000-0000-0000EE890000}"/>
    <cellStyle name="Normal 57 4 6 4 3 2 2" xfId="41019" xr:uid="{00000000-0005-0000-0000-0000EF890000}"/>
    <cellStyle name="Normal 57 4 6 4 3 3" xfId="25715" xr:uid="{00000000-0005-0000-0000-0000F0890000}"/>
    <cellStyle name="Normal 57 4 6 4 3 3 2" xfId="51268" xr:uid="{00000000-0005-0000-0000-0000F1890000}"/>
    <cellStyle name="Normal 57 4 6 4 3 4" xfId="32198" xr:uid="{00000000-0005-0000-0000-0000F2890000}"/>
    <cellStyle name="Normal 57 4 6 4 4" xfId="8083" xr:uid="{00000000-0005-0000-0000-0000F3890000}"/>
    <cellStyle name="Normal 57 4 6 4 4 2" xfId="22165" xr:uid="{00000000-0005-0000-0000-0000F4890000}"/>
    <cellStyle name="Normal 57 4 6 4 4 2 2" xfId="47718" xr:uid="{00000000-0005-0000-0000-0000F5890000}"/>
    <cellStyle name="Normal 57 4 6 4 4 3" xfId="33640" xr:uid="{00000000-0005-0000-0000-0000F6890000}"/>
    <cellStyle name="Normal 57 4 6 4 5" xfId="17158" xr:uid="{00000000-0005-0000-0000-0000F7890000}"/>
    <cellStyle name="Normal 57 4 6 4 5 2" xfId="42711" xr:uid="{00000000-0005-0000-0000-0000F8890000}"/>
    <cellStyle name="Normal 57 4 6 4 6" xfId="28648" xr:uid="{00000000-0005-0000-0000-0000F9890000}"/>
    <cellStyle name="Normal 57 4 6 5" xfId="4136" xr:uid="{00000000-0005-0000-0000-0000FA890000}"/>
    <cellStyle name="Normal 57 4 6 5 2" xfId="12974" xr:uid="{00000000-0005-0000-0000-0000FB890000}"/>
    <cellStyle name="Normal 57 4 6 5 2 2" xfId="23225" xr:uid="{00000000-0005-0000-0000-0000FC890000}"/>
    <cellStyle name="Normal 57 4 6 5 2 2 2" xfId="48778" xr:uid="{00000000-0005-0000-0000-0000FD890000}"/>
    <cellStyle name="Normal 57 4 6 5 2 3" xfId="38529" xr:uid="{00000000-0005-0000-0000-0000FE890000}"/>
    <cellStyle name="Normal 57 4 6 5 3" xfId="9395" xr:uid="{00000000-0005-0000-0000-0000FF890000}"/>
    <cellStyle name="Normal 57 4 6 5 3 2" xfId="34952" xr:uid="{00000000-0005-0000-0000-0000008A0000}"/>
    <cellStyle name="Normal 57 4 6 5 4" xfId="18218" xr:uid="{00000000-0005-0000-0000-0000018A0000}"/>
    <cellStyle name="Normal 57 4 6 5 4 2" xfId="43771" xr:uid="{00000000-0005-0000-0000-0000028A0000}"/>
    <cellStyle name="Normal 57 4 6 5 5" xfId="29708" xr:uid="{00000000-0005-0000-0000-0000038A0000}"/>
    <cellStyle name="Normal 57 4 6 6" xfId="1913" xr:uid="{00000000-0005-0000-0000-0000048A0000}"/>
    <cellStyle name="Normal 57 4 6 6 2" xfId="11278" xr:uid="{00000000-0005-0000-0000-0000058A0000}"/>
    <cellStyle name="Normal 57 4 6 6 2 2" xfId="36833" xr:uid="{00000000-0005-0000-0000-0000068A0000}"/>
    <cellStyle name="Normal 57 4 6 6 3" xfId="21282" xr:uid="{00000000-0005-0000-0000-0000078A0000}"/>
    <cellStyle name="Normal 57 4 6 6 3 2" xfId="46835" xr:uid="{00000000-0005-0000-0000-0000088A0000}"/>
    <cellStyle name="Normal 57 4 6 6 4" xfId="27765" xr:uid="{00000000-0005-0000-0000-0000098A0000}"/>
    <cellStyle name="Normal 57 4 6 7" xfId="5594" xr:uid="{00000000-0005-0000-0000-00000A8A0000}"/>
    <cellStyle name="Normal 57 4 6 7 2" xfId="14421" xr:uid="{00000000-0005-0000-0000-00000B8A0000}"/>
    <cellStyle name="Normal 57 4 6 7 2 2" xfId="39976" xr:uid="{00000000-0005-0000-0000-00000C8A0000}"/>
    <cellStyle name="Normal 57 4 6 7 3" xfId="24672" xr:uid="{00000000-0005-0000-0000-00000D8A0000}"/>
    <cellStyle name="Normal 57 4 6 7 3 2" xfId="50225" xr:uid="{00000000-0005-0000-0000-00000E8A0000}"/>
    <cellStyle name="Normal 57 4 6 7 4" xfId="31155" xr:uid="{00000000-0005-0000-0000-00000F8A0000}"/>
    <cellStyle name="Normal 57 4 6 8" xfId="7038" xr:uid="{00000000-0005-0000-0000-0000108A0000}"/>
    <cellStyle name="Normal 57 4 6 8 2" xfId="19764" xr:uid="{00000000-0005-0000-0000-0000118A0000}"/>
    <cellStyle name="Normal 57 4 6 8 2 2" xfId="45317" xr:uid="{00000000-0005-0000-0000-0000128A0000}"/>
    <cellStyle name="Normal 57 4 6 8 3" xfId="32595" xr:uid="{00000000-0005-0000-0000-0000138A0000}"/>
    <cellStyle name="Normal 57 4 6 9" xfId="16275" xr:uid="{00000000-0005-0000-0000-0000148A0000}"/>
    <cellStyle name="Normal 57 4 6 9 2" xfId="41828" xr:uid="{00000000-0005-0000-0000-0000158A0000}"/>
    <cellStyle name="Normal 57 4 6_Degree data" xfId="3965" xr:uid="{00000000-0005-0000-0000-0000168A0000}"/>
    <cellStyle name="Normal 57 4 7" xfId="849" xr:uid="{00000000-0005-0000-0000-0000178A0000}"/>
    <cellStyle name="Normal 57 4 7 2" xfId="3334" xr:uid="{00000000-0005-0000-0000-0000188A0000}"/>
    <cellStyle name="Normal 57 4 7 2 2" xfId="12476" xr:uid="{00000000-0005-0000-0000-0000198A0000}"/>
    <cellStyle name="Normal 57 4 7 2 2 2" xfId="22695" xr:uid="{00000000-0005-0000-0000-00001A8A0000}"/>
    <cellStyle name="Normal 57 4 7 2 2 2 2" xfId="48248" xr:uid="{00000000-0005-0000-0000-00001B8A0000}"/>
    <cellStyle name="Normal 57 4 7 2 2 3" xfId="38031" xr:uid="{00000000-0005-0000-0000-00001C8A0000}"/>
    <cellStyle name="Normal 57 4 7 2 3" xfId="8898" xr:uid="{00000000-0005-0000-0000-00001D8A0000}"/>
    <cellStyle name="Normal 57 4 7 2 3 2" xfId="34455" xr:uid="{00000000-0005-0000-0000-00001E8A0000}"/>
    <cellStyle name="Normal 57 4 7 2 4" xfId="17688" xr:uid="{00000000-0005-0000-0000-00001F8A0000}"/>
    <cellStyle name="Normal 57 4 7 2 4 2" xfId="43241" xr:uid="{00000000-0005-0000-0000-0000208A0000}"/>
    <cellStyle name="Normal 57 4 7 2 5" xfId="29178" xr:uid="{00000000-0005-0000-0000-0000218A0000}"/>
    <cellStyle name="Normal 57 4 7 3" xfId="4663" xr:uid="{00000000-0005-0000-0000-0000228A0000}"/>
    <cellStyle name="Normal 57 4 7 3 2" xfId="13501" xr:uid="{00000000-0005-0000-0000-0000238A0000}"/>
    <cellStyle name="Normal 57 4 7 3 2 2" xfId="23752" xr:uid="{00000000-0005-0000-0000-0000248A0000}"/>
    <cellStyle name="Normal 57 4 7 3 2 2 2" xfId="49305" xr:uid="{00000000-0005-0000-0000-0000258A0000}"/>
    <cellStyle name="Normal 57 4 7 3 2 3" xfId="39056" xr:uid="{00000000-0005-0000-0000-0000268A0000}"/>
    <cellStyle name="Normal 57 4 7 3 3" xfId="9922" xr:uid="{00000000-0005-0000-0000-0000278A0000}"/>
    <cellStyle name="Normal 57 4 7 3 3 2" xfId="35479" xr:uid="{00000000-0005-0000-0000-0000288A0000}"/>
    <cellStyle name="Normal 57 4 7 3 4" xfId="18745" xr:uid="{00000000-0005-0000-0000-0000298A0000}"/>
    <cellStyle name="Normal 57 4 7 3 4 2" xfId="44298" xr:uid="{00000000-0005-0000-0000-00002A8A0000}"/>
    <cellStyle name="Normal 57 4 7 3 5" xfId="30235" xr:uid="{00000000-0005-0000-0000-00002B8A0000}"/>
    <cellStyle name="Normal 57 4 7 4" xfId="2443" xr:uid="{00000000-0005-0000-0000-00002C8A0000}"/>
    <cellStyle name="Normal 57 4 7 4 2" xfId="11808" xr:uid="{00000000-0005-0000-0000-00002D8A0000}"/>
    <cellStyle name="Normal 57 4 7 4 2 2" xfId="37363" xr:uid="{00000000-0005-0000-0000-00002E8A0000}"/>
    <cellStyle name="Normal 57 4 7 4 3" xfId="21812" xr:uid="{00000000-0005-0000-0000-00002F8A0000}"/>
    <cellStyle name="Normal 57 4 7 4 3 2" xfId="47365" xr:uid="{00000000-0005-0000-0000-0000308A0000}"/>
    <cellStyle name="Normal 57 4 7 4 4" xfId="28295" xr:uid="{00000000-0005-0000-0000-0000318A0000}"/>
    <cellStyle name="Normal 57 4 7 5" xfId="6119" xr:uid="{00000000-0005-0000-0000-0000328A0000}"/>
    <cellStyle name="Normal 57 4 7 5 2" xfId="14946" xr:uid="{00000000-0005-0000-0000-0000338A0000}"/>
    <cellStyle name="Normal 57 4 7 5 2 2" xfId="40501" xr:uid="{00000000-0005-0000-0000-0000348A0000}"/>
    <cellStyle name="Normal 57 4 7 5 3" xfId="25197" xr:uid="{00000000-0005-0000-0000-0000358A0000}"/>
    <cellStyle name="Normal 57 4 7 5 3 2" xfId="50750" xr:uid="{00000000-0005-0000-0000-0000368A0000}"/>
    <cellStyle name="Normal 57 4 7 5 4" xfId="31680" xr:uid="{00000000-0005-0000-0000-0000378A0000}"/>
    <cellStyle name="Normal 57 4 7 6" xfId="7564" xr:uid="{00000000-0005-0000-0000-0000388A0000}"/>
    <cellStyle name="Normal 57 4 7 6 2" xfId="20294" xr:uid="{00000000-0005-0000-0000-0000398A0000}"/>
    <cellStyle name="Normal 57 4 7 6 2 2" xfId="45847" xr:uid="{00000000-0005-0000-0000-00003A8A0000}"/>
    <cellStyle name="Normal 57 4 7 6 3" xfId="33121" xr:uid="{00000000-0005-0000-0000-00003B8A0000}"/>
    <cellStyle name="Normal 57 4 7 7" xfId="16805" xr:uid="{00000000-0005-0000-0000-00003C8A0000}"/>
    <cellStyle name="Normal 57 4 7 7 2" xfId="42358" xr:uid="{00000000-0005-0000-0000-00003D8A0000}"/>
    <cellStyle name="Normal 57 4 7 8" xfId="26777" xr:uid="{00000000-0005-0000-0000-00003E8A0000}"/>
    <cellStyle name="Normal 57 4 8" xfId="1047" xr:uid="{00000000-0005-0000-0000-00003F8A0000}"/>
    <cellStyle name="Normal 57 4 8 2" xfId="3476" xr:uid="{00000000-0005-0000-0000-0000408A0000}"/>
    <cellStyle name="Normal 57 4 8 2 2" xfId="12612" xr:uid="{00000000-0005-0000-0000-0000418A0000}"/>
    <cellStyle name="Normal 57 4 8 2 2 2" xfId="22831" xr:uid="{00000000-0005-0000-0000-0000428A0000}"/>
    <cellStyle name="Normal 57 4 8 2 2 2 2" xfId="48384" xr:uid="{00000000-0005-0000-0000-0000438A0000}"/>
    <cellStyle name="Normal 57 4 8 2 2 3" xfId="38167" xr:uid="{00000000-0005-0000-0000-0000448A0000}"/>
    <cellStyle name="Normal 57 4 8 2 3" xfId="9034" xr:uid="{00000000-0005-0000-0000-0000458A0000}"/>
    <cellStyle name="Normal 57 4 8 2 3 2" xfId="34591" xr:uid="{00000000-0005-0000-0000-0000468A0000}"/>
    <cellStyle name="Normal 57 4 8 2 4" xfId="17824" xr:uid="{00000000-0005-0000-0000-0000478A0000}"/>
    <cellStyle name="Normal 57 4 8 2 4 2" xfId="43377" xr:uid="{00000000-0005-0000-0000-0000488A0000}"/>
    <cellStyle name="Normal 57 4 8 2 5" xfId="29314" xr:uid="{00000000-0005-0000-0000-0000498A0000}"/>
    <cellStyle name="Normal 57 4 8 3" xfId="5012" xr:uid="{00000000-0005-0000-0000-00004A8A0000}"/>
    <cellStyle name="Normal 57 4 8 3 2" xfId="13849" xr:uid="{00000000-0005-0000-0000-00004B8A0000}"/>
    <cellStyle name="Normal 57 4 8 3 2 2" xfId="24100" xr:uid="{00000000-0005-0000-0000-00004C8A0000}"/>
    <cellStyle name="Normal 57 4 8 3 2 2 2" xfId="49653" xr:uid="{00000000-0005-0000-0000-00004D8A0000}"/>
    <cellStyle name="Normal 57 4 8 3 2 3" xfId="39404" xr:uid="{00000000-0005-0000-0000-00004E8A0000}"/>
    <cellStyle name="Normal 57 4 8 3 3" xfId="10270" xr:uid="{00000000-0005-0000-0000-00004F8A0000}"/>
    <cellStyle name="Normal 57 4 8 3 3 2" xfId="35827" xr:uid="{00000000-0005-0000-0000-0000508A0000}"/>
    <cellStyle name="Normal 57 4 8 3 4" xfId="19093" xr:uid="{00000000-0005-0000-0000-0000518A0000}"/>
    <cellStyle name="Normal 57 4 8 3 4 2" xfId="44646" xr:uid="{00000000-0005-0000-0000-0000528A0000}"/>
    <cellStyle name="Normal 57 4 8 3 5" xfId="30583" xr:uid="{00000000-0005-0000-0000-0000538A0000}"/>
    <cellStyle name="Normal 57 4 8 4" xfId="1717" xr:uid="{00000000-0005-0000-0000-0000548A0000}"/>
    <cellStyle name="Normal 57 4 8 4 2" xfId="11091" xr:uid="{00000000-0005-0000-0000-0000558A0000}"/>
    <cellStyle name="Normal 57 4 8 4 2 2" xfId="36646" xr:uid="{00000000-0005-0000-0000-0000568A0000}"/>
    <cellStyle name="Normal 57 4 8 4 3" xfId="21095" xr:uid="{00000000-0005-0000-0000-0000578A0000}"/>
    <cellStyle name="Normal 57 4 8 4 3 2" xfId="46648" xr:uid="{00000000-0005-0000-0000-0000588A0000}"/>
    <cellStyle name="Normal 57 4 8 4 4" xfId="27578" xr:uid="{00000000-0005-0000-0000-0000598A0000}"/>
    <cellStyle name="Normal 57 4 8 5" xfId="6467" xr:uid="{00000000-0005-0000-0000-00005A8A0000}"/>
    <cellStyle name="Normal 57 4 8 5 2" xfId="15294" xr:uid="{00000000-0005-0000-0000-00005B8A0000}"/>
    <cellStyle name="Normal 57 4 8 5 2 2" xfId="40849" xr:uid="{00000000-0005-0000-0000-00005C8A0000}"/>
    <cellStyle name="Normal 57 4 8 5 3" xfId="25545" xr:uid="{00000000-0005-0000-0000-00005D8A0000}"/>
    <cellStyle name="Normal 57 4 8 5 3 2" xfId="51098" xr:uid="{00000000-0005-0000-0000-00005E8A0000}"/>
    <cellStyle name="Normal 57 4 8 5 4" xfId="32028" xr:uid="{00000000-0005-0000-0000-00005F8A0000}"/>
    <cellStyle name="Normal 57 4 8 6" xfId="7913" xr:uid="{00000000-0005-0000-0000-0000608A0000}"/>
    <cellStyle name="Normal 57 4 8 6 2" xfId="20430" xr:uid="{00000000-0005-0000-0000-0000618A0000}"/>
    <cellStyle name="Normal 57 4 8 6 2 2" xfId="45983" xr:uid="{00000000-0005-0000-0000-0000628A0000}"/>
    <cellStyle name="Normal 57 4 8 6 3" xfId="33470" xr:uid="{00000000-0005-0000-0000-0000638A0000}"/>
    <cellStyle name="Normal 57 4 8 7" xfId="16088" xr:uid="{00000000-0005-0000-0000-0000648A0000}"/>
    <cellStyle name="Normal 57 4 8 7 2" xfId="41641" xr:uid="{00000000-0005-0000-0000-0000658A0000}"/>
    <cellStyle name="Normal 57 4 8 8" xfId="26913" xr:uid="{00000000-0005-0000-0000-0000668A0000}"/>
    <cellStyle name="Normal 57 4 9" xfId="2615" xr:uid="{00000000-0005-0000-0000-0000678A0000}"/>
    <cellStyle name="Normal 57 4 9 2" xfId="5139" xr:uid="{00000000-0005-0000-0000-0000688A0000}"/>
    <cellStyle name="Normal 57 4 9 2 2" xfId="13976" xr:uid="{00000000-0005-0000-0000-0000698A0000}"/>
    <cellStyle name="Normal 57 4 9 2 2 2" xfId="24227" xr:uid="{00000000-0005-0000-0000-00006A8A0000}"/>
    <cellStyle name="Normal 57 4 9 2 2 2 2" xfId="49780" xr:uid="{00000000-0005-0000-0000-00006B8A0000}"/>
    <cellStyle name="Normal 57 4 9 2 2 3" xfId="39531" xr:uid="{00000000-0005-0000-0000-00006C8A0000}"/>
    <cellStyle name="Normal 57 4 9 2 3" xfId="10397" xr:uid="{00000000-0005-0000-0000-00006D8A0000}"/>
    <cellStyle name="Normal 57 4 9 2 3 2" xfId="35954" xr:uid="{00000000-0005-0000-0000-00006E8A0000}"/>
    <cellStyle name="Normal 57 4 9 2 4" xfId="19220" xr:uid="{00000000-0005-0000-0000-00006F8A0000}"/>
    <cellStyle name="Normal 57 4 9 2 4 2" xfId="44773" xr:uid="{00000000-0005-0000-0000-0000708A0000}"/>
    <cellStyle name="Normal 57 4 9 2 5" xfId="30710" xr:uid="{00000000-0005-0000-0000-0000718A0000}"/>
    <cellStyle name="Normal 57 4 9 3" xfId="6594" xr:uid="{00000000-0005-0000-0000-0000728A0000}"/>
    <cellStyle name="Normal 57 4 9 3 2" xfId="15421" xr:uid="{00000000-0005-0000-0000-0000738A0000}"/>
    <cellStyle name="Normal 57 4 9 3 2 2" xfId="40976" xr:uid="{00000000-0005-0000-0000-0000748A0000}"/>
    <cellStyle name="Normal 57 4 9 3 3" xfId="25672" xr:uid="{00000000-0005-0000-0000-0000758A0000}"/>
    <cellStyle name="Normal 57 4 9 3 3 2" xfId="51225" xr:uid="{00000000-0005-0000-0000-0000768A0000}"/>
    <cellStyle name="Normal 57 4 9 3 4" xfId="32155" xr:uid="{00000000-0005-0000-0000-0000778A0000}"/>
    <cellStyle name="Normal 57 4 9 4" xfId="8040" xr:uid="{00000000-0005-0000-0000-0000788A0000}"/>
    <cellStyle name="Normal 57 4 9 4 2" xfId="21978" xr:uid="{00000000-0005-0000-0000-0000798A0000}"/>
    <cellStyle name="Normal 57 4 9 4 2 2" xfId="47531" xr:uid="{00000000-0005-0000-0000-00007A8A0000}"/>
    <cellStyle name="Normal 57 4 9 4 3" xfId="33597" xr:uid="{00000000-0005-0000-0000-00007B8A0000}"/>
    <cellStyle name="Normal 57 4 9 5" xfId="16971" xr:uid="{00000000-0005-0000-0000-00007C8A0000}"/>
    <cellStyle name="Normal 57 4 9 5 2" xfId="42524" xr:uid="{00000000-0005-0000-0000-00007D8A0000}"/>
    <cellStyle name="Normal 57 4 9 6" xfId="28461" xr:uid="{00000000-0005-0000-0000-00007E8A0000}"/>
    <cellStyle name="Normal 57 4_Degree data" xfId="3955" xr:uid="{00000000-0005-0000-0000-00007F8A0000}"/>
    <cellStyle name="Normal 57 5" xfId="93" xr:uid="{00000000-0005-0000-0000-0000808A0000}"/>
    <cellStyle name="Normal 57 5 10" xfId="4107" xr:uid="{00000000-0005-0000-0000-0000818A0000}"/>
    <cellStyle name="Normal 57 5 10 2" xfId="5565" xr:uid="{00000000-0005-0000-0000-0000828A0000}"/>
    <cellStyle name="Normal 57 5 10 2 2" xfId="14392" xr:uid="{00000000-0005-0000-0000-0000838A0000}"/>
    <cellStyle name="Normal 57 5 10 2 2 2" xfId="39947" xr:uid="{00000000-0005-0000-0000-0000848A0000}"/>
    <cellStyle name="Normal 57 5 10 2 3" xfId="24643" xr:uid="{00000000-0005-0000-0000-0000858A0000}"/>
    <cellStyle name="Normal 57 5 10 2 3 2" xfId="50196" xr:uid="{00000000-0005-0000-0000-0000868A0000}"/>
    <cellStyle name="Normal 57 5 10 2 4" xfId="31126" xr:uid="{00000000-0005-0000-0000-0000878A0000}"/>
    <cellStyle name="Normal 57 5 10 3" xfId="7009" xr:uid="{00000000-0005-0000-0000-0000888A0000}"/>
    <cellStyle name="Normal 57 5 10 3 2" xfId="23196" xr:uid="{00000000-0005-0000-0000-0000898A0000}"/>
    <cellStyle name="Normal 57 5 10 3 2 2" xfId="48749" xr:uid="{00000000-0005-0000-0000-00008A8A0000}"/>
    <cellStyle name="Normal 57 5 10 3 3" xfId="32566" xr:uid="{00000000-0005-0000-0000-00008B8A0000}"/>
    <cellStyle name="Normal 57 5 10 4" xfId="18189" xr:uid="{00000000-0005-0000-0000-00008C8A0000}"/>
    <cellStyle name="Normal 57 5 10 4 2" xfId="43742" xr:uid="{00000000-0005-0000-0000-00008D8A0000}"/>
    <cellStyle name="Normal 57 5 10 5" xfId="29679" xr:uid="{00000000-0005-0000-0000-00008E8A0000}"/>
    <cellStyle name="Normal 57 5 11" xfId="1426" xr:uid="{00000000-0005-0000-0000-00008F8A0000}"/>
    <cellStyle name="Normal 57 5 11 2" xfId="10803" xr:uid="{00000000-0005-0000-0000-0000908A0000}"/>
    <cellStyle name="Normal 57 5 11 2 2" xfId="36358" xr:uid="{00000000-0005-0000-0000-0000918A0000}"/>
    <cellStyle name="Normal 57 5 11 3" xfId="20807" xr:uid="{00000000-0005-0000-0000-0000928A0000}"/>
    <cellStyle name="Normal 57 5 11 3 2" xfId="46360" xr:uid="{00000000-0005-0000-0000-0000938A0000}"/>
    <cellStyle name="Normal 57 5 11 4" xfId="27290" xr:uid="{00000000-0005-0000-0000-0000948A0000}"/>
    <cellStyle name="Normal 57 5 12" xfId="5535" xr:uid="{00000000-0005-0000-0000-0000958A0000}"/>
    <cellStyle name="Normal 57 5 12 2" xfId="14362" xr:uid="{00000000-0005-0000-0000-0000968A0000}"/>
    <cellStyle name="Normal 57 5 12 2 2" xfId="39917" xr:uid="{00000000-0005-0000-0000-0000978A0000}"/>
    <cellStyle name="Normal 57 5 12 3" xfId="24613" xr:uid="{00000000-0005-0000-0000-0000988A0000}"/>
    <cellStyle name="Normal 57 5 12 3 2" xfId="50166" xr:uid="{00000000-0005-0000-0000-0000998A0000}"/>
    <cellStyle name="Normal 57 5 12 4" xfId="31096" xr:uid="{00000000-0005-0000-0000-00009A8A0000}"/>
    <cellStyle name="Normal 57 5 13" xfId="6979" xr:uid="{00000000-0005-0000-0000-00009B8A0000}"/>
    <cellStyle name="Normal 57 5 13 2" xfId="19575" xr:uid="{00000000-0005-0000-0000-00009C8A0000}"/>
    <cellStyle name="Normal 57 5 13 2 2" xfId="45128" xr:uid="{00000000-0005-0000-0000-00009D8A0000}"/>
    <cellStyle name="Normal 57 5 13 3" xfId="32536" xr:uid="{00000000-0005-0000-0000-00009E8A0000}"/>
    <cellStyle name="Normal 57 5 14" xfId="15800" xr:uid="{00000000-0005-0000-0000-00009F8A0000}"/>
    <cellStyle name="Normal 57 5 14 2" xfId="41353" xr:uid="{00000000-0005-0000-0000-0000A08A0000}"/>
    <cellStyle name="Normal 57 5 15" xfId="26058" xr:uid="{00000000-0005-0000-0000-0000A18A0000}"/>
    <cellStyle name="Normal 57 5 2" xfId="161" xr:uid="{00000000-0005-0000-0000-0000A28A0000}"/>
    <cellStyle name="Normal 57 5 2 10" xfId="5667" xr:uid="{00000000-0005-0000-0000-0000A38A0000}"/>
    <cellStyle name="Normal 57 5 2 10 2" xfId="14494" xr:uid="{00000000-0005-0000-0000-0000A48A0000}"/>
    <cellStyle name="Normal 57 5 2 10 2 2" xfId="40049" xr:uid="{00000000-0005-0000-0000-0000A58A0000}"/>
    <cellStyle name="Normal 57 5 2 10 3" xfId="24745" xr:uid="{00000000-0005-0000-0000-0000A68A0000}"/>
    <cellStyle name="Normal 57 5 2 10 3 2" xfId="50298" xr:uid="{00000000-0005-0000-0000-0000A78A0000}"/>
    <cellStyle name="Normal 57 5 2 10 4" xfId="31228" xr:uid="{00000000-0005-0000-0000-0000A88A0000}"/>
    <cellStyle name="Normal 57 5 2 11" xfId="7111" xr:uid="{00000000-0005-0000-0000-0000A98A0000}"/>
    <cellStyle name="Normal 57 5 2 11 2" xfId="19620" xr:uid="{00000000-0005-0000-0000-0000AA8A0000}"/>
    <cellStyle name="Normal 57 5 2 11 2 2" xfId="45173" xr:uid="{00000000-0005-0000-0000-0000AB8A0000}"/>
    <cellStyle name="Normal 57 5 2 11 3" xfId="32668" xr:uid="{00000000-0005-0000-0000-0000AC8A0000}"/>
    <cellStyle name="Normal 57 5 2 12" xfId="15857" xr:uid="{00000000-0005-0000-0000-0000AD8A0000}"/>
    <cellStyle name="Normal 57 5 2 12 2" xfId="41410" xr:uid="{00000000-0005-0000-0000-0000AE8A0000}"/>
    <cellStyle name="Normal 57 5 2 13" xfId="26103" xr:uid="{00000000-0005-0000-0000-0000AF8A0000}"/>
    <cellStyle name="Normal 57 5 2 2" xfId="273" xr:uid="{00000000-0005-0000-0000-0000B08A0000}"/>
    <cellStyle name="Normal 57 5 2 2 10" xfId="16061" xr:uid="{00000000-0005-0000-0000-0000B18A0000}"/>
    <cellStyle name="Normal 57 5 2 2 10 2" xfId="41614" xr:uid="{00000000-0005-0000-0000-0000B28A0000}"/>
    <cellStyle name="Normal 57 5 2 2 11" xfId="26207" xr:uid="{00000000-0005-0000-0000-0000B38A0000}"/>
    <cellStyle name="Normal 57 5 2 2 2" xfId="595" xr:uid="{00000000-0005-0000-0000-0000B48A0000}"/>
    <cellStyle name="Normal 57 5 2 2 2 2" xfId="3081" xr:uid="{00000000-0005-0000-0000-0000B58A0000}"/>
    <cellStyle name="Normal 57 5 2 2 2 2 2" xfId="12225" xr:uid="{00000000-0005-0000-0000-0000B68A0000}"/>
    <cellStyle name="Normal 57 5 2 2 2 2 2 2" xfId="22442" xr:uid="{00000000-0005-0000-0000-0000B78A0000}"/>
    <cellStyle name="Normal 57 5 2 2 2 2 2 2 2" xfId="47995" xr:uid="{00000000-0005-0000-0000-0000B88A0000}"/>
    <cellStyle name="Normal 57 5 2 2 2 2 2 3" xfId="37780" xr:uid="{00000000-0005-0000-0000-0000B98A0000}"/>
    <cellStyle name="Normal 57 5 2 2 2 2 3" xfId="8647" xr:uid="{00000000-0005-0000-0000-0000BA8A0000}"/>
    <cellStyle name="Normal 57 5 2 2 2 2 3 2" xfId="34204" xr:uid="{00000000-0005-0000-0000-0000BB8A0000}"/>
    <cellStyle name="Normal 57 5 2 2 2 2 4" xfId="17435" xr:uid="{00000000-0005-0000-0000-0000BC8A0000}"/>
    <cellStyle name="Normal 57 5 2 2 2 2 4 2" xfId="42988" xr:uid="{00000000-0005-0000-0000-0000BD8A0000}"/>
    <cellStyle name="Normal 57 5 2 2 2 2 5" xfId="28925" xr:uid="{00000000-0005-0000-0000-0000BE8A0000}"/>
    <cellStyle name="Normal 57 5 2 2 2 3" xfId="4676" xr:uid="{00000000-0005-0000-0000-0000BF8A0000}"/>
    <cellStyle name="Normal 57 5 2 2 2 3 2" xfId="13514" xr:uid="{00000000-0005-0000-0000-0000C08A0000}"/>
    <cellStyle name="Normal 57 5 2 2 2 3 2 2" xfId="23765" xr:uid="{00000000-0005-0000-0000-0000C18A0000}"/>
    <cellStyle name="Normal 57 5 2 2 2 3 2 2 2" xfId="49318" xr:uid="{00000000-0005-0000-0000-0000C28A0000}"/>
    <cellStyle name="Normal 57 5 2 2 2 3 2 3" xfId="39069" xr:uid="{00000000-0005-0000-0000-0000C38A0000}"/>
    <cellStyle name="Normal 57 5 2 2 2 3 3" xfId="9935" xr:uid="{00000000-0005-0000-0000-0000C48A0000}"/>
    <cellStyle name="Normal 57 5 2 2 2 3 3 2" xfId="35492" xr:uid="{00000000-0005-0000-0000-0000C58A0000}"/>
    <cellStyle name="Normal 57 5 2 2 2 3 4" xfId="18758" xr:uid="{00000000-0005-0000-0000-0000C68A0000}"/>
    <cellStyle name="Normal 57 5 2 2 2 3 4 2" xfId="44311" xr:uid="{00000000-0005-0000-0000-0000C78A0000}"/>
    <cellStyle name="Normal 57 5 2 2 2 3 5" xfId="30248" xr:uid="{00000000-0005-0000-0000-0000C88A0000}"/>
    <cellStyle name="Normal 57 5 2 2 2 4" xfId="2190" xr:uid="{00000000-0005-0000-0000-0000C98A0000}"/>
    <cellStyle name="Normal 57 5 2 2 2 4 2" xfId="11555" xr:uid="{00000000-0005-0000-0000-0000CA8A0000}"/>
    <cellStyle name="Normal 57 5 2 2 2 4 2 2" xfId="37110" xr:uid="{00000000-0005-0000-0000-0000CB8A0000}"/>
    <cellStyle name="Normal 57 5 2 2 2 4 3" xfId="21559" xr:uid="{00000000-0005-0000-0000-0000CC8A0000}"/>
    <cellStyle name="Normal 57 5 2 2 2 4 3 2" xfId="47112" xr:uid="{00000000-0005-0000-0000-0000CD8A0000}"/>
    <cellStyle name="Normal 57 5 2 2 2 4 4" xfId="28042" xr:uid="{00000000-0005-0000-0000-0000CE8A0000}"/>
    <cellStyle name="Normal 57 5 2 2 2 5" xfId="6132" xr:uid="{00000000-0005-0000-0000-0000CF8A0000}"/>
    <cellStyle name="Normal 57 5 2 2 2 5 2" xfId="14959" xr:uid="{00000000-0005-0000-0000-0000D08A0000}"/>
    <cellStyle name="Normal 57 5 2 2 2 5 2 2" xfId="40514" xr:uid="{00000000-0005-0000-0000-0000D18A0000}"/>
    <cellStyle name="Normal 57 5 2 2 2 5 3" xfId="25210" xr:uid="{00000000-0005-0000-0000-0000D28A0000}"/>
    <cellStyle name="Normal 57 5 2 2 2 5 3 2" xfId="50763" xr:uid="{00000000-0005-0000-0000-0000D38A0000}"/>
    <cellStyle name="Normal 57 5 2 2 2 5 4" xfId="31693" xr:uid="{00000000-0005-0000-0000-0000D48A0000}"/>
    <cellStyle name="Normal 57 5 2 2 2 6" xfId="7577" xr:uid="{00000000-0005-0000-0000-0000D58A0000}"/>
    <cellStyle name="Normal 57 5 2 2 2 6 2" xfId="20041" xr:uid="{00000000-0005-0000-0000-0000D68A0000}"/>
    <cellStyle name="Normal 57 5 2 2 2 6 2 2" xfId="45594" xr:uid="{00000000-0005-0000-0000-0000D78A0000}"/>
    <cellStyle name="Normal 57 5 2 2 2 6 3" xfId="33134" xr:uid="{00000000-0005-0000-0000-0000D88A0000}"/>
    <cellStyle name="Normal 57 5 2 2 2 7" xfId="16552" xr:uid="{00000000-0005-0000-0000-0000D98A0000}"/>
    <cellStyle name="Normal 57 5 2 2 2 7 2" xfId="42105" xr:uid="{00000000-0005-0000-0000-0000DA8A0000}"/>
    <cellStyle name="Normal 57 5 2 2 2 8" xfId="26524" xr:uid="{00000000-0005-0000-0000-0000DB8A0000}"/>
    <cellStyle name="Normal 57 5 2 2 3" xfId="862" xr:uid="{00000000-0005-0000-0000-0000DC8A0000}"/>
    <cellStyle name="Normal 57 5 2 2 3 2" xfId="3347" xr:uid="{00000000-0005-0000-0000-0000DD8A0000}"/>
    <cellStyle name="Normal 57 5 2 2 3 2 2" xfId="12489" xr:uid="{00000000-0005-0000-0000-0000DE8A0000}"/>
    <cellStyle name="Normal 57 5 2 2 3 2 2 2" xfId="22708" xr:uid="{00000000-0005-0000-0000-0000DF8A0000}"/>
    <cellStyle name="Normal 57 5 2 2 3 2 2 2 2" xfId="48261" xr:uid="{00000000-0005-0000-0000-0000E08A0000}"/>
    <cellStyle name="Normal 57 5 2 2 3 2 2 3" xfId="38044" xr:uid="{00000000-0005-0000-0000-0000E18A0000}"/>
    <cellStyle name="Normal 57 5 2 2 3 2 3" xfId="8911" xr:uid="{00000000-0005-0000-0000-0000E28A0000}"/>
    <cellStyle name="Normal 57 5 2 2 3 2 3 2" xfId="34468" xr:uid="{00000000-0005-0000-0000-0000E38A0000}"/>
    <cellStyle name="Normal 57 5 2 2 3 2 4" xfId="17701" xr:uid="{00000000-0005-0000-0000-0000E48A0000}"/>
    <cellStyle name="Normal 57 5 2 2 3 2 4 2" xfId="43254" xr:uid="{00000000-0005-0000-0000-0000E58A0000}"/>
    <cellStyle name="Normal 57 5 2 2 3 2 5" xfId="29191" xr:uid="{00000000-0005-0000-0000-0000E68A0000}"/>
    <cellStyle name="Normal 57 5 2 2 3 3" xfId="5025" xr:uid="{00000000-0005-0000-0000-0000E78A0000}"/>
    <cellStyle name="Normal 57 5 2 2 3 3 2" xfId="13862" xr:uid="{00000000-0005-0000-0000-0000E88A0000}"/>
    <cellStyle name="Normal 57 5 2 2 3 3 2 2" xfId="24113" xr:uid="{00000000-0005-0000-0000-0000E98A0000}"/>
    <cellStyle name="Normal 57 5 2 2 3 3 2 2 2" xfId="49666" xr:uid="{00000000-0005-0000-0000-0000EA8A0000}"/>
    <cellStyle name="Normal 57 5 2 2 3 3 2 3" xfId="39417" xr:uid="{00000000-0005-0000-0000-0000EB8A0000}"/>
    <cellStyle name="Normal 57 5 2 2 3 3 3" xfId="10283" xr:uid="{00000000-0005-0000-0000-0000EC8A0000}"/>
    <cellStyle name="Normal 57 5 2 2 3 3 3 2" xfId="35840" xr:uid="{00000000-0005-0000-0000-0000ED8A0000}"/>
    <cellStyle name="Normal 57 5 2 2 3 3 4" xfId="19106" xr:uid="{00000000-0005-0000-0000-0000EE8A0000}"/>
    <cellStyle name="Normal 57 5 2 2 3 3 4 2" xfId="44659" xr:uid="{00000000-0005-0000-0000-0000EF8A0000}"/>
    <cellStyle name="Normal 57 5 2 2 3 3 5" xfId="30596" xr:uid="{00000000-0005-0000-0000-0000F08A0000}"/>
    <cellStyle name="Normal 57 5 2 2 3 4" xfId="2456" xr:uid="{00000000-0005-0000-0000-0000F18A0000}"/>
    <cellStyle name="Normal 57 5 2 2 3 4 2" xfId="11821" xr:uid="{00000000-0005-0000-0000-0000F28A0000}"/>
    <cellStyle name="Normal 57 5 2 2 3 4 2 2" xfId="37376" xr:uid="{00000000-0005-0000-0000-0000F38A0000}"/>
    <cellStyle name="Normal 57 5 2 2 3 4 3" xfId="21825" xr:uid="{00000000-0005-0000-0000-0000F48A0000}"/>
    <cellStyle name="Normal 57 5 2 2 3 4 3 2" xfId="47378" xr:uid="{00000000-0005-0000-0000-0000F58A0000}"/>
    <cellStyle name="Normal 57 5 2 2 3 4 4" xfId="28308" xr:uid="{00000000-0005-0000-0000-0000F68A0000}"/>
    <cellStyle name="Normal 57 5 2 2 3 5" xfId="6480" xr:uid="{00000000-0005-0000-0000-0000F78A0000}"/>
    <cellStyle name="Normal 57 5 2 2 3 5 2" xfId="15307" xr:uid="{00000000-0005-0000-0000-0000F88A0000}"/>
    <cellStyle name="Normal 57 5 2 2 3 5 2 2" xfId="40862" xr:uid="{00000000-0005-0000-0000-0000F98A0000}"/>
    <cellStyle name="Normal 57 5 2 2 3 5 3" xfId="25558" xr:uid="{00000000-0005-0000-0000-0000FA8A0000}"/>
    <cellStyle name="Normal 57 5 2 2 3 5 3 2" xfId="51111" xr:uid="{00000000-0005-0000-0000-0000FB8A0000}"/>
    <cellStyle name="Normal 57 5 2 2 3 5 4" xfId="32041" xr:uid="{00000000-0005-0000-0000-0000FC8A0000}"/>
    <cellStyle name="Normal 57 5 2 2 3 6" xfId="7926" xr:uid="{00000000-0005-0000-0000-0000FD8A0000}"/>
    <cellStyle name="Normal 57 5 2 2 3 6 2" xfId="20307" xr:uid="{00000000-0005-0000-0000-0000FE8A0000}"/>
    <cellStyle name="Normal 57 5 2 2 3 6 2 2" xfId="45860" xr:uid="{00000000-0005-0000-0000-0000FF8A0000}"/>
    <cellStyle name="Normal 57 5 2 2 3 6 3" xfId="33483" xr:uid="{00000000-0005-0000-0000-0000008B0000}"/>
    <cellStyle name="Normal 57 5 2 2 3 7" xfId="16818" xr:uid="{00000000-0005-0000-0000-0000018B0000}"/>
    <cellStyle name="Normal 57 5 2 2 3 7 2" xfId="42371" xr:uid="{00000000-0005-0000-0000-0000028B0000}"/>
    <cellStyle name="Normal 57 5 2 2 3 8" xfId="26790" xr:uid="{00000000-0005-0000-0000-0000038B0000}"/>
    <cellStyle name="Normal 57 5 2 2 4" xfId="1367" xr:uid="{00000000-0005-0000-0000-0000048B0000}"/>
    <cellStyle name="Normal 57 5 2 2 4 2" xfId="3796" xr:uid="{00000000-0005-0000-0000-0000058B0000}"/>
    <cellStyle name="Normal 57 5 2 2 4 2 2" xfId="12932" xr:uid="{00000000-0005-0000-0000-0000068B0000}"/>
    <cellStyle name="Normal 57 5 2 2 4 2 2 2" xfId="23151" xr:uid="{00000000-0005-0000-0000-0000078B0000}"/>
    <cellStyle name="Normal 57 5 2 2 4 2 2 2 2" xfId="48704" xr:uid="{00000000-0005-0000-0000-0000088B0000}"/>
    <cellStyle name="Normal 57 5 2 2 4 2 2 3" xfId="38487" xr:uid="{00000000-0005-0000-0000-0000098B0000}"/>
    <cellStyle name="Normal 57 5 2 2 4 2 3" xfId="9353" xr:uid="{00000000-0005-0000-0000-00000A8B0000}"/>
    <cellStyle name="Normal 57 5 2 2 4 2 3 2" xfId="34910" xr:uid="{00000000-0005-0000-0000-00000B8B0000}"/>
    <cellStyle name="Normal 57 5 2 2 4 2 4" xfId="18144" xr:uid="{00000000-0005-0000-0000-00000C8B0000}"/>
    <cellStyle name="Normal 57 5 2 2 4 2 4 2" xfId="43697" xr:uid="{00000000-0005-0000-0000-00000D8B0000}"/>
    <cellStyle name="Normal 57 5 2 2 4 2 5" xfId="29634" xr:uid="{00000000-0005-0000-0000-00000E8B0000}"/>
    <cellStyle name="Normal 57 5 2 2 4 3" xfId="5459" xr:uid="{00000000-0005-0000-0000-00000F8B0000}"/>
    <cellStyle name="Normal 57 5 2 2 4 3 2" xfId="14296" xr:uid="{00000000-0005-0000-0000-0000108B0000}"/>
    <cellStyle name="Normal 57 5 2 2 4 3 2 2" xfId="24547" xr:uid="{00000000-0005-0000-0000-0000118B0000}"/>
    <cellStyle name="Normal 57 5 2 2 4 3 2 2 2" xfId="50100" xr:uid="{00000000-0005-0000-0000-0000128B0000}"/>
    <cellStyle name="Normal 57 5 2 2 4 3 2 3" xfId="39851" xr:uid="{00000000-0005-0000-0000-0000138B0000}"/>
    <cellStyle name="Normal 57 5 2 2 4 3 3" xfId="10717" xr:uid="{00000000-0005-0000-0000-0000148B0000}"/>
    <cellStyle name="Normal 57 5 2 2 4 3 3 2" xfId="36274" xr:uid="{00000000-0005-0000-0000-0000158B0000}"/>
    <cellStyle name="Normal 57 5 2 2 4 3 4" xfId="19540" xr:uid="{00000000-0005-0000-0000-0000168B0000}"/>
    <cellStyle name="Normal 57 5 2 2 4 3 4 2" xfId="45093" xr:uid="{00000000-0005-0000-0000-0000178B0000}"/>
    <cellStyle name="Normal 57 5 2 2 4 3 5" xfId="31030" xr:uid="{00000000-0005-0000-0000-0000188B0000}"/>
    <cellStyle name="Normal 57 5 2 2 4 4" xfId="1870" xr:uid="{00000000-0005-0000-0000-0000198B0000}"/>
    <cellStyle name="Normal 57 5 2 2 4 4 2" xfId="11238" xr:uid="{00000000-0005-0000-0000-00001A8B0000}"/>
    <cellStyle name="Normal 57 5 2 2 4 4 2 2" xfId="36793" xr:uid="{00000000-0005-0000-0000-00001B8B0000}"/>
    <cellStyle name="Normal 57 5 2 2 4 4 3" xfId="21242" xr:uid="{00000000-0005-0000-0000-00001C8B0000}"/>
    <cellStyle name="Normal 57 5 2 2 4 4 3 2" xfId="46795" xr:uid="{00000000-0005-0000-0000-00001D8B0000}"/>
    <cellStyle name="Normal 57 5 2 2 4 4 4" xfId="27725" xr:uid="{00000000-0005-0000-0000-00001E8B0000}"/>
    <cellStyle name="Normal 57 5 2 2 4 5" xfId="6914" xr:uid="{00000000-0005-0000-0000-00001F8B0000}"/>
    <cellStyle name="Normal 57 5 2 2 4 5 2" xfId="15741" xr:uid="{00000000-0005-0000-0000-0000208B0000}"/>
    <cellStyle name="Normal 57 5 2 2 4 5 2 2" xfId="41296" xr:uid="{00000000-0005-0000-0000-0000218B0000}"/>
    <cellStyle name="Normal 57 5 2 2 4 5 3" xfId="25992" xr:uid="{00000000-0005-0000-0000-0000228B0000}"/>
    <cellStyle name="Normal 57 5 2 2 4 5 3 2" xfId="51545" xr:uid="{00000000-0005-0000-0000-0000238B0000}"/>
    <cellStyle name="Normal 57 5 2 2 4 5 4" xfId="32475" xr:uid="{00000000-0005-0000-0000-0000248B0000}"/>
    <cellStyle name="Normal 57 5 2 2 4 6" xfId="8360" xr:uid="{00000000-0005-0000-0000-0000258B0000}"/>
    <cellStyle name="Normal 57 5 2 2 4 6 2" xfId="20750" xr:uid="{00000000-0005-0000-0000-0000268B0000}"/>
    <cellStyle name="Normal 57 5 2 2 4 6 2 2" xfId="46303" xr:uid="{00000000-0005-0000-0000-0000278B0000}"/>
    <cellStyle name="Normal 57 5 2 2 4 6 3" xfId="33917" xr:uid="{00000000-0005-0000-0000-0000288B0000}"/>
    <cellStyle name="Normal 57 5 2 2 4 7" xfId="16235" xr:uid="{00000000-0005-0000-0000-0000298B0000}"/>
    <cellStyle name="Normal 57 5 2 2 4 7 2" xfId="41788" xr:uid="{00000000-0005-0000-0000-00002A8B0000}"/>
    <cellStyle name="Normal 57 5 2 2 4 8" xfId="27233" xr:uid="{00000000-0005-0000-0000-00002B8B0000}"/>
    <cellStyle name="Normal 57 5 2 2 5" xfId="2764" xr:uid="{00000000-0005-0000-0000-00002C8B0000}"/>
    <cellStyle name="Normal 57 5 2 2 5 2" xfId="12081" xr:uid="{00000000-0005-0000-0000-00002D8B0000}"/>
    <cellStyle name="Normal 57 5 2 2 5 2 2" xfId="22125" xr:uid="{00000000-0005-0000-0000-00002E8B0000}"/>
    <cellStyle name="Normal 57 5 2 2 5 2 2 2" xfId="47678" xr:uid="{00000000-0005-0000-0000-00002F8B0000}"/>
    <cellStyle name="Normal 57 5 2 2 5 2 3" xfId="37636" xr:uid="{00000000-0005-0000-0000-0000308B0000}"/>
    <cellStyle name="Normal 57 5 2 2 5 3" xfId="8587" xr:uid="{00000000-0005-0000-0000-0000318B0000}"/>
    <cellStyle name="Normal 57 5 2 2 5 3 2" xfId="34144" xr:uid="{00000000-0005-0000-0000-0000328B0000}"/>
    <cellStyle name="Normal 57 5 2 2 5 4" xfId="17118" xr:uid="{00000000-0005-0000-0000-0000338B0000}"/>
    <cellStyle name="Normal 57 5 2 2 5 4 2" xfId="42671" xr:uid="{00000000-0005-0000-0000-0000348B0000}"/>
    <cellStyle name="Normal 57 5 2 2 5 5" xfId="28608" xr:uid="{00000000-0005-0000-0000-0000358B0000}"/>
    <cellStyle name="Normal 57 5 2 2 6" xfId="4415" xr:uid="{00000000-0005-0000-0000-0000368B0000}"/>
    <cellStyle name="Normal 57 5 2 2 6 2" xfId="13253" xr:uid="{00000000-0005-0000-0000-0000378B0000}"/>
    <cellStyle name="Normal 57 5 2 2 6 2 2" xfId="23504" xr:uid="{00000000-0005-0000-0000-0000388B0000}"/>
    <cellStyle name="Normal 57 5 2 2 6 2 2 2" xfId="49057" xr:uid="{00000000-0005-0000-0000-0000398B0000}"/>
    <cellStyle name="Normal 57 5 2 2 6 2 3" xfId="38808" xr:uid="{00000000-0005-0000-0000-00003A8B0000}"/>
    <cellStyle name="Normal 57 5 2 2 6 3" xfId="9674" xr:uid="{00000000-0005-0000-0000-00003B8B0000}"/>
    <cellStyle name="Normal 57 5 2 2 6 3 2" xfId="35231" xr:uid="{00000000-0005-0000-0000-00003C8B0000}"/>
    <cellStyle name="Normal 57 5 2 2 6 4" xfId="18497" xr:uid="{00000000-0005-0000-0000-00003D8B0000}"/>
    <cellStyle name="Normal 57 5 2 2 6 4 2" xfId="44050" xr:uid="{00000000-0005-0000-0000-00003E8B0000}"/>
    <cellStyle name="Normal 57 5 2 2 6 5" xfId="29987" xr:uid="{00000000-0005-0000-0000-00003F8B0000}"/>
    <cellStyle name="Normal 57 5 2 2 7" xfId="1687" xr:uid="{00000000-0005-0000-0000-0000408B0000}"/>
    <cellStyle name="Normal 57 5 2 2 7 2" xfId="11064" xr:uid="{00000000-0005-0000-0000-0000418B0000}"/>
    <cellStyle name="Normal 57 5 2 2 7 2 2" xfId="36619" xr:uid="{00000000-0005-0000-0000-0000428B0000}"/>
    <cellStyle name="Normal 57 5 2 2 7 3" xfId="21068" xr:uid="{00000000-0005-0000-0000-0000438B0000}"/>
    <cellStyle name="Normal 57 5 2 2 7 3 2" xfId="46621" xr:uid="{00000000-0005-0000-0000-0000448B0000}"/>
    <cellStyle name="Normal 57 5 2 2 7 4" xfId="27551" xr:uid="{00000000-0005-0000-0000-0000458B0000}"/>
    <cellStyle name="Normal 57 5 2 2 8" xfId="5871" xr:uid="{00000000-0005-0000-0000-0000468B0000}"/>
    <cellStyle name="Normal 57 5 2 2 8 2" xfId="14698" xr:uid="{00000000-0005-0000-0000-0000478B0000}"/>
    <cellStyle name="Normal 57 5 2 2 8 2 2" xfId="40253" xr:uid="{00000000-0005-0000-0000-0000488B0000}"/>
    <cellStyle name="Normal 57 5 2 2 8 3" xfId="24949" xr:uid="{00000000-0005-0000-0000-0000498B0000}"/>
    <cellStyle name="Normal 57 5 2 2 8 3 2" xfId="50502" xr:uid="{00000000-0005-0000-0000-00004A8B0000}"/>
    <cellStyle name="Normal 57 5 2 2 8 4" xfId="31432" xr:uid="{00000000-0005-0000-0000-00004B8B0000}"/>
    <cellStyle name="Normal 57 5 2 2 9" xfId="7315" xr:uid="{00000000-0005-0000-0000-00004C8B0000}"/>
    <cellStyle name="Normal 57 5 2 2 9 2" xfId="19724" xr:uid="{00000000-0005-0000-0000-00004D8B0000}"/>
    <cellStyle name="Normal 57 5 2 2 9 2 2" xfId="45277" xr:uid="{00000000-0005-0000-0000-00004E8B0000}"/>
    <cellStyle name="Normal 57 5 2 2 9 3" xfId="32872" xr:uid="{00000000-0005-0000-0000-00004F8B0000}"/>
    <cellStyle name="Normal 57 5 2 2_Degree data" xfId="3968" xr:uid="{00000000-0005-0000-0000-0000508B0000}"/>
    <cellStyle name="Normal 57 5 2 3" xfId="491" xr:uid="{00000000-0005-0000-0000-0000518B0000}"/>
    <cellStyle name="Normal 57 5 2 3 10" xfId="26420" xr:uid="{00000000-0005-0000-0000-0000528B0000}"/>
    <cellStyle name="Normal 57 5 2 3 2" xfId="863" xr:uid="{00000000-0005-0000-0000-0000538B0000}"/>
    <cellStyle name="Normal 57 5 2 3 2 2" xfId="3348" xr:uid="{00000000-0005-0000-0000-0000548B0000}"/>
    <cellStyle name="Normal 57 5 2 3 2 2 2" xfId="12490" xr:uid="{00000000-0005-0000-0000-0000558B0000}"/>
    <cellStyle name="Normal 57 5 2 3 2 2 2 2" xfId="22709" xr:uid="{00000000-0005-0000-0000-0000568B0000}"/>
    <cellStyle name="Normal 57 5 2 3 2 2 2 2 2" xfId="48262" xr:uid="{00000000-0005-0000-0000-0000578B0000}"/>
    <cellStyle name="Normal 57 5 2 3 2 2 2 3" xfId="38045" xr:uid="{00000000-0005-0000-0000-0000588B0000}"/>
    <cellStyle name="Normal 57 5 2 3 2 2 3" xfId="8912" xr:uid="{00000000-0005-0000-0000-0000598B0000}"/>
    <cellStyle name="Normal 57 5 2 3 2 2 3 2" xfId="34469" xr:uid="{00000000-0005-0000-0000-00005A8B0000}"/>
    <cellStyle name="Normal 57 5 2 3 2 2 4" xfId="17702" xr:uid="{00000000-0005-0000-0000-00005B8B0000}"/>
    <cellStyle name="Normal 57 5 2 3 2 2 4 2" xfId="43255" xr:uid="{00000000-0005-0000-0000-00005C8B0000}"/>
    <cellStyle name="Normal 57 5 2 3 2 2 5" xfId="29192" xr:uid="{00000000-0005-0000-0000-00005D8B0000}"/>
    <cellStyle name="Normal 57 5 2 3 2 3" xfId="4677" xr:uid="{00000000-0005-0000-0000-00005E8B0000}"/>
    <cellStyle name="Normal 57 5 2 3 2 3 2" xfId="13515" xr:uid="{00000000-0005-0000-0000-00005F8B0000}"/>
    <cellStyle name="Normal 57 5 2 3 2 3 2 2" xfId="23766" xr:uid="{00000000-0005-0000-0000-0000608B0000}"/>
    <cellStyle name="Normal 57 5 2 3 2 3 2 2 2" xfId="49319" xr:uid="{00000000-0005-0000-0000-0000618B0000}"/>
    <cellStyle name="Normal 57 5 2 3 2 3 2 3" xfId="39070" xr:uid="{00000000-0005-0000-0000-0000628B0000}"/>
    <cellStyle name="Normal 57 5 2 3 2 3 3" xfId="9936" xr:uid="{00000000-0005-0000-0000-0000638B0000}"/>
    <cellStyle name="Normal 57 5 2 3 2 3 3 2" xfId="35493" xr:uid="{00000000-0005-0000-0000-0000648B0000}"/>
    <cellStyle name="Normal 57 5 2 3 2 3 4" xfId="18759" xr:uid="{00000000-0005-0000-0000-0000658B0000}"/>
    <cellStyle name="Normal 57 5 2 3 2 3 4 2" xfId="44312" xr:uid="{00000000-0005-0000-0000-0000668B0000}"/>
    <cellStyle name="Normal 57 5 2 3 2 3 5" xfId="30249" xr:uid="{00000000-0005-0000-0000-0000678B0000}"/>
    <cellStyle name="Normal 57 5 2 3 2 4" xfId="2457" xr:uid="{00000000-0005-0000-0000-0000688B0000}"/>
    <cellStyle name="Normal 57 5 2 3 2 4 2" xfId="11822" xr:uid="{00000000-0005-0000-0000-0000698B0000}"/>
    <cellStyle name="Normal 57 5 2 3 2 4 2 2" xfId="37377" xr:uid="{00000000-0005-0000-0000-00006A8B0000}"/>
    <cellStyle name="Normal 57 5 2 3 2 4 3" xfId="21826" xr:uid="{00000000-0005-0000-0000-00006B8B0000}"/>
    <cellStyle name="Normal 57 5 2 3 2 4 3 2" xfId="47379" xr:uid="{00000000-0005-0000-0000-00006C8B0000}"/>
    <cellStyle name="Normal 57 5 2 3 2 4 4" xfId="28309" xr:uid="{00000000-0005-0000-0000-00006D8B0000}"/>
    <cellStyle name="Normal 57 5 2 3 2 5" xfId="6133" xr:uid="{00000000-0005-0000-0000-00006E8B0000}"/>
    <cellStyle name="Normal 57 5 2 3 2 5 2" xfId="14960" xr:uid="{00000000-0005-0000-0000-00006F8B0000}"/>
    <cellStyle name="Normal 57 5 2 3 2 5 2 2" xfId="40515" xr:uid="{00000000-0005-0000-0000-0000708B0000}"/>
    <cellStyle name="Normal 57 5 2 3 2 5 3" xfId="25211" xr:uid="{00000000-0005-0000-0000-0000718B0000}"/>
    <cellStyle name="Normal 57 5 2 3 2 5 3 2" xfId="50764" xr:uid="{00000000-0005-0000-0000-0000728B0000}"/>
    <cellStyle name="Normal 57 5 2 3 2 5 4" xfId="31694" xr:uid="{00000000-0005-0000-0000-0000738B0000}"/>
    <cellStyle name="Normal 57 5 2 3 2 6" xfId="7578" xr:uid="{00000000-0005-0000-0000-0000748B0000}"/>
    <cellStyle name="Normal 57 5 2 3 2 6 2" xfId="20308" xr:uid="{00000000-0005-0000-0000-0000758B0000}"/>
    <cellStyle name="Normal 57 5 2 3 2 6 2 2" xfId="45861" xr:uid="{00000000-0005-0000-0000-0000768B0000}"/>
    <cellStyle name="Normal 57 5 2 3 2 6 3" xfId="33135" xr:uid="{00000000-0005-0000-0000-0000778B0000}"/>
    <cellStyle name="Normal 57 5 2 3 2 7" xfId="16819" xr:uid="{00000000-0005-0000-0000-0000788B0000}"/>
    <cellStyle name="Normal 57 5 2 3 2 7 2" xfId="42372" xr:uid="{00000000-0005-0000-0000-0000798B0000}"/>
    <cellStyle name="Normal 57 5 2 3 2 8" xfId="26791" xr:uid="{00000000-0005-0000-0000-00007A8B0000}"/>
    <cellStyle name="Normal 57 5 2 3 3" xfId="1263" xr:uid="{00000000-0005-0000-0000-00007B8B0000}"/>
    <cellStyle name="Normal 57 5 2 3 3 2" xfId="3692" xr:uid="{00000000-0005-0000-0000-00007C8B0000}"/>
    <cellStyle name="Normal 57 5 2 3 3 2 2" xfId="12828" xr:uid="{00000000-0005-0000-0000-00007D8B0000}"/>
    <cellStyle name="Normal 57 5 2 3 3 2 2 2" xfId="23047" xr:uid="{00000000-0005-0000-0000-00007E8B0000}"/>
    <cellStyle name="Normal 57 5 2 3 3 2 2 2 2" xfId="48600" xr:uid="{00000000-0005-0000-0000-00007F8B0000}"/>
    <cellStyle name="Normal 57 5 2 3 3 2 2 3" xfId="38383" xr:uid="{00000000-0005-0000-0000-0000808B0000}"/>
    <cellStyle name="Normal 57 5 2 3 3 2 3" xfId="9249" xr:uid="{00000000-0005-0000-0000-0000818B0000}"/>
    <cellStyle name="Normal 57 5 2 3 3 2 3 2" xfId="34806" xr:uid="{00000000-0005-0000-0000-0000828B0000}"/>
    <cellStyle name="Normal 57 5 2 3 3 2 4" xfId="18040" xr:uid="{00000000-0005-0000-0000-0000838B0000}"/>
    <cellStyle name="Normal 57 5 2 3 3 2 4 2" xfId="43593" xr:uid="{00000000-0005-0000-0000-0000848B0000}"/>
    <cellStyle name="Normal 57 5 2 3 3 2 5" xfId="29530" xr:uid="{00000000-0005-0000-0000-0000858B0000}"/>
    <cellStyle name="Normal 57 5 2 3 3 3" xfId="5026" xr:uid="{00000000-0005-0000-0000-0000868B0000}"/>
    <cellStyle name="Normal 57 5 2 3 3 3 2" xfId="13863" xr:uid="{00000000-0005-0000-0000-0000878B0000}"/>
    <cellStyle name="Normal 57 5 2 3 3 3 2 2" xfId="24114" xr:uid="{00000000-0005-0000-0000-0000888B0000}"/>
    <cellStyle name="Normal 57 5 2 3 3 3 2 2 2" xfId="49667" xr:uid="{00000000-0005-0000-0000-0000898B0000}"/>
    <cellStyle name="Normal 57 5 2 3 3 3 2 3" xfId="39418" xr:uid="{00000000-0005-0000-0000-00008A8B0000}"/>
    <cellStyle name="Normal 57 5 2 3 3 3 3" xfId="10284" xr:uid="{00000000-0005-0000-0000-00008B8B0000}"/>
    <cellStyle name="Normal 57 5 2 3 3 3 3 2" xfId="35841" xr:uid="{00000000-0005-0000-0000-00008C8B0000}"/>
    <cellStyle name="Normal 57 5 2 3 3 3 4" xfId="19107" xr:uid="{00000000-0005-0000-0000-00008D8B0000}"/>
    <cellStyle name="Normal 57 5 2 3 3 3 4 2" xfId="44660" xr:uid="{00000000-0005-0000-0000-00008E8B0000}"/>
    <cellStyle name="Normal 57 5 2 3 3 3 5" xfId="30597" xr:uid="{00000000-0005-0000-0000-00008F8B0000}"/>
    <cellStyle name="Normal 57 5 2 3 3 4" xfId="2086" xr:uid="{00000000-0005-0000-0000-0000908B0000}"/>
    <cellStyle name="Normal 57 5 2 3 3 4 2" xfId="11451" xr:uid="{00000000-0005-0000-0000-0000918B0000}"/>
    <cellStyle name="Normal 57 5 2 3 3 4 2 2" xfId="37006" xr:uid="{00000000-0005-0000-0000-0000928B0000}"/>
    <cellStyle name="Normal 57 5 2 3 3 4 3" xfId="21455" xr:uid="{00000000-0005-0000-0000-0000938B0000}"/>
    <cellStyle name="Normal 57 5 2 3 3 4 3 2" xfId="47008" xr:uid="{00000000-0005-0000-0000-0000948B0000}"/>
    <cellStyle name="Normal 57 5 2 3 3 4 4" xfId="27938" xr:uid="{00000000-0005-0000-0000-0000958B0000}"/>
    <cellStyle name="Normal 57 5 2 3 3 5" xfId="6481" xr:uid="{00000000-0005-0000-0000-0000968B0000}"/>
    <cellStyle name="Normal 57 5 2 3 3 5 2" xfId="15308" xr:uid="{00000000-0005-0000-0000-0000978B0000}"/>
    <cellStyle name="Normal 57 5 2 3 3 5 2 2" xfId="40863" xr:uid="{00000000-0005-0000-0000-0000988B0000}"/>
    <cellStyle name="Normal 57 5 2 3 3 5 3" xfId="25559" xr:uid="{00000000-0005-0000-0000-0000998B0000}"/>
    <cellStyle name="Normal 57 5 2 3 3 5 3 2" xfId="51112" xr:uid="{00000000-0005-0000-0000-00009A8B0000}"/>
    <cellStyle name="Normal 57 5 2 3 3 5 4" xfId="32042" xr:uid="{00000000-0005-0000-0000-00009B8B0000}"/>
    <cellStyle name="Normal 57 5 2 3 3 6" xfId="7927" xr:uid="{00000000-0005-0000-0000-00009C8B0000}"/>
    <cellStyle name="Normal 57 5 2 3 3 6 2" xfId="20646" xr:uid="{00000000-0005-0000-0000-00009D8B0000}"/>
    <cellStyle name="Normal 57 5 2 3 3 6 2 2" xfId="46199" xr:uid="{00000000-0005-0000-0000-00009E8B0000}"/>
    <cellStyle name="Normal 57 5 2 3 3 6 3" xfId="33484" xr:uid="{00000000-0005-0000-0000-00009F8B0000}"/>
    <cellStyle name="Normal 57 5 2 3 3 7" xfId="16448" xr:uid="{00000000-0005-0000-0000-0000A08B0000}"/>
    <cellStyle name="Normal 57 5 2 3 3 7 2" xfId="42001" xr:uid="{00000000-0005-0000-0000-0000A18B0000}"/>
    <cellStyle name="Normal 57 5 2 3 3 8" xfId="27129" xr:uid="{00000000-0005-0000-0000-0000A28B0000}"/>
    <cellStyle name="Normal 57 5 2 3 4" xfId="2977" xr:uid="{00000000-0005-0000-0000-0000A38B0000}"/>
    <cellStyle name="Normal 57 5 2 3 4 2" xfId="5355" xr:uid="{00000000-0005-0000-0000-0000A48B0000}"/>
    <cellStyle name="Normal 57 5 2 3 4 2 2" xfId="14192" xr:uid="{00000000-0005-0000-0000-0000A58B0000}"/>
    <cellStyle name="Normal 57 5 2 3 4 2 2 2" xfId="24443" xr:uid="{00000000-0005-0000-0000-0000A68B0000}"/>
    <cellStyle name="Normal 57 5 2 3 4 2 2 2 2" xfId="49996" xr:uid="{00000000-0005-0000-0000-0000A78B0000}"/>
    <cellStyle name="Normal 57 5 2 3 4 2 2 3" xfId="39747" xr:uid="{00000000-0005-0000-0000-0000A88B0000}"/>
    <cellStyle name="Normal 57 5 2 3 4 2 3" xfId="10613" xr:uid="{00000000-0005-0000-0000-0000A98B0000}"/>
    <cellStyle name="Normal 57 5 2 3 4 2 3 2" xfId="36170" xr:uid="{00000000-0005-0000-0000-0000AA8B0000}"/>
    <cellStyle name="Normal 57 5 2 3 4 2 4" xfId="19436" xr:uid="{00000000-0005-0000-0000-0000AB8B0000}"/>
    <cellStyle name="Normal 57 5 2 3 4 2 4 2" xfId="44989" xr:uid="{00000000-0005-0000-0000-0000AC8B0000}"/>
    <cellStyle name="Normal 57 5 2 3 4 2 5" xfId="30926" xr:uid="{00000000-0005-0000-0000-0000AD8B0000}"/>
    <cellStyle name="Normal 57 5 2 3 4 3" xfId="6810" xr:uid="{00000000-0005-0000-0000-0000AE8B0000}"/>
    <cellStyle name="Normal 57 5 2 3 4 3 2" xfId="15637" xr:uid="{00000000-0005-0000-0000-0000AF8B0000}"/>
    <cellStyle name="Normal 57 5 2 3 4 3 2 2" xfId="41192" xr:uid="{00000000-0005-0000-0000-0000B08B0000}"/>
    <cellStyle name="Normal 57 5 2 3 4 3 3" xfId="25888" xr:uid="{00000000-0005-0000-0000-0000B18B0000}"/>
    <cellStyle name="Normal 57 5 2 3 4 3 3 2" xfId="51441" xr:uid="{00000000-0005-0000-0000-0000B28B0000}"/>
    <cellStyle name="Normal 57 5 2 3 4 3 4" xfId="32371" xr:uid="{00000000-0005-0000-0000-0000B38B0000}"/>
    <cellStyle name="Normal 57 5 2 3 4 4" xfId="8256" xr:uid="{00000000-0005-0000-0000-0000B48B0000}"/>
    <cellStyle name="Normal 57 5 2 3 4 4 2" xfId="22338" xr:uid="{00000000-0005-0000-0000-0000B58B0000}"/>
    <cellStyle name="Normal 57 5 2 3 4 4 2 2" xfId="47891" xr:uid="{00000000-0005-0000-0000-0000B68B0000}"/>
    <cellStyle name="Normal 57 5 2 3 4 4 3" xfId="33813" xr:uid="{00000000-0005-0000-0000-0000B78B0000}"/>
    <cellStyle name="Normal 57 5 2 3 4 5" xfId="17331" xr:uid="{00000000-0005-0000-0000-0000B88B0000}"/>
    <cellStyle name="Normal 57 5 2 3 4 5 2" xfId="42884" xr:uid="{00000000-0005-0000-0000-0000B98B0000}"/>
    <cellStyle name="Normal 57 5 2 3 4 6" xfId="28821" xr:uid="{00000000-0005-0000-0000-0000BA8B0000}"/>
    <cellStyle name="Normal 57 5 2 3 5" xfId="4311" xr:uid="{00000000-0005-0000-0000-0000BB8B0000}"/>
    <cellStyle name="Normal 57 5 2 3 5 2" xfId="13149" xr:uid="{00000000-0005-0000-0000-0000BC8B0000}"/>
    <cellStyle name="Normal 57 5 2 3 5 2 2" xfId="23400" xr:uid="{00000000-0005-0000-0000-0000BD8B0000}"/>
    <cellStyle name="Normal 57 5 2 3 5 2 2 2" xfId="48953" xr:uid="{00000000-0005-0000-0000-0000BE8B0000}"/>
    <cellStyle name="Normal 57 5 2 3 5 2 3" xfId="38704" xr:uid="{00000000-0005-0000-0000-0000BF8B0000}"/>
    <cellStyle name="Normal 57 5 2 3 5 3" xfId="9570" xr:uid="{00000000-0005-0000-0000-0000C08B0000}"/>
    <cellStyle name="Normal 57 5 2 3 5 3 2" xfId="35127" xr:uid="{00000000-0005-0000-0000-0000C18B0000}"/>
    <cellStyle name="Normal 57 5 2 3 5 4" xfId="18393" xr:uid="{00000000-0005-0000-0000-0000C28B0000}"/>
    <cellStyle name="Normal 57 5 2 3 5 4 2" xfId="43946" xr:uid="{00000000-0005-0000-0000-0000C38B0000}"/>
    <cellStyle name="Normal 57 5 2 3 5 5" xfId="29883" xr:uid="{00000000-0005-0000-0000-0000C48B0000}"/>
    <cellStyle name="Normal 57 5 2 3 6" xfId="1583" xr:uid="{00000000-0005-0000-0000-0000C58B0000}"/>
    <cellStyle name="Normal 57 5 2 3 6 2" xfId="10960" xr:uid="{00000000-0005-0000-0000-0000C68B0000}"/>
    <cellStyle name="Normal 57 5 2 3 6 2 2" xfId="36515" xr:uid="{00000000-0005-0000-0000-0000C78B0000}"/>
    <cellStyle name="Normal 57 5 2 3 6 3" xfId="20964" xr:uid="{00000000-0005-0000-0000-0000C88B0000}"/>
    <cellStyle name="Normal 57 5 2 3 6 3 2" xfId="46517" xr:uid="{00000000-0005-0000-0000-0000C98B0000}"/>
    <cellStyle name="Normal 57 5 2 3 6 4" xfId="27447" xr:uid="{00000000-0005-0000-0000-0000CA8B0000}"/>
    <cellStyle name="Normal 57 5 2 3 7" xfId="5767" xr:uid="{00000000-0005-0000-0000-0000CB8B0000}"/>
    <cellStyle name="Normal 57 5 2 3 7 2" xfId="14594" xr:uid="{00000000-0005-0000-0000-0000CC8B0000}"/>
    <cellStyle name="Normal 57 5 2 3 7 2 2" xfId="40149" xr:uid="{00000000-0005-0000-0000-0000CD8B0000}"/>
    <cellStyle name="Normal 57 5 2 3 7 3" xfId="24845" xr:uid="{00000000-0005-0000-0000-0000CE8B0000}"/>
    <cellStyle name="Normal 57 5 2 3 7 3 2" xfId="50398" xr:uid="{00000000-0005-0000-0000-0000CF8B0000}"/>
    <cellStyle name="Normal 57 5 2 3 7 4" xfId="31328" xr:uid="{00000000-0005-0000-0000-0000D08B0000}"/>
    <cellStyle name="Normal 57 5 2 3 8" xfId="7211" xr:uid="{00000000-0005-0000-0000-0000D18B0000}"/>
    <cellStyle name="Normal 57 5 2 3 8 2" xfId="19937" xr:uid="{00000000-0005-0000-0000-0000D28B0000}"/>
    <cellStyle name="Normal 57 5 2 3 8 2 2" xfId="45490" xr:uid="{00000000-0005-0000-0000-0000D38B0000}"/>
    <cellStyle name="Normal 57 5 2 3 8 3" xfId="32768" xr:uid="{00000000-0005-0000-0000-0000D48B0000}"/>
    <cellStyle name="Normal 57 5 2 3 9" xfId="15957" xr:uid="{00000000-0005-0000-0000-0000D58B0000}"/>
    <cellStyle name="Normal 57 5 2 3 9 2" xfId="41510" xr:uid="{00000000-0005-0000-0000-0000D68B0000}"/>
    <cellStyle name="Normal 57 5 2 3_Degree data" xfId="3969" xr:uid="{00000000-0005-0000-0000-0000D78B0000}"/>
    <cellStyle name="Normal 57 5 2 4" xfId="391" xr:uid="{00000000-0005-0000-0000-0000D88B0000}"/>
    <cellStyle name="Normal 57 5 2 4 2" xfId="2877" xr:uid="{00000000-0005-0000-0000-0000D98B0000}"/>
    <cellStyle name="Normal 57 5 2 4 2 2" xfId="12165" xr:uid="{00000000-0005-0000-0000-0000DA8B0000}"/>
    <cellStyle name="Normal 57 5 2 4 2 2 2" xfId="22238" xr:uid="{00000000-0005-0000-0000-0000DB8B0000}"/>
    <cellStyle name="Normal 57 5 2 4 2 2 2 2" xfId="47791" xr:uid="{00000000-0005-0000-0000-0000DC8B0000}"/>
    <cellStyle name="Normal 57 5 2 4 2 2 3" xfId="37720" xr:uid="{00000000-0005-0000-0000-0000DD8B0000}"/>
    <cellStyle name="Normal 57 5 2 4 2 3" xfId="8519" xr:uid="{00000000-0005-0000-0000-0000DE8B0000}"/>
    <cellStyle name="Normal 57 5 2 4 2 3 2" xfId="34076" xr:uid="{00000000-0005-0000-0000-0000DF8B0000}"/>
    <cellStyle name="Normal 57 5 2 4 2 4" xfId="17231" xr:uid="{00000000-0005-0000-0000-0000E08B0000}"/>
    <cellStyle name="Normal 57 5 2 4 2 4 2" xfId="42784" xr:uid="{00000000-0005-0000-0000-0000E18B0000}"/>
    <cellStyle name="Normal 57 5 2 4 2 5" xfId="28721" xr:uid="{00000000-0005-0000-0000-0000E28B0000}"/>
    <cellStyle name="Normal 57 5 2 4 3" xfId="4675" xr:uid="{00000000-0005-0000-0000-0000E38B0000}"/>
    <cellStyle name="Normal 57 5 2 4 3 2" xfId="13513" xr:uid="{00000000-0005-0000-0000-0000E48B0000}"/>
    <cellStyle name="Normal 57 5 2 4 3 2 2" xfId="23764" xr:uid="{00000000-0005-0000-0000-0000E58B0000}"/>
    <cellStyle name="Normal 57 5 2 4 3 2 2 2" xfId="49317" xr:uid="{00000000-0005-0000-0000-0000E68B0000}"/>
    <cellStyle name="Normal 57 5 2 4 3 2 3" xfId="39068" xr:uid="{00000000-0005-0000-0000-0000E78B0000}"/>
    <cellStyle name="Normal 57 5 2 4 3 3" xfId="9934" xr:uid="{00000000-0005-0000-0000-0000E88B0000}"/>
    <cellStyle name="Normal 57 5 2 4 3 3 2" xfId="35491" xr:uid="{00000000-0005-0000-0000-0000E98B0000}"/>
    <cellStyle name="Normal 57 5 2 4 3 4" xfId="18757" xr:uid="{00000000-0005-0000-0000-0000EA8B0000}"/>
    <cellStyle name="Normal 57 5 2 4 3 4 2" xfId="44310" xr:uid="{00000000-0005-0000-0000-0000EB8B0000}"/>
    <cellStyle name="Normal 57 5 2 4 3 5" xfId="30247" xr:uid="{00000000-0005-0000-0000-0000EC8B0000}"/>
    <cellStyle name="Normal 57 5 2 4 4" xfId="1986" xr:uid="{00000000-0005-0000-0000-0000ED8B0000}"/>
    <cellStyle name="Normal 57 5 2 4 4 2" xfId="11351" xr:uid="{00000000-0005-0000-0000-0000EE8B0000}"/>
    <cellStyle name="Normal 57 5 2 4 4 2 2" xfId="36906" xr:uid="{00000000-0005-0000-0000-0000EF8B0000}"/>
    <cellStyle name="Normal 57 5 2 4 4 3" xfId="21355" xr:uid="{00000000-0005-0000-0000-0000F08B0000}"/>
    <cellStyle name="Normal 57 5 2 4 4 3 2" xfId="46908" xr:uid="{00000000-0005-0000-0000-0000F18B0000}"/>
    <cellStyle name="Normal 57 5 2 4 4 4" xfId="27838" xr:uid="{00000000-0005-0000-0000-0000F28B0000}"/>
    <cellStyle name="Normal 57 5 2 4 5" xfId="6131" xr:uid="{00000000-0005-0000-0000-0000F38B0000}"/>
    <cellStyle name="Normal 57 5 2 4 5 2" xfId="14958" xr:uid="{00000000-0005-0000-0000-0000F48B0000}"/>
    <cellStyle name="Normal 57 5 2 4 5 2 2" xfId="40513" xr:uid="{00000000-0005-0000-0000-0000F58B0000}"/>
    <cellStyle name="Normal 57 5 2 4 5 3" xfId="25209" xr:uid="{00000000-0005-0000-0000-0000F68B0000}"/>
    <cellStyle name="Normal 57 5 2 4 5 3 2" xfId="50762" xr:uid="{00000000-0005-0000-0000-0000F78B0000}"/>
    <cellStyle name="Normal 57 5 2 4 5 4" xfId="31692" xr:uid="{00000000-0005-0000-0000-0000F88B0000}"/>
    <cellStyle name="Normal 57 5 2 4 6" xfId="7576" xr:uid="{00000000-0005-0000-0000-0000F98B0000}"/>
    <cellStyle name="Normal 57 5 2 4 6 2" xfId="19837" xr:uid="{00000000-0005-0000-0000-0000FA8B0000}"/>
    <cellStyle name="Normal 57 5 2 4 6 2 2" xfId="45390" xr:uid="{00000000-0005-0000-0000-0000FB8B0000}"/>
    <cellStyle name="Normal 57 5 2 4 6 3" xfId="33133" xr:uid="{00000000-0005-0000-0000-0000FC8B0000}"/>
    <cellStyle name="Normal 57 5 2 4 7" xfId="16348" xr:uid="{00000000-0005-0000-0000-0000FD8B0000}"/>
    <cellStyle name="Normal 57 5 2 4 7 2" xfId="41901" xr:uid="{00000000-0005-0000-0000-0000FE8B0000}"/>
    <cellStyle name="Normal 57 5 2 4 8" xfId="26320" xr:uid="{00000000-0005-0000-0000-0000FF8B0000}"/>
    <cellStyle name="Normal 57 5 2 5" xfId="861" xr:uid="{00000000-0005-0000-0000-0000008C0000}"/>
    <cellStyle name="Normal 57 5 2 5 2" xfId="3346" xr:uid="{00000000-0005-0000-0000-0000018C0000}"/>
    <cellStyle name="Normal 57 5 2 5 2 2" xfId="12488" xr:uid="{00000000-0005-0000-0000-0000028C0000}"/>
    <cellStyle name="Normal 57 5 2 5 2 2 2" xfId="22707" xr:uid="{00000000-0005-0000-0000-0000038C0000}"/>
    <cellStyle name="Normal 57 5 2 5 2 2 2 2" xfId="48260" xr:uid="{00000000-0005-0000-0000-0000048C0000}"/>
    <cellStyle name="Normal 57 5 2 5 2 2 3" xfId="38043" xr:uid="{00000000-0005-0000-0000-0000058C0000}"/>
    <cellStyle name="Normal 57 5 2 5 2 3" xfId="8910" xr:uid="{00000000-0005-0000-0000-0000068C0000}"/>
    <cellStyle name="Normal 57 5 2 5 2 3 2" xfId="34467" xr:uid="{00000000-0005-0000-0000-0000078C0000}"/>
    <cellStyle name="Normal 57 5 2 5 2 4" xfId="17700" xr:uid="{00000000-0005-0000-0000-0000088C0000}"/>
    <cellStyle name="Normal 57 5 2 5 2 4 2" xfId="43253" xr:uid="{00000000-0005-0000-0000-0000098C0000}"/>
    <cellStyle name="Normal 57 5 2 5 2 5" xfId="29190" xr:uid="{00000000-0005-0000-0000-00000A8C0000}"/>
    <cellStyle name="Normal 57 5 2 5 3" xfId="5024" xr:uid="{00000000-0005-0000-0000-00000B8C0000}"/>
    <cellStyle name="Normal 57 5 2 5 3 2" xfId="13861" xr:uid="{00000000-0005-0000-0000-00000C8C0000}"/>
    <cellStyle name="Normal 57 5 2 5 3 2 2" xfId="24112" xr:uid="{00000000-0005-0000-0000-00000D8C0000}"/>
    <cellStyle name="Normal 57 5 2 5 3 2 2 2" xfId="49665" xr:uid="{00000000-0005-0000-0000-00000E8C0000}"/>
    <cellStyle name="Normal 57 5 2 5 3 2 3" xfId="39416" xr:uid="{00000000-0005-0000-0000-00000F8C0000}"/>
    <cellStyle name="Normal 57 5 2 5 3 3" xfId="10282" xr:uid="{00000000-0005-0000-0000-0000108C0000}"/>
    <cellStyle name="Normal 57 5 2 5 3 3 2" xfId="35839" xr:uid="{00000000-0005-0000-0000-0000118C0000}"/>
    <cellStyle name="Normal 57 5 2 5 3 4" xfId="19105" xr:uid="{00000000-0005-0000-0000-0000128C0000}"/>
    <cellStyle name="Normal 57 5 2 5 3 4 2" xfId="44658" xr:uid="{00000000-0005-0000-0000-0000138C0000}"/>
    <cellStyle name="Normal 57 5 2 5 3 5" xfId="30595" xr:uid="{00000000-0005-0000-0000-0000148C0000}"/>
    <cellStyle name="Normal 57 5 2 5 4" xfId="2455" xr:uid="{00000000-0005-0000-0000-0000158C0000}"/>
    <cellStyle name="Normal 57 5 2 5 4 2" xfId="11820" xr:uid="{00000000-0005-0000-0000-0000168C0000}"/>
    <cellStyle name="Normal 57 5 2 5 4 2 2" xfId="37375" xr:uid="{00000000-0005-0000-0000-0000178C0000}"/>
    <cellStyle name="Normal 57 5 2 5 4 3" xfId="21824" xr:uid="{00000000-0005-0000-0000-0000188C0000}"/>
    <cellStyle name="Normal 57 5 2 5 4 3 2" xfId="47377" xr:uid="{00000000-0005-0000-0000-0000198C0000}"/>
    <cellStyle name="Normal 57 5 2 5 4 4" xfId="28307" xr:uid="{00000000-0005-0000-0000-00001A8C0000}"/>
    <cellStyle name="Normal 57 5 2 5 5" xfId="6479" xr:uid="{00000000-0005-0000-0000-00001B8C0000}"/>
    <cellStyle name="Normal 57 5 2 5 5 2" xfId="15306" xr:uid="{00000000-0005-0000-0000-00001C8C0000}"/>
    <cellStyle name="Normal 57 5 2 5 5 2 2" xfId="40861" xr:uid="{00000000-0005-0000-0000-00001D8C0000}"/>
    <cellStyle name="Normal 57 5 2 5 5 3" xfId="25557" xr:uid="{00000000-0005-0000-0000-00001E8C0000}"/>
    <cellStyle name="Normal 57 5 2 5 5 3 2" xfId="51110" xr:uid="{00000000-0005-0000-0000-00001F8C0000}"/>
    <cellStyle name="Normal 57 5 2 5 5 4" xfId="32040" xr:uid="{00000000-0005-0000-0000-0000208C0000}"/>
    <cellStyle name="Normal 57 5 2 5 6" xfId="7925" xr:uid="{00000000-0005-0000-0000-0000218C0000}"/>
    <cellStyle name="Normal 57 5 2 5 6 2" xfId="20306" xr:uid="{00000000-0005-0000-0000-0000228C0000}"/>
    <cellStyle name="Normal 57 5 2 5 6 2 2" xfId="45859" xr:uid="{00000000-0005-0000-0000-0000238C0000}"/>
    <cellStyle name="Normal 57 5 2 5 6 3" xfId="33482" xr:uid="{00000000-0005-0000-0000-0000248C0000}"/>
    <cellStyle name="Normal 57 5 2 5 7" xfId="16817" xr:uid="{00000000-0005-0000-0000-0000258C0000}"/>
    <cellStyle name="Normal 57 5 2 5 7 2" xfId="42370" xr:uid="{00000000-0005-0000-0000-0000268C0000}"/>
    <cellStyle name="Normal 57 5 2 5 8" xfId="26789" xr:uid="{00000000-0005-0000-0000-0000278C0000}"/>
    <cellStyle name="Normal 57 5 2 6" xfId="1163" xr:uid="{00000000-0005-0000-0000-0000288C0000}"/>
    <cellStyle name="Normal 57 5 2 6 2" xfId="3592" xr:uid="{00000000-0005-0000-0000-0000298C0000}"/>
    <cellStyle name="Normal 57 5 2 6 2 2" xfId="12728" xr:uid="{00000000-0005-0000-0000-00002A8C0000}"/>
    <cellStyle name="Normal 57 5 2 6 2 2 2" xfId="22947" xr:uid="{00000000-0005-0000-0000-00002B8C0000}"/>
    <cellStyle name="Normal 57 5 2 6 2 2 2 2" xfId="48500" xr:uid="{00000000-0005-0000-0000-00002C8C0000}"/>
    <cellStyle name="Normal 57 5 2 6 2 2 3" xfId="38283" xr:uid="{00000000-0005-0000-0000-00002D8C0000}"/>
    <cellStyle name="Normal 57 5 2 6 2 3" xfId="9149" xr:uid="{00000000-0005-0000-0000-00002E8C0000}"/>
    <cellStyle name="Normal 57 5 2 6 2 3 2" xfId="34706" xr:uid="{00000000-0005-0000-0000-00002F8C0000}"/>
    <cellStyle name="Normal 57 5 2 6 2 4" xfId="17940" xr:uid="{00000000-0005-0000-0000-0000308C0000}"/>
    <cellStyle name="Normal 57 5 2 6 2 4 2" xfId="43493" xr:uid="{00000000-0005-0000-0000-0000318C0000}"/>
    <cellStyle name="Normal 57 5 2 6 2 5" xfId="29430" xr:uid="{00000000-0005-0000-0000-0000328C0000}"/>
    <cellStyle name="Normal 57 5 2 6 3" xfId="5255" xr:uid="{00000000-0005-0000-0000-0000338C0000}"/>
    <cellStyle name="Normal 57 5 2 6 3 2" xfId="14092" xr:uid="{00000000-0005-0000-0000-0000348C0000}"/>
    <cellStyle name="Normal 57 5 2 6 3 2 2" xfId="24343" xr:uid="{00000000-0005-0000-0000-0000358C0000}"/>
    <cellStyle name="Normal 57 5 2 6 3 2 2 2" xfId="49896" xr:uid="{00000000-0005-0000-0000-0000368C0000}"/>
    <cellStyle name="Normal 57 5 2 6 3 2 3" xfId="39647" xr:uid="{00000000-0005-0000-0000-0000378C0000}"/>
    <cellStyle name="Normal 57 5 2 6 3 3" xfId="10513" xr:uid="{00000000-0005-0000-0000-0000388C0000}"/>
    <cellStyle name="Normal 57 5 2 6 3 3 2" xfId="36070" xr:uid="{00000000-0005-0000-0000-0000398C0000}"/>
    <cellStyle name="Normal 57 5 2 6 3 4" xfId="19336" xr:uid="{00000000-0005-0000-0000-00003A8C0000}"/>
    <cellStyle name="Normal 57 5 2 6 3 4 2" xfId="44889" xr:uid="{00000000-0005-0000-0000-00003B8C0000}"/>
    <cellStyle name="Normal 57 5 2 6 3 5" xfId="30826" xr:uid="{00000000-0005-0000-0000-00003C8C0000}"/>
    <cellStyle name="Normal 57 5 2 6 4" xfId="1763" xr:uid="{00000000-0005-0000-0000-00003D8C0000}"/>
    <cellStyle name="Normal 57 5 2 6 4 2" xfId="11134" xr:uid="{00000000-0005-0000-0000-00003E8C0000}"/>
    <cellStyle name="Normal 57 5 2 6 4 2 2" xfId="36689" xr:uid="{00000000-0005-0000-0000-00003F8C0000}"/>
    <cellStyle name="Normal 57 5 2 6 4 3" xfId="21138" xr:uid="{00000000-0005-0000-0000-0000408C0000}"/>
    <cellStyle name="Normal 57 5 2 6 4 3 2" xfId="46691" xr:uid="{00000000-0005-0000-0000-0000418C0000}"/>
    <cellStyle name="Normal 57 5 2 6 4 4" xfId="27621" xr:uid="{00000000-0005-0000-0000-0000428C0000}"/>
    <cellStyle name="Normal 57 5 2 6 5" xfId="6710" xr:uid="{00000000-0005-0000-0000-0000438C0000}"/>
    <cellStyle name="Normal 57 5 2 6 5 2" xfId="15537" xr:uid="{00000000-0005-0000-0000-0000448C0000}"/>
    <cellStyle name="Normal 57 5 2 6 5 2 2" xfId="41092" xr:uid="{00000000-0005-0000-0000-0000458C0000}"/>
    <cellStyle name="Normal 57 5 2 6 5 3" xfId="25788" xr:uid="{00000000-0005-0000-0000-0000468C0000}"/>
    <cellStyle name="Normal 57 5 2 6 5 3 2" xfId="51341" xr:uid="{00000000-0005-0000-0000-0000478C0000}"/>
    <cellStyle name="Normal 57 5 2 6 5 4" xfId="32271" xr:uid="{00000000-0005-0000-0000-0000488C0000}"/>
    <cellStyle name="Normal 57 5 2 6 6" xfId="8156" xr:uid="{00000000-0005-0000-0000-0000498C0000}"/>
    <cellStyle name="Normal 57 5 2 6 6 2" xfId="20546" xr:uid="{00000000-0005-0000-0000-00004A8C0000}"/>
    <cellStyle name="Normal 57 5 2 6 6 2 2" xfId="46099" xr:uid="{00000000-0005-0000-0000-00004B8C0000}"/>
    <cellStyle name="Normal 57 5 2 6 6 3" xfId="33713" xr:uid="{00000000-0005-0000-0000-00004C8C0000}"/>
    <cellStyle name="Normal 57 5 2 6 7" xfId="16131" xr:uid="{00000000-0005-0000-0000-00004D8C0000}"/>
    <cellStyle name="Normal 57 5 2 6 7 2" xfId="41684" xr:uid="{00000000-0005-0000-0000-00004E8C0000}"/>
    <cellStyle name="Normal 57 5 2 6 8" xfId="27029" xr:uid="{00000000-0005-0000-0000-00004F8C0000}"/>
    <cellStyle name="Normal 57 5 2 7" xfId="2660" xr:uid="{00000000-0005-0000-0000-0000508C0000}"/>
    <cellStyle name="Normal 57 5 2 7 2" xfId="11978" xr:uid="{00000000-0005-0000-0000-0000518C0000}"/>
    <cellStyle name="Normal 57 5 2 7 2 2" xfId="22021" xr:uid="{00000000-0005-0000-0000-0000528C0000}"/>
    <cellStyle name="Normal 57 5 2 7 2 2 2" xfId="47574" xr:uid="{00000000-0005-0000-0000-0000538C0000}"/>
    <cellStyle name="Normal 57 5 2 7 2 3" xfId="37533" xr:uid="{00000000-0005-0000-0000-0000548C0000}"/>
    <cellStyle name="Normal 57 5 2 7 3" xfId="8431" xr:uid="{00000000-0005-0000-0000-0000558C0000}"/>
    <cellStyle name="Normal 57 5 2 7 3 2" xfId="33988" xr:uid="{00000000-0005-0000-0000-0000568C0000}"/>
    <cellStyle name="Normal 57 5 2 7 4" xfId="17014" xr:uid="{00000000-0005-0000-0000-0000578C0000}"/>
    <cellStyle name="Normal 57 5 2 7 4 2" xfId="42567" xr:uid="{00000000-0005-0000-0000-0000588C0000}"/>
    <cellStyle name="Normal 57 5 2 7 5" xfId="28504" xr:uid="{00000000-0005-0000-0000-0000598C0000}"/>
    <cellStyle name="Normal 57 5 2 8" xfId="4211" xr:uid="{00000000-0005-0000-0000-00005A8C0000}"/>
    <cellStyle name="Normal 57 5 2 8 2" xfId="13049" xr:uid="{00000000-0005-0000-0000-00005B8C0000}"/>
    <cellStyle name="Normal 57 5 2 8 2 2" xfId="23300" xr:uid="{00000000-0005-0000-0000-00005C8C0000}"/>
    <cellStyle name="Normal 57 5 2 8 2 2 2" xfId="48853" xr:uid="{00000000-0005-0000-0000-00005D8C0000}"/>
    <cellStyle name="Normal 57 5 2 8 2 3" xfId="38604" xr:uid="{00000000-0005-0000-0000-00005E8C0000}"/>
    <cellStyle name="Normal 57 5 2 8 3" xfId="9470" xr:uid="{00000000-0005-0000-0000-00005F8C0000}"/>
    <cellStyle name="Normal 57 5 2 8 3 2" xfId="35027" xr:uid="{00000000-0005-0000-0000-0000608C0000}"/>
    <cellStyle name="Normal 57 5 2 8 4" xfId="18293" xr:uid="{00000000-0005-0000-0000-0000618C0000}"/>
    <cellStyle name="Normal 57 5 2 8 4 2" xfId="43846" xr:uid="{00000000-0005-0000-0000-0000628C0000}"/>
    <cellStyle name="Normal 57 5 2 8 5" xfId="29783" xr:uid="{00000000-0005-0000-0000-0000638C0000}"/>
    <cellStyle name="Normal 57 5 2 9" xfId="1483" xr:uid="{00000000-0005-0000-0000-0000648C0000}"/>
    <cellStyle name="Normal 57 5 2 9 2" xfId="10860" xr:uid="{00000000-0005-0000-0000-0000658C0000}"/>
    <cellStyle name="Normal 57 5 2 9 2 2" xfId="36415" xr:uid="{00000000-0005-0000-0000-0000668C0000}"/>
    <cellStyle name="Normal 57 5 2 9 3" xfId="20864" xr:uid="{00000000-0005-0000-0000-0000678C0000}"/>
    <cellStyle name="Normal 57 5 2 9 3 2" xfId="46417" xr:uid="{00000000-0005-0000-0000-0000688C0000}"/>
    <cellStyle name="Normal 57 5 2 9 4" xfId="27347" xr:uid="{00000000-0005-0000-0000-0000698C0000}"/>
    <cellStyle name="Normal 57 5 2_Degree data" xfId="3967" xr:uid="{00000000-0005-0000-0000-00006A8C0000}"/>
    <cellStyle name="Normal 57 5 3" xfId="208" xr:uid="{00000000-0005-0000-0000-00006B8C0000}"/>
    <cellStyle name="Normal 57 5 3 10" xfId="7154" xr:uid="{00000000-0005-0000-0000-00006C8C0000}"/>
    <cellStyle name="Normal 57 5 3 10 2" xfId="19663" xr:uid="{00000000-0005-0000-0000-00006D8C0000}"/>
    <cellStyle name="Normal 57 5 3 10 2 2" xfId="45216" xr:uid="{00000000-0005-0000-0000-00006E8C0000}"/>
    <cellStyle name="Normal 57 5 3 10 3" xfId="32711" xr:uid="{00000000-0005-0000-0000-00006F8C0000}"/>
    <cellStyle name="Normal 57 5 3 11" xfId="15900" xr:uid="{00000000-0005-0000-0000-0000708C0000}"/>
    <cellStyle name="Normal 57 5 3 11 2" xfId="41453" xr:uid="{00000000-0005-0000-0000-0000718C0000}"/>
    <cellStyle name="Normal 57 5 3 12" xfId="26146" xr:uid="{00000000-0005-0000-0000-0000728C0000}"/>
    <cellStyle name="Normal 57 5 3 2" xfId="534" xr:uid="{00000000-0005-0000-0000-0000738C0000}"/>
    <cellStyle name="Normal 57 5 3 2 10" xfId="26463" xr:uid="{00000000-0005-0000-0000-0000748C0000}"/>
    <cellStyle name="Normal 57 5 3 2 2" xfId="865" xr:uid="{00000000-0005-0000-0000-0000758C0000}"/>
    <cellStyle name="Normal 57 5 3 2 2 2" xfId="3350" xr:uid="{00000000-0005-0000-0000-0000768C0000}"/>
    <cellStyle name="Normal 57 5 3 2 2 2 2" xfId="12492" xr:uid="{00000000-0005-0000-0000-0000778C0000}"/>
    <cellStyle name="Normal 57 5 3 2 2 2 2 2" xfId="22711" xr:uid="{00000000-0005-0000-0000-0000788C0000}"/>
    <cellStyle name="Normal 57 5 3 2 2 2 2 2 2" xfId="48264" xr:uid="{00000000-0005-0000-0000-0000798C0000}"/>
    <cellStyle name="Normal 57 5 3 2 2 2 2 3" xfId="38047" xr:uid="{00000000-0005-0000-0000-00007A8C0000}"/>
    <cellStyle name="Normal 57 5 3 2 2 2 3" xfId="8914" xr:uid="{00000000-0005-0000-0000-00007B8C0000}"/>
    <cellStyle name="Normal 57 5 3 2 2 2 3 2" xfId="34471" xr:uid="{00000000-0005-0000-0000-00007C8C0000}"/>
    <cellStyle name="Normal 57 5 3 2 2 2 4" xfId="17704" xr:uid="{00000000-0005-0000-0000-00007D8C0000}"/>
    <cellStyle name="Normal 57 5 3 2 2 2 4 2" xfId="43257" xr:uid="{00000000-0005-0000-0000-00007E8C0000}"/>
    <cellStyle name="Normal 57 5 3 2 2 2 5" xfId="29194" xr:uid="{00000000-0005-0000-0000-00007F8C0000}"/>
    <cellStyle name="Normal 57 5 3 2 2 3" xfId="4679" xr:uid="{00000000-0005-0000-0000-0000808C0000}"/>
    <cellStyle name="Normal 57 5 3 2 2 3 2" xfId="13517" xr:uid="{00000000-0005-0000-0000-0000818C0000}"/>
    <cellStyle name="Normal 57 5 3 2 2 3 2 2" xfId="23768" xr:uid="{00000000-0005-0000-0000-0000828C0000}"/>
    <cellStyle name="Normal 57 5 3 2 2 3 2 2 2" xfId="49321" xr:uid="{00000000-0005-0000-0000-0000838C0000}"/>
    <cellStyle name="Normal 57 5 3 2 2 3 2 3" xfId="39072" xr:uid="{00000000-0005-0000-0000-0000848C0000}"/>
    <cellStyle name="Normal 57 5 3 2 2 3 3" xfId="9938" xr:uid="{00000000-0005-0000-0000-0000858C0000}"/>
    <cellStyle name="Normal 57 5 3 2 2 3 3 2" xfId="35495" xr:uid="{00000000-0005-0000-0000-0000868C0000}"/>
    <cellStyle name="Normal 57 5 3 2 2 3 4" xfId="18761" xr:uid="{00000000-0005-0000-0000-0000878C0000}"/>
    <cellStyle name="Normal 57 5 3 2 2 3 4 2" xfId="44314" xr:uid="{00000000-0005-0000-0000-0000888C0000}"/>
    <cellStyle name="Normal 57 5 3 2 2 3 5" xfId="30251" xr:uid="{00000000-0005-0000-0000-0000898C0000}"/>
    <cellStyle name="Normal 57 5 3 2 2 4" xfId="2459" xr:uid="{00000000-0005-0000-0000-00008A8C0000}"/>
    <cellStyle name="Normal 57 5 3 2 2 4 2" xfId="11824" xr:uid="{00000000-0005-0000-0000-00008B8C0000}"/>
    <cellStyle name="Normal 57 5 3 2 2 4 2 2" xfId="37379" xr:uid="{00000000-0005-0000-0000-00008C8C0000}"/>
    <cellStyle name="Normal 57 5 3 2 2 4 3" xfId="21828" xr:uid="{00000000-0005-0000-0000-00008D8C0000}"/>
    <cellStyle name="Normal 57 5 3 2 2 4 3 2" xfId="47381" xr:uid="{00000000-0005-0000-0000-00008E8C0000}"/>
    <cellStyle name="Normal 57 5 3 2 2 4 4" xfId="28311" xr:uid="{00000000-0005-0000-0000-00008F8C0000}"/>
    <cellStyle name="Normal 57 5 3 2 2 5" xfId="6135" xr:uid="{00000000-0005-0000-0000-0000908C0000}"/>
    <cellStyle name="Normal 57 5 3 2 2 5 2" xfId="14962" xr:uid="{00000000-0005-0000-0000-0000918C0000}"/>
    <cellStyle name="Normal 57 5 3 2 2 5 2 2" xfId="40517" xr:uid="{00000000-0005-0000-0000-0000928C0000}"/>
    <cellStyle name="Normal 57 5 3 2 2 5 3" xfId="25213" xr:uid="{00000000-0005-0000-0000-0000938C0000}"/>
    <cellStyle name="Normal 57 5 3 2 2 5 3 2" xfId="50766" xr:uid="{00000000-0005-0000-0000-0000948C0000}"/>
    <cellStyle name="Normal 57 5 3 2 2 5 4" xfId="31696" xr:uid="{00000000-0005-0000-0000-0000958C0000}"/>
    <cellStyle name="Normal 57 5 3 2 2 6" xfId="7580" xr:uid="{00000000-0005-0000-0000-0000968C0000}"/>
    <cellStyle name="Normal 57 5 3 2 2 6 2" xfId="20310" xr:uid="{00000000-0005-0000-0000-0000978C0000}"/>
    <cellStyle name="Normal 57 5 3 2 2 6 2 2" xfId="45863" xr:uid="{00000000-0005-0000-0000-0000988C0000}"/>
    <cellStyle name="Normal 57 5 3 2 2 6 3" xfId="33137" xr:uid="{00000000-0005-0000-0000-0000998C0000}"/>
    <cellStyle name="Normal 57 5 3 2 2 7" xfId="16821" xr:uid="{00000000-0005-0000-0000-00009A8C0000}"/>
    <cellStyle name="Normal 57 5 3 2 2 7 2" xfId="42374" xr:uid="{00000000-0005-0000-0000-00009B8C0000}"/>
    <cellStyle name="Normal 57 5 3 2 2 8" xfId="26793" xr:uid="{00000000-0005-0000-0000-00009C8C0000}"/>
    <cellStyle name="Normal 57 5 3 2 3" xfId="1306" xr:uid="{00000000-0005-0000-0000-00009D8C0000}"/>
    <cellStyle name="Normal 57 5 3 2 3 2" xfId="3735" xr:uid="{00000000-0005-0000-0000-00009E8C0000}"/>
    <cellStyle name="Normal 57 5 3 2 3 2 2" xfId="12871" xr:uid="{00000000-0005-0000-0000-00009F8C0000}"/>
    <cellStyle name="Normal 57 5 3 2 3 2 2 2" xfId="23090" xr:uid="{00000000-0005-0000-0000-0000A08C0000}"/>
    <cellStyle name="Normal 57 5 3 2 3 2 2 2 2" xfId="48643" xr:uid="{00000000-0005-0000-0000-0000A18C0000}"/>
    <cellStyle name="Normal 57 5 3 2 3 2 2 3" xfId="38426" xr:uid="{00000000-0005-0000-0000-0000A28C0000}"/>
    <cellStyle name="Normal 57 5 3 2 3 2 3" xfId="9292" xr:uid="{00000000-0005-0000-0000-0000A38C0000}"/>
    <cellStyle name="Normal 57 5 3 2 3 2 3 2" xfId="34849" xr:uid="{00000000-0005-0000-0000-0000A48C0000}"/>
    <cellStyle name="Normal 57 5 3 2 3 2 4" xfId="18083" xr:uid="{00000000-0005-0000-0000-0000A58C0000}"/>
    <cellStyle name="Normal 57 5 3 2 3 2 4 2" xfId="43636" xr:uid="{00000000-0005-0000-0000-0000A68C0000}"/>
    <cellStyle name="Normal 57 5 3 2 3 2 5" xfId="29573" xr:uid="{00000000-0005-0000-0000-0000A78C0000}"/>
    <cellStyle name="Normal 57 5 3 2 3 3" xfId="5028" xr:uid="{00000000-0005-0000-0000-0000A88C0000}"/>
    <cellStyle name="Normal 57 5 3 2 3 3 2" xfId="13865" xr:uid="{00000000-0005-0000-0000-0000A98C0000}"/>
    <cellStyle name="Normal 57 5 3 2 3 3 2 2" xfId="24116" xr:uid="{00000000-0005-0000-0000-0000AA8C0000}"/>
    <cellStyle name="Normal 57 5 3 2 3 3 2 2 2" xfId="49669" xr:uid="{00000000-0005-0000-0000-0000AB8C0000}"/>
    <cellStyle name="Normal 57 5 3 2 3 3 2 3" xfId="39420" xr:uid="{00000000-0005-0000-0000-0000AC8C0000}"/>
    <cellStyle name="Normal 57 5 3 2 3 3 3" xfId="10286" xr:uid="{00000000-0005-0000-0000-0000AD8C0000}"/>
    <cellStyle name="Normal 57 5 3 2 3 3 3 2" xfId="35843" xr:uid="{00000000-0005-0000-0000-0000AE8C0000}"/>
    <cellStyle name="Normal 57 5 3 2 3 3 4" xfId="19109" xr:uid="{00000000-0005-0000-0000-0000AF8C0000}"/>
    <cellStyle name="Normal 57 5 3 2 3 3 4 2" xfId="44662" xr:uid="{00000000-0005-0000-0000-0000B08C0000}"/>
    <cellStyle name="Normal 57 5 3 2 3 3 5" xfId="30599" xr:uid="{00000000-0005-0000-0000-0000B18C0000}"/>
    <cellStyle name="Normal 57 5 3 2 3 4" xfId="2129" xr:uid="{00000000-0005-0000-0000-0000B28C0000}"/>
    <cellStyle name="Normal 57 5 3 2 3 4 2" xfId="11494" xr:uid="{00000000-0005-0000-0000-0000B38C0000}"/>
    <cellStyle name="Normal 57 5 3 2 3 4 2 2" xfId="37049" xr:uid="{00000000-0005-0000-0000-0000B48C0000}"/>
    <cellStyle name="Normal 57 5 3 2 3 4 3" xfId="21498" xr:uid="{00000000-0005-0000-0000-0000B58C0000}"/>
    <cellStyle name="Normal 57 5 3 2 3 4 3 2" xfId="47051" xr:uid="{00000000-0005-0000-0000-0000B68C0000}"/>
    <cellStyle name="Normal 57 5 3 2 3 4 4" xfId="27981" xr:uid="{00000000-0005-0000-0000-0000B78C0000}"/>
    <cellStyle name="Normal 57 5 3 2 3 5" xfId="6483" xr:uid="{00000000-0005-0000-0000-0000B88C0000}"/>
    <cellStyle name="Normal 57 5 3 2 3 5 2" xfId="15310" xr:uid="{00000000-0005-0000-0000-0000B98C0000}"/>
    <cellStyle name="Normal 57 5 3 2 3 5 2 2" xfId="40865" xr:uid="{00000000-0005-0000-0000-0000BA8C0000}"/>
    <cellStyle name="Normal 57 5 3 2 3 5 3" xfId="25561" xr:uid="{00000000-0005-0000-0000-0000BB8C0000}"/>
    <cellStyle name="Normal 57 5 3 2 3 5 3 2" xfId="51114" xr:uid="{00000000-0005-0000-0000-0000BC8C0000}"/>
    <cellStyle name="Normal 57 5 3 2 3 5 4" xfId="32044" xr:uid="{00000000-0005-0000-0000-0000BD8C0000}"/>
    <cellStyle name="Normal 57 5 3 2 3 6" xfId="7929" xr:uid="{00000000-0005-0000-0000-0000BE8C0000}"/>
    <cellStyle name="Normal 57 5 3 2 3 6 2" xfId="20689" xr:uid="{00000000-0005-0000-0000-0000BF8C0000}"/>
    <cellStyle name="Normal 57 5 3 2 3 6 2 2" xfId="46242" xr:uid="{00000000-0005-0000-0000-0000C08C0000}"/>
    <cellStyle name="Normal 57 5 3 2 3 6 3" xfId="33486" xr:uid="{00000000-0005-0000-0000-0000C18C0000}"/>
    <cellStyle name="Normal 57 5 3 2 3 7" xfId="16491" xr:uid="{00000000-0005-0000-0000-0000C28C0000}"/>
    <cellStyle name="Normal 57 5 3 2 3 7 2" xfId="42044" xr:uid="{00000000-0005-0000-0000-0000C38C0000}"/>
    <cellStyle name="Normal 57 5 3 2 3 8" xfId="27172" xr:uid="{00000000-0005-0000-0000-0000C48C0000}"/>
    <cellStyle name="Normal 57 5 3 2 4" xfId="3020" xr:uid="{00000000-0005-0000-0000-0000C58C0000}"/>
    <cellStyle name="Normal 57 5 3 2 4 2" xfId="5398" xr:uid="{00000000-0005-0000-0000-0000C68C0000}"/>
    <cellStyle name="Normal 57 5 3 2 4 2 2" xfId="14235" xr:uid="{00000000-0005-0000-0000-0000C78C0000}"/>
    <cellStyle name="Normal 57 5 3 2 4 2 2 2" xfId="24486" xr:uid="{00000000-0005-0000-0000-0000C88C0000}"/>
    <cellStyle name="Normal 57 5 3 2 4 2 2 2 2" xfId="50039" xr:uid="{00000000-0005-0000-0000-0000C98C0000}"/>
    <cellStyle name="Normal 57 5 3 2 4 2 2 3" xfId="39790" xr:uid="{00000000-0005-0000-0000-0000CA8C0000}"/>
    <cellStyle name="Normal 57 5 3 2 4 2 3" xfId="10656" xr:uid="{00000000-0005-0000-0000-0000CB8C0000}"/>
    <cellStyle name="Normal 57 5 3 2 4 2 3 2" xfId="36213" xr:uid="{00000000-0005-0000-0000-0000CC8C0000}"/>
    <cellStyle name="Normal 57 5 3 2 4 2 4" xfId="19479" xr:uid="{00000000-0005-0000-0000-0000CD8C0000}"/>
    <cellStyle name="Normal 57 5 3 2 4 2 4 2" xfId="45032" xr:uid="{00000000-0005-0000-0000-0000CE8C0000}"/>
    <cellStyle name="Normal 57 5 3 2 4 2 5" xfId="30969" xr:uid="{00000000-0005-0000-0000-0000CF8C0000}"/>
    <cellStyle name="Normal 57 5 3 2 4 3" xfId="6853" xr:uid="{00000000-0005-0000-0000-0000D08C0000}"/>
    <cellStyle name="Normal 57 5 3 2 4 3 2" xfId="15680" xr:uid="{00000000-0005-0000-0000-0000D18C0000}"/>
    <cellStyle name="Normal 57 5 3 2 4 3 2 2" xfId="41235" xr:uid="{00000000-0005-0000-0000-0000D28C0000}"/>
    <cellStyle name="Normal 57 5 3 2 4 3 3" xfId="25931" xr:uid="{00000000-0005-0000-0000-0000D38C0000}"/>
    <cellStyle name="Normal 57 5 3 2 4 3 3 2" xfId="51484" xr:uid="{00000000-0005-0000-0000-0000D48C0000}"/>
    <cellStyle name="Normal 57 5 3 2 4 3 4" xfId="32414" xr:uid="{00000000-0005-0000-0000-0000D58C0000}"/>
    <cellStyle name="Normal 57 5 3 2 4 4" xfId="8299" xr:uid="{00000000-0005-0000-0000-0000D68C0000}"/>
    <cellStyle name="Normal 57 5 3 2 4 4 2" xfId="22381" xr:uid="{00000000-0005-0000-0000-0000D78C0000}"/>
    <cellStyle name="Normal 57 5 3 2 4 4 2 2" xfId="47934" xr:uid="{00000000-0005-0000-0000-0000D88C0000}"/>
    <cellStyle name="Normal 57 5 3 2 4 4 3" xfId="33856" xr:uid="{00000000-0005-0000-0000-0000D98C0000}"/>
    <cellStyle name="Normal 57 5 3 2 4 5" xfId="17374" xr:uid="{00000000-0005-0000-0000-0000DA8C0000}"/>
    <cellStyle name="Normal 57 5 3 2 4 5 2" xfId="42927" xr:uid="{00000000-0005-0000-0000-0000DB8C0000}"/>
    <cellStyle name="Normal 57 5 3 2 4 6" xfId="28864" xr:uid="{00000000-0005-0000-0000-0000DC8C0000}"/>
    <cellStyle name="Normal 57 5 3 2 5" xfId="4354" xr:uid="{00000000-0005-0000-0000-0000DD8C0000}"/>
    <cellStyle name="Normal 57 5 3 2 5 2" xfId="13192" xr:uid="{00000000-0005-0000-0000-0000DE8C0000}"/>
    <cellStyle name="Normal 57 5 3 2 5 2 2" xfId="23443" xr:uid="{00000000-0005-0000-0000-0000DF8C0000}"/>
    <cellStyle name="Normal 57 5 3 2 5 2 2 2" xfId="48996" xr:uid="{00000000-0005-0000-0000-0000E08C0000}"/>
    <cellStyle name="Normal 57 5 3 2 5 2 3" xfId="38747" xr:uid="{00000000-0005-0000-0000-0000E18C0000}"/>
    <cellStyle name="Normal 57 5 3 2 5 3" xfId="9613" xr:uid="{00000000-0005-0000-0000-0000E28C0000}"/>
    <cellStyle name="Normal 57 5 3 2 5 3 2" xfId="35170" xr:uid="{00000000-0005-0000-0000-0000E38C0000}"/>
    <cellStyle name="Normal 57 5 3 2 5 4" xfId="18436" xr:uid="{00000000-0005-0000-0000-0000E48C0000}"/>
    <cellStyle name="Normal 57 5 3 2 5 4 2" xfId="43989" xr:uid="{00000000-0005-0000-0000-0000E58C0000}"/>
    <cellStyle name="Normal 57 5 3 2 5 5" xfId="29926" xr:uid="{00000000-0005-0000-0000-0000E68C0000}"/>
    <cellStyle name="Normal 57 5 3 2 6" xfId="1626" xr:uid="{00000000-0005-0000-0000-0000E78C0000}"/>
    <cellStyle name="Normal 57 5 3 2 6 2" xfId="11003" xr:uid="{00000000-0005-0000-0000-0000E88C0000}"/>
    <cellStyle name="Normal 57 5 3 2 6 2 2" xfId="36558" xr:uid="{00000000-0005-0000-0000-0000E98C0000}"/>
    <cellStyle name="Normal 57 5 3 2 6 3" xfId="21007" xr:uid="{00000000-0005-0000-0000-0000EA8C0000}"/>
    <cellStyle name="Normal 57 5 3 2 6 3 2" xfId="46560" xr:uid="{00000000-0005-0000-0000-0000EB8C0000}"/>
    <cellStyle name="Normal 57 5 3 2 6 4" xfId="27490" xr:uid="{00000000-0005-0000-0000-0000EC8C0000}"/>
    <cellStyle name="Normal 57 5 3 2 7" xfId="5810" xr:uid="{00000000-0005-0000-0000-0000ED8C0000}"/>
    <cellStyle name="Normal 57 5 3 2 7 2" xfId="14637" xr:uid="{00000000-0005-0000-0000-0000EE8C0000}"/>
    <cellStyle name="Normal 57 5 3 2 7 2 2" xfId="40192" xr:uid="{00000000-0005-0000-0000-0000EF8C0000}"/>
    <cellStyle name="Normal 57 5 3 2 7 3" xfId="24888" xr:uid="{00000000-0005-0000-0000-0000F08C0000}"/>
    <cellStyle name="Normal 57 5 3 2 7 3 2" xfId="50441" xr:uid="{00000000-0005-0000-0000-0000F18C0000}"/>
    <cellStyle name="Normal 57 5 3 2 7 4" xfId="31371" xr:uid="{00000000-0005-0000-0000-0000F28C0000}"/>
    <cellStyle name="Normal 57 5 3 2 8" xfId="7254" xr:uid="{00000000-0005-0000-0000-0000F38C0000}"/>
    <cellStyle name="Normal 57 5 3 2 8 2" xfId="19980" xr:uid="{00000000-0005-0000-0000-0000F48C0000}"/>
    <cellStyle name="Normal 57 5 3 2 8 2 2" xfId="45533" xr:uid="{00000000-0005-0000-0000-0000F58C0000}"/>
    <cellStyle name="Normal 57 5 3 2 8 3" xfId="32811" xr:uid="{00000000-0005-0000-0000-0000F68C0000}"/>
    <cellStyle name="Normal 57 5 3 2 9" xfId="16000" xr:uid="{00000000-0005-0000-0000-0000F78C0000}"/>
    <cellStyle name="Normal 57 5 3 2 9 2" xfId="41553" xr:uid="{00000000-0005-0000-0000-0000F88C0000}"/>
    <cellStyle name="Normal 57 5 3 2_Degree data" xfId="3971" xr:uid="{00000000-0005-0000-0000-0000F98C0000}"/>
    <cellStyle name="Normal 57 5 3 3" xfId="434" xr:uid="{00000000-0005-0000-0000-0000FA8C0000}"/>
    <cellStyle name="Normal 57 5 3 3 2" xfId="2920" xr:uid="{00000000-0005-0000-0000-0000FB8C0000}"/>
    <cellStyle name="Normal 57 5 3 3 2 2" xfId="12208" xr:uid="{00000000-0005-0000-0000-0000FC8C0000}"/>
    <cellStyle name="Normal 57 5 3 3 2 2 2" xfId="22281" xr:uid="{00000000-0005-0000-0000-0000FD8C0000}"/>
    <cellStyle name="Normal 57 5 3 3 2 2 2 2" xfId="47834" xr:uid="{00000000-0005-0000-0000-0000FE8C0000}"/>
    <cellStyle name="Normal 57 5 3 3 2 2 3" xfId="37763" xr:uid="{00000000-0005-0000-0000-0000FF8C0000}"/>
    <cellStyle name="Normal 57 5 3 3 2 3" xfId="8508" xr:uid="{00000000-0005-0000-0000-0000008D0000}"/>
    <cellStyle name="Normal 57 5 3 3 2 3 2" xfId="34065" xr:uid="{00000000-0005-0000-0000-0000018D0000}"/>
    <cellStyle name="Normal 57 5 3 3 2 4" xfId="17274" xr:uid="{00000000-0005-0000-0000-0000028D0000}"/>
    <cellStyle name="Normal 57 5 3 3 2 4 2" xfId="42827" xr:uid="{00000000-0005-0000-0000-0000038D0000}"/>
    <cellStyle name="Normal 57 5 3 3 2 5" xfId="28764" xr:uid="{00000000-0005-0000-0000-0000048D0000}"/>
    <cellStyle name="Normal 57 5 3 3 3" xfId="4678" xr:uid="{00000000-0005-0000-0000-0000058D0000}"/>
    <cellStyle name="Normal 57 5 3 3 3 2" xfId="13516" xr:uid="{00000000-0005-0000-0000-0000068D0000}"/>
    <cellStyle name="Normal 57 5 3 3 3 2 2" xfId="23767" xr:uid="{00000000-0005-0000-0000-0000078D0000}"/>
    <cellStyle name="Normal 57 5 3 3 3 2 2 2" xfId="49320" xr:uid="{00000000-0005-0000-0000-0000088D0000}"/>
    <cellStyle name="Normal 57 5 3 3 3 2 3" xfId="39071" xr:uid="{00000000-0005-0000-0000-0000098D0000}"/>
    <cellStyle name="Normal 57 5 3 3 3 3" xfId="9937" xr:uid="{00000000-0005-0000-0000-00000A8D0000}"/>
    <cellStyle name="Normal 57 5 3 3 3 3 2" xfId="35494" xr:uid="{00000000-0005-0000-0000-00000B8D0000}"/>
    <cellStyle name="Normal 57 5 3 3 3 4" xfId="18760" xr:uid="{00000000-0005-0000-0000-00000C8D0000}"/>
    <cellStyle name="Normal 57 5 3 3 3 4 2" xfId="44313" xr:uid="{00000000-0005-0000-0000-00000D8D0000}"/>
    <cellStyle name="Normal 57 5 3 3 3 5" xfId="30250" xr:uid="{00000000-0005-0000-0000-00000E8D0000}"/>
    <cellStyle name="Normal 57 5 3 3 4" xfId="2029" xr:uid="{00000000-0005-0000-0000-00000F8D0000}"/>
    <cellStyle name="Normal 57 5 3 3 4 2" xfId="11394" xr:uid="{00000000-0005-0000-0000-0000108D0000}"/>
    <cellStyle name="Normal 57 5 3 3 4 2 2" xfId="36949" xr:uid="{00000000-0005-0000-0000-0000118D0000}"/>
    <cellStyle name="Normal 57 5 3 3 4 3" xfId="21398" xr:uid="{00000000-0005-0000-0000-0000128D0000}"/>
    <cellStyle name="Normal 57 5 3 3 4 3 2" xfId="46951" xr:uid="{00000000-0005-0000-0000-0000138D0000}"/>
    <cellStyle name="Normal 57 5 3 3 4 4" xfId="27881" xr:uid="{00000000-0005-0000-0000-0000148D0000}"/>
    <cellStyle name="Normal 57 5 3 3 5" xfId="6134" xr:uid="{00000000-0005-0000-0000-0000158D0000}"/>
    <cellStyle name="Normal 57 5 3 3 5 2" xfId="14961" xr:uid="{00000000-0005-0000-0000-0000168D0000}"/>
    <cellStyle name="Normal 57 5 3 3 5 2 2" xfId="40516" xr:uid="{00000000-0005-0000-0000-0000178D0000}"/>
    <cellStyle name="Normal 57 5 3 3 5 3" xfId="25212" xr:uid="{00000000-0005-0000-0000-0000188D0000}"/>
    <cellStyle name="Normal 57 5 3 3 5 3 2" xfId="50765" xr:uid="{00000000-0005-0000-0000-0000198D0000}"/>
    <cellStyle name="Normal 57 5 3 3 5 4" xfId="31695" xr:uid="{00000000-0005-0000-0000-00001A8D0000}"/>
    <cellStyle name="Normal 57 5 3 3 6" xfId="7579" xr:uid="{00000000-0005-0000-0000-00001B8D0000}"/>
    <cellStyle name="Normal 57 5 3 3 6 2" xfId="19880" xr:uid="{00000000-0005-0000-0000-00001C8D0000}"/>
    <cellStyle name="Normal 57 5 3 3 6 2 2" xfId="45433" xr:uid="{00000000-0005-0000-0000-00001D8D0000}"/>
    <cellStyle name="Normal 57 5 3 3 6 3" xfId="33136" xr:uid="{00000000-0005-0000-0000-00001E8D0000}"/>
    <cellStyle name="Normal 57 5 3 3 7" xfId="16391" xr:uid="{00000000-0005-0000-0000-00001F8D0000}"/>
    <cellStyle name="Normal 57 5 3 3 7 2" xfId="41944" xr:uid="{00000000-0005-0000-0000-0000208D0000}"/>
    <cellStyle name="Normal 57 5 3 3 8" xfId="26363" xr:uid="{00000000-0005-0000-0000-0000218D0000}"/>
    <cellStyle name="Normal 57 5 3 4" xfId="864" xr:uid="{00000000-0005-0000-0000-0000228D0000}"/>
    <cellStyle name="Normal 57 5 3 4 2" xfId="3349" xr:uid="{00000000-0005-0000-0000-0000238D0000}"/>
    <cellStyle name="Normal 57 5 3 4 2 2" xfId="12491" xr:uid="{00000000-0005-0000-0000-0000248D0000}"/>
    <cellStyle name="Normal 57 5 3 4 2 2 2" xfId="22710" xr:uid="{00000000-0005-0000-0000-0000258D0000}"/>
    <cellStyle name="Normal 57 5 3 4 2 2 2 2" xfId="48263" xr:uid="{00000000-0005-0000-0000-0000268D0000}"/>
    <cellStyle name="Normal 57 5 3 4 2 2 3" xfId="38046" xr:uid="{00000000-0005-0000-0000-0000278D0000}"/>
    <cellStyle name="Normal 57 5 3 4 2 3" xfId="8913" xr:uid="{00000000-0005-0000-0000-0000288D0000}"/>
    <cellStyle name="Normal 57 5 3 4 2 3 2" xfId="34470" xr:uid="{00000000-0005-0000-0000-0000298D0000}"/>
    <cellStyle name="Normal 57 5 3 4 2 4" xfId="17703" xr:uid="{00000000-0005-0000-0000-00002A8D0000}"/>
    <cellStyle name="Normal 57 5 3 4 2 4 2" xfId="43256" xr:uid="{00000000-0005-0000-0000-00002B8D0000}"/>
    <cellStyle name="Normal 57 5 3 4 2 5" xfId="29193" xr:uid="{00000000-0005-0000-0000-00002C8D0000}"/>
    <cellStyle name="Normal 57 5 3 4 3" xfId="5027" xr:uid="{00000000-0005-0000-0000-00002D8D0000}"/>
    <cellStyle name="Normal 57 5 3 4 3 2" xfId="13864" xr:uid="{00000000-0005-0000-0000-00002E8D0000}"/>
    <cellStyle name="Normal 57 5 3 4 3 2 2" xfId="24115" xr:uid="{00000000-0005-0000-0000-00002F8D0000}"/>
    <cellStyle name="Normal 57 5 3 4 3 2 2 2" xfId="49668" xr:uid="{00000000-0005-0000-0000-0000308D0000}"/>
    <cellStyle name="Normal 57 5 3 4 3 2 3" xfId="39419" xr:uid="{00000000-0005-0000-0000-0000318D0000}"/>
    <cellStyle name="Normal 57 5 3 4 3 3" xfId="10285" xr:uid="{00000000-0005-0000-0000-0000328D0000}"/>
    <cellStyle name="Normal 57 5 3 4 3 3 2" xfId="35842" xr:uid="{00000000-0005-0000-0000-0000338D0000}"/>
    <cellStyle name="Normal 57 5 3 4 3 4" xfId="19108" xr:uid="{00000000-0005-0000-0000-0000348D0000}"/>
    <cellStyle name="Normal 57 5 3 4 3 4 2" xfId="44661" xr:uid="{00000000-0005-0000-0000-0000358D0000}"/>
    <cellStyle name="Normal 57 5 3 4 3 5" xfId="30598" xr:uid="{00000000-0005-0000-0000-0000368D0000}"/>
    <cellStyle name="Normal 57 5 3 4 4" xfId="2458" xr:uid="{00000000-0005-0000-0000-0000378D0000}"/>
    <cellStyle name="Normal 57 5 3 4 4 2" xfId="11823" xr:uid="{00000000-0005-0000-0000-0000388D0000}"/>
    <cellStyle name="Normal 57 5 3 4 4 2 2" xfId="37378" xr:uid="{00000000-0005-0000-0000-0000398D0000}"/>
    <cellStyle name="Normal 57 5 3 4 4 3" xfId="21827" xr:uid="{00000000-0005-0000-0000-00003A8D0000}"/>
    <cellStyle name="Normal 57 5 3 4 4 3 2" xfId="47380" xr:uid="{00000000-0005-0000-0000-00003B8D0000}"/>
    <cellStyle name="Normal 57 5 3 4 4 4" xfId="28310" xr:uid="{00000000-0005-0000-0000-00003C8D0000}"/>
    <cellStyle name="Normal 57 5 3 4 5" xfId="6482" xr:uid="{00000000-0005-0000-0000-00003D8D0000}"/>
    <cellStyle name="Normal 57 5 3 4 5 2" xfId="15309" xr:uid="{00000000-0005-0000-0000-00003E8D0000}"/>
    <cellStyle name="Normal 57 5 3 4 5 2 2" xfId="40864" xr:uid="{00000000-0005-0000-0000-00003F8D0000}"/>
    <cellStyle name="Normal 57 5 3 4 5 3" xfId="25560" xr:uid="{00000000-0005-0000-0000-0000408D0000}"/>
    <cellStyle name="Normal 57 5 3 4 5 3 2" xfId="51113" xr:uid="{00000000-0005-0000-0000-0000418D0000}"/>
    <cellStyle name="Normal 57 5 3 4 5 4" xfId="32043" xr:uid="{00000000-0005-0000-0000-0000428D0000}"/>
    <cellStyle name="Normal 57 5 3 4 6" xfId="7928" xr:uid="{00000000-0005-0000-0000-0000438D0000}"/>
    <cellStyle name="Normal 57 5 3 4 6 2" xfId="20309" xr:uid="{00000000-0005-0000-0000-0000448D0000}"/>
    <cellStyle name="Normal 57 5 3 4 6 2 2" xfId="45862" xr:uid="{00000000-0005-0000-0000-0000458D0000}"/>
    <cellStyle name="Normal 57 5 3 4 6 3" xfId="33485" xr:uid="{00000000-0005-0000-0000-0000468D0000}"/>
    <cellStyle name="Normal 57 5 3 4 7" xfId="16820" xr:uid="{00000000-0005-0000-0000-0000478D0000}"/>
    <cellStyle name="Normal 57 5 3 4 7 2" xfId="42373" xr:uid="{00000000-0005-0000-0000-0000488D0000}"/>
    <cellStyle name="Normal 57 5 3 4 8" xfId="26792" xr:uid="{00000000-0005-0000-0000-0000498D0000}"/>
    <cellStyle name="Normal 57 5 3 5" xfId="1206" xr:uid="{00000000-0005-0000-0000-00004A8D0000}"/>
    <cellStyle name="Normal 57 5 3 5 2" xfId="3635" xr:uid="{00000000-0005-0000-0000-00004B8D0000}"/>
    <cellStyle name="Normal 57 5 3 5 2 2" xfId="12771" xr:uid="{00000000-0005-0000-0000-00004C8D0000}"/>
    <cellStyle name="Normal 57 5 3 5 2 2 2" xfId="22990" xr:uid="{00000000-0005-0000-0000-00004D8D0000}"/>
    <cellStyle name="Normal 57 5 3 5 2 2 2 2" xfId="48543" xr:uid="{00000000-0005-0000-0000-00004E8D0000}"/>
    <cellStyle name="Normal 57 5 3 5 2 2 3" xfId="38326" xr:uid="{00000000-0005-0000-0000-00004F8D0000}"/>
    <cellStyle name="Normal 57 5 3 5 2 3" xfId="9192" xr:uid="{00000000-0005-0000-0000-0000508D0000}"/>
    <cellStyle name="Normal 57 5 3 5 2 3 2" xfId="34749" xr:uid="{00000000-0005-0000-0000-0000518D0000}"/>
    <cellStyle name="Normal 57 5 3 5 2 4" xfId="17983" xr:uid="{00000000-0005-0000-0000-0000528D0000}"/>
    <cellStyle name="Normal 57 5 3 5 2 4 2" xfId="43536" xr:uid="{00000000-0005-0000-0000-0000538D0000}"/>
    <cellStyle name="Normal 57 5 3 5 2 5" xfId="29473" xr:uid="{00000000-0005-0000-0000-0000548D0000}"/>
    <cellStyle name="Normal 57 5 3 5 3" xfId="5298" xr:uid="{00000000-0005-0000-0000-0000558D0000}"/>
    <cellStyle name="Normal 57 5 3 5 3 2" xfId="14135" xr:uid="{00000000-0005-0000-0000-0000568D0000}"/>
    <cellStyle name="Normal 57 5 3 5 3 2 2" xfId="24386" xr:uid="{00000000-0005-0000-0000-0000578D0000}"/>
    <cellStyle name="Normal 57 5 3 5 3 2 2 2" xfId="49939" xr:uid="{00000000-0005-0000-0000-0000588D0000}"/>
    <cellStyle name="Normal 57 5 3 5 3 2 3" xfId="39690" xr:uid="{00000000-0005-0000-0000-0000598D0000}"/>
    <cellStyle name="Normal 57 5 3 5 3 3" xfId="10556" xr:uid="{00000000-0005-0000-0000-00005A8D0000}"/>
    <cellStyle name="Normal 57 5 3 5 3 3 2" xfId="36113" xr:uid="{00000000-0005-0000-0000-00005B8D0000}"/>
    <cellStyle name="Normal 57 5 3 5 3 4" xfId="19379" xr:uid="{00000000-0005-0000-0000-00005C8D0000}"/>
    <cellStyle name="Normal 57 5 3 5 3 4 2" xfId="44932" xr:uid="{00000000-0005-0000-0000-00005D8D0000}"/>
    <cellStyle name="Normal 57 5 3 5 3 5" xfId="30869" xr:uid="{00000000-0005-0000-0000-00005E8D0000}"/>
    <cellStyle name="Normal 57 5 3 5 4" xfId="1809" xr:uid="{00000000-0005-0000-0000-00005F8D0000}"/>
    <cellStyle name="Normal 57 5 3 5 4 2" xfId="11177" xr:uid="{00000000-0005-0000-0000-0000608D0000}"/>
    <cellStyle name="Normal 57 5 3 5 4 2 2" xfId="36732" xr:uid="{00000000-0005-0000-0000-0000618D0000}"/>
    <cellStyle name="Normal 57 5 3 5 4 3" xfId="21181" xr:uid="{00000000-0005-0000-0000-0000628D0000}"/>
    <cellStyle name="Normal 57 5 3 5 4 3 2" xfId="46734" xr:uid="{00000000-0005-0000-0000-0000638D0000}"/>
    <cellStyle name="Normal 57 5 3 5 4 4" xfId="27664" xr:uid="{00000000-0005-0000-0000-0000648D0000}"/>
    <cellStyle name="Normal 57 5 3 5 5" xfId="6753" xr:uid="{00000000-0005-0000-0000-0000658D0000}"/>
    <cellStyle name="Normal 57 5 3 5 5 2" xfId="15580" xr:uid="{00000000-0005-0000-0000-0000668D0000}"/>
    <cellStyle name="Normal 57 5 3 5 5 2 2" xfId="41135" xr:uid="{00000000-0005-0000-0000-0000678D0000}"/>
    <cellStyle name="Normal 57 5 3 5 5 3" xfId="25831" xr:uid="{00000000-0005-0000-0000-0000688D0000}"/>
    <cellStyle name="Normal 57 5 3 5 5 3 2" xfId="51384" xr:uid="{00000000-0005-0000-0000-0000698D0000}"/>
    <cellStyle name="Normal 57 5 3 5 5 4" xfId="32314" xr:uid="{00000000-0005-0000-0000-00006A8D0000}"/>
    <cellStyle name="Normal 57 5 3 5 6" xfId="8199" xr:uid="{00000000-0005-0000-0000-00006B8D0000}"/>
    <cellStyle name="Normal 57 5 3 5 6 2" xfId="20589" xr:uid="{00000000-0005-0000-0000-00006C8D0000}"/>
    <cellStyle name="Normal 57 5 3 5 6 2 2" xfId="46142" xr:uid="{00000000-0005-0000-0000-00006D8D0000}"/>
    <cellStyle name="Normal 57 5 3 5 6 3" xfId="33756" xr:uid="{00000000-0005-0000-0000-00006E8D0000}"/>
    <cellStyle name="Normal 57 5 3 5 7" xfId="16174" xr:uid="{00000000-0005-0000-0000-00006F8D0000}"/>
    <cellStyle name="Normal 57 5 3 5 7 2" xfId="41727" xr:uid="{00000000-0005-0000-0000-0000708D0000}"/>
    <cellStyle name="Normal 57 5 3 5 8" xfId="27072" xr:uid="{00000000-0005-0000-0000-0000718D0000}"/>
    <cellStyle name="Normal 57 5 3 6" xfId="2703" xr:uid="{00000000-0005-0000-0000-0000728D0000}"/>
    <cellStyle name="Normal 57 5 3 6 2" xfId="12020" xr:uid="{00000000-0005-0000-0000-0000738D0000}"/>
    <cellStyle name="Normal 57 5 3 6 2 2" xfId="22064" xr:uid="{00000000-0005-0000-0000-0000748D0000}"/>
    <cellStyle name="Normal 57 5 3 6 2 2 2" xfId="47617" xr:uid="{00000000-0005-0000-0000-0000758D0000}"/>
    <cellStyle name="Normal 57 5 3 6 2 3" xfId="37575" xr:uid="{00000000-0005-0000-0000-0000768D0000}"/>
    <cellStyle name="Normal 57 5 3 6 3" xfId="8381" xr:uid="{00000000-0005-0000-0000-0000778D0000}"/>
    <cellStyle name="Normal 57 5 3 6 3 2" xfId="33938" xr:uid="{00000000-0005-0000-0000-0000788D0000}"/>
    <cellStyle name="Normal 57 5 3 6 4" xfId="17057" xr:uid="{00000000-0005-0000-0000-0000798D0000}"/>
    <cellStyle name="Normal 57 5 3 6 4 2" xfId="42610" xr:uid="{00000000-0005-0000-0000-00007A8D0000}"/>
    <cellStyle name="Normal 57 5 3 6 5" xfId="28547" xr:uid="{00000000-0005-0000-0000-00007B8D0000}"/>
    <cellStyle name="Normal 57 5 3 7" xfId="4254" xr:uid="{00000000-0005-0000-0000-00007C8D0000}"/>
    <cellStyle name="Normal 57 5 3 7 2" xfId="13092" xr:uid="{00000000-0005-0000-0000-00007D8D0000}"/>
    <cellStyle name="Normal 57 5 3 7 2 2" xfId="23343" xr:uid="{00000000-0005-0000-0000-00007E8D0000}"/>
    <cellStyle name="Normal 57 5 3 7 2 2 2" xfId="48896" xr:uid="{00000000-0005-0000-0000-00007F8D0000}"/>
    <cellStyle name="Normal 57 5 3 7 2 3" xfId="38647" xr:uid="{00000000-0005-0000-0000-0000808D0000}"/>
    <cellStyle name="Normal 57 5 3 7 3" xfId="9513" xr:uid="{00000000-0005-0000-0000-0000818D0000}"/>
    <cellStyle name="Normal 57 5 3 7 3 2" xfId="35070" xr:uid="{00000000-0005-0000-0000-0000828D0000}"/>
    <cellStyle name="Normal 57 5 3 7 4" xfId="18336" xr:uid="{00000000-0005-0000-0000-0000838D0000}"/>
    <cellStyle name="Normal 57 5 3 7 4 2" xfId="43889" xr:uid="{00000000-0005-0000-0000-0000848D0000}"/>
    <cellStyle name="Normal 57 5 3 7 5" xfId="29826" xr:uid="{00000000-0005-0000-0000-0000858D0000}"/>
    <cellStyle name="Normal 57 5 3 8" xfId="1526" xr:uid="{00000000-0005-0000-0000-0000868D0000}"/>
    <cellStyle name="Normal 57 5 3 8 2" xfId="10903" xr:uid="{00000000-0005-0000-0000-0000878D0000}"/>
    <cellStyle name="Normal 57 5 3 8 2 2" xfId="36458" xr:uid="{00000000-0005-0000-0000-0000888D0000}"/>
    <cellStyle name="Normal 57 5 3 8 3" xfId="20907" xr:uid="{00000000-0005-0000-0000-0000898D0000}"/>
    <cellStyle name="Normal 57 5 3 8 3 2" xfId="46460" xr:uid="{00000000-0005-0000-0000-00008A8D0000}"/>
    <cellStyle name="Normal 57 5 3 8 4" xfId="27390" xr:uid="{00000000-0005-0000-0000-00008B8D0000}"/>
    <cellStyle name="Normal 57 5 3 9" xfId="5710" xr:uid="{00000000-0005-0000-0000-00008C8D0000}"/>
    <cellStyle name="Normal 57 5 3 9 2" xfId="14537" xr:uid="{00000000-0005-0000-0000-00008D8D0000}"/>
    <cellStyle name="Normal 57 5 3 9 2 2" xfId="40092" xr:uid="{00000000-0005-0000-0000-00008E8D0000}"/>
    <cellStyle name="Normal 57 5 3 9 3" xfId="24788" xr:uid="{00000000-0005-0000-0000-00008F8D0000}"/>
    <cellStyle name="Normal 57 5 3 9 3 2" xfId="50341" xr:uid="{00000000-0005-0000-0000-0000908D0000}"/>
    <cellStyle name="Normal 57 5 3 9 4" xfId="31271" xr:uid="{00000000-0005-0000-0000-0000918D0000}"/>
    <cellStyle name="Normal 57 5 3_Degree data" xfId="3970" xr:uid="{00000000-0005-0000-0000-0000928D0000}"/>
    <cellStyle name="Normal 57 5 4" xfId="228" xr:uid="{00000000-0005-0000-0000-0000938D0000}"/>
    <cellStyle name="Normal 57 5 4 10" xfId="7066" xr:uid="{00000000-0005-0000-0000-0000948D0000}"/>
    <cellStyle name="Normal 57 5 4 10 2" xfId="19680" xr:uid="{00000000-0005-0000-0000-0000958D0000}"/>
    <cellStyle name="Normal 57 5 4 10 2 2" xfId="45233" xr:uid="{00000000-0005-0000-0000-0000968D0000}"/>
    <cellStyle name="Normal 57 5 4 10 3" xfId="32623" xr:uid="{00000000-0005-0000-0000-0000978D0000}"/>
    <cellStyle name="Normal 57 5 4 11" xfId="15812" xr:uid="{00000000-0005-0000-0000-0000988D0000}"/>
    <cellStyle name="Normal 57 5 4 11 2" xfId="41365" xr:uid="{00000000-0005-0000-0000-0000998D0000}"/>
    <cellStyle name="Normal 57 5 4 12" xfId="26163" xr:uid="{00000000-0005-0000-0000-00009A8D0000}"/>
    <cellStyle name="Normal 57 5 4 2" xfId="551" xr:uid="{00000000-0005-0000-0000-00009B8D0000}"/>
    <cellStyle name="Normal 57 5 4 2 10" xfId="26480" xr:uid="{00000000-0005-0000-0000-00009C8D0000}"/>
    <cellStyle name="Normal 57 5 4 2 2" xfId="867" xr:uid="{00000000-0005-0000-0000-00009D8D0000}"/>
    <cellStyle name="Normal 57 5 4 2 2 2" xfId="3352" xr:uid="{00000000-0005-0000-0000-00009E8D0000}"/>
    <cellStyle name="Normal 57 5 4 2 2 2 2" xfId="12494" xr:uid="{00000000-0005-0000-0000-00009F8D0000}"/>
    <cellStyle name="Normal 57 5 4 2 2 2 2 2" xfId="22713" xr:uid="{00000000-0005-0000-0000-0000A08D0000}"/>
    <cellStyle name="Normal 57 5 4 2 2 2 2 2 2" xfId="48266" xr:uid="{00000000-0005-0000-0000-0000A18D0000}"/>
    <cellStyle name="Normal 57 5 4 2 2 2 2 3" xfId="38049" xr:uid="{00000000-0005-0000-0000-0000A28D0000}"/>
    <cellStyle name="Normal 57 5 4 2 2 2 3" xfId="8916" xr:uid="{00000000-0005-0000-0000-0000A38D0000}"/>
    <cellStyle name="Normal 57 5 4 2 2 2 3 2" xfId="34473" xr:uid="{00000000-0005-0000-0000-0000A48D0000}"/>
    <cellStyle name="Normal 57 5 4 2 2 2 4" xfId="17706" xr:uid="{00000000-0005-0000-0000-0000A58D0000}"/>
    <cellStyle name="Normal 57 5 4 2 2 2 4 2" xfId="43259" xr:uid="{00000000-0005-0000-0000-0000A68D0000}"/>
    <cellStyle name="Normal 57 5 4 2 2 2 5" xfId="29196" xr:uid="{00000000-0005-0000-0000-0000A78D0000}"/>
    <cellStyle name="Normal 57 5 4 2 2 3" xfId="4681" xr:uid="{00000000-0005-0000-0000-0000A88D0000}"/>
    <cellStyle name="Normal 57 5 4 2 2 3 2" xfId="13519" xr:uid="{00000000-0005-0000-0000-0000A98D0000}"/>
    <cellStyle name="Normal 57 5 4 2 2 3 2 2" xfId="23770" xr:uid="{00000000-0005-0000-0000-0000AA8D0000}"/>
    <cellStyle name="Normal 57 5 4 2 2 3 2 2 2" xfId="49323" xr:uid="{00000000-0005-0000-0000-0000AB8D0000}"/>
    <cellStyle name="Normal 57 5 4 2 2 3 2 3" xfId="39074" xr:uid="{00000000-0005-0000-0000-0000AC8D0000}"/>
    <cellStyle name="Normal 57 5 4 2 2 3 3" xfId="9940" xr:uid="{00000000-0005-0000-0000-0000AD8D0000}"/>
    <cellStyle name="Normal 57 5 4 2 2 3 3 2" xfId="35497" xr:uid="{00000000-0005-0000-0000-0000AE8D0000}"/>
    <cellStyle name="Normal 57 5 4 2 2 3 4" xfId="18763" xr:uid="{00000000-0005-0000-0000-0000AF8D0000}"/>
    <cellStyle name="Normal 57 5 4 2 2 3 4 2" xfId="44316" xr:uid="{00000000-0005-0000-0000-0000B08D0000}"/>
    <cellStyle name="Normal 57 5 4 2 2 3 5" xfId="30253" xr:uid="{00000000-0005-0000-0000-0000B18D0000}"/>
    <cellStyle name="Normal 57 5 4 2 2 4" xfId="2461" xr:uid="{00000000-0005-0000-0000-0000B28D0000}"/>
    <cellStyle name="Normal 57 5 4 2 2 4 2" xfId="11826" xr:uid="{00000000-0005-0000-0000-0000B38D0000}"/>
    <cellStyle name="Normal 57 5 4 2 2 4 2 2" xfId="37381" xr:uid="{00000000-0005-0000-0000-0000B48D0000}"/>
    <cellStyle name="Normal 57 5 4 2 2 4 3" xfId="21830" xr:uid="{00000000-0005-0000-0000-0000B58D0000}"/>
    <cellStyle name="Normal 57 5 4 2 2 4 3 2" xfId="47383" xr:uid="{00000000-0005-0000-0000-0000B68D0000}"/>
    <cellStyle name="Normal 57 5 4 2 2 4 4" xfId="28313" xr:uid="{00000000-0005-0000-0000-0000B78D0000}"/>
    <cellStyle name="Normal 57 5 4 2 2 5" xfId="6137" xr:uid="{00000000-0005-0000-0000-0000B88D0000}"/>
    <cellStyle name="Normal 57 5 4 2 2 5 2" xfId="14964" xr:uid="{00000000-0005-0000-0000-0000B98D0000}"/>
    <cellStyle name="Normal 57 5 4 2 2 5 2 2" xfId="40519" xr:uid="{00000000-0005-0000-0000-0000BA8D0000}"/>
    <cellStyle name="Normal 57 5 4 2 2 5 3" xfId="25215" xr:uid="{00000000-0005-0000-0000-0000BB8D0000}"/>
    <cellStyle name="Normal 57 5 4 2 2 5 3 2" xfId="50768" xr:uid="{00000000-0005-0000-0000-0000BC8D0000}"/>
    <cellStyle name="Normal 57 5 4 2 2 5 4" xfId="31698" xr:uid="{00000000-0005-0000-0000-0000BD8D0000}"/>
    <cellStyle name="Normal 57 5 4 2 2 6" xfId="7582" xr:uid="{00000000-0005-0000-0000-0000BE8D0000}"/>
    <cellStyle name="Normal 57 5 4 2 2 6 2" xfId="20312" xr:uid="{00000000-0005-0000-0000-0000BF8D0000}"/>
    <cellStyle name="Normal 57 5 4 2 2 6 2 2" xfId="45865" xr:uid="{00000000-0005-0000-0000-0000C08D0000}"/>
    <cellStyle name="Normal 57 5 4 2 2 6 3" xfId="33139" xr:uid="{00000000-0005-0000-0000-0000C18D0000}"/>
    <cellStyle name="Normal 57 5 4 2 2 7" xfId="16823" xr:uid="{00000000-0005-0000-0000-0000C28D0000}"/>
    <cellStyle name="Normal 57 5 4 2 2 7 2" xfId="42376" xr:uid="{00000000-0005-0000-0000-0000C38D0000}"/>
    <cellStyle name="Normal 57 5 4 2 2 8" xfId="26795" xr:uid="{00000000-0005-0000-0000-0000C48D0000}"/>
    <cellStyle name="Normal 57 5 4 2 3" xfId="1323" xr:uid="{00000000-0005-0000-0000-0000C58D0000}"/>
    <cellStyle name="Normal 57 5 4 2 3 2" xfId="3752" xr:uid="{00000000-0005-0000-0000-0000C68D0000}"/>
    <cellStyle name="Normal 57 5 4 2 3 2 2" xfId="12888" xr:uid="{00000000-0005-0000-0000-0000C78D0000}"/>
    <cellStyle name="Normal 57 5 4 2 3 2 2 2" xfId="23107" xr:uid="{00000000-0005-0000-0000-0000C88D0000}"/>
    <cellStyle name="Normal 57 5 4 2 3 2 2 2 2" xfId="48660" xr:uid="{00000000-0005-0000-0000-0000C98D0000}"/>
    <cellStyle name="Normal 57 5 4 2 3 2 2 3" xfId="38443" xr:uid="{00000000-0005-0000-0000-0000CA8D0000}"/>
    <cellStyle name="Normal 57 5 4 2 3 2 3" xfId="9309" xr:uid="{00000000-0005-0000-0000-0000CB8D0000}"/>
    <cellStyle name="Normal 57 5 4 2 3 2 3 2" xfId="34866" xr:uid="{00000000-0005-0000-0000-0000CC8D0000}"/>
    <cellStyle name="Normal 57 5 4 2 3 2 4" xfId="18100" xr:uid="{00000000-0005-0000-0000-0000CD8D0000}"/>
    <cellStyle name="Normal 57 5 4 2 3 2 4 2" xfId="43653" xr:uid="{00000000-0005-0000-0000-0000CE8D0000}"/>
    <cellStyle name="Normal 57 5 4 2 3 2 5" xfId="29590" xr:uid="{00000000-0005-0000-0000-0000CF8D0000}"/>
    <cellStyle name="Normal 57 5 4 2 3 3" xfId="5030" xr:uid="{00000000-0005-0000-0000-0000D08D0000}"/>
    <cellStyle name="Normal 57 5 4 2 3 3 2" xfId="13867" xr:uid="{00000000-0005-0000-0000-0000D18D0000}"/>
    <cellStyle name="Normal 57 5 4 2 3 3 2 2" xfId="24118" xr:uid="{00000000-0005-0000-0000-0000D28D0000}"/>
    <cellStyle name="Normal 57 5 4 2 3 3 2 2 2" xfId="49671" xr:uid="{00000000-0005-0000-0000-0000D38D0000}"/>
    <cellStyle name="Normal 57 5 4 2 3 3 2 3" xfId="39422" xr:uid="{00000000-0005-0000-0000-0000D48D0000}"/>
    <cellStyle name="Normal 57 5 4 2 3 3 3" xfId="10288" xr:uid="{00000000-0005-0000-0000-0000D58D0000}"/>
    <cellStyle name="Normal 57 5 4 2 3 3 3 2" xfId="35845" xr:uid="{00000000-0005-0000-0000-0000D68D0000}"/>
    <cellStyle name="Normal 57 5 4 2 3 3 4" xfId="19111" xr:uid="{00000000-0005-0000-0000-0000D78D0000}"/>
    <cellStyle name="Normal 57 5 4 2 3 3 4 2" xfId="44664" xr:uid="{00000000-0005-0000-0000-0000D88D0000}"/>
    <cellStyle name="Normal 57 5 4 2 3 3 5" xfId="30601" xr:uid="{00000000-0005-0000-0000-0000D98D0000}"/>
    <cellStyle name="Normal 57 5 4 2 3 4" xfId="2146" xr:uid="{00000000-0005-0000-0000-0000DA8D0000}"/>
    <cellStyle name="Normal 57 5 4 2 3 4 2" xfId="11511" xr:uid="{00000000-0005-0000-0000-0000DB8D0000}"/>
    <cellStyle name="Normal 57 5 4 2 3 4 2 2" xfId="37066" xr:uid="{00000000-0005-0000-0000-0000DC8D0000}"/>
    <cellStyle name="Normal 57 5 4 2 3 4 3" xfId="21515" xr:uid="{00000000-0005-0000-0000-0000DD8D0000}"/>
    <cellStyle name="Normal 57 5 4 2 3 4 3 2" xfId="47068" xr:uid="{00000000-0005-0000-0000-0000DE8D0000}"/>
    <cellStyle name="Normal 57 5 4 2 3 4 4" xfId="27998" xr:uid="{00000000-0005-0000-0000-0000DF8D0000}"/>
    <cellStyle name="Normal 57 5 4 2 3 5" xfId="6485" xr:uid="{00000000-0005-0000-0000-0000E08D0000}"/>
    <cellStyle name="Normal 57 5 4 2 3 5 2" xfId="15312" xr:uid="{00000000-0005-0000-0000-0000E18D0000}"/>
    <cellStyle name="Normal 57 5 4 2 3 5 2 2" xfId="40867" xr:uid="{00000000-0005-0000-0000-0000E28D0000}"/>
    <cellStyle name="Normal 57 5 4 2 3 5 3" xfId="25563" xr:uid="{00000000-0005-0000-0000-0000E38D0000}"/>
    <cellStyle name="Normal 57 5 4 2 3 5 3 2" xfId="51116" xr:uid="{00000000-0005-0000-0000-0000E48D0000}"/>
    <cellStyle name="Normal 57 5 4 2 3 5 4" xfId="32046" xr:uid="{00000000-0005-0000-0000-0000E58D0000}"/>
    <cellStyle name="Normal 57 5 4 2 3 6" xfId="7931" xr:uid="{00000000-0005-0000-0000-0000E68D0000}"/>
    <cellStyle name="Normal 57 5 4 2 3 6 2" xfId="20706" xr:uid="{00000000-0005-0000-0000-0000E78D0000}"/>
    <cellStyle name="Normal 57 5 4 2 3 6 2 2" xfId="46259" xr:uid="{00000000-0005-0000-0000-0000E88D0000}"/>
    <cellStyle name="Normal 57 5 4 2 3 6 3" xfId="33488" xr:uid="{00000000-0005-0000-0000-0000E98D0000}"/>
    <cellStyle name="Normal 57 5 4 2 3 7" xfId="16508" xr:uid="{00000000-0005-0000-0000-0000EA8D0000}"/>
    <cellStyle name="Normal 57 5 4 2 3 7 2" xfId="42061" xr:uid="{00000000-0005-0000-0000-0000EB8D0000}"/>
    <cellStyle name="Normal 57 5 4 2 3 8" xfId="27189" xr:uid="{00000000-0005-0000-0000-0000EC8D0000}"/>
    <cellStyle name="Normal 57 5 4 2 4" xfId="3037" xr:uid="{00000000-0005-0000-0000-0000ED8D0000}"/>
    <cellStyle name="Normal 57 5 4 2 4 2" xfId="5415" xr:uid="{00000000-0005-0000-0000-0000EE8D0000}"/>
    <cellStyle name="Normal 57 5 4 2 4 2 2" xfId="14252" xr:uid="{00000000-0005-0000-0000-0000EF8D0000}"/>
    <cellStyle name="Normal 57 5 4 2 4 2 2 2" xfId="24503" xr:uid="{00000000-0005-0000-0000-0000F08D0000}"/>
    <cellStyle name="Normal 57 5 4 2 4 2 2 2 2" xfId="50056" xr:uid="{00000000-0005-0000-0000-0000F18D0000}"/>
    <cellStyle name="Normal 57 5 4 2 4 2 2 3" xfId="39807" xr:uid="{00000000-0005-0000-0000-0000F28D0000}"/>
    <cellStyle name="Normal 57 5 4 2 4 2 3" xfId="10673" xr:uid="{00000000-0005-0000-0000-0000F38D0000}"/>
    <cellStyle name="Normal 57 5 4 2 4 2 3 2" xfId="36230" xr:uid="{00000000-0005-0000-0000-0000F48D0000}"/>
    <cellStyle name="Normal 57 5 4 2 4 2 4" xfId="19496" xr:uid="{00000000-0005-0000-0000-0000F58D0000}"/>
    <cellStyle name="Normal 57 5 4 2 4 2 4 2" xfId="45049" xr:uid="{00000000-0005-0000-0000-0000F68D0000}"/>
    <cellStyle name="Normal 57 5 4 2 4 2 5" xfId="30986" xr:uid="{00000000-0005-0000-0000-0000F78D0000}"/>
    <cellStyle name="Normal 57 5 4 2 4 3" xfId="6870" xr:uid="{00000000-0005-0000-0000-0000F88D0000}"/>
    <cellStyle name="Normal 57 5 4 2 4 3 2" xfId="15697" xr:uid="{00000000-0005-0000-0000-0000F98D0000}"/>
    <cellStyle name="Normal 57 5 4 2 4 3 2 2" xfId="41252" xr:uid="{00000000-0005-0000-0000-0000FA8D0000}"/>
    <cellStyle name="Normal 57 5 4 2 4 3 3" xfId="25948" xr:uid="{00000000-0005-0000-0000-0000FB8D0000}"/>
    <cellStyle name="Normal 57 5 4 2 4 3 3 2" xfId="51501" xr:uid="{00000000-0005-0000-0000-0000FC8D0000}"/>
    <cellStyle name="Normal 57 5 4 2 4 3 4" xfId="32431" xr:uid="{00000000-0005-0000-0000-0000FD8D0000}"/>
    <cellStyle name="Normal 57 5 4 2 4 4" xfId="8316" xr:uid="{00000000-0005-0000-0000-0000FE8D0000}"/>
    <cellStyle name="Normal 57 5 4 2 4 4 2" xfId="22398" xr:uid="{00000000-0005-0000-0000-0000FF8D0000}"/>
    <cellStyle name="Normal 57 5 4 2 4 4 2 2" xfId="47951" xr:uid="{00000000-0005-0000-0000-0000008E0000}"/>
    <cellStyle name="Normal 57 5 4 2 4 4 3" xfId="33873" xr:uid="{00000000-0005-0000-0000-0000018E0000}"/>
    <cellStyle name="Normal 57 5 4 2 4 5" xfId="17391" xr:uid="{00000000-0005-0000-0000-0000028E0000}"/>
    <cellStyle name="Normal 57 5 4 2 4 5 2" xfId="42944" xr:uid="{00000000-0005-0000-0000-0000038E0000}"/>
    <cellStyle name="Normal 57 5 4 2 4 6" xfId="28881" xr:uid="{00000000-0005-0000-0000-0000048E0000}"/>
    <cellStyle name="Normal 57 5 4 2 5" xfId="4371" xr:uid="{00000000-0005-0000-0000-0000058E0000}"/>
    <cellStyle name="Normal 57 5 4 2 5 2" xfId="13209" xr:uid="{00000000-0005-0000-0000-0000068E0000}"/>
    <cellStyle name="Normal 57 5 4 2 5 2 2" xfId="23460" xr:uid="{00000000-0005-0000-0000-0000078E0000}"/>
    <cellStyle name="Normal 57 5 4 2 5 2 2 2" xfId="49013" xr:uid="{00000000-0005-0000-0000-0000088E0000}"/>
    <cellStyle name="Normal 57 5 4 2 5 2 3" xfId="38764" xr:uid="{00000000-0005-0000-0000-0000098E0000}"/>
    <cellStyle name="Normal 57 5 4 2 5 3" xfId="9630" xr:uid="{00000000-0005-0000-0000-00000A8E0000}"/>
    <cellStyle name="Normal 57 5 4 2 5 3 2" xfId="35187" xr:uid="{00000000-0005-0000-0000-00000B8E0000}"/>
    <cellStyle name="Normal 57 5 4 2 5 4" xfId="18453" xr:uid="{00000000-0005-0000-0000-00000C8E0000}"/>
    <cellStyle name="Normal 57 5 4 2 5 4 2" xfId="44006" xr:uid="{00000000-0005-0000-0000-00000D8E0000}"/>
    <cellStyle name="Normal 57 5 4 2 5 5" xfId="29943" xr:uid="{00000000-0005-0000-0000-00000E8E0000}"/>
    <cellStyle name="Normal 57 5 4 2 6" xfId="1643" xr:uid="{00000000-0005-0000-0000-00000F8E0000}"/>
    <cellStyle name="Normal 57 5 4 2 6 2" xfId="11020" xr:uid="{00000000-0005-0000-0000-0000108E0000}"/>
    <cellStyle name="Normal 57 5 4 2 6 2 2" xfId="36575" xr:uid="{00000000-0005-0000-0000-0000118E0000}"/>
    <cellStyle name="Normal 57 5 4 2 6 3" xfId="21024" xr:uid="{00000000-0005-0000-0000-0000128E0000}"/>
    <cellStyle name="Normal 57 5 4 2 6 3 2" xfId="46577" xr:uid="{00000000-0005-0000-0000-0000138E0000}"/>
    <cellStyle name="Normal 57 5 4 2 6 4" xfId="27507" xr:uid="{00000000-0005-0000-0000-0000148E0000}"/>
    <cellStyle name="Normal 57 5 4 2 7" xfId="5827" xr:uid="{00000000-0005-0000-0000-0000158E0000}"/>
    <cellStyle name="Normal 57 5 4 2 7 2" xfId="14654" xr:uid="{00000000-0005-0000-0000-0000168E0000}"/>
    <cellStyle name="Normal 57 5 4 2 7 2 2" xfId="40209" xr:uid="{00000000-0005-0000-0000-0000178E0000}"/>
    <cellStyle name="Normal 57 5 4 2 7 3" xfId="24905" xr:uid="{00000000-0005-0000-0000-0000188E0000}"/>
    <cellStyle name="Normal 57 5 4 2 7 3 2" xfId="50458" xr:uid="{00000000-0005-0000-0000-0000198E0000}"/>
    <cellStyle name="Normal 57 5 4 2 7 4" xfId="31388" xr:uid="{00000000-0005-0000-0000-00001A8E0000}"/>
    <cellStyle name="Normal 57 5 4 2 8" xfId="7271" xr:uid="{00000000-0005-0000-0000-00001B8E0000}"/>
    <cellStyle name="Normal 57 5 4 2 8 2" xfId="19997" xr:uid="{00000000-0005-0000-0000-00001C8E0000}"/>
    <cellStyle name="Normal 57 5 4 2 8 2 2" xfId="45550" xr:uid="{00000000-0005-0000-0000-00001D8E0000}"/>
    <cellStyle name="Normal 57 5 4 2 8 3" xfId="32828" xr:uid="{00000000-0005-0000-0000-00001E8E0000}"/>
    <cellStyle name="Normal 57 5 4 2 9" xfId="16017" xr:uid="{00000000-0005-0000-0000-00001F8E0000}"/>
    <cellStyle name="Normal 57 5 4 2 9 2" xfId="41570" xr:uid="{00000000-0005-0000-0000-0000208E0000}"/>
    <cellStyle name="Normal 57 5 4 2_Degree data" xfId="3973" xr:uid="{00000000-0005-0000-0000-0000218E0000}"/>
    <cellStyle name="Normal 57 5 4 3" xfId="346" xr:uid="{00000000-0005-0000-0000-0000228E0000}"/>
    <cellStyle name="Normal 57 5 4 3 2" xfId="2832" xr:uid="{00000000-0005-0000-0000-0000238E0000}"/>
    <cellStyle name="Normal 57 5 4 3 2 2" xfId="12120" xr:uid="{00000000-0005-0000-0000-0000248E0000}"/>
    <cellStyle name="Normal 57 5 4 3 2 2 2" xfId="22193" xr:uid="{00000000-0005-0000-0000-0000258E0000}"/>
    <cellStyle name="Normal 57 5 4 3 2 2 2 2" xfId="47746" xr:uid="{00000000-0005-0000-0000-0000268E0000}"/>
    <cellStyle name="Normal 57 5 4 3 2 2 3" xfId="37675" xr:uid="{00000000-0005-0000-0000-0000278E0000}"/>
    <cellStyle name="Normal 57 5 4 3 2 3" xfId="8600" xr:uid="{00000000-0005-0000-0000-0000288E0000}"/>
    <cellStyle name="Normal 57 5 4 3 2 3 2" xfId="34157" xr:uid="{00000000-0005-0000-0000-0000298E0000}"/>
    <cellStyle name="Normal 57 5 4 3 2 4" xfId="17186" xr:uid="{00000000-0005-0000-0000-00002A8E0000}"/>
    <cellStyle name="Normal 57 5 4 3 2 4 2" xfId="42739" xr:uid="{00000000-0005-0000-0000-00002B8E0000}"/>
    <cellStyle name="Normal 57 5 4 3 2 5" xfId="28676" xr:uid="{00000000-0005-0000-0000-00002C8E0000}"/>
    <cellStyle name="Normal 57 5 4 3 3" xfId="4680" xr:uid="{00000000-0005-0000-0000-00002D8E0000}"/>
    <cellStyle name="Normal 57 5 4 3 3 2" xfId="13518" xr:uid="{00000000-0005-0000-0000-00002E8E0000}"/>
    <cellStyle name="Normal 57 5 4 3 3 2 2" xfId="23769" xr:uid="{00000000-0005-0000-0000-00002F8E0000}"/>
    <cellStyle name="Normal 57 5 4 3 3 2 2 2" xfId="49322" xr:uid="{00000000-0005-0000-0000-0000308E0000}"/>
    <cellStyle name="Normal 57 5 4 3 3 2 3" xfId="39073" xr:uid="{00000000-0005-0000-0000-0000318E0000}"/>
    <cellStyle name="Normal 57 5 4 3 3 3" xfId="9939" xr:uid="{00000000-0005-0000-0000-0000328E0000}"/>
    <cellStyle name="Normal 57 5 4 3 3 3 2" xfId="35496" xr:uid="{00000000-0005-0000-0000-0000338E0000}"/>
    <cellStyle name="Normal 57 5 4 3 3 4" xfId="18762" xr:uid="{00000000-0005-0000-0000-0000348E0000}"/>
    <cellStyle name="Normal 57 5 4 3 3 4 2" xfId="44315" xr:uid="{00000000-0005-0000-0000-0000358E0000}"/>
    <cellStyle name="Normal 57 5 4 3 3 5" xfId="30252" xr:uid="{00000000-0005-0000-0000-0000368E0000}"/>
    <cellStyle name="Normal 57 5 4 3 4" xfId="1941" xr:uid="{00000000-0005-0000-0000-0000378E0000}"/>
    <cellStyle name="Normal 57 5 4 3 4 2" xfId="11306" xr:uid="{00000000-0005-0000-0000-0000388E0000}"/>
    <cellStyle name="Normal 57 5 4 3 4 2 2" xfId="36861" xr:uid="{00000000-0005-0000-0000-0000398E0000}"/>
    <cellStyle name="Normal 57 5 4 3 4 3" xfId="21310" xr:uid="{00000000-0005-0000-0000-00003A8E0000}"/>
    <cellStyle name="Normal 57 5 4 3 4 3 2" xfId="46863" xr:uid="{00000000-0005-0000-0000-00003B8E0000}"/>
    <cellStyle name="Normal 57 5 4 3 4 4" xfId="27793" xr:uid="{00000000-0005-0000-0000-00003C8E0000}"/>
    <cellStyle name="Normal 57 5 4 3 5" xfId="6136" xr:uid="{00000000-0005-0000-0000-00003D8E0000}"/>
    <cellStyle name="Normal 57 5 4 3 5 2" xfId="14963" xr:uid="{00000000-0005-0000-0000-00003E8E0000}"/>
    <cellStyle name="Normal 57 5 4 3 5 2 2" xfId="40518" xr:uid="{00000000-0005-0000-0000-00003F8E0000}"/>
    <cellStyle name="Normal 57 5 4 3 5 3" xfId="25214" xr:uid="{00000000-0005-0000-0000-0000408E0000}"/>
    <cellStyle name="Normal 57 5 4 3 5 3 2" xfId="50767" xr:uid="{00000000-0005-0000-0000-0000418E0000}"/>
    <cellStyle name="Normal 57 5 4 3 5 4" xfId="31697" xr:uid="{00000000-0005-0000-0000-0000428E0000}"/>
    <cellStyle name="Normal 57 5 4 3 6" xfId="7581" xr:uid="{00000000-0005-0000-0000-0000438E0000}"/>
    <cellStyle name="Normal 57 5 4 3 6 2" xfId="19792" xr:uid="{00000000-0005-0000-0000-0000448E0000}"/>
    <cellStyle name="Normal 57 5 4 3 6 2 2" xfId="45345" xr:uid="{00000000-0005-0000-0000-0000458E0000}"/>
    <cellStyle name="Normal 57 5 4 3 6 3" xfId="33138" xr:uid="{00000000-0005-0000-0000-0000468E0000}"/>
    <cellStyle name="Normal 57 5 4 3 7" xfId="16303" xr:uid="{00000000-0005-0000-0000-0000478E0000}"/>
    <cellStyle name="Normal 57 5 4 3 7 2" xfId="41856" xr:uid="{00000000-0005-0000-0000-0000488E0000}"/>
    <cellStyle name="Normal 57 5 4 3 8" xfId="26275" xr:uid="{00000000-0005-0000-0000-0000498E0000}"/>
    <cellStyle name="Normal 57 5 4 4" xfId="866" xr:uid="{00000000-0005-0000-0000-00004A8E0000}"/>
    <cellStyle name="Normal 57 5 4 4 2" xfId="3351" xr:uid="{00000000-0005-0000-0000-00004B8E0000}"/>
    <cellStyle name="Normal 57 5 4 4 2 2" xfId="12493" xr:uid="{00000000-0005-0000-0000-00004C8E0000}"/>
    <cellStyle name="Normal 57 5 4 4 2 2 2" xfId="22712" xr:uid="{00000000-0005-0000-0000-00004D8E0000}"/>
    <cellStyle name="Normal 57 5 4 4 2 2 2 2" xfId="48265" xr:uid="{00000000-0005-0000-0000-00004E8E0000}"/>
    <cellStyle name="Normal 57 5 4 4 2 2 3" xfId="38048" xr:uid="{00000000-0005-0000-0000-00004F8E0000}"/>
    <cellStyle name="Normal 57 5 4 4 2 3" xfId="8915" xr:uid="{00000000-0005-0000-0000-0000508E0000}"/>
    <cellStyle name="Normal 57 5 4 4 2 3 2" xfId="34472" xr:uid="{00000000-0005-0000-0000-0000518E0000}"/>
    <cellStyle name="Normal 57 5 4 4 2 4" xfId="17705" xr:uid="{00000000-0005-0000-0000-0000528E0000}"/>
    <cellStyle name="Normal 57 5 4 4 2 4 2" xfId="43258" xr:uid="{00000000-0005-0000-0000-0000538E0000}"/>
    <cellStyle name="Normal 57 5 4 4 2 5" xfId="29195" xr:uid="{00000000-0005-0000-0000-0000548E0000}"/>
    <cellStyle name="Normal 57 5 4 4 3" xfId="5029" xr:uid="{00000000-0005-0000-0000-0000558E0000}"/>
    <cellStyle name="Normal 57 5 4 4 3 2" xfId="13866" xr:uid="{00000000-0005-0000-0000-0000568E0000}"/>
    <cellStyle name="Normal 57 5 4 4 3 2 2" xfId="24117" xr:uid="{00000000-0005-0000-0000-0000578E0000}"/>
    <cellStyle name="Normal 57 5 4 4 3 2 2 2" xfId="49670" xr:uid="{00000000-0005-0000-0000-0000588E0000}"/>
    <cellStyle name="Normal 57 5 4 4 3 2 3" xfId="39421" xr:uid="{00000000-0005-0000-0000-0000598E0000}"/>
    <cellStyle name="Normal 57 5 4 4 3 3" xfId="10287" xr:uid="{00000000-0005-0000-0000-00005A8E0000}"/>
    <cellStyle name="Normal 57 5 4 4 3 3 2" xfId="35844" xr:uid="{00000000-0005-0000-0000-00005B8E0000}"/>
    <cellStyle name="Normal 57 5 4 4 3 4" xfId="19110" xr:uid="{00000000-0005-0000-0000-00005C8E0000}"/>
    <cellStyle name="Normal 57 5 4 4 3 4 2" xfId="44663" xr:uid="{00000000-0005-0000-0000-00005D8E0000}"/>
    <cellStyle name="Normal 57 5 4 4 3 5" xfId="30600" xr:uid="{00000000-0005-0000-0000-00005E8E0000}"/>
    <cellStyle name="Normal 57 5 4 4 4" xfId="2460" xr:uid="{00000000-0005-0000-0000-00005F8E0000}"/>
    <cellStyle name="Normal 57 5 4 4 4 2" xfId="11825" xr:uid="{00000000-0005-0000-0000-0000608E0000}"/>
    <cellStyle name="Normal 57 5 4 4 4 2 2" xfId="37380" xr:uid="{00000000-0005-0000-0000-0000618E0000}"/>
    <cellStyle name="Normal 57 5 4 4 4 3" xfId="21829" xr:uid="{00000000-0005-0000-0000-0000628E0000}"/>
    <cellStyle name="Normal 57 5 4 4 4 3 2" xfId="47382" xr:uid="{00000000-0005-0000-0000-0000638E0000}"/>
    <cellStyle name="Normal 57 5 4 4 4 4" xfId="28312" xr:uid="{00000000-0005-0000-0000-0000648E0000}"/>
    <cellStyle name="Normal 57 5 4 4 5" xfId="6484" xr:uid="{00000000-0005-0000-0000-0000658E0000}"/>
    <cellStyle name="Normal 57 5 4 4 5 2" xfId="15311" xr:uid="{00000000-0005-0000-0000-0000668E0000}"/>
    <cellStyle name="Normal 57 5 4 4 5 2 2" xfId="40866" xr:uid="{00000000-0005-0000-0000-0000678E0000}"/>
    <cellStyle name="Normal 57 5 4 4 5 3" xfId="25562" xr:uid="{00000000-0005-0000-0000-0000688E0000}"/>
    <cellStyle name="Normal 57 5 4 4 5 3 2" xfId="51115" xr:uid="{00000000-0005-0000-0000-0000698E0000}"/>
    <cellStyle name="Normal 57 5 4 4 5 4" xfId="32045" xr:uid="{00000000-0005-0000-0000-00006A8E0000}"/>
    <cellStyle name="Normal 57 5 4 4 6" xfId="7930" xr:uid="{00000000-0005-0000-0000-00006B8E0000}"/>
    <cellStyle name="Normal 57 5 4 4 6 2" xfId="20311" xr:uid="{00000000-0005-0000-0000-00006C8E0000}"/>
    <cellStyle name="Normal 57 5 4 4 6 2 2" xfId="45864" xr:uid="{00000000-0005-0000-0000-00006D8E0000}"/>
    <cellStyle name="Normal 57 5 4 4 6 3" xfId="33487" xr:uid="{00000000-0005-0000-0000-00006E8E0000}"/>
    <cellStyle name="Normal 57 5 4 4 7" xfId="16822" xr:uid="{00000000-0005-0000-0000-00006F8E0000}"/>
    <cellStyle name="Normal 57 5 4 4 7 2" xfId="42375" xr:uid="{00000000-0005-0000-0000-0000708E0000}"/>
    <cellStyle name="Normal 57 5 4 4 8" xfId="26794" xr:uid="{00000000-0005-0000-0000-0000718E0000}"/>
    <cellStyle name="Normal 57 5 4 5" xfId="1118" xr:uid="{00000000-0005-0000-0000-0000728E0000}"/>
    <cellStyle name="Normal 57 5 4 5 2" xfId="3547" xr:uid="{00000000-0005-0000-0000-0000738E0000}"/>
    <cellStyle name="Normal 57 5 4 5 2 2" xfId="12683" xr:uid="{00000000-0005-0000-0000-0000748E0000}"/>
    <cellStyle name="Normal 57 5 4 5 2 2 2" xfId="22902" xr:uid="{00000000-0005-0000-0000-0000758E0000}"/>
    <cellStyle name="Normal 57 5 4 5 2 2 2 2" xfId="48455" xr:uid="{00000000-0005-0000-0000-0000768E0000}"/>
    <cellStyle name="Normal 57 5 4 5 2 2 3" xfId="38238" xr:uid="{00000000-0005-0000-0000-0000778E0000}"/>
    <cellStyle name="Normal 57 5 4 5 2 3" xfId="9104" xr:uid="{00000000-0005-0000-0000-0000788E0000}"/>
    <cellStyle name="Normal 57 5 4 5 2 3 2" xfId="34661" xr:uid="{00000000-0005-0000-0000-0000798E0000}"/>
    <cellStyle name="Normal 57 5 4 5 2 4" xfId="17895" xr:uid="{00000000-0005-0000-0000-00007A8E0000}"/>
    <cellStyle name="Normal 57 5 4 5 2 4 2" xfId="43448" xr:uid="{00000000-0005-0000-0000-00007B8E0000}"/>
    <cellStyle name="Normal 57 5 4 5 2 5" xfId="29385" xr:uid="{00000000-0005-0000-0000-00007C8E0000}"/>
    <cellStyle name="Normal 57 5 4 5 3" xfId="5210" xr:uid="{00000000-0005-0000-0000-00007D8E0000}"/>
    <cellStyle name="Normal 57 5 4 5 3 2" xfId="14047" xr:uid="{00000000-0005-0000-0000-00007E8E0000}"/>
    <cellStyle name="Normal 57 5 4 5 3 2 2" xfId="24298" xr:uid="{00000000-0005-0000-0000-00007F8E0000}"/>
    <cellStyle name="Normal 57 5 4 5 3 2 2 2" xfId="49851" xr:uid="{00000000-0005-0000-0000-0000808E0000}"/>
    <cellStyle name="Normal 57 5 4 5 3 2 3" xfId="39602" xr:uid="{00000000-0005-0000-0000-0000818E0000}"/>
    <cellStyle name="Normal 57 5 4 5 3 3" xfId="10468" xr:uid="{00000000-0005-0000-0000-0000828E0000}"/>
    <cellStyle name="Normal 57 5 4 5 3 3 2" xfId="36025" xr:uid="{00000000-0005-0000-0000-0000838E0000}"/>
    <cellStyle name="Normal 57 5 4 5 3 4" xfId="19291" xr:uid="{00000000-0005-0000-0000-0000848E0000}"/>
    <cellStyle name="Normal 57 5 4 5 3 4 2" xfId="44844" xr:uid="{00000000-0005-0000-0000-0000858E0000}"/>
    <cellStyle name="Normal 57 5 4 5 3 5" xfId="30781" xr:uid="{00000000-0005-0000-0000-0000868E0000}"/>
    <cellStyle name="Normal 57 5 4 5 4" xfId="1826" xr:uid="{00000000-0005-0000-0000-0000878E0000}"/>
    <cellStyle name="Normal 57 5 4 5 4 2" xfId="11194" xr:uid="{00000000-0005-0000-0000-0000888E0000}"/>
    <cellStyle name="Normal 57 5 4 5 4 2 2" xfId="36749" xr:uid="{00000000-0005-0000-0000-0000898E0000}"/>
    <cellStyle name="Normal 57 5 4 5 4 3" xfId="21198" xr:uid="{00000000-0005-0000-0000-00008A8E0000}"/>
    <cellStyle name="Normal 57 5 4 5 4 3 2" xfId="46751" xr:uid="{00000000-0005-0000-0000-00008B8E0000}"/>
    <cellStyle name="Normal 57 5 4 5 4 4" xfId="27681" xr:uid="{00000000-0005-0000-0000-00008C8E0000}"/>
    <cellStyle name="Normal 57 5 4 5 5" xfId="6665" xr:uid="{00000000-0005-0000-0000-00008D8E0000}"/>
    <cellStyle name="Normal 57 5 4 5 5 2" xfId="15492" xr:uid="{00000000-0005-0000-0000-00008E8E0000}"/>
    <cellStyle name="Normal 57 5 4 5 5 2 2" xfId="41047" xr:uid="{00000000-0005-0000-0000-00008F8E0000}"/>
    <cellStyle name="Normal 57 5 4 5 5 3" xfId="25743" xr:uid="{00000000-0005-0000-0000-0000908E0000}"/>
    <cellStyle name="Normal 57 5 4 5 5 3 2" xfId="51296" xr:uid="{00000000-0005-0000-0000-0000918E0000}"/>
    <cellStyle name="Normal 57 5 4 5 5 4" xfId="32226" xr:uid="{00000000-0005-0000-0000-0000928E0000}"/>
    <cellStyle name="Normal 57 5 4 5 6" xfId="8111" xr:uid="{00000000-0005-0000-0000-0000938E0000}"/>
    <cellStyle name="Normal 57 5 4 5 6 2" xfId="20501" xr:uid="{00000000-0005-0000-0000-0000948E0000}"/>
    <cellStyle name="Normal 57 5 4 5 6 2 2" xfId="46054" xr:uid="{00000000-0005-0000-0000-0000958E0000}"/>
    <cellStyle name="Normal 57 5 4 5 6 3" xfId="33668" xr:uid="{00000000-0005-0000-0000-0000968E0000}"/>
    <cellStyle name="Normal 57 5 4 5 7" xfId="16191" xr:uid="{00000000-0005-0000-0000-0000978E0000}"/>
    <cellStyle name="Normal 57 5 4 5 7 2" xfId="41744" xr:uid="{00000000-0005-0000-0000-0000988E0000}"/>
    <cellStyle name="Normal 57 5 4 5 8" xfId="26984" xr:uid="{00000000-0005-0000-0000-0000998E0000}"/>
    <cellStyle name="Normal 57 5 4 6" xfId="2720" xr:uid="{00000000-0005-0000-0000-00009A8E0000}"/>
    <cellStyle name="Normal 57 5 4 6 2" xfId="12037" xr:uid="{00000000-0005-0000-0000-00009B8E0000}"/>
    <cellStyle name="Normal 57 5 4 6 2 2" xfId="22081" xr:uid="{00000000-0005-0000-0000-00009C8E0000}"/>
    <cellStyle name="Normal 57 5 4 6 2 2 2" xfId="47634" xr:uid="{00000000-0005-0000-0000-00009D8E0000}"/>
    <cellStyle name="Normal 57 5 4 6 2 3" xfId="37592" xr:uid="{00000000-0005-0000-0000-00009E8E0000}"/>
    <cellStyle name="Normal 57 5 4 6 3" xfId="8487" xr:uid="{00000000-0005-0000-0000-00009F8E0000}"/>
    <cellStyle name="Normal 57 5 4 6 3 2" xfId="34044" xr:uid="{00000000-0005-0000-0000-0000A08E0000}"/>
    <cellStyle name="Normal 57 5 4 6 4" xfId="17074" xr:uid="{00000000-0005-0000-0000-0000A18E0000}"/>
    <cellStyle name="Normal 57 5 4 6 4 2" xfId="42627" xr:uid="{00000000-0005-0000-0000-0000A28E0000}"/>
    <cellStyle name="Normal 57 5 4 6 5" xfId="28564" xr:uid="{00000000-0005-0000-0000-0000A38E0000}"/>
    <cellStyle name="Normal 57 5 4 7" xfId="4166" xr:uid="{00000000-0005-0000-0000-0000A48E0000}"/>
    <cellStyle name="Normal 57 5 4 7 2" xfId="13004" xr:uid="{00000000-0005-0000-0000-0000A58E0000}"/>
    <cellStyle name="Normal 57 5 4 7 2 2" xfId="23255" xr:uid="{00000000-0005-0000-0000-0000A68E0000}"/>
    <cellStyle name="Normal 57 5 4 7 2 2 2" xfId="48808" xr:uid="{00000000-0005-0000-0000-0000A78E0000}"/>
    <cellStyle name="Normal 57 5 4 7 2 3" xfId="38559" xr:uid="{00000000-0005-0000-0000-0000A88E0000}"/>
    <cellStyle name="Normal 57 5 4 7 3" xfId="9425" xr:uid="{00000000-0005-0000-0000-0000A98E0000}"/>
    <cellStyle name="Normal 57 5 4 7 3 2" xfId="34982" xr:uid="{00000000-0005-0000-0000-0000AA8E0000}"/>
    <cellStyle name="Normal 57 5 4 7 4" xfId="18248" xr:uid="{00000000-0005-0000-0000-0000AB8E0000}"/>
    <cellStyle name="Normal 57 5 4 7 4 2" xfId="43801" xr:uid="{00000000-0005-0000-0000-0000AC8E0000}"/>
    <cellStyle name="Normal 57 5 4 7 5" xfId="29738" xr:uid="{00000000-0005-0000-0000-0000AD8E0000}"/>
    <cellStyle name="Normal 57 5 4 8" xfId="1438" xr:uid="{00000000-0005-0000-0000-0000AE8E0000}"/>
    <cellStyle name="Normal 57 5 4 8 2" xfId="10815" xr:uid="{00000000-0005-0000-0000-0000AF8E0000}"/>
    <cellStyle name="Normal 57 5 4 8 2 2" xfId="36370" xr:uid="{00000000-0005-0000-0000-0000B08E0000}"/>
    <cellStyle name="Normal 57 5 4 8 3" xfId="20819" xr:uid="{00000000-0005-0000-0000-0000B18E0000}"/>
    <cellStyle name="Normal 57 5 4 8 3 2" xfId="46372" xr:uid="{00000000-0005-0000-0000-0000B28E0000}"/>
    <cellStyle name="Normal 57 5 4 8 4" xfId="27302" xr:uid="{00000000-0005-0000-0000-0000B38E0000}"/>
    <cellStyle name="Normal 57 5 4 9" xfId="5622" xr:uid="{00000000-0005-0000-0000-0000B48E0000}"/>
    <cellStyle name="Normal 57 5 4 9 2" xfId="14449" xr:uid="{00000000-0005-0000-0000-0000B58E0000}"/>
    <cellStyle name="Normal 57 5 4 9 2 2" xfId="40004" xr:uid="{00000000-0005-0000-0000-0000B68E0000}"/>
    <cellStyle name="Normal 57 5 4 9 3" xfId="24700" xr:uid="{00000000-0005-0000-0000-0000B78E0000}"/>
    <cellStyle name="Normal 57 5 4 9 3 2" xfId="50253" xr:uid="{00000000-0005-0000-0000-0000B88E0000}"/>
    <cellStyle name="Normal 57 5 4 9 4" xfId="31183" xr:uid="{00000000-0005-0000-0000-0000B98E0000}"/>
    <cellStyle name="Normal 57 5 4_Degree data" xfId="3972" xr:uid="{00000000-0005-0000-0000-0000BA8E0000}"/>
    <cellStyle name="Normal 57 5 5" xfId="446" xr:uid="{00000000-0005-0000-0000-0000BB8E0000}"/>
    <cellStyle name="Normal 57 5 5 10" xfId="26375" xr:uid="{00000000-0005-0000-0000-0000BC8E0000}"/>
    <cellStyle name="Normal 57 5 5 2" xfId="868" xr:uid="{00000000-0005-0000-0000-0000BD8E0000}"/>
    <cellStyle name="Normal 57 5 5 2 2" xfId="3353" xr:uid="{00000000-0005-0000-0000-0000BE8E0000}"/>
    <cellStyle name="Normal 57 5 5 2 2 2" xfId="12495" xr:uid="{00000000-0005-0000-0000-0000BF8E0000}"/>
    <cellStyle name="Normal 57 5 5 2 2 2 2" xfId="22714" xr:uid="{00000000-0005-0000-0000-0000C08E0000}"/>
    <cellStyle name="Normal 57 5 5 2 2 2 2 2" xfId="48267" xr:uid="{00000000-0005-0000-0000-0000C18E0000}"/>
    <cellStyle name="Normal 57 5 5 2 2 2 3" xfId="38050" xr:uid="{00000000-0005-0000-0000-0000C28E0000}"/>
    <cellStyle name="Normal 57 5 5 2 2 3" xfId="8917" xr:uid="{00000000-0005-0000-0000-0000C38E0000}"/>
    <cellStyle name="Normal 57 5 5 2 2 3 2" xfId="34474" xr:uid="{00000000-0005-0000-0000-0000C48E0000}"/>
    <cellStyle name="Normal 57 5 5 2 2 4" xfId="17707" xr:uid="{00000000-0005-0000-0000-0000C58E0000}"/>
    <cellStyle name="Normal 57 5 5 2 2 4 2" xfId="43260" xr:uid="{00000000-0005-0000-0000-0000C68E0000}"/>
    <cellStyle name="Normal 57 5 5 2 2 5" xfId="29197" xr:uid="{00000000-0005-0000-0000-0000C78E0000}"/>
    <cellStyle name="Normal 57 5 5 2 3" xfId="4682" xr:uid="{00000000-0005-0000-0000-0000C88E0000}"/>
    <cellStyle name="Normal 57 5 5 2 3 2" xfId="13520" xr:uid="{00000000-0005-0000-0000-0000C98E0000}"/>
    <cellStyle name="Normal 57 5 5 2 3 2 2" xfId="23771" xr:uid="{00000000-0005-0000-0000-0000CA8E0000}"/>
    <cellStyle name="Normal 57 5 5 2 3 2 2 2" xfId="49324" xr:uid="{00000000-0005-0000-0000-0000CB8E0000}"/>
    <cellStyle name="Normal 57 5 5 2 3 2 3" xfId="39075" xr:uid="{00000000-0005-0000-0000-0000CC8E0000}"/>
    <cellStyle name="Normal 57 5 5 2 3 3" xfId="9941" xr:uid="{00000000-0005-0000-0000-0000CD8E0000}"/>
    <cellStyle name="Normal 57 5 5 2 3 3 2" xfId="35498" xr:uid="{00000000-0005-0000-0000-0000CE8E0000}"/>
    <cellStyle name="Normal 57 5 5 2 3 4" xfId="18764" xr:uid="{00000000-0005-0000-0000-0000CF8E0000}"/>
    <cellStyle name="Normal 57 5 5 2 3 4 2" xfId="44317" xr:uid="{00000000-0005-0000-0000-0000D08E0000}"/>
    <cellStyle name="Normal 57 5 5 2 3 5" xfId="30254" xr:uid="{00000000-0005-0000-0000-0000D18E0000}"/>
    <cellStyle name="Normal 57 5 5 2 4" xfId="2462" xr:uid="{00000000-0005-0000-0000-0000D28E0000}"/>
    <cellStyle name="Normal 57 5 5 2 4 2" xfId="11827" xr:uid="{00000000-0005-0000-0000-0000D38E0000}"/>
    <cellStyle name="Normal 57 5 5 2 4 2 2" xfId="37382" xr:uid="{00000000-0005-0000-0000-0000D48E0000}"/>
    <cellStyle name="Normal 57 5 5 2 4 3" xfId="21831" xr:uid="{00000000-0005-0000-0000-0000D58E0000}"/>
    <cellStyle name="Normal 57 5 5 2 4 3 2" xfId="47384" xr:uid="{00000000-0005-0000-0000-0000D68E0000}"/>
    <cellStyle name="Normal 57 5 5 2 4 4" xfId="28314" xr:uid="{00000000-0005-0000-0000-0000D78E0000}"/>
    <cellStyle name="Normal 57 5 5 2 5" xfId="6138" xr:uid="{00000000-0005-0000-0000-0000D88E0000}"/>
    <cellStyle name="Normal 57 5 5 2 5 2" xfId="14965" xr:uid="{00000000-0005-0000-0000-0000D98E0000}"/>
    <cellStyle name="Normal 57 5 5 2 5 2 2" xfId="40520" xr:uid="{00000000-0005-0000-0000-0000DA8E0000}"/>
    <cellStyle name="Normal 57 5 5 2 5 3" xfId="25216" xr:uid="{00000000-0005-0000-0000-0000DB8E0000}"/>
    <cellStyle name="Normal 57 5 5 2 5 3 2" xfId="50769" xr:uid="{00000000-0005-0000-0000-0000DC8E0000}"/>
    <cellStyle name="Normal 57 5 5 2 5 4" xfId="31699" xr:uid="{00000000-0005-0000-0000-0000DD8E0000}"/>
    <cellStyle name="Normal 57 5 5 2 6" xfId="7583" xr:uid="{00000000-0005-0000-0000-0000DE8E0000}"/>
    <cellStyle name="Normal 57 5 5 2 6 2" xfId="20313" xr:uid="{00000000-0005-0000-0000-0000DF8E0000}"/>
    <cellStyle name="Normal 57 5 5 2 6 2 2" xfId="45866" xr:uid="{00000000-0005-0000-0000-0000E08E0000}"/>
    <cellStyle name="Normal 57 5 5 2 6 3" xfId="33140" xr:uid="{00000000-0005-0000-0000-0000E18E0000}"/>
    <cellStyle name="Normal 57 5 5 2 7" xfId="16824" xr:uid="{00000000-0005-0000-0000-0000E28E0000}"/>
    <cellStyle name="Normal 57 5 5 2 7 2" xfId="42377" xr:uid="{00000000-0005-0000-0000-0000E38E0000}"/>
    <cellStyle name="Normal 57 5 5 2 8" xfId="26796" xr:uid="{00000000-0005-0000-0000-0000E48E0000}"/>
    <cellStyle name="Normal 57 5 5 3" xfId="1218" xr:uid="{00000000-0005-0000-0000-0000E58E0000}"/>
    <cellStyle name="Normal 57 5 5 3 2" xfId="3647" xr:uid="{00000000-0005-0000-0000-0000E68E0000}"/>
    <cellStyle name="Normal 57 5 5 3 2 2" xfId="12783" xr:uid="{00000000-0005-0000-0000-0000E78E0000}"/>
    <cellStyle name="Normal 57 5 5 3 2 2 2" xfId="23002" xr:uid="{00000000-0005-0000-0000-0000E88E0000}"/>
    <cellStyle name="Normal 57 5 5 3 2 2 2 2" xfId="48555" xr:uid="{00000000-0005-0000-0000-0000E98E0000}"/>
    <cellStyle name="Normal 57 5 5 3 2 2 3" xfId="38338" xr:uid="{00000000-0005-0000-0000-0000EA8E0000}"/>
    <cellStyle name="Normal 57 5 5 3 2 3" xfId="9204" xr:uid="{00000000-0005-0000-0000-0000EB8E0000}"/>
    <cellStyle name="Normal 57 5 5 3 2 3 2" xfId="34761" xr:uid="{00000000-0005-0000-0000-0000EC8E0000}"/>
    <cellStyle name="Normal 57 5 5 3 2 4" xfId="17995" xr:uid="{00000000-0005-0000-0000-0000ED8E0000}"/>
    <cellStyle name="Normal 57 5 5 3 2 4 2" xfId="43548" xr:uid="{00000000-0005-0000-0000-0000EE8E0000}"/>
    <cellStyle name="Normal 57 5 5 3 2 5" xfId="29485" xr:uid="{00000000-0005-0000-0000-0000EF8E0000}"/>
    <cellStyle name="Normal 57 5 5 3 3" xfId="5031" xr:uid="{00000000-0005-0000-0000-0000F08E0000}"/>
    <cellStyle name="Normal 57 5 5 3 3 2" xfId="13868" xr:uid="{00000000-0005-0000-0000-0000F18E0000}"/>
    <cellStyle name="Normal 57 5 5 3 3 2 2" xfId="24119" xr:uid="{00000000-0005-0000-0000-0000F28E0000}"/>
    <cellStyle name="Normal 57 5 5 3 3 2 2 2" xfId="49672" xr:uid="{00000000-0005-0000-0000-0000F38E0000}"/>
    <cellStyle name="Normal 57 5 5 3 3 2 3" xfId="39423" xr:uid="{00000000-0005-0000-0000-0000F48E0000}"/>
    <cellStyle name="Normal 57 5 5 3 3 3" xfId="10289" xr:uid="{00000000-0005-0000-0000-0000F58E0000}"/>
    <cellStyle name="Normal 57 5 5 3 3 3 2" xfId="35846" xr:uid="{00000000-0005-0000-0000-0000F68E0000}"/>
    <cellStyle name="Normal 57 5 5 3 3 4" xfId="19112" xr:uid="{00000000-0005-0000-0000-0000F78E0000}"/>
    <cellStyle name="Normal 57 5 5 3 3 4 2" xfId="44665" xr:uid="{00000000-0005-0000-0000-0000F88E0000}"/>
    <cellStyle name="Normal 57 5 5 3 3 5" xfId="30602" xr:uid="{00000000-0005-0000-0000-0000F98E0000}"/>
    <cellStyle name="Normal 57 5 5 3 4" xfId="2041" xr:uid="{00000000-0005-0000-0000-0000FA8E0000}"/>
    <cellStyle name="Normal 57 5 5 3 4 2" xfId="11406" xr:uid="{00000000-0005-0000-0000-0000FB8E0000}"/>
    <cellStyle name="Normal 57 5 5 3 4 2 2" xfId="36961" xr:uid="{00000000-0005-0000-0000-0000FC8E0000}"/>
    <cellStyle name="Normal 57 5 5 3 4 3" xfId="21410" xr:uid="{00000000-0005-0000-0000-0000FD8E0000}"/>
    <cellStyle name="Normal 57 5 5 3 4 3 2" xfId="46963" xr:uid="{00000000-0005-0000-0000-0000FE8E0000}"/>
    <cellStyle name="Normal 57 5 5 3 4 4" xfId="27893" xr:uid="{00000000-0005-0000-0000-0000FF8E0000}"/>
    <cellStyle name="Normal 57 5 5 3 5" xfId="6486" xr:uid="{00000000-0005-0000-0000-0000008F0000}"/>
    <cellStyle name="Normal 57 5 5 3 5 2" xfId="15313" xr:uid="{00000000-0005-0000-0000-0000018F0000}"/>
    <cellStyle name="Normal 57 5 5 3 5 2 2" xfId="40868" xr:uid="{00000000-0005-0000-0000-0000028F0000}"/>
    <cellStyle name="Normal 57 5 5 3 5 3" xfId="25564" xr:uid="{00000000-0005-0000-0000-0000038F0000}"/>
    <cellStyle name="Normal 57 5 5 3 5 3 2" xfId="51117" xr:uid="{00000000-0005-0000-0000-0000048F0000}"/>
    <cellStyle name="Normal 57 5 5 3 5 4" xfId="32047" xr:uid="{00000000-0005-0000-0000-0000058F0000}"/>
    <cellStyle name="Normal 57 5 5 3 6" xfId="7932" xr:uid="{00000000-0005-0000-0000-0000068F0000}"/>
    <cellStyle name="Normal 57 5 5 3 6 2" xfId="20601" xr:uid="{00000000-0005-0000-0000-0000078F0000}"/>
    <cellStyle name="Normal 57 5 5 3 6 2 2" xfId="46154" xr:uid="{00000000-0005-0000-0000-0000088F0000}"/>
    <cellStyle name="Normal 57 5 5 3 6 3" xfId="33489" xr:uid="{00000000-0005-0000-0000-0000098F0000}"/>
    <cellStyle name="Normal 57 5 5 3 7" xfId="16403" xr:uid="{00000000-0005-0000-0000-00000A8F0000}"/>
    <cellStyle name="Normal 57 5 5 3 7 2" xfId="41956" xr:uid="{00000000-0005-0000-0000-00000B8F0000}"/>
    <cellStyle name="Normal 57 5 5 3 8" xfId="27084" xr:uid="{00000000-0005-0000-0000-00000C8F0000}"/>
    <cellStyle name="Normal 57 5 5 4" xfId="2932" xr:uid="{00000000-0005-0000-0000-00000D8F0000}"/>
    <cellStyle name="Normal 57 5 5 4 2" xfId="5310" xr:uid="{00000000-0005-0000-0000-00000E8F0000}"/>
    <cellStyle name="Normal 57 5 5 4 2 2" xfId="14147" xr:uid="{00000000-0005-0000-0000-00000F8F0000}"/>
    <cellStyle name="Normal 57 5 5 4 2 2 2" xfId="24398" xr:uid="{00000000-0005-0000-0000-0000108F0000}"/>
    <cellStyle name="Normal 57 5 5 4 2 2 2 2" xfId="49951" xr:uid="{00000000-0005-0000-0000-0000118F0000}"/>
    <cellStyle name="Normal 57 5 5 4 2 2 3" xfId="39702" xr:uid="{00000000-0005-0000-0000-0000128F0000}"/>
    <cellStyle name="Normal 57 5 5 4 2 3" xfId="10568" xr:uid="{00000000-0005-0000-0000-0000138F0000}"/>
    <cellStyle name="Normal 57 5 5 4 2 3 2" xfId="36125" xr:uid="{00000000-0005-0000-0000-0000148F0000}"/>
    <cellStyle name="Normal 57 5 5 4 2 4" xfId="19391" xr:uid="{00000000-0005-0000-0000-0000158F0000}"/>
    <cellStyle name="Normal 57 5 5 4 2 4 2" xfId="44944" xr:uid="{00000000-0005-0000-0000-0000168F0000}"/>
    <cellStyle name="Normal 57 5 5 4 2 5" xfId="30881" xr:uid="{00000000-0005-0000-0000-0000178F0000}"/>
    <cellStyle name="Normal 57 5 5 4 3" xfId="6765" xr:uid="{00000000-0005-0000-0000-0000188F0000}"/>
    <cellStyle name="Normal 57 5 5 4 3 2" xfId="15592" xr:uid="{00000000-0005-0000-0000-0000198F0000}"/>
    <cellStyle name="Normal 57 5 5 4 3 2 2" xfId="41147" xr:uid="{00000000-0005-0000-0000-00001A8F0000}"/>
    <cellStyle name="Normal 57 5 5 4 3 3" xfId="25843" xr:uid="{00000000-0005-0000-0000-00001B8F0000}"/>
    <cellStyle name="Normal 57 5 5 4 3 3 2" xfId="51396" xr:uid="{00000000-0005-0000-0000-00001C8F0000}"/>
    <cellStyle name="Normal 57 5 5 4 3 4" xfId="32326" xr:uid="{00000000-0005-0000-0000-00001D8F0000}"/>
    <cellStyle name="Normal 57 5 5 4 4" xfId="8211" xr:uid="{00000000-0005-0000-0000-00001E8F0000}"/>
    <cellStyle name="Normal 57 5 5 4 4 2" xfId="22293" xr:uid="{00000000-0005-0000-0000-00001F8F0000}"/>
    <cellStyle name="Normal 57 5 5 4 4 2 2" xfId="47846" xr:uid="{00000000-0005-0000-0000-0000208F0000}"/>
    <cellStyle name="Normal 57 5 5 4 4 3" xfId="33768" xr:uid="{00000000-0005-0000-0000-0000218F0000}"/>
    <cellStyle name="Normal 57 5 5 4 5" xfId="17286" xr:uid="{00000000-0005-0000-0000-0000228F0000}"/>
    <cellStyle name="Normal 57 5 5 4 5 2" xfId="42839" xr:uid="{00000000-0005-0000-0000-0000238F0000}"/>
    <cellStyle name="Normal 57 5 5 4 6" xfId="28776" xr:uid="{00000000-0005-0000-0000-0000248F0000}"/>
    <cellStyle name="Normal 57 5 5 5" xfId="4266" xr:uid="{00000000-0005-0000-0000-0000258F0000}"/>
    <cellStyle name="Normal 57 5 5 5 2" xfId="13104" xr:uid="{00000000-0005-0000-0000-0000268F0000}"/>
    <cellStyle name="Normal 57 5 5 5 2 2" xfId="23355" xr:uid="{00000000-0005-0000-0000-0000278F0000}"/>
    <cellStyle name="Normal 57 5 5 5 2 2 2" xfId="48908" xr:uid="{00000000-0005-0000-0000-0000288F0000}"/>
    <cellStyle name="Normal 57 5 5 5 2 3" xfId="38659" xr:uid="{00000000-0005-0000-0000-0000298F0000}"/>
    <cellStyle name="Normal 57 5 5 5 3" xfId="9525" xr:uid="{00000000-0005-0000-0000-00002A8F0000}"/>
    <cellStyle name="Normal 57 5 5 5 3 2" xfId="35082" xr:uid="{00000000-0005-0000-0000-00002B8F0000}"/>
    <cellStyle name="Normal 57 5 5 5 4" xfId="18348" xr:uid="{00000000-0005-0000-0000-00002C8F0000}"/>
    <cellStyle name="Normal 57 5 5 5 4 2" xfId="43901" xr:uid="{00000000-0005-0000-0000-00002D8F0000}"/>
    <cellStyle name="Normal 57 5 5 5 5" xfId="29838" xr:uid="{00000000-0005-0000-0000-00002E8F0000}"/>
    <cellStyle name="Normal 57 5 5 6" xfId="1538" xr:uid="{00000000-0005-0000-0000-00002F8F0000}"/>
    <cellStyle name="Normal 57 5 5 6 2" xfId="10915" xr:uid="{00000000-0005-0000-0000-0000308F0000}"/>
    <cellStyle name="Normal 57 5 5 6 2 2" xfId="36470" xr:uid="{00000000-0005-0000-0000-0000318F0000}"/>
    <cellStyle name="Normal 57 5 5 6 3" xfId="20919" xr:uid="{00000000-0005-0000-0000-0000328F0000}"/>
    <cellStyle name="Normal 57 5 5 6 3 2" xfId="46472" xr:uid="{00000000-0005-0000-0000-0000338F0000}"/>
    <cellStyle name="Normal 57 5 5 6 4" xfId="27402" xr:uid="{00000000-0005-0000-0000-0000348F0000}"/>
    <cellStyle name="Normal 57 5 5 7" xfId="5722" xr:uid="{00000000-0005-0000-0000-0000358F0000}"/>
    <cellStyle name="Normal 57 5 5 7 2" xfId="14549" xr:uid="{00000000-0005-0000-0000-0000368F0000}"/>
    <cellStyle name="Normal 57 5 5 7 2 2" xfId="40104" xr:uid="{00000000-0005-0000-0000-0000378F0000}"/>
    <cellStyle name="Normal 57 5 5 7 3" xfId="24800" xr:uid="{00000000-0005-0000-0000-0000388F0000}"/>
    <cellStyle name="Normal 57 5 5 7 3 2" xfId="50353" xr:uid="{00000000-0005-0000-0000-0000398F0000}"/>
    <cellStyle name="Normal 57 5 5 7 4" xfId="31283" xr:uid="{00000000-0005-0000-0000-00003A8F0000}"/>
    <cellStyle name="Normal 57 5 5 8" xfId="7166" xr:uid="{00000000-0005-0000-0000-00003B8F0000}"/>
    <cellStyle name="Normal 57 5 5 8 2" xfId="19892" xr:uid="{00000000-0005-0000-0000-00003C8F0000}"/>
    <cellStyle name="Normal 57 5 5 8 2 2" xfId="45445" xr:uid="{00000000-0005-0000-0000-00003D8F0000}"/>
    <cellStyle name="Normal 57 5 5 8 3" xfId="32723" xr:uid="{00000000-0005-0000-0000-00003E8F0000}"/>
    <cellStyle name="Normal 57 5 5 9" xfId="15912" xr:uid="{00000000-0005-0000-0000-00003F8F0000}"/>
    <cellStyle name="Normal 57 5 5 9 2" xfId="41465" xr:uid="{00000000-0005-0000-0000-0000408F0000}"/>
    <cellStyle name="Normal 57 5 5_Degree data" xfId="3974" xr:uid="{00000000-0005-0000-0000-0000418F0000}"/>
    <cellStyle name="Normal 57 5 6" xfId="334" xr:uid="{00000000-0005-0000-0000-0000428F0000}"/>
    <cellStyle name="Normal 57 5 6 10" xfId="26263" xr:uid="{00000000-0005-0000-0000-0000438F0000}"/>
    <cellStyle name="Normal 57 5 6 2" xfId="869" xr:uid="{00000000-0005-0000-0000-0000448F0000}"/>
    <cellStyle name="Normal 57 5 6 2 2" xfId="3354" xr:uid="{00000000-0005-0000-0000-0000458F0000}"/>
    <cellStyle name="Normal 57 5 6 2 2 2" xfId="12496" xr:uid="{00000000-0005-0000-0000-0000468F0000}"/>
    <cellStyle name="Normal 57 5 6 2 2 2 2" xfId="22715" xr:uid="{00000000-0005-0000-0000-0000478F0000}"/>
    <cellStyle name="Normal 57 5 6 2 2 2 2 2" xfId="48268" xr:uid="{00000000-0005-0000-0000-0000488F0000}"/>
    <cellStyle name="Normal 57 5 6 2 2 2 3" xfId="38051" xr:uid="{00000000-0005-0000-0000-0000498F0000}"/>
    <cellStyle name="Normal 57 5 6 2 2 3" xfId="8918" xr:uid="{00000000-0005-0000-0000-00004A8F0000}"/>
    <cellStyle name="Normal 57 5 6 2 2 3 2" xfId="34475" xr:uid="{00000000-0005-0000-0000-00004B8F0000}"/>
    <cellStyle name="Normal 57 5 6 2 2 4" xfId="17708" xr:uid="{00000000-0005-0000-0000-00004C8F0000}"/>
    <cellStyle name="Normal 57 5 6 2 2 4 2" xfId="43261" xr:uid="{00000000-0005-0000-0000-00004D8F0000}"/>
    <cellStyle name="Normal 57 5 6 2 2 5" xfId="29198" xr:uid="{00000000-0005-0000-0000-00004E8F0000}"/>
    <cellStyle name="Normal 57 5 6 2 3" xfId="4683" xr:uid="{00000000-0005-0000-0000-00004F8F0000}"/>
    <cellStyle name="Normal 57 5 6 2 3 2" xfId="13521" xr:uid="{00000000-0005-0000-0000-0000508F0000}"/>
    <cellStyle name="Normal 57 5 6 2 3 2 2" xfId="23772" xr:uid="{00000000-0005-0000-0000-0000518F0000}"/>
    <cellStyle name="Normal 57 5 6 2 3 2 2 2" xfId="49325" xr:uid="{00000000-0005-0000-0000-0000528F0000}"/>
    <cellStyle name="Normal 57 5 6 2 3 2 3" xfId="39076" xr:uid="{00000000-0005-0000-0000-0000538F0000}"/>
    <cellStyle name="Normal 57 5 6 2 3 3" xfId="9942" xr:uid="{00000000-0005-0000-0000-0000548F0000}"/>
    <cellStyle name="Normal 57 5 6 2 3 3 2" xfId="35499" xr:uid="{00000000-0005-0000-0000-0000558F0000}"/>
    <cellStyle name="Normal 57 5 6 2 3 4" xfId="18765" xr:uid="{00000000-0005-0000-0000-0000568F0000}"/>
    <cellStyle name="Normal 57 5 6 2 3 4 2" xfId="44318" xr:uid="{00000000-0005-0000-0000-0000578F0000}"/>
    <cellStyle name="Normal 57 5 6 2 3 5" xfId="30255" xr:uid="{00000000-0005-0000-0000-0000588F0000}"/>
    <cellStyle name="Normal 57 5 6 2 4" xfId="2463" xr:uid="{00000000-0005-0000-0000-0000598F0000}"/>
    <cellStyle name="Normal 57 5 6 2 4 2" xfId="11828" xr:uid="{00000000-0005-0000-0000-00005A8F0000}"/>
    <cellStyle name="Normal 57 5 6 2 4 2 2" xfId="37383" xr:uid="{00000000-0005-0000-0000-00005B8F0000}"/>
    <cellStyle name="Normal 57 5 6 2 4 3" xfId="21832" xr:uid="{00000000-0005-0000-0000-00005C8F0000}"/>
    <cellStyle name="Normal 57 5 6 2 4 3 2" xfId="47385" xr:uid="{00000000-0005-0000-0000-00005D8F0000}"/>
    <cellStyle name="Normal 57 5 6 2 4 4" xfId="28315" xr:uid="{00000000-0005-0000-0000-00005E8F0000}"/>
    <cellStyle name="Normal 57 5 6 2 5" xfId="6139" xr:uid="{00000000-0005-0000-0000-00005F8F0000}"/>
    <cellStyle name="Normal 57 5 6 2 5 2" xfId="14966" xr:uid="{00000000-0005-0000-0000-0000608F0000}"/>
    <cellStyle name="Normal 57 5 6 2 5 2 2" xfId="40521" xr:uid="{00000000-0005-0000-0000-0000618F0000}"/>
    <cellStyle name="Normal 57 5 6 2 5 3" xfId="25217" xr:uid="{00000000-0005-0000-0000-0000628F0000}"/>
    <cellStyle name="Normal 57 5 6 2 5 3 2" xfId="50770" xr:uid="{00000000-0005-0000-0000-0000638F0000}"/>
    <cellStyle name="Normal 57 5 6 2 5 4" xfId="31700" xr:uid="{00000000-0005-0000-0000-0000648F0000}"/>
    <cellStyle name="Normal 57 5 6 2 6" xfId="7584" xr:uid="{00000000-0005-0000-0000-0000658F0000}"/>
    <cellStyle name="Normal 57 5 6 2 6 2" xfId="20314" xr:uid="{00000000-0005-0000-0000-0000668F0000}"/>
    <cellStyle name="Normal 57 5 6 2 6 2 2" xfId="45867" xr:uid="{00000000-0005-0000-0000-0000678F0000}"/>
    <cellStyle name="Normal 57 5 6 2 6 3" xfId="33141" xr:uid="{00000000-0005-0000-0000-0000688F0000}"/>
    <cellStyle name="Normal 57 5 6 2 7" xfId="16825" xr:uid="{00000000-0005-0000-0000-0000698F0000}"/>
    <cellStyle name="Normal 57 5 6 2 7 2" xfId="42378" xr:uid="{00000000-0005-0000-0000-00006A8F0000}"/>
    <cellStyle name="Normal 57 5 6 2 8" xfId="26797" xr:uid="{00000000-0005-0000-0000-00006B8F0000}"/>
    <cellStyle name="Normal 57 5 6 3" xfId="1106" xr:uid="{00000000-0005-0000-0000-00006C8F0000}"/>
    <cellStyle name="Normal 57 5 6 3 2" xfId="3535" xr:uid="{00000000-0005-0000-0000-00006D8F0000}"/>
    <cellStyle name="Normal 57 5 6 3 2 2" xfId="12671" xr:uid="{00000000-0005-0000-0000-00006E8F0000}"/>
    <cellStyle name="Normal 57 5 6 3 2 2 2" xfId="22890" xr:uid="{00000000-0005-0000-0000-00006F8F0000}"/>
    <cellStyle name="Normal 57 5 6 3 2 2 2 2" xfId="48443" xr:uid="{00000000-0005-0000-0000-0000708F0000}"/>
    <cellStyle name="Normal 57 5 6 3 2 2 3" xfId="38226" xr:uid="{00000000-0005-0000-0000-0000718F0000}"/>
    <cellStyle name="Normal 57 5 6 3 2 3" xfId="9092" xr:uid="{00000000-0005-0000-0000-0000728F0000}"/>
    <cellStyle name="Normal 57 5 6 3 2 3 2" xfId="34649" xr:uid="{00000000-0005-0000-0000-0000738F0000}"/>
    <cellStyle name="Normal 57 5 6 3 2 4" xfId="17883" xr:uid="{00000000-0005-0000-0000-0000748F0000}"/>
    <cellStyle name="Normal 57 5 6 3 2 4 2" xfId="43436" xr:uid="{00000000-0005-0000-0000-0000758F0000}"/>
    <cellStyle name="Normal 57 5 6 3 2 5" xfId="29373" xr:uid="{00000000-0005-0000-0000-0000768F0000}"/>
    <cellStyle name="Normal 57 5 6 3 3" xfId="5032" xr:uid="{00000000-0005-0000-0000-0000778F0000}"/>
    <cellStyle name="Normal 57 5 6 3 3 2" xfId="13869" xr:uid="{00000000-0005-0000-0000-0000788F0000}"/>
    <cellStyle name="Normal 57 5 6 3 3 2 2" xfId="24120" xr:uid="{00000000-0005-0000-0000-0000798F0000}"/>
    <cellStyle name="Normal 57 5 6 3 3 2 2 2" xfId="49673" xr:uid="{00000000-0005-0000-0000-00007A8F0000}"/>
    <cellStyle name="Normal 57 5 6 3 3 2 3" xfId="39424" xr:uid="{00000000-0005-0000-0000-00007B8F0000}"/>
    <cellStyle name="Normal 57 5 6 3 3 3" xfId="10290" xr:uid="{00000000-0005-0000-0000-00007C8F0000}"/>
    <cellStyle name="Normal 57 5 6 3 3 3 2" xfId="35847" xr:uid="{00000000-0005-0000-0000-00007D8F0000}"/>
    <cellStyle name="Normal 57 5 6 3 3 4" xfId="19113" xr:uid="{00000000-0005-0000-0000-00007E8F0000}"/>
    <cellStyle name="Normal 57 5 6 3 3 4 2" xfId="44666" xr:uid="{00000000-0005-0000-0000-00007F8F0000}"/>
    <cellStyle name="Normal 57 5 6 3 3 5" xfId="30603" xr:uid="{00000000-0005-0000-0000-0000808F0000}"/>
    <cellStyle name="Normal 57 5 6 3 4" xfId="2593" xr:uid="{00000000-0005-0000-0000-0000818F0000}"/>
    <cellStyle name="Normal 57 5 6 3 4 2" xfId="11957" xr:uid="{00000000-0005-0000-0000-0000828F0000}"/>
    <cellStyle name="Normal 57 5 6 3 4 2 2" xfId="37512" xr:uid="{00000000-0005-0000-0000-0000838F0000}"/>
    <cellStyle name="Normal 57 5 6 3 4 3" xfId="21961" xr:uid="{00000000-0005-0000-0000-0000848F0000}"/>
    <cellStyle name="Normal 57 5 6 3 4 3 2" xfId="47514" xr:uid="{00000000-0005-0000-0000-0000858F0000}"/>
    <cellStyle name="Normal 57 5 6 3 4 4" xfId="28444" xr:uid="{00000000-0005-0000-0000-0000868F0000}"/>
    <cellStyle name="Normal 57 5 6 3 5" xfId="6487" xr:uid="{00000000-0005-0000-0000-0000878F0000}"/>
    <cellStyle name="Normal 57 5 6 3 5 2" xfId="15314" xr:uid="{00000000-0005-0000-0000-0000888F0000}"/>
    <cellStyle name="Normal 57 5 6 3 5 2 2" xfId="40869" xr:uid="{00000000-0005-0000-0000-0000898F0000}"/>
    <cellStyle name="Normal 57 5 6 3 5 3" xfId="25565" xr:uid="{00000000-0005-0000-0000-00008A8F0000}"/>
    <cellStyle name="Normal 57 5 6 3 5 3 2" xfId="51118" xr:uid="{00000000-0005-0000-0000-00008B8F0000}"/>
    <cellStyle name="Normal 57 5 6 3 5 4" xfId="32048" xr:uid="{00000000-0005-0000-0000-00008C8F0000}"/>
    <cellStyle name="Normal 57 5 6 3 6" xfId="7933" xr:uid="{00000000-0005-0000-0000-00008D8F0000}"/>
    <cellStyle name="Normal 57 5 6 3 6 2" xfId="20489" xr:uid="{00000000-0005-0000-0000-00008E8F0000}"/>
    <cellStyle name="Normal 57 5 6 3 6 2 2" xfId="46042" xr:uid="{00000000-0005-0000-0000-00008F8F0000}"/>
    <cellStyle name="Normal 57 5 6 3 6 3" xfId="33490" xr:uid="{00000000-0005-0000-0000-0000908F0000}"/>
    <cellStyle name="Normal 57 5 6 3 7" xfId="16954" xr:uid="{00000000-0005-0000-0000-0000918F0000}"/>
    <cellStyle name="Normal 57 5 6 3 7 2" xfId="42507" xr:uid="{00000000-0005-0000-0000-0000928F0000}"/>
    <cellStyle name="Normal 57 5 6 3 8" xfId="26972" xr:uid="{00000000-0005-0000-0000-0000938F0000}"/>
    <cellStyle name="Normal 57 5 6 4" xfId="2820" xr:uid="{00000000-0005-0000-0000-0000948F0000}"/>
    <cellStyle name="Normal 57 5 6 4 2" xfId="5198" xr:uid="{00000000-0005-0000-0000-0000958F0000}"/>
    <cellStyle name="Normal 57 5 6 4 2 2" xfId="14035" xr:uid="{00000000-0005-0000-0000-0000968F0000}"/>
    <cellStyle name="Normal 57 5 6 4 2 2 2" xfId="24286" xr:uid="{00000000-0005-0000-0000-0000978F0000}"/>
    <cellStyle name="Normal 57 5 6 4 2 2 2 2" xfId="49839" xr:uid="{00000000-0005-0000-0000-0000988F0000}"/>
    <cellStyle name="Normal 57 5 6 4 2 2 3" xfId="39590" xr:uid="{00000000-0005-0000-0000-0000998F0000}"/>
    <cellStyle name="Normal 57 5 6 4 2 3" xfId="10456" xr:uid="{00000000-0005-0000-0000-00009A8F0000}"/>
    <cellStyle name="Normal 57 5 6 4 2 3 2" xfId="36013" xr:uid="{00000000-0005-0000-0000-00009B8F0000}"/>
    <cellStyle name="Normal 57 5 6 4 2 4" xfId="19279" xr:uid="{00000000-0005-0000-0000-00009C8F0000}"/>
    <cellStyle name="Normal 57 5 6 4 2 4 2" xfId="44832" xr:uid="{00000000-0005-0000-0000-00009D8F0000}"/>
    <cellStyle name="Normal 57 5 6 4 2 5" xfId="30769" xr:uid="{00000000-0005-0000-0000-00009E8F0000}"/>
    <cellStyle name="Normal 57 5 6 4 3" xfId="6653" xr:uid="{00000000-0005-0000-0000-00009F8F0000}"/>
    <cellStyle name="Normal 57 5 6 4 3 2" xfId="15480" xr:uid="{00000000-0005-0000-0000-0000A08F0000}"/>
    <cellStyle name="Normal 57 5 6 4 3 2 2" xfId="41035" xr:uid="{00000000-0005-0000-0000-0000A18F0000}"/>
    <cellStyle name="Normal 57 5 6 4 3 3" xfId="25731" xr:uid="{00000000-0005-0000-0000-0000A28F0000}"/>
    <cellStyle name="Normal 57 5 6 4 3 3 2" xfId="51284" xr:uid="{00000000-0005-0000-0000-0000A38F0000}"/>
    <cellStyle name="Normal 57 5 6 4 3 4" xfId="32214" xr:uid="{00000000-0005-0000-0000-0000A48F0000}"/>
    <cellStyle name="Normal 57 5 6 4 4" xfId="8099" xr:uid="{00000000-0005-0000-0000-0000A58F0000}"/>
    <cellStyle name="Normal 57 5 6 4 4 2" xfId="22181" xr:uid="{00000000-0005-0000-0000-0000A68F0000}"/>
    <cellStyle name="Normal 57 5 6 4 4 2 2" xfId="47734" xr:uid="{00000000-0005-0000-0000-0000A78F0000}"/>
    <cellStyle name="Normal 57 5 6 4 4 3" xfId="33656" xr:uid="{00000000-0005-0000-0000-0000A88F0000}"/>
    <cellStyle name="Normal 57 5 6 4 5" xfId="17174" xr:uid="{00000000-0005-0000-0000-0000A98F0000}"/>
    <cellStyle name="Normal 57 5 6 4 5 2" xfId="42727" xr:uid="{00000000-0005-0000-0000-0000AA8F0000}"/>
    <cellStyle name="Normal 57 5 6 4 6" xfId="28664" xr:uid="{00000000-0005-0000-0000-0000AB8F0000}"/>
    <cellStyle name="Normal 57 5 6 5" xfId="4152" xr:uid="{00000000-0005-0000-0000-0000AC8F0000}"/>
    <cellStyle name="Normal 57 5 6 5 2" xfId="12990" xr:uid="{00000000-0005-0000-0000-0000AD8F0000}"/>
    <cellStyle name="Normal 57 5 6 5 2 2" xfId="23241" xr:uid="{00000000-0005-0000-0000-0000AE8F0000}"/>
    <cellStyle name="Normal 57 5 6 5 2 2 2" xfId="48794" xr:uid="{00000000-0005-0000-0000-0000AF8F0000}"/>
    <cellStyle name="Normal 57 5 6 5 2 3" xfId="38545" xr:uid="{00000000-0005-0000-0000-0000B08F0000}"/>
    <cellStyle name="Normal 57 5 6 5 3" xfId="9411" xr:uid="{00000000-0005-0000-0000-0000B18F0000}"/>
    <cellStyle name="Normal 57 5 6 5 3 2" xfId="34968" xr:uid="{00000000-0005-0000-0000-0000B28F0000}"/>
    <cellStyle name="Normal 57 5 6 5 4" xfId="18234" xr:uid="{00000000-0005-0000-0000-0000B38F0000}"/>
    <cellStyle name="Normal 57 5 6 5 4 2" xfId="43787" xr:uid="{00000000-0005-0000-0000-0000B48F0000}"/>
    <cellStyle name="Normal 57 5 6 5 5" xfId="29724" xr:uid="{00000000-0005-0000-0000-0000B58F0000}"/>
    <cellStyle name="Normal 57 5 6 6" xfId="1929" xr:uid="{00000000-0005-0000-0000-0000B68F0000}"/>
    <cellStyle name="Normal 57 5 6 6 2" xfId="11294" xr:uid="{00000000-0005-0000-0000-0000B78F0000}"/>
    <cellStyle name="Normal 57 5 6 6 2 2" xfId="36849" xr:uid="{00000000-0005-0000-0000-0000B88F0000}"/>
    <cellStyle name="Normal 57 5 6 6 3" xfId="21298" xr:uid="{00000000-0005-0000-0000-0000B98F0000}"/>
    <cellStyle name="Normal 57 5 6 6 3 2" xfId="46851" xr:uid="{00000000-0005-0000-0000-0000BA8F0000}"/>
    <cellStyle name="Normal 57 5 6 6 4" xfId="27781" xr:uid="{00000000-0005-0000-0000-0000BB8F0000}"/>
    <cellStyle name="Normal 57 5 6 7" xfId="5610" xr:uid="{00000000-0005-0000-0000-0000BC8F0000}"/>
    <cellStyle name="Normal 57 5 6 7 2" xfId="14437" xr:uid="{00000000-0005-0000-0000-0000BD8F0000}"/>
    <cellStyle name="Normal 57 5 6 7 2 2" xfId="39992" xr:uid="{00000000-0005-0000-0000-0000BE8F0000}"/>
    <cellStyle name="Normal 57 5 6 7 3" xfId="24688" xr:uid="{00000000-0005-0000-0000-0000BF8F0000}"/>
    <cellStyle name="Normal 57 5 6 7 3 2" xfId="50241" xr:uid="{00000000-0005-0000-0000-0000C08F0000}"/>
    <cellStyle name="Normal 57 5 6 7 4" xfId="31171" xr:uid="{00000000-0005-0000-0000-0000C18F0000}"/>
    <cellStyle name="Normal 57 5 6 8" xfId="7054" xr:uid="{00000000-0005-0000-0000-0000C28F0000}"/>
    <cellStyle name="Normal 57 5 6 8 2" xfId="19780" xr:uid="{00000000-0005-0000-0000-0000C38F0000}"/>
    <cellStyle name="Normal 57 5 6 8 2 2" xfId="45333" xr:uid="{00000000-0005-0000-0000-0000C48F0000}"/>
    <cellStyle name="Normal 57 5 6 8 3" xfId="32611" xr:uid="{00000000-0005-0000-0000-0000C58F0000}"/>
    <cellStyle name="Normal 57 5 6 9" xfId="16291" xr:uid="{00000000-0005-0000-0000-0000C68F0000}"/>
    <cellStyle name="Normal 57 5 6 9 2" xfId="41844" xr:uid="{00000000-0005-0000-0000-0000C78F0000}"/>
    <cellStyle name="Normal 57 5 6_Degree data" xfId="3975" xr:uid="{00000000-0005-0000-0000-0000C88F0000}"/>
    <cellStyle name="Normal 57 5 7" xfId="860" xr:uid="{00000000-0005-0000-0000-0000C98F0000}"/>
    <cellStyle name="Normal 57 5 7 2" xfId="3345" xr:uid="{00000000-0005-0000-0000-0000CA8F0000}"/>
    <cellStyle name="Normal 57 5 7 2 2" xfId="12487" xr:uid="{00000000-0005-0000-0000-0000CB8F0000}"/>
    <cellStyle name="Normal 57 5 7 2 2 2" xfId="22706" xr:uid="{00000000-0005-0000-0000-0000CC8F0000}"/>
    <cellStyle name="Normal 57 5 7 2 2 2 2" xfId="48259" xr:uid="{00000000-0005-0000-0000-0000CD8F0000}"/>
    <cellStyle name="Normal 57 5 7 2 2 3" xfId="38042" xr:uid="{00000000-0005-0000-0000-0000CE8F0000}"/>
    <cellStyle name="Normal 57 5 7 2 3" xfId="8909" xr:uid="{00000000-0005-0000-0000-0000CF8F0000}"/>
    <cellStyle name="Normal 57 5 7 2 3 2" xfId="34466" xr:uid="{00000000-0005-0000-0000-0000D08F0000}"/>
    <cellStyle name="Normal 57 5 7 2 4" xfId="17699" xr:uid="{00000000-0005-0000-0000-0000D18F0000}"/>
    <cellStyle name="Normal 57 5 7 2 4 2" xfId="43252" xr:uid="{00000000-0005-0000-0000-0000D28F0000}"/>
    <cellStyle name="Normal 57 5 7 2 5" xfId="29189" xr:uid="{00000000-0005-0000-0000-0000D38F0000}"/>
    <cellStyle name="Normal 57 5 7 3" xfId="4674" xr:uid="{00000000-0005-0000-0000-0000D48F0000}"/>
    <cellStyle name="Normal 57 5 7 3 2" xfId="13512" xr:uid="{00000000-0005-0000-0000-0000D58F0000}"/>
    <cellStyle name="Normal 57 5 7 3 2 2" xfId="23763" xr:uid="{00000000-0005-0000-0000-0000D68F0000}"/>
    <cellStyle name="Normal 57 5 7 3 2 2 2" xfId="49316" xr:uid="{00000000-0005-0000-0000-0000D78F0000}"/>
    <cellStyle name="Normal 57 5 7 3 2 3" xfId="39067" xr:uid="{00000000-0005-0000-0000-0000D88F0000}"/>
    <cellStyle name="Normal 57 5 7 3 3" xfId="9933" xr:uid="{00000000-0005-0000-0000-0000D98F0000}"/>
    <cellStyle name="Normal 57 5 7 3 3 2" xfId="35490" xr:uid="{00000000-0005-0000-0000-0000DA8F0000}"/>
    <cellStyle name="Normal 57 5 7 3 4" xfId="18756" xr:uid="{00000000-0005-0000-0000-0000DB8F0000}"/>
    <cellStyle name="Normal 57 5 7 3 4 2" xfId="44309" xr:uid="{00000000-0005-0000-0000-0000DC8F0000}"/>
    <cellStyle name="Normal 57 5 7 3 5" xfId="30246" xr:uid="{00000000-0005-0000-0000-0000DD8F0000}"/>
    <cellStyle name="Normal 57 5 7 4" xfId="2454" xr:uid="{00000000-0005-0000-0000-0000DE8F0000}"/>
    <cellStyle name="Normal 57 5 7 4 2" xfId="11819" xr:uid="{00000000-0005-0000-0000-0000DF8F0000}"/>
    <cellStyle name="Normal 57 5 7 4 2 2" xfId="37374" xr:uid="{00000000-0005-0000-0000-0000E08F0000}"/>
    <cellStyle name="Normal 57 5 7 4 3" xfId="21823" xr:uid="{00000000-0005-0000-0000-0000E18F0000}"/>
    <cellStyle name="Normal 57 5 7 4 3 2" xfId="47376" xr:uid="{00000000-0005-0000-0000-0000E28F0000}"/>
    <cellStyle name="Normal 57 5 7 4 4" xfId="28306" xr:uid="{00000000-0005-0000-0000-0000E38F0000}"/>
    <cellStyle name="Normal 57 5 7 5" xfId="6130" xr:uid="{00000000-0005-0000-0000-0000E48F0000}"/>
    <cellStyle name="Normal 57 5 7 5 2" xfId="14957" xr:uid="{00000000-0005-0000-0000-0000E58F0000}"/>
    <cellStyle name="Normal 57 5 7 5 2 2" xfId="40512" xr:uid="{00000000-0005-0000-0000-0000E68F0000}"/>
    <cellStyle name="Normal 57 5 7 5 3" xfId="25208" xr:uid="{00000000-0005-0000-0000-0000E78F0000}"/>
    <cellStyle name="Normal 57 5 7 5 3 2" xfId="50761" xr:uid="{00000000-0005-0000-0000-0000E88F0000}"/>
    <cellStyle name="Normal 57 5 7 5 4" xfId="31691" xr:uid="{00000000-0005-0000-0000-0000E98F0000}"/>
    <cellStyle name="Normal 57 5 7 6" xfId="7575" xr:uid="{00000000-0005-0000-0000-0000EA8F0000}"/>
    <cellStyle name="Normal 57 5 7 6 2" xfId="20305" xr:uid="{00000000-0005-0000-0000-0000EB8F0000}"/>
    <cellStyle name="Normal 57 5 7 6 2 2" xfId="45858" xr:uid="{00000000-0005-0000-0000-0000EC8F0000}"/>
    <cellStyle name="Normal 57 5 7 6 3" xfId="33132" xr:uid="{00000000-0005-0000-0000-0000ED8F0000}"/>
    <cellStyle name="Normal 57 5 7 7" xfId="16816" xr:uid="{00000000-0005-0000-0000-0000EE8F0000}"/>
    <cellStyle name="Normal 57 5 7 7 2" xfId="42369" xr:uid="{00000000-0005-0000-0000-0000EF8F0000}"/>
    <cellStyle name="Normal 57 5 7 8" xfId="26788" xr:uid="{00000000-0005-0000-0000-0000F08F0000}"/>
    <cellStyle name="Normal 57 5 8" xfId="1061" xr:uid="{00000000-0005-0000-0000-0000F18F0000}"/>
    <cellStyle name="Normal 57 5 8 2" xfId="3490" xr:uid="{00000000-0005-0000-0000-0000F28F0000}"/>
    <cellStyle name="Normal 57 5 8 2 2" xfId="12626" xr:uid="{00000000-0005-0000-0000-0000F38F0000}"/>
    <cellStyle name="Normal 57 5 8 2 2 2" xfId="22845" xr:uid="{00000000-0005-0000-0000-0000F48F0000}"/>
    <cellStyle name="Normal 57 5 8 2 2 2 2" xfId="48398" xr:uid="{00000000-0005-0000-0000-0000F58F0000}"/>
    <cellStyle name="Normal 57 5 8 2 2 3" xfId="38181" xr:uid="{00000000-0005-0000-0000-0000F68F0000}"/>
    <cellStyle name="Normal 57 5 8 2 3" xfId="9048" xr:uid="{00000000-0005-0000-0000-0000F78F0000}"/>
    <cellStyle name="Normal 57 5 8 2 3 2" xfId="34605" xr:uid="{00000000-0005-0000-0000-0000F88F0000}"/>
    <cellStyle name="Normal 57 5 8 2 4" xfId="17838" xr:uid="{00000000-0005-0000-0000-0000F98F0000}"/>
    <cellStyle name="Normal 57 5 8 2 4 2" xfId="43391" xr:uid="{00000000-0005-0000-0000-0000FA8F0000}"/>
    <cellStyle name="Normal 57 5 8 2 5" xfId="29328" xr:uid="{00000000-0005-0000-0000-0000FB8F0000}"/>
    <cellStyle name="Normal 57 5 8 3" xfId="5023" xr:uid="{00000000-0005-0000-0000-0000FC8F0000}"/>
    <cellStyle name="Normal 57 5 8 3 2" xfId="13860" xr:uid="{00000000-0005-0000-0000-0000FD8F0000}"/>
    <cellStyle name="Normal 57 5 8 3 2 2" xfId="24111" xr:uid="{00000000-0005-0000-0000-0000FE8F0000}"/>
    <cellStyle name="Normal 57 5 8 3 2 2 2" xfId="49664" xr:uid="{00000000-0005-0000-0000-0000FF8F0000}"/>
    <cellStyle name="Normal 57 5 8 3 2 3" xfId="39415" xr:uid="{00000000-0005-0000-0000-000000900000}"/>
    <cellStyle name="Normal 57 5 8 3 3" xfId="10281" xr:uid="{00000000-0005-0000-0000-000001900000}"/>
    <cellStyle name="Normal 57 5 8 3 3 2" xfId="35838" xr:uid="{00000000-0005-0000-0000-000002900000}"/>
    <cellStyle name="Normal 57 5 8 3 4" xfId="19104" xr:uid="{00000000-0005-0000-0000-000003900000}"/>
    <cellStyle name="Normal 57 5 8 3 4 2" xfId="44657" xr:uid="{00000000-0005-0000-0000-000004900000}"/>
    <cellStyle name="Normal 57 5 8 3 5" xfId="30594" xr:uid="{00000000-0005-0000-0000-000005900000}"/>
    <cellStyle name="Normal 57 5 8 4" xfId="1714" xr:uid="{00000000-0005-0000-0000-000006900000}"/>
    <cellStyle name="Normal 57 5 8 4 2" xfId="11088" xr:uid="{00000000-0005-0000-0000-000007900000}"/>
    <cellStyle name="Normal 57 5 8 4 2 2" xfId="36643" xr:uid="{00000000-0005-0000-0000-000008900000}"/>
    <cellStyle name="Normal 57 5 8 4 3" xfId="21092" xr:uid="{00000000-0005-0000-0000-000009900000}"/>
    <cellStyle name="Normal 57 5 8 4 3 2" xfId="46645" xr:uid="{00000000-0005-0000-0000-00000A900000}"/>
    <cellStyle name="Normal 57 5 8 4 4" xfId="27575" xr:uid="{00000000-0005-0000-0000-00000B900000}"/>
    <cellStyle name="Normal 57 5 8 5" xfId="6478" xr:uid="{00000000-0005-0000-0000-00000C900000}"/>
    <cellStyle name="Normal 57 5 8 5 2" xfId="15305" xr:uid="{00000000-0005-0000-0000-00000D900000}"/>
    <cellStyle name="Normal 57 5 8 5 2 2" xfId="40860" xr:uid="{00000000-0005-0000-0000-00000E900000}"/>
    <cellStyle name="Normal 57 5 8 5 3" xfId="25556" xr:uid="{00000000-0005-0000-0000-00000F900000}"/>
    <cellStyle name="Normal 57 5 8 5 3 2" xfId="51109" xr:uid="{00000000-0005-0000-0000-000010900000}"/>
    <cellStyle name="Normal 57 5 8 5 4" xfId="32039" xr:uid="{00000000-0005-0000-0000-000011900000}"/>
    <cellStyle name="Normal 57 5 8 6" xfId="7924" xr:uid="{00000000-0005-0000-0000-000012900000}"/>
    <cellStyle name="Normal 57 5 8 6 2" xfId="20444" xr:uid="{00000000-0005-0000-0000-000013900000}"/>
    <cellStyle name="Normal 57 5 8 6 2 2" xfId="45997" xr:uid="{00000000-0005-0000-0000-000014900000}"/>
    <cellStyle name="Normal 57 5 8 6 3" xfId="33481" xr:uid="{00000000-0005-0000-0000-000015900000}"/>
    <cellStyle name="Normal 57 5 8 7" xfId="16085" xr:uid="{00000000-0005-0000-0000-000016900000}"/>
    <cellStyle name="Normal 57 5 8 7 2" xfId="41638" xr:uid="{00000000-0005-0000-0000-000017900000}"/>
    <cellStyle name="Normal 57 5 8 8" xfId="26927" xr:uid="{00000000-0005-0000-0000-000018900000}"/>
    <cellStyle name="Normal 57 5 9" xfId="2612" xr:uid="{00000000-0005-0000-0000-000019900000}"/>
    <cellStyle name="Normal 57 5 9 2" xfId="5153" xr:uid="{00000000-0005-0000-0000-00001A900000}"/>
    <cellStyle name="Normal 57 5 9 2 2" xfId="13990" xr:uid="{00000000-0005-0000-0000-00001B900000}"/>
    <cellStyle name="Normal 57 5 9 2 2 2" xfId="24241" xr:uid="{00000000-0005-0000-0000-00001C900000}"/>
    <cellStyle name="Normal 57 5 9 2 2 2 2" xfId="49794" xr:uid="{00000000-0005-0000-0000-00001D900000}"/>
    <cellStyle name="Normal 57 5 9 2 2 3" xfId="39545" xr:uid="{00000000-0005-0000-0000-00001E900000}"/>
    <cellStyle name="Normal 57 5 9 2 3" xfId="10411" xr:uid="{00000000-0005-0000-0000-00001F900000}"/>
    <cellStyle name="Normal 57 5 9 2 3 2" xfId="35968" xr:uid="{00000000-0005-0000-0000-000020900000}"/>
    <cellStyle name="Normal 57 5 9 2 4" xfId="19234" xr:uid="{00000000-0005-0000-0000-000021900000}"/>
    <cellStyle name="Normal 57 5 9 2 4 2" xfId="44787" xr:uid="{00000000-0005-0000-0000-000022900000}"/>
    <cellStyle name="Normal 57 5 9 2 5" xfId="30724" xr:uid="{00000000-0005-0000-0000-000023900000}"/>
    <cellStyle name="Normal 57 5 9 3" xfId="6608" xr:uid="{00000000-0005-0000-0000-000024900000}"/>
    <cellStyle name="Normal 57 5 9 3 2" xfId="15435" xr:uid="{00000000-0005-0000-0000-000025900000}"/>
    <cellStyle name="Normal 57 5 9 3 2 2" xfId="40990" xr:uid="{00000000-0005-0000-0000-000026900000}"/>
    <cellStyle name="Normal 57 5 9 3 3" xfId="25686" xr:uid="{00000000-0005-0000-0000-000027900000}"/>
    <cellStyle name="Normal 57 5 9 3 3 2" xfId="51239" xr:uid="{00000000-0005-0000-0000-000028900000}"/>
    <cellStyle name="Normal 57 5 9 3 4" xfId="32169" xr:uid="{00000000-0005-0000-0000-000029900000}"/>
    <cellStyle name="Normal 57 5 9 4" xfId="8054" xr:uid="{00000000-0005-0000-0000-00002A900000}"/>
    <cellStyle name="Normal 57 5 9 4 2" xfId="21975" xr:uid="{00000000-0005-0000-0000-00002B900000}"/>
    <cellStyle name="Normal 57 5 9 4 2 2" xfId="47528" xr:uid="{00000000-0005-0000-0000-00002C900000}"/>
    <cellStyle name="Normal 57 5 9 4 3" xfId="33611" xr:uid="{00000000-0005-0000-0000-00002D900000}"/>
    <cellStyle name="Normal 57 5 9 5" xfId="16968" xr:uid="{00000000-0005-0000-0000-00002E900000}"/>
    <cellStyle name="Normal 57 5 9 5 2" xfId="42521" xr:uid="{00000000-0005-0000-0000-00002F900000}"/>
    <cellStyle name="Normal 57 5 9 6" xfId="28458" xr:uid="{00000000-0005-0000-0000-000030900000}"/>
    <cellStyle name="Normal 57 5_Degree data" xfId="3966" xr:uid="{00000000-0005-0000-0000-000031900000}"/>
    <cellStyle name="Normal 57 6" xfId="126" xr:uid="{00000000-0005-0000-0000-000032900000}"/>
    <cellStyle name="Normal 57 6 10" xfId="1400" xr:uid="{00000000-0005-0000-0000-000033900000}"/>
    <cellStyle name="Normal 57 6 10 2" xfId="10777" xr:uid="{00000000-0005-0000-0000-000034900000}"/>
    <cellStyle name="Normal 57 6 10 2 2" xfId="36332" xr:uid="{00000000-0005-0000-0000-000035900000}"/>
    <cellStyle name="Normal 57 6 10 3" xfId="20781" xr:uid="{00000000-0005-0000-0000-000036900000}"/>
    <cellStyle name="Normal 57 6 10 3 2" xfId="46334" xr:uid="{00000000-0005-0000-0000-000037900000}"/>
    <cellStyle name="Normal 57 6 10 4" xfId="27264" xr:uid="{00000000-0005-0000-0000-000038900000}"/>
    <cellStyle name="Normal 57 6 11" xfId="5511" xr:uid="{00000000-0005-0000-0000-000039900000}"/>
    <cellStyle name="Normal 57 6 11 2" xfId="14338" xr:uid="{00000000-0005-0000-0000-00003A900000}"/>
    <cellStyle name="Normal 57 6 11 2 2" xfId="39893" xr:uid="{00000000-0005-0000-0000-00003B900000}"/>
    <cellStyle name="Normal 57 6 11 3" xfId="24589" xr:uid="{00000000-0005-0000-0000-00003C900000}"/>
    <cellStyle name="Normal 57 6 11 3 2" xfId="50142" xr:uid="{00000000-0005-0000-0000-00003D900000}"/>
    <cellStyle name="Normal 57 6 11 4" xfId="31072" xr:uid="{00000000-0005-0000-0000-00003E900000}"/>
    <cellStyle name="Normal 57 6 12" xfId="6951" xr:uid="{00000000-0005-0000-0000-00003F900000}"/>
    <cellStyle name="Normal 57 6 12 2" xfId="19593" xr:uid="{00000000-0005-0000-0000-000040900000}"/>
    <cellStyle name="Normal 57 6 12 2 2" xfId="45146" xr:uid="{00000000-0005-0000-0000-000041900000}"/>
    <cellStyle name="Normal 57 6 12 3" xfId="32509" xr:uid="{00000000-0005-0000-0000-000042900000}"/>
    <cellStyle name="Normal 57 6 13" xfId="15774" xr:uid="{00000000-0005-0000-0000-000043900000}"/>
    <cellStyle name="Normal 57 6 13 2" xfId="41327" xr:uid="{00000000-0005-0000-0000-000044900000}"/>
    <cellStyle name="Normal 57 6 14" xfId="26076" xr:uid="{00000000-0005-0000-0000-000045900000}"/>
    <cellStyle name="Normal 57 6 2" xfId="182" xr:uid="{00000000-0005-0000-0000-000046900000}"/>
    <cellStyle name="Normal 57 6 2 10" xfId="7130" xr:uid="{00000000-0005-0000-0000-000047900000}"/>
    <cellStyle name="Normal 57 6 2 10 2" xfId="19639" xr:uid="{00000000-0005-0000-0000-000048900000}"/>
    <cellStyle name="Normal 57 6 2 10 2 2" xfId="45192" xr:uid="{00000000-0005-0000-0000-000049900000}"/>
    <cellStyle name="Normal 57 6 2 10 3" xfId="32687" xr:uid="{00000000-0005-0000-0000-00004A900000}"/>
    <cellStyle name="Normal 57 6 2 11" xfId="15876" xr:uid="{00000000-0005-0000-0000-00004B900000}"/>
    <cellStyle name="Normal 57 6 2 11 2" xfId="41429" xr:uid="{00000000-0005-0000-0000-00004C900000}"/>
    <cellStyle name="Normal 57 6 2 12" xfId="26122" xr:uid="{00000000-0005-0000-0000-00004D900000}"/>
    <cellStyle name="Normal 57 6 2 2" xfId="510" xr:uid="{00000000-0005-0000-0000-00004E900000}"/>
    <cellStyle name="Normal 57 6 2 2 10" xfId="26439" xr:uid="{00000000-0005-0000-0000-00004F900000}"/>
    <cellStyle name="Normal 57 6 2 2 2" xfId="872" xr:uid="{00000000-0005-0000-0000-000050900000}"/>
    <cellStyle name="Normal 57 6 2 2 2 2" xfId="3357" xr:uid="{00000000-0005-0000-0000-000051900000}"/>
    <cellStyle name="Normal 57 6 2 2 2 2 2" xfId="12499" xr:uid="{00000000-0005-0000-0000-000052900000}"/>
    <cellStyle name="Normal 57 6 2 2 2 2 2 2" xfId="22718" xr:uid="{00000000-0005-0000-0000-000053900000}"/>
    <cellStyle name="Normal 57 6 2 2 2 2 2 2 2" xfId="48271" xr:uid="{00000000-0005-0000-0000-000054900000}"/>
    <cellStyle name="Normal 57 6 2 2 2 2 2 3" xfId="38054" xr:uid="{00000000-0005-0000-0000-000055900000}"/>
    <cellStyle name="Normal 57 6 2 2 2 2 3" xfId="8921" xr:uid="{00000000-0005-0000-0000-000056900000}"/>
    <cellStyle name="Normal 57 6 2 2 2 2 3 2" xfId="34478" xr:uid="{00000000-0005-0000-0000-000057900000}"/>
    <cellStyle name="Normal 57 6 2 2 2 2 4" xfId="17711" xr:uid="{00000000-0005-0000-0000-000058900000}"/>
    <cellStyle name="Normal 57 6 2 2 2 2 4 2" xfId="43264" xr:uid="{00000000-0005-0000-0000-000059900000}"/>
    <cellStyle name="Normal 57 6 2 2 2 2 5" xfId="29201" xr:uid="{00000000-0005-0000-0000-00005A900000}"/>
    <cellStyle name="Normal 57 6 2 2 2 3" xfId="4686" xr:uid="{00000000-0005-0000-0000-00005B900000}"/>
    <cellStyle name="Normal 57 6 2 2 2 3 2" xfId="13524" xr:uid="{00000000-0005-0000-0000-00005C900000}"/>
    <cellStyle name="Normal 57 6 2 2 2 3 2 2" xfId="23775" xr:uid="{00000000-0005-0000-0000-00005D900000}"/>
    <cellStyle name="Normal 57 6 2 2 2 3 2 2 2" xfId="49328" xr:uid="{00000000-0005-0000-0000-00005E900000}"/>
    <cellStyle name="Normal 57 6 2 2 2 3 2 3" xfId="39079" xr:uid="{00000000-0005-0000-0000-00005F900000}"/>
    <cellStyle name="Normal 57 6 2 2 2 3 3" xfId="9945" xr:uid="{00000000-0005-0000-0000-000060900000}"/>
    <cellStyle name="Normal 57 6 2 2 2 3 3 2" xfId="35502" xr:uid="{00000000-0005-0000-0000-000061900000}"/>
    <cellStyle name="Normal 57 6 2 2 2 3 4" xfId="18768" xr:uid="{00000000-0005-0000-0000-000062900000}"/>
    <cellStyle name="Normal 57 6 2 2 2 3 4 2" xfId="44321" xr:uid="{00000000-0005-0000-0000-000063900000}"/>
    <cellStyle name="Normal 57 6 2 2 2 3 5" xfId="30258" xr:uid="{00000000-0005-0000-0000-000064900000}"/>
    <cellStyle name="Normal 57 6 2 2 2 4" xfId="2466" xr:uid="{00000000-0005-0000-0000-000065900000}"/>
    <cellStyle name="Normal 57 6 2 2 2 4 2" xfId="11831" xr:uid="{00000000-0005-0000-0000-000066900000}"/>
    <cellStyle name="Normal 57 6 2 2 2 4 2 2" xfId="37386" xr:uid="{00000000-0005-0000-0000-000067900000}"/>
    <cellStyle name="Normal 57 6 2 2 2 4 3" xfId="21835" xr:uid="{00000000-0005-0000-0000-000068900000}"/>
    <cellStyle name="Normal 57 6 2 2 2 4 3 2" xfId="47388" xr:uid="{00000000-0005-0000-0000-000069900000}"/>
    <cellStyle name="Normal 57 6 2 2 2 4 4" xfId="28318" xr:uid="{00000000-0005-0000-0000-00006A900000}"/>
    <cellStyle name="Normal 57 6 2 2 2 5" xfId="6142" xr:uid="{00000000-0005-0000-0000-00006B900000}"/>
    <cellStyle name="Normal 57 6 2 2 2 5 2" xfId="14969" xr:uid="{00000000-0005-0000-0000-00006C900000}"/>
    <cellStyle name="Normal 57 6 2 2 2 5 2 2" xfId="40524" xr:uid="{00000000-0005-0000-0000-00006D900000}"/>
    <cellStyle name="Normal 57 6 2 2 2 5 3" xfId="25220" xr:uid="{00000000-0005-0000-0000-00006E900000}"/>
    <cellStyle name="Normal 57 6 2 2 2 5 3 2" xfId="50773" xr:uid="{00000000-0005-0000-0000-00006F900000}"/>
    <cellStyle name="Normal 57 6 2 2 2 5 4" xfId="31703" xr:uid="{00000000-0005-0000-0000-000070900000}"/>
    <cellStyle name="Normal 57 6 2 2 2 6" xfId="7587" xr:uid="{00000000-0005-0000-0000-000071900000}"/>
    <cellStyle name="Normal 57 6 2 2 2 6 2" xfId="20317" xr:uid="{00000000-0005-0000-0000-000072900000}"/>
    <cellStyle name="Normal 57 6 2 2 2 6 2 2" xfId="45870" xr:uid="{00000000-0005-0000-0000-000073900000}"/>
    <cellStyle name="Normal 57 6 2 2 2 6 3" xfId="33144" xr:uid="{00000000-0005-0000-0000-000074900000}"/>
    <cellStyle name="Normal 57 6 2 2 2 7" xfId="16828" xr:uid="{00000000-0005-0000-0000-000075900000}"/>
    <cellStyle name="Normal 57 6 2 2 2 7 2" xfId="42381" xr:uid="{00000000-0005-0000-0000-000076900000}"/>
    <cellStyle name="Normal 57 6 2 2 2 8" xfId="26800" xr:uid="{00000000-0005-0000-0000-000077900000}"/>
    <cellStyle name="Normal 57 6 2 2 3" xfId="1282" xr:uid="{00000000-0005-0000-0000-000078900000}"/>
    <cellStyle name="Normal 57 6 2 2 3 2" xfId="3711" xr:uid="{00000000-0005-0000-0000-000079900000}"/>
    <cellStyle name="Normal 57 6 2 2 3 2 2" xfId="12847" xr:uid="{00000000-0005-0000-0000-00007A900000}"/>
    <cellStyle name="Normal 57 6 2 2 3 2 2 2" xfId="23066" xr:uid="{00000000-0005-0000-0000-00007B900000}"/>
    <cellStyle name="Normal 57 6 2 2 3 2 2 2 2" xfId="48619" xr:uid="{00000000-0005-0000-0000-00007C900000}"/>
    <cellStyle name="Normal 57 6 2 2 3 2 2 3" xfId="38402" xr:uid="{00000000-0005-0000-0000-00007D900000}"/>
    <cellStyle name="Normal 57 6 2 2 3 2 3" xfId="9268" xr:uid="{00000000-0005-0000-0000-00007E900000}"/>
    <cellStyle name="Normal 57 6 2 2 3 2 3 2" xfId="34825" xr:uid="{00000000-0005-0000-0000-00007F900000}"/>
    <cellStyle name="Normal 57 6 2 2 3 2 4" xfId="18059" xr:uid="{00000000-0005-0000-0000-000080900000}"/>
    <cellStyle name="Normal 57 6 2 2 3 2 4 2" xfId="43612" xr:uid="{00000000-0005-0000-0000-000081900000}"/>
    <cellStyle name="Normal 57 6 2 2 3 2 5" xfId="29549" xr:uid="{00000000-0005-0000-0000-000082900000}"/>
    <cellStyle name="Normal 57 6 2 2 3 3" xfId="5035" xr:uid="{00000000-0005-0000-0000-000083900000}"/>
    <cellStyle name="Normal 57 6 2 2 3 3 2" xfId="13872" xr:uid="{00000000-0005-0000-0000-000084900000}"/>
    <cellStyle name="Normal 57 6 2 2 3 3 2 2" xfId="24123" xr:uid="{00000000-0005-0000-0000-000085900000}"/>
    <cellStyle name="Normal 57 6 2 2 3 3 2 2 2" xfId="49676" xr:uid="{00000000-0005-0000-0000-000086900000}"/>
    <cellStyle name="Normal 57 6 2 2 3 3 2 3" xfId="39427" xr:uid="{00000000-0005-0000-0000-000087900000}"/>
    <cellStyle name="Normal 57 6 2 2 3 3 3" xfId="10293" xr:uid="{00000000-0005-0000-0000-000088900000}"/>
    <cellStyle name="Normal 57 6 2 2 3 3 3 2" xfId="35850" xr:uid="{00000000-0005-0000-0000-000089900000}"/>
    <cellStyle name="Normal 57 6 2 2 3 3 4" xfId="19116" xr:uid="{00000000-0005-0000-0000-00008A900000}"/>
    <cellStyle name="Normal 57 6 2 2 3 3 4 2" xfId="44669" xr:uid="{00000000-0005-0000-0000-00008B900000}"/>
    <cellStyle name="Normal 57 6 2 2 3 3 5" xfId="30606" xr:uid="{00000000-0005-0000-0000-00008C900000}"/>
    <cellStyle name="Normal 57 6 2 2 3 4" xfId="2105" xr:uid="{00000000-0005-0000-0000-00008D900000}"/>
    <cellStyle name="Normal 57 6 2 2 3 4 2" xfId="11470" xr:uid="{00000000-0005-0000-0000-00008E900000}"/>
    <cellStyle name="Normal 57 6 2 2 3 4 2 2" xfId="37025" xr:uid="{00000000-0005-0000-0000-00008F900000}"/>
    <cellStyle name="Normal 57 6 2 2 3 4 3" xfId="21474" xr:uid="{00000000-0005-0000-0000-000090900000}"/>
    <cellStyle name="Normal 57 6 2 2 3 4 3 2" xfId="47027" xr:uid="{00000000-0005-0000-0000-000091900000}"/>
    <cellStyle name="Normal 57 6 2 2 3 4 4" xfId="27957" xr:uid="{00000000-0005-0000-0000-000092900000}"/>
    <cellStyle name="Normal 57 6 2 2 3 5" xfId="6490" xr:uid="{00000000-0005-0000-0000-000093900000}"/>
    <cellStyle name="Normal 57 6 2 2 3 5 2" xfId="15317" xr:uid="{00000000-0005-0000-0000-000094900000}"/>
    <cellStyle name="Normal 57 6 2 2 3 5 2 2" xfId="40872" xr:uid="{00000000-0005-0000-0000-000095900000}"/>
    <cellStyle name="Normal 57 6 2 2 3 5 3" xfId="25568" xr:uid="{00000000-0005-0000-0000-000096900000}"/>
    <cellStyle name="Normal 57 6 2 2 3 5 3 2" xfId="51121" xr:uid="{00000000-0005-0000-0000-000097900000}"/>
    <cellStyle name="Normal 57 6 2 2 3 5 4" xfId="32051" xr:uid="{00000000-0005-0000-0000-000098900000}"/>
    <cellStyle name="Normal 57 6 2 2 3 6" xfId="7936" xr:uid="{00000000-0005-0000-0000-000099900000}"/>
    <cellStyle name="Normal 57 6 2 2 3 6 2" xfId="20665" xr:uid="{00000000-0005-0000-0000-00009A900000}"/>
    <cellStyle name="Normal 57 6 2 2 3 6 2 2" xfId="46218" xr:uid="{00000000-0005-0000-0000-00009B900000}"/>
    <cellStyle name="Normal 57 6 2 2 3 6 3" xfId="33493" xr:uid="{00000000-0005-0000-0000-00009C900000}"/>
    <cellStyle name="Normal 57 6 2 2 3 7" xfId="16467" xr:uid="{00000000-0005-0000-0000-00009D900000}"/>
    <cellStyle name="Normal 57 6 2 2 3 7 2" xfId="42020" xr:uid="{00000000-0005-0000-0000-00009E900000}"/>
    <cellStyle name="Normal 57 6 2 2 3 8" xfId="27148" xr:uid="{00000000-0005-0000-0000-00009F900000}"/>
    <cellStyle name="Normal 57 6 2 2 4" xfId="2996" xr:uid="{00000000-0005-0000-0000-0000A0900000}"/>
    <cellStyle name="Normal 57 6 2 2 4 2" xfId="5374" xr:uid="{00000000-0005-0000-0000-0000A1900000}"/>
    <cellStyle name="Normal 57 6 2 2 4 2 2" xfId="14211" xr:uid="{00000000-0005-0000-0000-0000A2900000}"/>
    <cellStyle name="Normal 57 6 2 2 4 2 2 2" xfId="24462" xr:uid="{00000000-0005-0000-0000-0000A3900000}"/>
    <cellStyle name="Normal 57 6 2 2 4 2 2 2 2" xfId="50015" xr:uid="{00000000-0005-0000-0000-0000A4900000}"/>
    <cellStyle name="Normal 57 6 2 2 4 2 2 3" xfId="39766" xr:uid="{00000000-0005-0000-0000-0000A5900000}"/>
    <cellStyle name="Normal 57 6 2 2 4 2 3" xfId="10632" xr:uid="{00000000-0005-0000-0000-0000A6900000}"/>
    <cellStyle name="Normal 57 6 2 2 4 2 3 2" xfId="36189" xr:uid="{00000000-0005-0000-0000-0000A7900000}"/>
    <cellStyle name="Normal 57 6 2 2 4 2 4" xfId="19455" xr:uid="{00000000-0005-0000-0000-0000A8900000}"/>
    <cellStyle name="Normal 57 6 2 2 4 2 4 2" xfId="45008" xr:uid="{00000000-0005-0000-0000-0000A9900000}"/>
    <cellStyle name="Normal 57 6 2 2 4 2 5" xfId="30945" xr:uid="{00000000-0005-0000-0000-0000AA900000}"/>
    <cellStyle name="Normal 57 6 2 2 4 3" xfId="6829" xr:uid="{00000000-0005-0000-0000-0000AB900000}"/>
    <cellStyle name="Normal 57 6 2 2 4 3 2" xfId="15656" xr:uid="{00000000-0005-0000-0000-0000AC900000}"/>
    <cellStyle name="Normal 57 6 2 2 4 3 2 2" xfId="41211" xr:uid="{00000000-0005-0000-0000-0000AD900000}"/>
    <cellStyle name="Normal 57 6 2 2 4 3 3" xfId="25907" xr:uid="{00000000-0005-0000-0000-0000AE900000}"/>
    <cellStyle name="Normal 57 6 2 2 4 3 3 2" xfId="51460" xr:uid="{00000000-0005-0000-0000-0000AF900000}"/>
    <cellStyle name="Normal 57 6 2 2 4 3 4" xfId="32390" xr:uid="{00000000-0005-0000-0000-0000B0900000}"/>
    <cellStyle name="Normal 57 6 2 2 4 4" xfId="8275" xr:uid="{00000000-0005-0000-0000-0000B1900000}"/>
    <cellStyle name="Normal 57 6 2 2 4 4 2" xfId="22357" xr:uid="{00000000-0005-0000-0000-0000B2900000}"/>
    <cellStyle name="Normal 57 6 2 2 4 4 2 2" xfId="47910" xr:uid="{00000000-0005-0000-0000-0000B3900000}"/>
    <cellStyle name="Normal 57 6 2 2 4 4 3" xfId="33832" xr:uid="{00000000-0005-0000-0000-0000B4900000}"/>
    <cellStyle name="Normal 57 6 2 2 4 5" xfId="17350" xr:uid="{00000000-0005-0000-0000-0000B5900000}"/>
    <cellStyle name="Normal 57 6 2 2 4 5 2" xfId="42903" xr:uid="{00000000-0005-0000-0000-0000B6900000}"/>
    <cellStyle name="Normal 57 6 2 2 4 6" xfId="28840" xr:uid="{00000000-0005-0000-0000-0000B7900000}"/>
    <cellStyle name="Normal 57 6 2 2 5" xfId="4330" xr:uid="{00000000-0005-0000-0000-0000B8900000}"/>
    <cellStyle name="Normal 57 6 2 2 5 2" xfId="13168" xr:uid="{00000000-0005-0000-0000-0000B9900000}"/>
    <cellStyle name="Normal 57 6 2 2 5 2 2" xfId="23419" xr:uid="{00000000-0005-0000-0000-0000BA900000}"/>
    <cellStyle name="Normal 57 6 2 2 5 2 2 2" xfId="48972" xr:uid="{00000000-0005-0000-0000-0000BB900000}"/>
    <cellStyle name="Normal 57 6 2 2 5 2 3" xfId="38723" xr:uid="{00000000-0005-0000-0000-0000BC900000}"/>
    <cellStyle name="Normal 57 6 2 2 5 3" xfId="9589" xr:uid="{00000000-0005-0000-0000-0000BD900000}"/>
    <cellStyle name="Normal 57 6 2 2 5 3 2" xfId="35146" xr:uid="{00000000-0005-0000-0000-0000BE900000}"/>
    <cellStyle name="Normal 57 6 2 2 5 4" xfId="18412" xr:uid="{00000000-0005-0000-0000-0000BF900000}"/>
    <cellStyle name="Normal 57 6 2 2 5 4 2" xfId="43965" xr:uid="{00000000-0005-0000-0000-0000C0900000}"/>
    <cellStyle name="Normal 57 6 2 2 5 5" xfId="29902" xr:uid="{00000000-0005-0000-0000-0000C1900000}"/>
    <cellStyle name="Normal 57 6 2 2 6" xfId="1602" xr:uid="{00000000-0005-0000-0000-0000C2900000}"/>
    <cellStyle name="Normal 57 6 2 2 6 2" xfId="10979" xr:uid="{00000000-0005-0000-0000-0000C3900000}"/>
    <cellStyle name="Normal 57 6 2 2 6 2 2" xfId="36534" xr:uid="{00000000-0005-0000-0000-0000C4900000}"/>
    <cellStyle name="Normal 57 6 2 2 6 3" xfId="20983" xr:uid="{00000000-0005-0000-0000-0000C5900000}"/>
    <cellStyle name="Normal 57 6 2 2 6 3 2" xfId="46536" xr:uid="{00000000-0005-0000-0000-0000C6900000}"/>
    <cellStyle name="Normal 57 6 2 2 6 4" xfId="27466" xr:uid="{00000000-0005-0000-0000-0000C7900000}"/>
    <cellStyle name="Normal 57 6 2 2 7" xfId="5786" xr:uid="{00000000-0005-0000-0000-0000C8900000}"/>
    <cellStyle name="Normal 57 6 2 2 7 2" xfId="14613" xr:uid="{00000000-0005-0000-0000-0000C9900000}"/>
    <cellStyle name="Normal 57 6 2 2 7 2 2" xfId="40168" xr:uid="{00000000-0005-0000-0000-0000CA900000}"/>
    <cellStyle name="Normal 57 6 2 2 7 3" xfId="24864" xr:uid="{00000000-0005-0000-0000-0000CB900000}"/>
    <cellStyle name="Normal 57 6 2 2 7 3 2" xfId="50417" xr:uid="{00000000-0005-0000-0000-0000CC900000}"/>
    <cellStyle name="Normal 57 6 2 2 7 4" xfId="31347" xr:uid="{00000000-0005-0000-0000-0000CD900000}"/>
    <cellStyle name="Normal 57 6 2 2 8" xfId="7230" xr:uid="{00000000-0005-0000-0000-0000CE900000}"/>
    <cellStyle name="Normal 57 6 2 2 8 2" xfId="19956" xr:uid="{00000000-0005-0000-0000-0000CF900000}"/>
    <cellStyle name="Normal 57 6 2 2 8 2 2" xfId="45509" xr:uid="{00000000-0005-0000-0000-0000D0900000}"/>
    <cellStyle name="Normal 57 6 2 2 8 3" xfId="32787" xr:uid="{00000000-0005-0000-0000-0000D1900000}"/>
    <cellStyle name="Normal 57 6 2 2 9" xfId="15976" xr:uid="{00000000-0005-0000-0000-0000D2900000}"/>
    <cellStyle name="Normal 57 6 2 2 9 2" xfId="41529" xr:uid="{00000000-0005-0000-0000-0000D3900000}"/>
    <cellStyle name="Normal 57 6 2 2_Degree data" xfId="3978" xr:uid="{00000000-0005-0000-0000-0000D4900000}"/>
    <cellStyle name="Normal 57 6 2 3" xfId="410" xr:uid="{00000000-0005-0000-0000-0000D5900000}"/>
    <cellStyle name="Normal 57 6 2 3 2" xfId="2896" xr:uid="{00000000-0005-0000-0000-0000D6900000}"/>
    <cellStyle name="Normal 57 6 2 3 2 2" xfId="12184" xr:uid="{00000000-0005-0000-0000-0000D7900000}"/>
    <cellStyle name="Normal 57 6 2 3 2 2 2" xfId="22257" xr:uid="{00000000-0005-0000-0000-0000D8900000}"/>
    <cellStyle name="Normal 57 6 2 3 2 2 2 2" xfId="47810" xr:uid="{00000000-0005-0000-0000-0000D9900000}"/>
    <cellStyle name="Normal 57 6 2 3 2 2 3" xfId="37739" xr:uid="{00000000-0005-0000-0000-0000DA900000}"/>
    <cellStyle name="Normal 57 6 2 3 2 3" xfId="8513" xr:uid="{00000000-0005-0000-0000-0000DB900000}"/>
    <cellStyle name="Normal 57 6 2 3 2 3 2" xfId="34070" xr:uid="{00000000-0005-0000-0000-0000DC900000}"/>
    <cellStyle name="Normal 57 6 2 3 2 4" xfId="17250" xr:uid="{00000000-0005-0000-0000-0000DD900000}"/>
    <cellStyle name="Normal 57 6 2 3 2 4 2" xfId="42803" xr:uid="{00000000-0005-0000-0000-0000DE900000}"/>
    <cellStyle name="Normal 57 6 2 3 2 5" xfId="28740" xr:uid="{00000000-0005-0000-0000-0000DF900000}"/>
    <cellStyle name="Normal 57 6 2 3 3" xfId="4685" xr:uid="{00000000-0005-0000-0000-0000E0900000}"/>
    <cellStyle name="Normal 57 6 2 3 3 2" xfId="13523" xr:uid="{00000000-0005-0000-0000-0000E1900000}"/>
    <cellStyle name="Normal 57 6 2 3 3 2 2" xfId="23774" xr:uid="{00000000-0005-0000-0000-0000E2900000}"/>
    <cellStyle name="Normal 57 6 2 3 3 2 2 2" xfId="49327" xr:uid="{00000000-0005-0000-0000-0000E3900000}"/>
    <cellStyle name="Normal 57 6 2 3 3 2 3" xfId="39078" xr:uid="{00000000-0005-0000-0000-0000E4900000}"/>
    <cellStyle name="Normal 57 6 2 3 3 3" xfId="9944" xr:uid="{00000000-0005-0000-0000-0000E5900000}"/>
    <cellStyle name="Normal 57 6 2 3 3 3 2" xfId="35501" xr:uid="{00000000-0005-0000-0000-0000E6900000}"/>
    <cellStyle name="Normal 57 6 2 3 3 4" xfId="18767" xr:uid="{00000000-0005-0000-0000-0000E7900000}"/>
    <cellStyle name="Normal 57 6 2 3 3 4 2" xfId="44320" xr:uid="{00000000-0005-0000-0000-0000E8900000}"/>
    <cellStyle name="Normal 57 6 2 3 3 5" xfId="30257" xr:uid="{00000000-0005-0000-0000-0000E9900000}"/>
    <cellStyle name="Normal 57 6 2 3 4" xfId="2005" xr:uid="{00000000-0005-0000-0000-0000EA900000}"/>
    <cellStyle name="Normal 57 6 2 3 4 2" xfId="11370" xr:uid="{00000000-0005-0000-0000-0000EB900000}"/>
    <cellStyle name="Normal 57 6 2 3 4 2 2" xfId="36925" xr:uid="{00000000-0005-0000-0000-0000EC900000}"/>
    <cellStyle name="Normal 57 6 2 3 4 3" xfId="21374" xr:uid="{00000000-0005-0000-0000-0000ED900000}"/>
    <cellStyle name="Normal 57 6 2 3 4 3 2" xfId="46927" xr:uid="{00000000-0005-0000-0000-0000EE900000}"/>
    <cellStyle name="Normal 57 6 2 3 4 4" xfId="27857" xr:uid="{00000000-0005-0000-0000-0000EF900000}"/>
    <cellStyle name="Normal 57 6 2 3 5" xfId="6141" xr:uid="{00000000-0005-0000-0000-0000F0900000}"/>
    <cellStyle name="Normal 57 6 2 3 5 2" xfId="14968" xr:uid="{00000000-0005-0000-0000-0000F1900000}"/>
    <cellStyle name="Normal 57 6 2 3 5 2 2" xfId="40523" xr:uid="{00000000-0005-0000-0000-0000F2900000}"/>
    <cellStyle name="Normal 57 6 2 3 5 3" xfId="25219" xr:uid="{00000000-0005-0000-0000-0000F3900000}"/>
    <cellStyle name="Normal 57 6 2 3 5 3 2" xfId="50772" xr:uid="{00000000-0005-0000-0000-0000F4900000}"/>
    <cellStyle name="Normal 57 6 2 3 5 4" xfId="31702" xr:uid="{00000000-0005-0000-0000-0000F5900000}"/>
    <cellStyle name="Normal 57 6 2 3 6" xfId="7586" xr:uid="{00000000-0005-0000-0000-0000F6900000}"/>
    <cellStyle name="Normal 57 6 2 3 6 2" xfId="19856" xr:uid="{00000000-0005-0000-0000-0000F7900000}"/>
    <cellStyle name="Normal 57 6 2 3 6 2 2" xfId="45409" xr:uid="{00000000-0005-0000-0000-0000F8900000}"/>
    <cellStyle name="Normal 57 6 2 3 6 3" xfId="33143" xr:uid="{00000000-0005-0000-0000-0000F9900000}"/>
    <cellStyle name="Normal 57 6 2 3 7" xfId="16367" xr:uid="{00000000-0005-0000-0000-0000FA900000}"/>
    <cellStyle name="Normal 57 6 2 3 7 2" xfId="41920" xr:uid="{00000000-0005-0000-0000-0000FB900000}"/>
    <cellStyle name="Normal 57 6 2 3 8" xfId="26339" xr:uid="{00000000-0005-0000-0000-0000FC900000}"/>
    <cellStyle name="Normal 57 6 2 4" xfId="871" xr:uid="{00000000-0005-0000-0000-0000FD900000}"/>
    <cellStyle name="Normal 57 6 2 4 2" xfId="3356" xr:uid="{00000000-0005-0000-0000-0000FE900000}"/>
    <cellStyle name="Normal 57 6 2 4 2 2" xfId="12498" xr:uid="{00000000-0005-0000-0000-0000FF900000}"/>
    <cellStyle name="Normal 57 6 2 4 2 2 2" xfId="22717" xr:uid="{00000000-0005-0000-0000-000000910000}"/>
    <cellStyle name="Normal 57 6 2 4 2 2 2 2" xfId="48270" xr:uid="{00000000-0005-0000-0000-000001910000}"/>
    <cellStyle name="Normal 57 6 2 4 2 2 3" xfId="38053" xr:uid="{00000000-0005-0000-0000-000002910000}"/>
    <cellStyle name="Normal 57 6 2 4 2 3" xfId="8920" xr:uid="{00000000-0005-0000-0000-000003910000}"/>
    <cellStyle name="Normal 57 6 2 4 2 3 2" xfId="34477" xr:uid="{00000000-0005-0000-0000-000004910000}"/>
    <cellStyle name="Normal 57 6 2 4 2 4" xfId="17710" xr:uid="{00000000-0005-0000-0000-000005910000}"/>
    <cellStyle name="Normal 57 6 2 4 2 4 2" xfId="43263" xr:uid="{00000000-0005-0000-0000-000006910000}"/>
    <cellStyle name="Normal 57 6 2 4 2 5" xfId="29200" xr:uid="{00000000-0005-0000-0000-000007910000}"/>
    <cellStyle name="Normal 57 6 2 4 3" xfId="5034" xr:uid="{00000000-0005-0000-0000-000008910000}"/>
    <cellStyle name="Normal 57 6 2 4 3 2" xfId="13871" xr:uid="{00000000-0005-0000-0000-000009910000}"/>
    <cellStyle name="Normal 57 6 2 4 3 2 2" xfId="24122" xr:uid="{00000000-0005-0000-0000-00000A910000}"/>
    <cellStyle name="Normal 57 6 2 4 3 2 2 2" xfId="49675" xr:uid="{00000000-0005-0000-0000-00000B910000}"/>
    <cellStyle name="Normal 57 6 2 4 3 2 3" xfId="39426" xr:uid="{00000000-0005-0000-0000-00000C910000}"/>
    <cellStyle name="Normal 57 6 2 4 3 3" xfId="10292" xr:uid="{00000000-0005-0000-0000-00000D910000}"/>
    <cellStyle name="Normal 57 6 2 4 3 3 2" xfId="35849" xr:uid="{00000000-0005-0000-0000-00000E910000}"/>
    <cellStyle name="Normal 57 6 2 4 3 4" xfId="19115" xr:uid="{00000000-0005-0000-0000-00000F910000}"/>
    <cellStyle name="Normal 57 6 2 4 3 4 2" xfId="44668" xr:uid="{00000000-0005-0000-0000-000010910000}"/>
    <cellStyle name="Normal 57 6 2 4 3 5" xfId="30605" xr:uid="{00000000-0005-0000-0000-000011910000}"/>
    <cellStyle name="Normal 57 6 2 4 4" xfId="2465" xr:uid="{00000000-0005-0000-0000-000012910000}"/>
    <cellStyle name="Normal 57 6 2 4 4 2" xfId="11830" xr:uid="{00000000-0005-0000-0000-000013910000}"/>
    <cellStyle name="Normal 57 6 2 4 4 2 2" xfId="37385" xr:uid="{00000000-0005-0000-0000-000014910000}"/>
    <cellStyle name="Normal 57 6 2 4 4 3" xfId="21834" xr:uid="{00000000-0005-0000-0000-000015910000}"/>
    <cellStyle name="Normal 57 6 2 4 4 3 2" xfId="47387" xr:uid="{00000000-0005-0000-0000-000016910000}"/>
    <cellStyle name="Normal 57 6 2 4 4 4" xfId="28317" xr:uid="{00000000-0005-0000-0000-000017910000}"/>
    <cellStyle name="Normal 57 6 2 4 5" xfId="6489" xr:uid="{00000000-0005-0000-0000-000018910000}"/>
    <cellStyle name="Normal 57 6 2 4 5 2" xfId="15316" xr:uid="{00000000-0005-0000-0000-000019910000}"/>
    <cellStyle name="Normal 57 6 2 4 5 2 2" xfId="40871" xr:uid="{00000000-0005-0000-0000-00001A910000}"/>
    <cellStyle name="Normal 57 6 2 4 5 3" xfId="25567" xr:uid="{00000000-0005-0000-0000-00001B910000}"/>
    <cellStyle name="Normal 57 6 2 4 5 3 2" xfId="51120" xr:uid="{00000000-0005-0000-0000-00001C910000}"/>
    <cellStyle name="Normal 57 6 2 4 5 4" xfId="32050" xr:uid="{00000000-0005-0000-0000-00001D910000}"/>
    <cellStyle name="Normal 57 6 2 4 6" xfId="7935" xr:uid="{00000000-0005-0000-0000-00001E910000}"/>
    <cellStyle name="Normal 57 6 2 4 6 2" xfId="20316" xr:uid="{00000000-0005-0000-0000-00001F910000}"/>
    <cellStyle name="Normal 57 6 2 4 6 2 2" xfId="45869" xr:uid="{00000000-0005-0000-0000-000020910000}"/>
    <cellStyle name="Normal 57 6 2 4 6 3" xfId="33492" xr:uid="{00000000-0005-0000-0000-000021910000}"/>
    <cellStyle name="Normal 57 6 2 4 7" xfId="16827" xr:uid="{00000000-0005-0000-0000-000022910000}"/>
    <cellStyle name="Normal 57 6 2 4 7 2" xfId="42380" xr:uid="{00000000-0005-0000-0000-000023910000}"/>
    <cellStyle name="Normal 57 6 2 4 8" xfId="26799" xr:uid="{00000000-0005-0000-0000-000024910000}"/>
    <cellStyle name="Normal 57 6 2 5" xfId="1182" xr:uid="{00000000-0005-0000-0000-000025910000}"/>
    <cellStyle name="Normal 57 6 2 5 2" xfId="3611" xr:uid="{00000000-0005-0000-0000-000026910000}"/>
    <cellStyle name="Normal 57 6 2 5 2 2" xfId="12747" xr:uid="{00000000-0005-0000-0000-000027910000}"/>
    <cellStyle name="Normal 57 6 2 5 2 2 2" xfId="22966" xr:uid="{00000000-0005-0000-0000-000028910000}"/>
    <cellStyle name="Normal 57 6 2 5 2 2 2 2" xfId="48519" xr:uid="{00000000-0005-0000-0000-000029910000}"/>
    <cellStyle name="Normal 57 6 2 5 2 2 3" xfId="38302" xr:uid="{00000000-0005-0000-0000-00002A910000}"/>
    <cellStyle name="Normal 57 6 2 5 2 3" xfId="9168" xr:uid="{00000000-0005-0000-0000-00002B910000}"/>
    <cellStyle name="Normal 57 6 2 5 2 3 2" xfId="34725" xr:uid="{00000000-0005-0000-0000-00002C910000}"/>
    <cellStyle name="Normal 57 6 2 5 2 4" xfId="17959" xr:uid="{00000000-0005-0000-0000-00002D910000}"/>
    <cellStyle name="Normal 57 6 2 5 2 4 2" xfId="43512" xr:uid="{00000000-0005-0000-0000-00002E910000}"/>
    <cellStyle name="Normal 57 6 2 5 2 5" xfId="29449" xr:uid="{00000000-0005-0000-0000-00002F910000}"/>
    <cellStyle name="Normal 57 6 2 5 3" xfId="5274" xr:uid="{00000000-0005-0000-0000-000030910000}"/>
    <cellStyle name="Normal 57 6 2 5 3 2" xfId="14111" xr:uid="{00000000-0005-0000-0000-000031910000}"/>
    <cellStyle name="Normal 57 6 2 5 3 2 2" xfId="24362" xr:uid="{00000000-0005-0000-0000-000032910000}"/>
    <cellStyle name="Normal 57 6 2 5 3 2 2 2" xfId="49915" xr:uid="{00000000-0005-0000-0000-000033910000}"/>
    <cellStyle name="Normal 57 6 2 5 3 2 3" xfId="39666" xr:uid="{00000000-0005-0000-0000-000034910000}"/>
    <cellStyle name="Normal 57 6 2 5 3 3" xfId="10532" xr:uid="{00000000-0005-0000-0000-000035910000}"/>
    <cellStyle name="Normal 57 6 2 5 3 3 2" xfId="36089" xr:uid="{00000000-0005-0000-0000-000036910000}"/>
    <cellStyle name="Normal 57 6 2 5 3 4" xfId="19355" xr:uid="{00000000-0005-0000-0000-000037910000}"/>
    <cellStyle name="Normal 57 6 2 5 3 4 2" xfId="44908" xr:uid="{00000000-0005-0000-0000-000038910000}"/>
    <cellStyle name="Normal 57 6 2 5 3 5" xfId="30845" xr:uid="{00000000-0005-0000-0000-000039910000}"/>
    <cellStyle name="Normal 57 6 2 5 4" xfId="1784" xr:uid="{00000000-0005-0000-0000-00003A910000}"/>
    <cellStyle name="Normal 57 6 2 5 4 2" xfId="11153" xr:uid="{00000000-0005-0000-0000-00003B910000}"/>
    <cellStyle name="Normal 57 6 2 5 4 2 2" xfId="36708" xr:uid="{00000000-0005-0000-0000-00003C910000}"/>
    <cellStyle name="Normal 57 6 2 5 4 3" xfId="21157" xr:uid="{00000000-0005-0000-0000-00003D910000}"/>
    <cellStyle name="Normal 57 6 2 5 4 3 2" xfId="46710" xr:uid="{00000000-0005-0000-0000-00003E910000}"/>
    <cellStyle name="Normal 57 6 2 5 4 4" xfId="27640" xr:uid="{00000000-0005-0000-0000-00003F910000}"/>
    <cellStyle name="Normal 57 6 2 5 5" xfId="6729" xr:uid="{00000000-0005-0000-0000-000040910000}"/>
    <cellStyle name="Normal 57 6 2 5 5 2" xfId="15556" xr:uid="{00000000-0005-0000-0000-000041910000}"/>
    <cellStyle name="Normal 57 6 2 5 5 2 2" xfId="41111" xr:uid="{00000000-0005-0000-0000-000042910000}"/>
    <cellStyle name="Normal 57 6 2 5 5 3" xfId="25807" xr:uid="{00000000-0005-0000-0000-000043910000}"/>
    <cellStyle name="Normal 57 6 2 5 5 3 2" xfId="51360" xr:uid="{00000000-0005-0000-0000-000044910000}"/>
    <cellStyle name="Normal 57 6 2 5 5 4" xfId="32290" xr:uid="{00000000-0005-0000-0000-000045910000}"/>
    <cellStyle name="Normal 57 6 2 5 6" xfId="8175" xr:uid="{00000000-0005-0000-0000-000046910000}"/>
    <cellStyle name="Normal 57 6 2 5 6 2" xfId="20565" xr:uid="{00000000-0005-0000-0000-000047910000}"/>
    <cellStyle name="Normal 57 6 2 5 6 2 2" xfId="46118" xr:uid="{00000000-0005-0000-0000-000048910000}"/>
    <cellStyle name="Normal 57 6 2 5 6 3" xfId="33732" xr:uid="{00000000-0005-0000-0000-000049910000}"/>
    <cellStyle name="Normal 57 6 2 5 7" xfId="16150" xr:uid="{00000000-0005-0000-0000-00004A910000}"/>
    <cellStyle name="Normal 57 6 2 5 7 2" xfId="41703" xr:uid="{00000000-0005-0000-0000-00004B910000}"/>
    <cellStyle name="Normal 57 6 2 5 8" xfId="27048" xr:uid="{00000000-0005-0000-0000-00004C910000}"/>
    <cellStyle name="Normal 57 6 2 6" xfId="2679" xr:uid="{00000000-0005-0000-0000-00004D910000}"/>
    <cellStyle name="Normal 57 6 2 6 2" xfId="11996" xr:uid="{00000000-0005-0000-0000-00004E910000}"/>
    <cellStyle name="Normal 57 6 2 6 2 2" xfId="22040" xr:uid="{00000000-0005-0000-0000-00004F910000}"/>
    <cellStyle name="Normal 57 6 2 6 2 2 2" xfId="47593" xr:uid="{00000000-0005-0000-0000-000050910000}"/>
    <cellStyle name="Normal 57 6 2 6 2 3" xfId="37551" xr:uid="{00000000-0005-0000-0000-000051910000}"/>
    <cellStyle name="Normal 57 6 2 6 3" xfId="8557" xr:uid="{00000000-0005-0000-0000-000052910000}"/>
    <cellStyle name="Normal 57 6 2 6 3 2" xfId="34114" xr:uid="{00000000-0005-0000-0000-000053910000}"/>
    <cellStyle name="Normal 57 6 2 6 4" xfId="17033" xr:uid="{00000000-0005-0000-0000-000054910000}"/>
    <cellStyle name="Normal 57 6 2 6 4 2" xfId="42586" xr:uid="{00000000-0005-0000-0000-000055910000}"/>
    <cellStyle name="Normal 57 6 2 6 5" xfId="28523" xr:uid="{00000000-0005-0000-0000-000056910000}"/>
    <cellStyle name="Normal 57 6 2 7" xfId="4230" xr:uid="{00000000-0005-0000-0000-000057910000}"/>
    <cellStyle name="Normal 57 6 2 7 2" xfId="13068" xr:uid="{00000000-0005-0000-0000-000058910000}"/>
    <cellStyle name="Normal 57 6 2 7 2 2" xfId="23319" xr:uid="{00000000-0005-0000-0000-000059910000}"/>
    <cellStyle name="Normal 57 6 2 7 2 2 2" xfId="48872" xr:uid="{00000000-0005-0000-0000-00005A910000}"/>
    <cellStyle name="Normal 57 6 2 7 2 3" xfId="38623" xr:uid="{00000000-0005-0000-0000-00005B910000}"/>
    <cellStyle name="Normal 57 6 2 7 3" xfId="9489" xr:uid="{00000000-0005-0000-0000-00005C910000}"/>
    <cellStyle name="Normal 57 6 2 7 3 2" xfId="35046" xr:uid="{00000000-0005-0000-0000-00005D910000}"/>
    <cellStyle name="Normal 57 6 2 7 4" xfId="18312" xr:uid="{00000000-0005-0000-0000-00005E910000}"/>
    <cellStyle name="Normal 57 6 2 7 4 2" xfId="43865" xr:uid="{00000000-0005-0000-0000-00005F910000}"/>
    <cellStyle name="Normal 57 6 2 7 5" xfId="29802" xr:uid="{00000000-0005-0000-0000-000060910000}"/>
    <cellStyle name="Normal 57 6 2 8" xfId="1502" xr:uid="{00000000-0005-0000-0000-000061910000}"/>
    <cellStyle name="Normal 57 6 2 8 2" xfId="10879" xr:uid="{00000000-0005-0000-0000-000062910000}"/>
    <cellStyle name="Normal 57 6 2 8 2 2" xfId="36434" xr:uid="{00000000-0005-0000-0000-000063910000}"/>
    <cellStyle name="Normal 57 6 2 8 3" xfId="20883" xr:uid="{00000000-0005-0000-0000-000064910000}"/>
    <cellStyle name="Normal 57 6 2 8 3 2" xfId="46436" xr:uid="{00000000-0005-0000-0000-000065910000}"/>
    <cellStyle name="Normal 57 6 2 8 4" xfId="27366" xr:uid="{00000000-0005-0000-0000-000066910000}"/>
    <cellStyle name="Normal 57 6 2 9" xfId="5686" xr:uid="{00000000-0005-0000-0000-000067910000}"/>
    <cellStyle name="Normal 57 6 2 9 2" xfId="14513" xr:uid="{00000000-0005-0000-0000-000068910000}"/>
    <cellStyle name="Normal 57 6 2 9 2 2" xfId="40068" xr:uid="{00000000-0005-0000-0000-000069910000}"/>
    <cellStyle name="Normal 57 6 2 9 3" xfId="24764" xr:uid="{00000000-0005-0000-0000-00006A910000}"/>
    <cellStyle name="Normal 57 6 2 9 3 2" xfId="50317" xr:uid="{00000000-0005-0000-0000-00006B910000}"/>
    <cellStyle name="Normal 57 6 2 9 4" xfId="31247" xr:uid="{00000000-0005-0000-0000-00006C910000}"/>
    <cellStyle name="Normal 57 6 2_Degree data" xfId="3977" xr:uid="{00000000-0005-0000-0000-00006D910000}"/>
    <cellStyle name="Normal 57 6 3" xfId="246" xr:uid="{00000000-0005-0000-0000-00006E910000}"/>
    <cellStyle name="Normal 57 6 3 10" xfId="7084" xr:uid="{00000000-0005-0000-0000-00006F910000}"/>
    <cellStyle name="Normal 57 6 3 10 2" xfId="19698" xr:uid="{00000000-0005-0000-0000-000070910000}"/>
    <cellStyle name="Normal 57 6 3 10 2 2" xfId="45251" xr:uid="{00000000-0005-0000-0000-000071910000}"/>
    <cellStyle name="Normal 57 6 3 10 3" xfId="32641" xr:uid="{00000000-0005-0000-0000-000072910000}"/>
    <cellStyle name="Normal 57 6 3 11" xfId="15830" xr:uid="{00000000-0005-0000-0000-000073910000}"/>
    <cellStyle name="Normal 57 6 3 11 2" xfId="41383" xr:uid="{00000000-0005-0000-0000-000074910000}"/>
    <cellStyle name="Normal 57 6 3 12" xfId="26181" xr:uid="{00000000-0005-0000-0000-000075910000}"/>
    <cellStyle name="Normal 57 6 3 2" xfId="569" xr:uid="{00000000-0005-0000-0000-000076910000}"/>
    <cellStyle name="Normal 57 6 3 2 10" xfId="26498" xr:uid="{00000000-0005-0000-0000-000077910000}"/>
    <cellStyle name="Normal 57 6 3 2 2" xfId="874" xr:uid="{00000000-0005-0000-0000-000078910000}"/>
    <cellStyle name="Normal 57 6 3 2 2 2" xfId="3359" xr:uid="{00000000-0005-0000-0000-000079910000}"/>
    <cellStyle name="Normal 57 6 3 2 2 2 2" xfId="12501" xr:uid="{00000000-0005-0000-0000-00007A910000}"/>
    <cellStyle name="Normal 57 6 3 2 2 2 2 2" xfId="22720" xr:uid="{00000000-0005-0000-0000-00007B910000}"/>
    <cellStyle name="Normal 57 6 3 2 2 2 2 2 2" xfId="48273" xr:uid="{00000000-0005-0000-0000-00007C910000}"/>
    <cellStyle name="Normal 57 6 3 2 2 2 2 3" xfId="38056" xr:uid="{00000000-0005-0000-0000-00007D910000}"/>
    <cellStyle name="Normal 57 6 3 2 2 2 3" xfId="8923" xr:uid="{00000000-0005-0000-0000-00007E910000}"/>
    <cellStyle name="Normal 57 6 3 2 2 2 3 2" xfId="34480" xr:uid="{00000000-0005-0000-0000-00007F910000}"/>
    <cellStyle name="Normal 57 6 3 2 2 2 4" xfId="17713" xr:uid="{00000000-0005-0000-0000-000080910000}"/>
    <cellStyle name="Normal 57 6 3 2 2 2 4 2" xfId="43266" xr:uid="{00000000-0005-0000-0000-000081910000}"/>
    <cellStyle name="Normal 57 6 3 2 2 2 5" xfId="29203" xr:uid="{00000000-0005-0000-0000-000082910000}"/>
    <cellStyle name="Normal 57 6 3 2 2 3" xfId="4688" xr:uid="{00000000-0005-0000-0000-000083910000}"/>
    <cellStyle name="Normal 57 6 3 2 2 3 2" xfId="13526" xr:uid="{00000000-0005-0000-0000-000084910000}"/>
    <cellStyle name="Normal 57 6 3 2 2 3 2 2" xfId="23777" xr:uid="{00000000-0005-0000-0000-000085910000}"/>
    <cellStyle name="Normal 57 6 3 2 2 3 2 2 2" xfId="49330" xr:uid="{00000000-0005-0000-0000-000086910000}"/>
    <cellStyle name="Normal 57 6 3 2 2 3 2 3" xfId="39081" xr:uid="{00000000-0005-0000-0000-000087910000}"/>
    <cellStyle name="Normal 57 6 3 2 2 3 3" xfId="9947" xr:uid="{00000000-0005-0000-0000-000088910000}"/>
    <cellStyle name="Normal 57 6 3 2 2 3 3 2" xfId="35504" xr:uid="{00000000-0005-0000-0000-000089910000}"/>
    <cellStyle name="Normal 57 6 3 2 2 3 4" xfId="18770" xr:uid="{00000000-0005-0000-0000-00008A910000}"/>
    <cellStyle name="Normal 57 6 3 2 2 3 4 2" xfId="44323" xr:uid="{00000000-0005-0000-0000-00008B910000}"/>
    <cellStyle name="Normal 57 6 3 2 2 3 5" xfId="30260" xr:uid="{00000000-0005-0000-0000-00008C910000}"/>
    <cellStyle name="Normal 57 6 3 2 2 4" xfId="2468" xr:uid="{00000000-0005-0000-0000-00008D910000}"/>
    <cellStyle name="Normal 57 6 3 2 2 4 2" xfId="11833" xr:uid="{00000000-0005-0000-0000-00008E910000}"/>
    <cellStyle name="Normal 57 6 3 2 2 4 2 2" xfId="37388" xr:uid="{00000000-0005-0000-0000-00008F910000}"/>
    <cellStyle name="Normal 57 6 3 2 2 4 3" xfId="21837" xr:uid="{00000000-0005-0000-0000-000090910000}"/>
    <cellStyle name="Normal 57 6 3 2 2 4 3 2" xfId="47390" xr:uid="{00000000-0005-0000-0000-000091910000}"/>
    <cellStyle name="Normal 57 6 3 2 2 4 4" xfId="28320" xr:uid="{00000000-0005-0000-0000-000092910000}"/>
    <cellStyle name="Normal 57 6 3 2 2 5" xfId="6144" xr:uid="{00000000-0005-0000-0000-000093910000}"/>
    <cellStyle name="Normal 57 6 3 2 2 5 2" xfId="14971" xr:uid="{00000000-0005-0000-0000-000094910000}"/>
    <cellStyle name="Normal 57 6 3 2 2 5 2 2" xfId="40526" xr:uid="{00000000-0005-0000-0000-000095910000}"/>
    <cellStyle name="Normal 57 6 3 2 2 5 3" xfId="25222" xr:uid="{00000000-0005-0000-0000-000096910000}"/>
    <cellStyle name="Normal 57 6 3 2 2 5 3 2" xfId="50775" xr:uid="{00000000-0005-0000-0000-000097910000}"/>
    <cellStyle name="Normal 57 6 3 2 2 5 4" xfId="31705" xr:uid="{00000000-0005-0000-0000-000098910000}"/>
    <cellStyle name="Normal 57 6 3 2 2 6" xfId="7589" xr:uid="{00000000-0005-0000-0000-000099910000}"/>
    <cellStyle name="Normal 57 6 3 2 2 6 2" xfId="20319" xr:uid="{00000000-0005-0000-0000-00009A910000}"/>
    <cellStyle name="Normal 57 6 3 2 2 6 2 2" xfId="45872" xr:uid="{00000000-0005-0000-0000-00009B910000}"/>
    <cellStyle name="Normal 57 6 3 2 2 6 3" xfId="33146" xr:uid="{00000000-0005-0000-0000-00009C910000}"/>
    <cellStyle name="Normal 57 6 3 2 2 7" xfId="16830" xr:uid="{00000000-0005-0000-0000-00009D910000}"/>
    <cellStyle name="Normal 57 6 3 2 2 7 2" xfId="42383" xr:uid="{00000000-0005-0000-0000-00009E910000}"/>
    <cellStyle name="Normal 57 6 3 2 2 8" xfId="26802" xr:uid="{00000000-0005-0000-0000-00009F910000}"/>
    <cellStyle name="Normal 57 6 3 2 3" xfId="1341" xr:uid="{00000000-0005-0000-0000-0000A0910000}"/>
    <cellStyle name="Normal 57 6 3 2 3 2" xfId="3770" xr:uid="{00000000-0005-0000-0000-0000A1910000}"/>
    <cellStyle name="Normal 57 6 3 2 3 2 2" xfId="12906" xr:uid="{00000000-0005-0000-0000-0000A2910000}"/>
    <cellStyle name="Normal 57 6 3 2 3 2 2 2" xfId="23125" xr:uid="{00000000-0005-0000-0000-0000A3910000}"/>
    <cellStyle name="Normal 57 6 3 2 3 2 2 2 2" xfId="48678" xr:uid="{00000000-0005-0000-0000-0000A4910000}"/>
    <cellStyle name="Normal 57 6 3 2 3 2 2 3" xfId="38461" xr:uid="{00000000-0005-0000-0000-0000A5910000}"/>
    <cellStyle name="Normal 57 6 3 2 3 2 3" xfId="9327" xr:uid="{00000000-0005-0000-0000-0000A6910000}"/>
    <cellStyle name="Normal 57 6 3 2 3 2 3 2" xfId="34884" xr:uid="{00000000-0005-0000-0000-0000A7910000}"/>
    <cellStyle name="Normal 57 6 3 2 3 2 4" xfId="18118" xr:uid="{00000000-0005-0000-0000-0000A8910000}"/>
    <cellStyle name="Normal 57 6 3 2 3 2 4 2" xfId="43671" xr:uid="{00000000-0005-0000-0000-0000A9910000}"/>
    <cellStyle name="Normal 57 6 3 2 3 2 5" xfId="29608" xr:uid="{00000000-0005-0000-0000-0000AA910000}"/>
    <cellStyle name="Normal 57 6 3 2 3 3" xfId="5037" xr:uid="{00000000-0005-0000-0000-0000AB910000}"/>
    <cellStyle name="Normal 57 6 3 2 3 3 2" xfId="13874" xr:uid="{00000000-0005-0000-0000-0000AC910000}"/>
    <cellStyle name="Normal 57 6 3 2 3 3 2 2" xfId="24125" xr:uid="{00000000-0005-0000-0000-0000AD910000}"/>
    <cellStyle name="Normal 57 6 3 2 3 3 2 2 2" xfId="49678" xr:uid="{00000000-0005-0000-0000-0000AE910000}"/>
    <cellStyle name="Normal 57 6 3 2 3 3 2 3" xfId="39429" xr:uid="{00000000-0005-0000-0000-0000AF910000}"/>
    <cellStyle name="Normal 57 6 3 2 3 3 3" xfId="10295" xr:uid="{00000000-0005-0000-0000-0000B0910000}"/>
    <cellStyle name="Normal 57 6 3 2 3 3 3 2" xfId="35852" xr:uid="{00000000-0005-0000-0000-0000B1910000}"/>
    <cellStyle name="Normal 57 6 3 2 3 3 4" xfId="19118" xr:uid="{00000000-0005-0000-0000-0000B2910000}"/>
    <cellStyle name="Normal 57 6 3 2 3 3 4 2" xfId="44671" xr:uid="{00000000-0005-0000-0000-0000B3910000}"/>
    <cellStyle name="Normal 57 6 3 2 3 3 5" xfId="30608" xr:uid="{00000000-0005-0000-0000-0000B4910000}"/>
    <cellStyle name="Normal 57 6 3 2 3 4" xfId="2164" xr:uid="{00000000-0005-0000-0000-0000B5910000}"/>
    <cellStyle name="Normal 57 6 3 2 3 4 2" xfId="11529" xr:uid="{00000000-0005-0000-0000-0000B6910000}"/>
    <cellStyle name="Normal 57 6 3 2 3 4 2 2" xfId="37084" xr:uid="{00000000-0005-0000-0000-0000B7910000}"/>
    <cellStyle name="Normal 57 6 3 2 3 4 3" xfId="21533" xr:uid="{00000000-0005-0000-0000-0000B8910000}"/>
    <cellStyle name="Normal 57 6 3 2 3 4 3 2" xfId="47086" xr:uid="{00000000-0005-0000-0000-0000B9910000}"/>
    <cellStyle name="Normal 57 6 3 2 3 4 4" xfId="28016" xr:uid="{00000000-0005-0000-0000-0000BA910000}"/>
    <cellStyle name="Normal 57 6 3 2 3 5" xfId="6492" xr:uid="{00000000-0005-0000-0000-0000BB910000}"/>
    <cellStyle name="Normal 57 6 3 2 3 5 2" xfId="15319" xr:uid="{00000000-0005-0000-0000-0000BC910000}"/>
    <cellStyle name="Normal 57 6 3 2 3 5 2 2" xfId="40874" xr:uid="{00000000-0005-0000-0000-0000BD910000}"/>
    <cellStyle name="Normal 57 6 3 2 3 5 3" xfId="25570" xr:uid="{00000000-0005-0000-0000-0000BE910000}"/>
    <cellStyle name="Normal 57 6 3 2 3 5 3 2" xfId="51123" xr:uid="{00000000-0005-0000-0000-0000BF910000}"/>
    <cellStyle name="Normal 57 6 3 2 3 5 4" xfId="32053" xr:uid="{00000000-0005-0000-0000-0000C0910000}"/>
    <cellStyle name="Normal 57 6 3 2 3 6" xfId="7938" xr:uid="{00000000-0005-0000-0000-0000C1910000}"/>
    <cellStyle name="Normal 57 6 3 2 3 6 2" xfId="20724" xr:uid="{00000000-0005-0000-0000-0000C2910000}"/>
    <cellStyle name="Normal 57 6 3 2 3 6 2 2" xfId="46277" xr:uid="{00000000-0005-0000-0000-0000C3910000}"/>
    <cellStyle name="Normal 57 6 3 2 3 6 3" xfId="33495" xr:uid="{00000000-0005-0000-0000-0000C4910000}"/>
    <cellStyle name="Normal 57 6 3 2 3 7" xfId="16526" xr:uid="{00000000-0005-0000-0000-0000C5910000}"/>
    <cellStyle name="Normal 57 6 3 2 3 7 2" xfId="42079" xr:uid="{00000000-0005-0000-0000-0000C6910000}"/>
    <cellStyle name="Normal 57 6 3 2 3 8" xfId="27207" xr:uid="{00000000-0005-0000-0000-0000C7910000}"/>
    <cellStyle name="Normal 57 6 3 2 4" xfId="3055" xr:uid="{00000000-0005-0000-0000-0000C8910000}"/>
    <cellStyle name="Normal 57 6 3 2 4 2" xfId="5433" xr:uid="{00000000-0005-0000-0000-0000C9910000}"/>
    <cellStyle name="Normal 57 6 3 2 4 2 2" xfId="14270" xr:uid="{00000000-0005-0000-0000-0000CA910000}"/>
    <cellStyle name="Normal 57 6 3 2 4 2 2 2" xfId="24521" xr:uid="{00000000-0005-0000-0000-0000CB910000}"/>
    <cellStyle name="Normal 57 6 3 2 4 2 2 2 2" xfId="50074" xr:uid="{00000000-0005-0000-0000-0000CC910000}"/>
    <cellStyle name="Normal 57 6 3 2 4 2 2 3" xfId="39825" xr:uid="{00000000-0005-0000-0000-0000CD910000}"/>
    <cellStyle name="Normal 57 6 3 2 4 2 3" xfId="10691" xr:uid="{00000000-0005-0000-0000-0000CE910000}"/>
    <cellStyle name="Normal 57 6 3 2 4 2 3 2" xfId="36248" xr:uid="{00000000-0005-0000-0000-0000CF910000}"/>
    <cellStyle name="Normal 57 6 3 2 4 2 4" xfId="19514" xr:uid="{00000000-0005-0000-0000-0000D0910000}"/>
    <cellStyle name="Normal 57 6 3 2 4 2 4 2" xfId="45067" xr:uid="{00000000-0005-0000-0000-0000D1910000}"/>
    <cellStyle name="Normal 57 6 3 2 4 2 5" xfId="31004" xr:uid="{00000000-0005-0000-0000-0000D2910000}"/>
    <cellStyle name="Normal 57 6 3 2 4 3" xfId="6888" xr:uid="{00000000-0005-0000-0000-0000D3910000}"/>
    <cellStyle name="Normal 57 6 3 2 4 3 2" xfId="15715" xr:uid="{00000000-0005-0000-0000-0000D4910000}"/>
    <cellStyle name="Normal 57 6 3 2 4 3 2 2" xfId="41270" xr:uid="{00000000-0005-0000-0000-0000D5910000}"/>
    <cellStyle name="Normal 57 6 3 2 4 3 3" xfId="25966" xr:uid="{00000000-0005-0000-0000-0000D6910000}"/>
    <cellStyle name="Normal 57 6 3 2 4 3 3 2" xfId="51519" xr:uid="{00000000-0005-0000-0000-0000D7910000}"/>
    <cellStyle name="Normal 57 6 3 2 4 3 4" xfId="32449" xr:uid="{00000000-0005-0000-0000-0000D8910000}"/>
    <cellStyle name="Normal 57 6 3 2 4 4" xfId="8334" xr:uid="{00000000-0005-0000-0000-0000D9910000}"/>
    <cellStyle name="Normal 57 6 3 2 4 4 2" xfId="22416" xr:uid="{00000000-0005-0000-0000-0000DA910000}"/>
    <cellStyle name="Normal 57 6 3 2 4 4 2 2" xfId="47969" xr:uid="{00000000-0005-0000-0000-0000DB910000}"/>
    <cellStyle name="Normal 57 6 3 2 4 4 3" xfId="33891" xr:uid="{00000000-0005-0000-0000-0000DC910000}"/>
    <cellStyle name="Normal 57 6 3 2 4 5" xfId="17409" xr:uid="{00000000-0005-0000-0000-0000DD910000}"/>
    <cellStyle name="Normal 57 6 3 2 4 5 2" xfId="42962" xr:uid="{00000000-0005-0000-0000-0000DE910000}"/>
    <cellStyle name="Normal 57 6 3 2 4 6" xfId="28899" xr:uid="{00000000-0005-0000-0000-0000DF910000}"/>
    <cellStyle name="Normal 57 6 3 2 5" xfId="4389" xr:uid="{00000000-0005-0000-0000-0000E0910000}"/>
    <cellStyle name="Normal 57 6 3 2 5 2" xfId="13227" xr:uid="{00000000-0005-0000-0000-0000E1910000}"/>
    <cellStyle name="Normal 57 6 3 2 5 2 2" xfId="23478" xr:uid="{00000000-0005-0000-0000-0000E2910000}"/>
    <cellStyle name="Normal 57 6 3 2 5 2 2 2" xfId="49031" xr:uid="{00000000-0005-0000-0000-0000E3910000}"/>
    <cellStyle name="Normal 57 6 3 2 5 2 3" xfId="38782" xr:uid="{00000000-0005-0000-0000-0000E4910000}"/>
    <cellStyle name="Normal 57 6 3 2 5 3" xfId="9648" xr:uid="{00000000-0005-0000-0000-0000E5910000}"/>
    <cellStyle name="Normal 57 6 3 2 5 3 2" xfId="35205" xr:uid="{00000000-0005-0000-0000-0000E6910000}"/>
    <cellStyle name="Normal 57 6 3 2 5 4" xfId="18471" xr:uid="{00000000-0005-0000-0000-0000E7910000}"/>
    <cellStyle name="Normal 57 6 3 2 5 4 2" xfId="44024" xr:uid="{00000000-0005-0000-0000-0000E8910000}"/>
    <cellStyle name="Normal 57 6 3 2 5 5" xfId="29961" xr:uid="{00000000-0005-0000-0000-0000E9910000}"/>
    <cellStyle name="Normal 57 6 3 2 6" xfId="1661" xr:uid="{00000000-0005-0000-0000-0000EA910000}"/>
    <cellStyle name="Normal 57 6 3 2 6 2" xfId="11038" xr:uid="{00000000-0005-0000-0000-0000EB910000}"/>
    <cellStyle name="Normal 57 6 3 2 6 2 2" xfId="36593" xr:uid="{00000000-0005-0000-0000-0000EC910000}"/>
    <cellStyle name="Normal 57 6 3 2 6 3" xfId="21042" xr:uid="{00000000-0005-0000-0000-0000ED910000}"/>
    <cellStyle name="Normal 57 6 3 2 6 3 2" xfId="46595" xr:uid="{00000000-0005-0000-0000-0000EE910000}"/>
    <cellStyle name="Normal 57 6 3 2 6 4" xfId="27525" xr:uid="{00000000-0005-0000-0000-0000EF910000}"/>
    <cellStyle name="Normal 57 6 3 2 7" xfId="5845" xr:uid="{00000000-0005-0000-0000-0000F0910000}"/>
    <cellStyle name="Normal 57 6 3 2 7 2" xfId="14672" xr:uid="{00000000-0005-0000-0000-0000F1910000}"/>
    <cellStyle name="Normal 57 6 3 2 7 2 2" xfId="40227" xr:uid="{00000000-0005-0000-0000-0000F2910000}"/>
    <cellStyle name="Normal 57 6 3 2 7 3" xfId="24923" xr:uid="{00000000-0005-0000-0000-0000F3910000}"/>
    <cellStyle name="Normal 57 6 3 2 7 3 2" xfId="50476" xr:uid="{00000000-0005-0000-0000-0000F4910000}"/>
    <cellStyle name="Normal 57 6 3 2 7 4" xfId="31406" xr:uid="{00000000-0005-0000-0000-0000F5910000}"/>
    <cellStyle name="Normal 57 6 3 2 8" xfId="7289" xr:uid="{00000000-0005-0000-0000-0000F6910000}"/>
    <cellStyle name="Normal 57 6 3 2 8 2" xfId="20015" xr:uid="{00000000-0005-0000-0000-0000F7910000}"/>
    <cellStyle name="Normal 57 6 3 2 8 2 2" xfId="45568" xr:uid="{00000000-0005-0000-0000-0000F8910000}"/>
    <cellStyle name="Normal 57 6 3 2 8 3" xfId="32846" xr:uid="{00000000-0005-0000-0000-0000F9910000}"/>
    <cellStyle name="Normal 57 6 3 2 9" xfId="16035" xr:uid="{00000000-0005-0000-0000-0000FA910000}"/>
    <cellStyle name="Normal 57 6 3 2 9 2" xfId="41588" xr:uid="{00000000-0005-0000-0000-0000FB910000}"/>
    <cellStyle name="Normal 57 6 3 2_Degree data" xfId="3980" xr:uid="{00000000-0005-0000-0000-0000FC910000}"/>
    <cellStyle name="Normal 57 6 3 3" xfId="364" xr:uid="{00000000-0005-0000-0000-0000FD910000}"/>
    <cellStyle name="Normal 57 6 3 3 2" xfId="2850" xr:uid="{00000000-0005-0000-0000-0000FE910000}"/>
    <cellStyle name="Normal 57 6 3 3 2 2" xfId="12138" xr:uid="{00000000-0005-0000-0000-0000FF910000}"/>
    <cellStyle name="Normal 57 6 3 3 2 2 2" xfId="22211" xr:uid="{00000000-0005-0000-0000-000000920000}"/>
    <cellStyle name="Normal 57 6 3 3 2 2 2 2" xfId="47764" xr:uid="{00000000-0005-0000-0000-000001920000}"/>
    <cellStyle name="Normal 57 6 3 3 2 2 3" xfId="37693" xr:uid="{00000000-0005-0000-0000-000002920000}"/>
    <cellStyle name="Normal 57 6 3 3 2 3" xfId="8525" xr:uid="{00000000-0005-0000-0000-000003920000}"/>
    <cellStyle name="Normal 57 6 3 3 2 3 2" xfId="34082" xr:uid="{00000000-0005-0000-0000-000004920000}"/>
    <cellStyle name="Normal 57 6 3 3 2 4" xfId="17204" xr:uid="{00000000-0005-0000-0000-000005920000}"/>
    <cellStyle name="Normal 57 6 3 3 2 4 2" xfId="42757" xr:uid="{00000000-0005-0000-0000-000006920000}"/>
    <cellStyle name="Normal 57 6 3 3 2 5" xfId="28694" xr:uid="{00000000-0005-0000-0000-000007920000}"/>
    <cellStyle name="Normal 57 6 3 3 3" xfId="4687" xr:uid="{00000000-0005-0000-0000-000008920000}"/>
    <cellStyle name="Normal 57 6 3 3 3 2" xfId="13525" xr:uid="{00000000-0005-0000-0000-000009920000}"/>
    <cellStyle name="Normal 57 6 3 3 3 2 2" xfId="23776" xr:uid="{00000000-0005-0000-0000-00000A920000}"/>
    <cellStyle name="Normal 57 6 3 3 3 2 2 2" xfId="49329" xr:uid="{00000000-0005-0000-0000-00000B920000}"/>
    <cellStyle name="Normal 57 6 3 3 3 2 3" xfId="39080" xr:uid="{00000000-0005-0000-0000-00000C920000}"/>
    <cellStyle name="Normal 57 6 3 3 3 3" xfId="9946" xr:uid="{00000000-0005-0000-0000-00000D920000}"/>
    <cellStyle name="Normal 57 6 3 3 3 3 2" xfId="35503" xr:uid="{00000000-0005-0000-0000-00000E920000}"/>
    <cellStyle name="Normal 57 6 3 3 3 4" xfId="18769" xr:uid="{00000000-0005-0000-0000-00000F920000}"/>
    <cellStyle name="Normal 57 6 3 3 3 4 2" xfId="44322" xr:uid="{00000000-0005-0000-0000-000010920000}"/>
    <cellStyle name="Normal 57 6 3 3 3 5" xfId="30259" xr:uid="{00000000-0005-0000-0000-000011920000}"/>
    <cellStyle name="Normal 57 6 3 3 4" xfId="1959" xr:uid="{00000000-0005-0000-0000-000012920000}"/>
    <cellStyle name="Normal 57 6 3 3 4 2" xfId="11324" xr:uid="{00000000-0005-0000-0000-000013920000}"/>
    <cellStyle name="Normal 57 6 3 3 4 2 2" xfId="36879" xr:uid="{00000000-0005-0000-0000-000014920000}"/>
    <cellStyle name="Normal 57 6 3 3 4 3" xfId="21328" xr:uid="{00000000-0005-0000-0000-000015920000}"/>
    <cellStyle name="Normal 57 6 3 3 4 3 2" xfId="46881" xr:uid="{00000000-0005-0000-0000-000016920000}"/>
    <cellStyle name="Normal 57 6 3 3 4 4" xfId="27811" xr:uid="{00000000-0005-0000-0000-000017920000}"/>
    <cellStyle name="Normal 57 6 3 3 5" xfId="6143" xr:uid="{00000000-0005-0000-0000-000018920000}"/>
    <cellStyle name="Normal 57 6 3 3 5 2" xfId="14970" xr:uid="{00000000-0005-0000-0000-000019920000}"/>
    <cellStyle name="Normal 57 6 3 3 5 2 2" xfId="40525" xr:uid="{00000000-0005-0000-0000-00001A920000}"/>
    <cellStyle name="Normal 57 6 3 3 5 3" xfId="25221" xr:uid="{00000000-0005-0000-0000-00001B920000}"/>
    <cellStyle name="Normal 57 6 3 3 5 3 2" xfId="50774" xr:uid="{00000000-0005-0000-0000-00001C920000}"/>
    <cellStyle name="Normal 57 6 3 3 5 4" xfId="31704" xr:uid="{00000000-0005-0000-0000-00001D920000}"/>
    <cellStyle name="Normal 57 6 3 3 6" xfId="7588" xr:uid="{00000000-0005-0000-0000-00001E920000}"/>
    <cellStyle name="Normal 57 6 3 3 6 2" xfId="19810" xr:uid="{00000000-0005-0000-0000-00001F920000}"/>
    <cellStyle name="Normal 57 6 3 3 6 2 2" xfId="45363" xr:uid="{00000000-0005-0000-0000-000020920000}"/>
    <cellStyle name="Normal 57 6 3 3 6 3" xfId="33145" xr:uid="{00000000-0005-0000-0000-000021920000}"/>
    <cellStyle name="Normal 57 6 3 3 7" xfId="16321" xr:uid="{00000000-0005-0000-0000-000022920000}"/>
    <cellStyle name="Normal 57 6 3 3 7 2" xfId="41874" xr:uid="{00000000-0005-0000-0000-000023920000}"/>
    <cellStyle name="Normal 57 6 3 3 8" xfId="26293" xr:uid="{00000000-0005-0000-0000-000024920000}"/>
    <cellStyle name="Normal 57 6 3 4" xfId="873" xr:uid="{00000000-0005-0000-0000-000025920000}"/>
    <cellStyle name="Normal 57 6 3 4 2" xfId="3358" xr:uid="{00000000-0005-0000-0000-000026920000}"/>
    <cellStyle name="Normal 57 6 3 4 2 2" xfId="12500" xr:uid="{00000000-0005-0000-0000-000027920000}"/>
    <cellStyle name="Normal 57 6 3 4 2 2 2" xfId="22719" xr:uid="{00000000-0005-0000-0000-000028920000}"/>
    <cellStyle name="Normal 57 6 3 4 2 2 2 2" xfId="48272" xr:uid="{00000000-0005-0000-0000-000029920000}"/>
    <cellStyle name="Normal 57 6 3 4 2 2 3" xfId="38055" xr:uid="{00000000-0005-0000-0000-00002A920000}"/>
    <cellStyle name="Normal 57 6 3 4 2 3" xfId="8922" xr:uid="{00000000-0005-0000-0000-00002B920000}"/>
    <cellStyle name="Normal 57 6 3 4 2 3 2" xfId="34479" xr:uid="{00000000-0005-0000-0000-00002C920000}"/>
    <cellStyle name="Normal 57 6 3 4 2 4" xfId="17712" xr:uid="{00000000-0005-0000-0000-00002D920000}"/>
    <cellStyle name="Normal 57 6 3 4 2 4 2" xfId="43265" xr:uid="{00000000-0005-0000-0000-00002E920000}"/>
    <cellStyle name="Normal 57 6 3 4 2 5" xfId="29202" xr:uid="{00000000-0005-0000-0000-00002F920000}"/>
    <cellStyle name="Normal 57 6 3 4 3" xfId="5036" xr:uid="{00000000-0005-0000-0000-000030920000}"/>
    <cellStyle name="Normal 57 6 3 4 3 2" xfId="13873" xr:uid="{00000000-0005-0000-0000-000031920000}"/>
    <cellStyle name="Normal 57 6 3 4 3 2 2" xfId="24124" xr:uid="{00000000-0005-0000-0000-000032920000}"/>
    <cellStyle name="Normal 57 6 3 4 3 2 2 2" xfId="49677" xr:uid="{00000000-0005-0000-0000-000033920000}"/>
    <cellStyle name="Normal 57 6 3 4 3 2 3" xfId="39428" xr:uid="{00000000-0005-0000-0000-000034920000}"/>
    <cellStyle name="Normal 57 6 3 4 3 3" xfId="10294" xr:uid="{00000000-0005-0000-0000-000035920000}"/>
    <cellStyle name="Normal 57 6 3 4 3 3 2" xfId="35851" xr:uid="{00000000-0005-0000-0000-000036920000}"/>
    <cellStyle name="Normal 57 6 3 4 3 4" xfId="19117" xr:uid="{00000000-0005-0000-0000-000037920000}"/>
    <cellStyle name="Normal 57 6 3 4 3 4 2" xfId="44670" xr:uid="{00000000-0005-0000-0000-000038920000}"/>
    <cellStyle name="Normal 57 6 3 4 3 5" xfId="30607" xr:uid="{00000000-0005-0000-0000-000039920000}"/>
    <cellStyle name="Normal 57 6 3 4 4" xfId="2467" xr:uid="{00000000-0005-0000-0000-00003A920000}"/>
    <cellStyle name="Normal 57 6 3 4 4 2" xfId="11832" xr:uid="{00000000-0005-0000-0000-00003B920000}"/>
    <cellStyle name="Normal 57 6 3 4 4 2 2" xfId="37387" xr:uid="{00000000-0005-0000-0000-00003C920000}"/>
    <cellStyle name="Normal 57 6 3 4 4 3" xfId="21836" xr:uid="{00000000-0005-0000-0000-00003D920000}"/>
    <cellStyle name="Normal 57 6 3 4 4 3 2" xfId="47389" xr:uid="{00000000-0005-0000-0000-00003E920000}"/>
    <cellStyle name="Normal 57 6 3 4 4 4" xfId="28319" xr:uid="{00000000-0005-0000-0000-00003F920000}"/>
    <cellStyle name="Normal 57 6 3 4 5" xfId="6491" xr:uid="{00000000-0005-0000-0000-000040920000}"/>
    <cellStyle name="Normal 57 6 3 4 5 2" xfId="15318" xr:uid="{00000000-0005-0000-0000-000041920000}"/>
    <cellStyle name="Normal 57 6 3 4 5 2 2" xfId="40873" xr:uid="{00000000-0005-0000-0000-000042920000}"/>
    <cellStyle name="Normal 57 6 3 4 5 3" xfId="25569" xr:uid="{00000000-0005-0000-0000-000043920000}"/>
    <cellStyle name="Normal 57 6 3 4 5 3 2" xfId="51122" xr:uid="{00000000-0005-0000-0000-000044920000}"/>
    <cellStyle name="Normal 57 6 3 4 5 4" xfId="32052" xr:uid="{00000000-0005-0000-0000-000045920000}"/>
    <cellStyle name="Normal 57 6 3 4 6" xfId="7937" xr:uid="{00000000-0005-0000-0000-000046920000}"/>
    <cellStyle name="Normal 57 6 3 4 6 2" xfId="20318" xr:uid="{00000000-0005-0000-0000-000047920000}"/>
    <cellStyle name="Normal 57 6 3 4 6 2 2" xfId="45871" xr:uid="{00000000-0005-0000-0000-000048920000}"/>
    <cellStyle name="Normal 57 6 3 4 6 3" xfId="33494" xr:uid="{00000000-0005-0000-0000-000049920000}"/>
    <cellStyle name="Normal 57 6 3 4 7" xfId="16829" xr:uid="{00000000-0005-0000-0000-00004A920000}"/>
    <cellStyle name="Normal 57 6 3 4 7 2" xfId="42382" xr:uid="{00000000-0005-0000-0000-00004B920000}"/>
    <cellStyle name="Normal 57 6 3 4 8" xfId="26801" xr:uid="{00000000-0005-0000-0000-00004C920000}"/>
    <cellStyle name="Normal 57 6 3 5" xfId="1136" xr:uid="{00000000-0005-0000-0000-00004D920000}"/>
    <cellStyle name="Normal 57 6 3 5 2" xfId="3565" xr:uid="{00000000-0005-0000-0000-00004E920000}"/>
    <cellStyle name="Normal 57 6 3 5 2 2" xfId="12701" xr:uid="{00000000-0005-0000-0000-00004F920000}"/>
    <cellStyle name="Normal 57 6 3 5 2 2 2" xfId="22920" xr:uid="{00000000-0005-0000-0000-000050920000}"/>
    <cellStyle name="Normal 57 6 3 5 2 2 2 2" xfId="48473" xr:uid="{00000000-0005-0000-0000-000051920000}"/>
    <cellStyle name="Normal 57 6 3 5 2 2 3" xfId="38256" xr:uid="{00000000-0005-0000-0000-000052920000}"/>
    <cellStyle name="Normal 57 6 3 5 2 3" xfId="9122" xr:uid="{00000000-0005-0000-0000-000053920000}"/>
    <cellStyle name="Normal 57 6 3 5 2 3 2" xfId="34679" xr:uid="{00000000-0005-0000-0000-000054920000}"/>
    <cellStyle name="Normal 57 6 3 5 2 4" xfId="17913" xr:uid="{00000000-0005-0000-0000-000055920000}"/>
    <cellStyle name="Normal 57 6 3 5 2 4 2" xfId="43466" xr:uid="{00000000-0005-0000-0000-000056920000}"/>
    <cellStyle name="Normal 57 6 3 5 2 5" xfId="29403" xr:uid="{00000000-0005-0000-0000-000057920000}"/>
    <cellStyle name="Normal 57 6 3 5 3" xfId="5228" xr:uid="{00000000-0005-0000-0000-000058920000}"/>
    <cellStyle name="Normal 57 6 3 5 3 2" xfId="14065" xr:uid="{00000000-0005-0000-0000-000059920000}"/>
    <cellStyle name="Normal 57 6 3 5 3 2 2" xfId="24316" xr:uid="{00000000-0005-0000-0000-00005A920000}"/>
    <cellStyle name="Normal 57 6 3 5 3 2 2 2" xfId="49869" xr:uid="{00000000-0005-0000-0000-00005B920000}"/>
    <cellStyle name="Normal 57 6 3 5 3 2 3" xfId="39620" xr:uid="{00000000-0005-0000-0000-00005C920000}"/>
    <cellStyle name="Normal 57 6 3 5 3 3" xfId="10486" xr:uid="{00000000-0005-0000-0000-00005D920000}"/>
    <cellStyle name="Normal 57 6 3 5 3 3 2" xfId="36043" xr:uid="{00000000-0005-0000-0000-00005E920000}"/>
    <cellStyle name="Normal 57 6 3 5 3 4" xfId="19309" xr:uid="{00000000-0005-0000-0000-00005F920000}"/>
    <cellStyle name="Normal 57 6 3 5 3 4 2" xfId="44862" xr:uid="{00000000-0005-0000-0000-000060920000}"/>
    <cellStyle name="Normal 57 6 3 5 3 5" xfId="30799" xr:uid="{00000000-0005-0000-0000-000061920000}"/>
    <cellStyle name="Normal 57 6 3 5 4" xfId="1844" xr:uid="{00000000-0005-0000-0000-000062920000}"/>
    <cellStyle name="Normal 57 6 3 5 4 2" xfId="11212" xr:uid="{00000000-0005-0000-0000-000063920000}"/>
    <cellStyle name="Normal 57 6 3 5 4 2 2" xfId="36767" xr:uid="{00000000-0005-0000-0000-000064920000}"/>
    <cellStyle name="Normal 57 6 3 5 4 3" xfId="21216" xr:uid="{00000000-0005-0000-0000-000065920000}"/>
    <cellStyle name="Normal 57 6 3 5 4 3 2" xfId="46769" xr:uid="{00000000-0005-0000-0000-000066920000}"/>
    <cellStyle name="Normal 57 6 3 5 4 4" xfId="27699" xr:uid="{00000000-0005-0000-0000-000067920000}"/>
    <cellStyle name="Normal 57 6 3 5 5" xfId="6683" xr:uid="{00000000-0005-0000-0000-000068920000}"/>
    <cellStyle name="Normal 57 6 3 5 5 2" xfId="15510" xr:uid="{00000000-0005-0000-0000-000069920000}"/>
    <cellStyle name="Normal 57 6 3 5 5 2 2" xfId="41065" xr:uid="{00000000-0005-0000-0000-00006A920000}"/>
    <cellStyle name="Normal 57 6 3 5 5 3" xfId="25761" xr:uid="{00000000-0005-0000-0000-00006B920000}"/>
    <cellStyle name="Normal 57 6 3 5 5 3 2" xfId="51314" xr:uid="{00000000-0005-0000-0000-00006C920000}"/>
    <cellStyle name="Normal 57 6 3 5 5 4" xfId="32244" xr:uid="{00000000-0005-0000-0000-00006D920000}"/>
    <cellStyle name="Normal 57 6 3 5 6" xfId="8129" xr:uid="{00000000-0005-0000-0000-00006E920000}"/>
    <cellStyle name="Normal 57 6 3 5 6 2" xfId="20519" xr:uid="{00000000-0005-0000-0000-00006F920000}"/>
    <cellStyle name="Normal 57 6 3 5 6 2 2" xfId="46072" xr:uid="{00000000-0005-0000-0000-000070920000}"/>
    <cellStyle name="Normal 57 6 3 5 6 3" xfId="33686" xr:uid="{00000000-0005-0000-0000-000071920000}"/>
    <cellStyle name="Normal 57 6 3 5 7" xfId="16209" xr:uid="{00000000-0005-0000-0000-000072920000}"/>
    <cellStyle name="Normal 57 6 3 5 7 2" xfId="41762" xr:uid="{00000000-0005-0000-0000-000073920000}"/>
    <cellStyle name="Normal 57 6 3 5 8" xfId="27002" xr:uid="{00000000-0005-0000-0000-000074920000}"/>
    <cellStyle name="Normal 57 6 3 6" xfId="2738" xr:uid="{00000000-0005-0000-0000-000075920000}"/>
    <cellStyle name="Normal 57 6 3 6 2" xfId="12055" xr:uid="{00000000-0005-0000-0000-000076920000}"/>
    <cellStyle name="Normal 57 6 3 6 2 2" xfId="22099" xr:uid="{00000000-0005-0000-0000-000077920000}"/>
    <cellStyle name="Normal 57 6 3 6 2 2 2" xfId="47652" xr:uid="{00000000-0005-0000-0000-000078920000}"/>
    <cellStyle name="Normal 57 6 3 6 2 3" xfId="37610" xr:uid="{00000000-0005-0000-0000-000079920000}"/>
    <cellStyle name="Normal 57 6 3 6 3" xfId="8545" xr:uid="{00000000-0005-0000-0000-00007A920000}"/>
    <cellStyle name="Normal 57 6 3 6 3 2" xfId="34102" xr:uid="{00000000-0005-0000-0000-00007B920000}"/>
    <cellStyle name="Normal 57 6 3 6 4" xfId="17092" xr:uid="{00000000-0005-0000-0000-00007C920000}"/>
    <cellStyle name="Normal 57 6 3 6 4 2" xfId="42645" xr:uid="{00000000-0005-0000-0000-00007D920000}"/>
    <cellStyle name="Normal 57 6 3 6 5" xfId="28582" xr:uid="{00000000-0005-0000-0000-00007E920000}"/>
    <cellStyle name="Normal 57 6 3 7" xfId="4184" xr:uid="{00000000-0005-0000-0000-00007F920000}"/>
    <cellStyle name="Normal 57 6 3 7 2" xfId="13022" xr:uid="{00000000-0005-0000-0000-000080920000}"/>
    <cellStyle name="Normal 57 6 3 7 2 2" xfId="23273" xr:uid="{00000000-0005-0000-0000-000081920000}"/>
    <cellStyle name="Normal 57 6 3 7 2 2 2" xfId="48826" xr:uid="{00000000-0005-0000-0000-000082920000}"/>
    <cellStyle name="Normal 57 6 3 7 2 3" xfId="38577" xr:uid="{00000000-0005-0000-0000-000083920000}"/>
    <cellStyle name="Normal 57 6 3 7 3" xfId="9443" xr:uid="{00000000-0005-0000-0000-000084920000}"/>
    <cellStyle name="Normal 57 6 3 7 3 2" xfId="35000" xr:uid="{00000000-0005-0000-0000-000085920000}"/>
    <cellStyle name="Normal 57 6 3 7 4" xfId="18266" xr:uid="{00000000-0005-0000-0000-000086920000}"/>
    <cellStyle name="Normal 57 6 3 7 4 2" xfId="43819" xr:uid="{00000000-0005-0000-0000-000087920000}"/>
    <cellStyle name="Normal 57 6 3 7 5" xfId="29756" xr:uid="{00000000-0005-0000-0000-000088920000}"/>
    <cellStyle name="Normal 57 6 3 8" xfId="1456" xr:uid="{00000000-0005-0000-0000-000089920000}"/>
    <cellStyle name="Normal 57 6 3 8 2" xfId="10833" xr:uid="{00000000-0005-0000-0000-00008A920000}"/>
    <cellStyle name="Normal 57 6 3 8 2 2" xfId="36388" xr:uid="{00000000-0005-0000-0000-00008B920000}"/>
    <cellStyle name="Normal 57 6 3 8 3" xfId="20837" xr:uid="{00000000-0005-0000-0000-00008C920000}"/>
    <cellStyle name="Normal 57 6 3 8 3 2" xfId="46390" xr:uid="{00000000-0005-0000-0000-00008D920000}"/>
    <cellStyle name="Normal 57 6 3 8 4" xfId="27320" xr:uid="{00000000-0005-0000-0000-00008E920000}"/>
    <cellStyle name="Normal 57 6 3 9" xfId="5640" xr:uid="{00000000-0005-0000-0000-00008F920000}"/>
    <cellStyle name="Normal 57 6 3 9 2" xfId="14467" xr:uid="{00000000-0005-0000-0000-000090920000}"/>
    <cellStyle name="Normal 57 6 3 9 2 2" xfId="40022" xr:uid="{00000000-0005-0000-0000-000091920000}"/>
    <cellStyle name="Normal 57 6 3 9 3" xfId="24718" xr:uid="{00000000-0005-0000-0000-000092920000}"/>
    <cellStyle name="Normal 57 6 3 9 3 2" xfId="50271" xr:uid="{00000000-0005-0000-0000-000093920000}"/>
    <cellStyle name="Normal 57 6 3 9 4" xfId="31201" xr:uid="{00000000-0005-0000-0000-000094920000}"/>
    <cellStyle name="Normal 57 6 3_Degree data" xfId="3979" xr:uid="{00000000-0005-0000-0000-000095920000}"/>
    <cellStyle name="Normal 57 6 4" xfId="464" xr:uid="{00000000-0005-0000-0000-000096920000}"/>
    <cellStyle name="Normal 57 6 4 10" xfId="26393" xr:uid="{00000000-0005-0000-0000-000097920000}"/>
    <cellStyle name="Normal 57 6 4 2" xfId="875" xr:uid="{00000000-0005-0000-0000-000098920000}"/>
    <cellStyle name="Normal 57 6 4 2 2" xfId="3360" xr:uid="{00000000-0005-0000-0000-000099920000}"/>
    <cellStyle name="Normal 57 6 4 2 2 2" xfId="12502" xr:uid="{00000000-0005-0000-0000-00009A920000}"/>
    <cellStyle name="Normal 57 6 4 2 2 2 2" xfId="22721" xr:uid="{00000000-0005-0000-0000-00009B920000}"/>
    <cellStyle name="Normal 57 6 4 2 2 2 2 2" xfId="48274" xr:uid="{00000000-0005-0000-0000-00009C920000}"/>
    <cellStyle name="Normal 57 6 4 2 2 2 3" xfId="38057" xr:uid="{00000000-0005-0000-0000-00009D920000}"/>
    <cellStyle name="Normal 57 6 4 2 2 3" xfId="8924" xr:uid="{00000000-0005-0000-0000-00009E920000}"/>
    <cellStyle name="Normal 57 6 4 2 2 3 2" xfId="34481" xr:uid="{00000000-0005-0000-0000-00009F920000}"/>
    <cellStyle name="Normal 57 6 4 2 2 4" xfId="17714" xr:uid="{00000000-0005-0000-0000-0000A0920000}"/>
    <cellStyle name="Normal 57 6 4 2 2 4 2" xfId="43267" xr:uid="{00000000-0005-0000-0000-0000A1920000}"/>
    <cellStyle name="Normal 57 6 4 2 2 5" xfId="29204" xr:uid="{00000000-0005-0000-0000-0000A2920000}"/>
    <cellStyle name="Normal 57 6 4 2 3" xfId="4689" xr:uid="{00000000-0005-0000-0000-0000A3920000}"/>
    <cellStyle name="Normal 57 6 4 2 3 2" xfId="13527" xr:uid="{00000000-0005-0000-0000-0000A4920000}"/>
    <cellStyle name="Normal 57 6 4 2 3 2 2" xfId="23778" xr:uid="{00000000-0005-0000-0000-0000A5920000}"/>
    <cellStyle name="Normal 57 6 4 2 3 2 2 2" xfId="49331" xr:uid="{00000000-0005-0000-0000-0000A6920000}"/>
    <cellStyle name="Normal 57 6 4 2 3 2 3" xfId="39082" xr:uid="{00000000-0005-0000-0000-0000A7920000}"/>
    <cellStyle name="Normal 57 6 4 2 3 3" xfId="9948" xr:uid="{00000000-0005-0000-0000-0000A8920000}"/>
    <cellStyle name="Normal 57 6 4 2 3 3 2" xfId="35505" xr:uid="{00000000-0005-0000-0000-0000A9920000}"/>
    <cellStyle name="Normal 57 6 4 2 3 4" xfId="18771" xr:uid="{00000000-0005-0000-0000-0000AA920000}"/>
    <cellStyle name="Normal 57 6 4 2 3 4 2" xfId="44324" xr:uid="{00000000-0005-0000-0000-0000AB920000}"/>
    <cellStyle name="Normal 57 6 4 2 3 5" xfId="30261" xr:uid="{00000000-0005-0000-0000-0000AC920000}"/>
    <cellStyle name="Normal 57 6 4 2 4" xfId="2469" xr:uid="{00000000-0005-0000-0000-0000AD920000}"/>
    <cellStyle name="Normal 57 6 4 2 4 2" xfId="11834" xr:uid="{00000000-0005-0000-0000-0000AE920000}"/>
    <cellStyle name="Normal 57 6 4 2 4 2 2" xfId="37389" xr:uid="{00000000-0005-0000-0000-0000AF920000}"/>
    <cellStyle name="Normal 57 6 4 2 4 3" xfId="21838" xr:uid="{00000000-0005-0000-0000-0000B0920000}"/>
    <cellStyle name="Normal 57 6 4 2 4 3 2" xfId="47391" xr:uid="{00000000-0005-0000-0000-0000B1920000}"/>
    <cellStyle name="Normal 57 6 4 2 4 4" xfId="28321" xr:uid="{00000000-0005-0000-0000-0000B2920000}"/>
    <cellStyle name="Normal 57 6 4 2 5" xfId="6145" xr:uid="{00000000-0005-0000-0000-0000B3920000}"/>
    <cellStyle name="Normal 57 6 4 2 5 2" xfId="14972" xr:uid="{00000000-0005-0000-0000-0000B4920000}"/>
    <cellStyle name="Normal 57 6 4 2 5 2 2" xfId="40527" xr:uid="{00000000-0005-0000-0000-0000B5920000}"/>
    <cellStyle name="Normal 57 6 4 2 5 3" xfId="25223" xr:uid="{00000000-0005-0000-0000-0000B6920000}"/>
    <cellStyle name="Normal 57 6 4 2 5 3 2" xfId="50776" xr:uid="{00000000-0005-0000-0000-0000B7920000}"/>
    <cellStyle name="Normal 57 6 4 2 5 4" xfId="31706" xr:uid="{00000000-0005-0000-0000-0000B8920000}"/>
    <cellStyle name="Normal 57 6 4 2 6" xfId="7590" xr:uid="{00000000-0005-0000-0000-0000B9920000}"/>
    <cellStyle name="Normal 57 6 4 2 6 2" xfId="20320" xr:uid="{00000000-0005-0000-0000-0000BA920000}"/>
    <cellStyle name="Normal 57 6 4 2 6 2 2" xfId="45873" xr:uid="{00000000-0005-0000-0000-0000BB920000}"/>
    <cellStyle name="Normal 57 6 4 2 6 3" xfId="33147" xr:uid="{00000000-0005-0000-0000-0000BC920000}"/>
    <cellStyle name="Normal 57 6 4 2 7" xfId="16831" xr:uid="{00000000-0005-0000-0000-0000BD920000}"/>
    <cellStyle name="Normal 57 6 4 2 7 2" xfId="42384" xr:uid="{00000000-0005-0000-0000-0000BE920000}"/>
    <cellStyle name="Normal 57 6 4 2 8" xfId="26803" xr:uid="{00000000-0005-0000-0000-0000BF920000}"/>
    <cellStyle name="Normal 57 6 4 3" xfId="1236" xr:uid="{00000000-0005-0000-0000-0000C0920000}"/>
    <cellStyle name="Normal 57 6 4 3 2" xfId="3665" xr:uid="{00000000-0005-0000-0000-0000C1920000}"/>
    <cellStyle name="Normal 57 6 4 3 2 2" xfId="12801" xr:uid="{00000000-0005-0000-0000-0000C2920000}"/>
    <cellStyle name="Normal 57 6 4 3 2 2 2" xfId="23020" xr:uid="{00000000-0005-0000-0000-0000C3920000}"/>
    <cellStyle name="Normal 57 6 4 3 2 2 2 2" xfId="48573" xr:uid="{00000000-0005-0000-0000-0000C4920000}"/>
    <cellStyle name="Normal 57 6 4 3 2 2 3" xfId="38356" xr:uid="{00000000-0005-0000-0000-0000C5920000}"/>
    <cellStyle name="Normal 57 6 4 3 2 3" xfId="9222" xr:uid="{00000000-0005-0000-0000-0000C6920000}"/>
    <cellStyle name="Normal 57 6 4 3 2 3 2" xfId="34779" xr:uid="{00000000-0005-0000-0000-0000C7920000}"/>
    <cellStyle name="Normal 57 6 4 3 2 4" xfId="18013" xr:uid="{00000000-0005-0000-0000-0000C8920000}"/>
    <cellStyle name="Normal 57 6 4 3 2 4 2" xfId="43566" xr:uid="{00000000-0005-0000-0000-0000C9920000}"/>
    <cellStyle name="Normal 57 6 4 3 2 5" xfId="29503" xr:uid="{00000000-0005-0000-0000-0000CA920000}"/>
    <cellStyle name="Normal 57 6 4 3 3" xfId="5038" xr:uid="{00000000-0005-0000-0000-0000CB920000}"/>
    <cellStyle name="Normal 57 6 4 3 3 2" xfId="13875" xr:uid="{00000000-0005-0000-0000-0000CC920000}"/>
    <cellStyle name="Normal 57 6 4 3 3 2 2" xfId="24126" xr:uid="{00000000-0005-0000-0000-0000CD920000}"/>
    <cellStyle name="Normal 57 6 4 3 3 2 2 2" xfId="49679" xr:uid="{00000000-0005-0000-0000-0000CE920000}"/>
    <cellStyle name="Normal 57 6 4 3 3 2 3" xfId="39430" xr:uid="{00000000-0005-0000-0000-0000CF920000}"/>
    <cellStyle name="Normal 57 6 4 3 3 3" xfId="10296" xr:uid="{00000000-0005-0000-0000-0000D0920000}"/>
    <cellStyle name="Normal 57 6 4 3 3 3 2" xfId="35853" xr:uid="{00000000-0005-0000-0000-0000D1920000}"/>
    <cellStyle name="Normal 57 6 4 3 3 4" xfId="19119" xr:uid="{00000000-0005-0000-0000-0000D2920000}"/>
    <cellStyle name="Normal 57 6 4 3 3 4 2" xfId="44672" xr:uid="{00000000-0005-0000-0000-0000D3920000}"/>
    <cellStyle name="Normal 57 6 4 3 3 5" xfId="30609" xr:uid="{00000000-0005-0000-0000-0000D4920000}"/>
    <cellStyle name="Normal 57 6 4 3 4" xfId="2059" xr:uid="{00000000-0005-0000-0000-0000D5920000}"/>
    <cellStyle name="Normal 57 6 4 3 4 2" xfId="11424" xr:uid="{00000000-0005-0000-0000-0000D6920000}"/>
    <cellStyle name="Normal 57 6 4 3 4 2 2" xfId="36979" xr:uid="{00000000-0005-0000-0000-0000D7920000}"/>
    <cellStyle name="Normal 57 6 4 3 4 3" xfId="21428" xr:uid="{00000000-0005-0000-0000-0000D8920000}"/>
    <cellStyle name="Normal 57 6 4 3 4 3 2" xfId="46981" xr:uid="{00000000-0005-0000-0000-0000D9920000}"/>
    <cellStyle name="Normal 57 6 4 3 4 4" xfId="27911" xr:uid="{00000000-0005-0000-0000-0000DA920000}"/>
    <cellStyle name="Normal 57 6 4 3 5" xfId="6493" xr:uid="{00000000-0005-0000-0000-0000DB920000}"/>
    <cellStyle name="Normal 57 6 4 3 5 2" xfId="15320" xr:uid="{00000000-0005-0000-0000-0000DC920000}"/>
    <cellStyle name="Normal 57 6 4 3 5 2 2" xfId="40875" xr:uid="{00000000-0005-0000-0000-0000DD920000}"/>
    <cellStyle name="Normal 57 6 4 3 5 3" xfId="25571" xr:uid="{00000000-0005-0000-0000-0000DE920000}"/>
    <cellStyle name="Normal 57 6 4 3 5 3 2" xfId="51124" xr:uid="{00000000-0005-0000-0000-0000DF920000}"/>
    <cellStyle name="Normal 57 6 4 3 5 4" xfId="32054" xr:uid="{00000000-0005-0000-0000-0000E0920000}"/>
    <cellStyle name="Normal 57 6 4 3 6" xfId="7939" xr:uid="{00000000-0005-0000-0000-0000E1920000}"/>
    <cellStyle name="Normal 57 6 4 3 6 2" xfId="20619" xr:uid="{00000000-0005-0000-0000-0000E2920000}"/>
    <cellStyle name="Normal 57 6 4 3 6 2 2" xfId="46172" xr:uid="{00000000-0005-0000-0000-0000E3920000}"/>
    <cellStyle name="Normal 57 6 4 3 6 3" xfId="33496" xr:uid="{00000000-0005-0000-0000-0000E4920000}"/>
    <cellStyle name="Normal 57 6 4 3 7" xfId="16421" xr:uid="{00000000-0005-0000-0000-0000E5920000}"/>
    <cellStyle name="Normal 57 6 4 3 7 2" xfId="41974" xr:uid="{00000000-0005-0000-0000-0000E6920000}"/>
    <cellStyle name="Normal 57 6 4 3 8" xfId="27102" xr:uid="{00000000-0005-0000-0000-0000E7920000}"/>
    <cellStyle name="Normal 57 6 4 4" xfId="2950" xr:uid="{00000000-0005-0000-0000-0000E8920000}"/>
    <cellStyle name="Normal 57 6 4 4 2" xfId="5328" xr:uid="{00000000-0005-0000-0000-0000E9920000}"/>
    <cellStyle name="Normal 57 6 4 4 2 2" xfId="14165" xr:uid="{00000000-0005-0000-0000-0000EA920000}"/>
    <cellStyle name="Normal 57 6 4 4 2 2 2" xfId="24416" xr:uid="{00000000-0005-0000-0000-0000EB920000}"/>
    <cellStyle name="Normal 57 6 4 4 2 2 2 2" xfId="49969" xr:uid="{00000000-0005-0000-0000-0000EC920000}"/>
    <cellStyle name="Normal 57 6 4 4 2 2 3" xfId="39720" xr:uid="{00000000-0005-0000-0000-0000ED920000}"/>
    <cellStyle name="Normal 57 6 4 4 2 3" xfId="10586" xr:uid="{00000000-0005-0000-0000-0000EE920000}"/>
    <cellStyle name="Normal 57 6 4 4 2 3 2" xfId="36143" xr:uid="{00000000-0005-0000-0000-0000EF920000}"/>
    <cellStyle name="Normal 57 6 4 4 2 4" xfId="19409" xr:uid="{00000000-0005-0000-0000-0000F0920000}"/>
    <cellStyle name="Normal 57 6 4 4 2 4 2" xfId="44962" xr:uid="{00000000-0005-0000-0000-0000F1920000}"/>
    <cellStyle name="Normal 57 6 4 4 2 5" xfId="30899" xr:uid="{00000000-0005-0000-0000-0000F2920000}"/>
    <cellStyle name="Normal 57 6 4 4 3" xfId="6783" xr:uid="{00000000-0005-0000-0000-0000F3920000}"/>
    <cellStyle name="Normal 57 6 4 4 3 2" xfId="15610" xr:uid="{00000000-0005-0000-0000-0000F4920000}"/>
    <cellStyle name="Normal 57 6 4 4 3 2 2" xfId="41165" xr:uid="{00000000-0005-0000-0000-0000F5920000}"/>
    <cellStyle name="Normal 57 6 4 4 3 3" xfId="25861" xr:uid="{00000000-0005-0000-0000-0000F6920000}"/>
    <cellStyle name="Normal 57 6 4 4 3 3 2" xfId="51414" xr:uid="{00000000-0005-0000-0000-0000F7920000}"/>
    <cellStyle name="Normal 57 6 4 4 3 4" xfId="32344" xr:uid="{00000000-0005-0000-0000-0000F8920000}"/>
    <cellStyle name="Normal 57 6 4 4 4" xfId="8229" xr:uid="{00000000-0005-0000-0000-0000F9920000}"/>
    <cellStyle name="Normal 57 6 4 4 4 2" xfId="22311" xr:uid="{00000000-0005-0000-0000-0000FA920000}"/>
    <cellStyle name="Normal 57 6 4 4 4 2 2" xfId="47864" xr:uid="{00000000-0005-0000-0000-0000FB920000}"/>
    <cellStyle name="Normal 57 6 4 4 4 3" xfId="33786" xr:uid="{00000000-0005-0000-0000-0000FC920000}"/>
    <cellStyle name="Normal 57 6 4 4 5" xfId="17304" xr:uid="{00000000-0005-0000-0000-0000FD920000}"/>
    <cellStyle name="Normal 57 6 4 4 5 2" xfId="42857" xr:uid="{00000000-0005-0000-0000-0000FE920000}"/>
    <cellStyle name="Normal 57 6 4 4 6" xfId="28794" xr:uid="{00000000-0005-0000-0000-0000FF920000}"/>
    <cellStyle name="Normal 57 6 4 5" xfId="4284" xr:uid="{00000000-0005-0000-0000-000000930000}"/>
    <cellStyle name="Normal 57 6 4 5 2" xfId="13122" xr:uid="{00000000-0005-0000-0000-000001930000}"/>
    <cellStyle name="Normal 57 6 4 5 2 2" xfId="23373" xr:uid="{00000000-0005-0000-0000-000002930000}"/>
    <cellStyle name="Normal 57 6 4 5 2 2 2" xfId="48926" xr:uid="{00000000-0005-0000-0000-000003930000}"/>
    <cellStyle name="Normal 57 6 4 5 2 3" xfId="38677" xr:uid="{00000000-0005-0000-0000-000004930000}"/>
    <cellStyle name="Normal 57 6 4 5 3" xfId="9543" xr:uid="{00000000-0005-0000-0000-000005930000}"/>
    <cellStyle name="Normal 57 6 4 5 3 2" xfId="35100" xr:uid="{00000000-0005-0000-0000-000006930000}"/>
    <cellStyle name="Normal 57 6 4 5 4" xfId="18366" xr:uid="{00000000-0005-0000-0000-000007930000}"/>
    <cellStyle name="Normal 57 6 4 5 4 2" xfId="43919" xr:uid="{00000000-0005-0000-0000-000008930000}"/>
    <cellStyle name="Normal 57 6 4 5 5" xfId="29856" xr:uid="{00000000-0005-0000-0000-000009930000}"/>
    <cellStyle name="Normal 57 6 4 6" xfId="1556" xr:uid="{00000000-0005-0000-0000-00000A930000}"/>
    <cellStyle name="Normal 57 6 4 6 2" xfId="10933" xr:uid="{00000000-0005-0000-0000-00000B930000}"/>
    <cellStyle name="Normal 57 6 4 6 2 2" xfId="36488" xr:uid="{00000000-0005-0000-0000-00000C930000}"/>
    <cellStyle name="Normal 57 6 4 6 3" xfId="20937" xr:uid="{00000000-0005-0000-0000-00000D930000}"/>
    <cellStyle name="Normal 57 6 4 6 3 2" xfId="46490" xr:uid="{00000000-0005-0000-0000-00000E930000}"/>
    <cellStyle name="Normal 57 6 4 6 4" xfId="27420" xr:uid="{00000000-0005-0000-0000-00000F930000}"/>
    <cellStyle name="Normal 57 6 4 7" xfId="5740" xr:uid="{00000000-0005-0000-0000-000010930000}"/>
    <cellStyle name="Normal 57 6 4 7 2" xfId="14567" xr:uid="{00000000-0005-0000-0000-000011930000}"/>
    <cellStyle name="Normal 57 6 4 7 2 2" xfId="40122" xr:uid="{00000000-0005-0000-0000-000012930000}"/>
    <cellStyle name="Normal 57 6 4 7 3" xfId="24818" xr:uid="{00000000-0005-0000-0000-000013930000}"/>
    <cellStyle name="Normal 57 6 4 7 3 2" xfId="50371" xr:uid="{00000000-0005-0000-0000-000014930000}"/>
    <cellStyle name="Normal 57 6 4 7 4" xfId="31301" xr:uid="{00000000-0005-0000-0000-000015930000}"/>
    <cellStyle name="Normal 57 6 4 8" xfId="7184" xr:uid="{00000000-0005-0000-0000-000016930000}"/>
    <cellStyle name="Normal 57 6 4 8 2" xfId="19910" xr:uid="{00000000-0005-0000-0000-000017930000}"/>
    <cellStyle name="Normal 57 6 4 8 2 2" xfId="45463" xr:uid="{00000000-0005-0000-0000-000018930000}"/>
    <cellStyle name="Normal 57 6 4 8 3" xfId="32741" xr:uid="{00000000-0005-0000-0000-000019930000}"/>
    <cellStyle name="Normal 57 6 4 9" xfId="15930" xr:uid="{00000000-0005-0000-0000-00001A930000}"/>
    <cellStyle name="Normal 57 6 4 9 2" xfId="41483" xr:uid="{00000000-0005-0000-0000-00001B930000}"/>
    <cellStyle name="Normal 57 6 4_Degree data" xfId="3981" xr:uid="{00000000-0005-0000-0000-00001C930000}"/>
    <cellStyle name="Normal 57 6 5" xfId="308" xr:uid="{00000000-0005-0000-0000-00001D930000}"/>
    <cellStyle name="Normal 57 6 5 2" xfId="2794" xr:uid="{00000000-0005-0000-0000-00001E930000}"/>
    <cellStyle name="Normal 57 6 5 2 2" xfId="12098" xr:uid="{00000000-0005-0000-0000-00001F930000}"/>
    <cellStyle name="Normal 57 6 5 2 2 2" xfId="22155" xr:uid="{00000000-0005-0000-0000-000020930000}"/>
    <cellStyle name="Normal 57 6 5 2 2 2 2" xfId="47708" xr:uid="{00000000-0005-0000-0000-000021930000}"/>
    <cellStyle name="Normal 57 6 5 2 2 3" xfId="37653" xr:uid="{00000000-0005-0000-0000-000022930000}"/>
    <cellStyle name="Normal 57 6 5 2 3" xfId="8434" xr:uid="{00000000-0005-0000-0000-000023930000}"/>
    <cellStyle name="Normal 57 6 5 2 3 2" xfId="33991" xr:uid="{00000000-0005-0000-0000-000024930000}"/>
    <cellStyle name="Normal 57 6 5 2 4" xfId="17148" xr:uid="{00000000-0005-0000-0000-000025930000}"/>
    <cellStyle name="Normal 57 6 5 2 4 2" xfId="42701" xr:uid="{00000000-0005-0000-0000-000026930000}"/>
    <cellStyle name="Normal 57 6 5 2 5" xfId="28638" xr:uid="{00000000-0005-0000-0000-000027930000}"/>
    <cellStyle name="Normal 57 6 5 3" xfId="4684" xr:uid="{00000000-0005-0000-0000-000028930000}"/>
    <cellStyle name="Normal 57 6 5 3 2" xfId="13522" xr:uid="{00000000-0005-0000-0000-000029930000}"/>
    <cellStyle name="Normal 57 6 5 3 2 2" xfId="23773" xr:uid="{00000000-0005-0000-0000-00002A930000}"/>
    <cellStyle name="Normal 57 6 5 3 2 2 2" xfId="49326" xr:uid="{00000000-0005-0000-0000-00002B930000}"/>
    <cellStyle name="Normal 57 6 5 3 2 3" xfId="39077" xr:uid="{00000000-0005-0000-0000-00002C930000}"/>
    <cellStyle name="Normal 57 6 5 3 3" xfId="9943" xr:uid="{00000000-0005-0000-0000-00002D930000}"/>
    <cellStyle name="Normal 57 6 5 3 3 2" xfId="35500" xr:uid="{00000000-0005-0000-0000-00002E930000}"/>
    <cellStyle name="Normal 57 6 5 3 4" xfId="18766" xr:uid="{00000000-0005-0000-0000-00002F930000}"/>
    <cellStyle name="Normal 57 6 5 3 4 2" xfId="44319" xr:uid="{00000000-0005-0000-0000-000030930000}"/>
    <cellStyle name="Normal 57 6 5 3 5" xfId="30256" xr:uid="{00000000-0005-0000-0000-000031930000}"/>
    <cellStyle name="Normal 57 6 5 4" xfId="1903" xr:uid="{00000000-0005-0000-0000-000032930000}"/>
    <cellStyle name="Normal 57 6 5 4 2" xfId="11268" xr:uid="{00000000-0005-0000-0000-000033930000}"/>
    <cellStyle name="Normal 57 6 5 4 2 2" xfId="36823" xr:uid="{00000000-0005-0000-0000-000034930000}"/>
    <cellStyle name="Normal 57 6 5 4 3" xfId="21272" xr:uid="{00000000-0005-0000-0000-000035930000}"/>
    <cellStyle name="Normal 57 6 5 4 3 2" xfId="46825" xr:uid="{00000000-0005-0000-0000-000036930000}"/>
    <cellStyle name="Normal 57 6 5 4 4" xfId="27755" xr:uid="{00000000-0005-0000-0000-000037930000}"/>
    <cellStyle name="Normal 57 6 5 5" xfId="6140" xr:uid="{00000000-0005-0000-0000-000038930000}"/>
    <cellStyle name="Normal 57 6 5 5 2" xfId="14967" xr:uid="{00000000-0005-0000-0000-000039930000}"/>
    <cellStyle name="Normal 57 6 5 5 2 2" xfId="40522" xr:uid="{00000000-0005-0000-0000-00003A930000}"/>
    <cellStyle name="Normal 57 6 5 5 3" xfId="25218" xr:uid="{00000000-0005-0000-0000-00003B930000}"/>
    <cellStyle name="Normal 57 6 5 5 3 2" xfId="50771" xr:uid="{00000000-0005-0000-0000-00003C930000}"/>
    <cellStyle name="Normal 57 6 5 5 4" xfId="31701" xr:uid="{00000000-0005-0000-0000-00003D930000}"/>
    <cellStyle name="Normal 57 6 5 6" xfId="7585" xr:uid="{00000000-0005-0000-0000-00003E930000}"/>
    <cellStyle name="Normal 57 6 5 6 2" xfId="19754" xr:uid="{00000000-0005-0000-0000-00003F930000}"/>
    <cellStyle name="Normal 57 6 5 6 2 2" xfId="45307" xr:uid="{00000000-0005-0000-0000-000040930000}"/>
    <cellStyle name="Normal 57 6 5 6 3" xfId="33142" xr:uid="{00000000-0005-0000-0000-000041930000}"/>
    <cellStyle name="Normal 57 6 5 7" xfId="16265" xr:uid="{00000000-0005-0000-0000-000042930000}"/>
    <cellStyle name="Normal 57 6 5 7 2" xfId="41818" xr:uid="{00000000-0005-0000-0000-000043930000}"/>
    <cellStyle name="Normal 57 6 5 8" xfId="26237" xr:uid="{00000000-0005-0000-0000-000044930000}"/>
    <cellStyle name="Normal 57 6 6" xfId="870" xr:uid="{00000000-0005-0000-0000-000045930000}"/>
    <cellStyle name="Normal 57 6 6 2" xfId="3355" xr:uid="{00000000-0005-0000-0000-000046930000}"/>
    <cellStyle name="Normal 57 6 6 2 2" xfId="12497" xr:uid="{00000000-0005-0000-0000-000047930000}"/>
    <cellStyle name="Normal 57 6 6 2 2 2" xfId="22716" xr:uid="{00000000-0005-0000-0000-000048930000}"/>
    <cellStyle name="Normal 57 6 6 2 2 2 2" xfId="48269" xr:uid="{00000000-0005-0000-0000-000049930000}"/>
    <cellStyle name="Normal 57 6 6 2 2 3" xfId="38052" xr:uid="{00000000-0005-0000-0000-00004A930000}"/>
    <cellStyle name="Normal 57 6 6 2 3" xfId="8919" xr:uid="{00000000-0005-0000-0000-00004B930000}"/>
    <cellStyle name="Normal 57 6 6 2 3 2" xfId="34476" xr:uid="{00000000-0005-0000-0000-00004C930000}"/>
    <cellStyle name="Normal 57 6 6 2 4" xfId="17709" xr:uid="{00000000-0005-0000-0000-00004D930000}"/>
    <cellStyle name="Normal 57 6 6 2 4 2" xfId="43262" xr:uid="{00000000-0005-0000-0000-00004E930000}"/>
    <cellStyle name="Normal 57 6 6 2 5" xfId="29199" xr:uid="{00000000-0005-0000-0000-00004F930000}"/>
    <cellStyle name="Normal 57 6 6 3" xfId="5033" xr:uid="{00000000-0005-0000-0000-000050930000}"/>
    <cellStyle name="Normal 57 6 6 3 2" xfId="13870" xr:uid="{00000000-0005-0000-0000-000051930000}"/>
    <cellStyle name="Normal 57 6 6 3 2 2" xfId="24121" xr:uid="{00000000-0005-0000-0000-000052930000}"/>
    <cellStyle name="Normal 57 6 6 3 2 2 2" xfId="49674" xr:uid="{00000000-0005-0000-0000-000053930000}"/>
    <cellStyle name="Normal 57 6 6 3 2 3" xfId="39425" xr:uid="{00000000-0005-0000-0000-000054930000}"/>
    <cellStyle name="Normal 57 6 6 3 3" xfId="10291" xr:uid="{00000000-0005-0000-0000-000055930000}"/>
    <cellStyle name="Normal 57 6 6 3 3 2" xfId="35848" xr:uid="{00000000-0005-0000-0000-000056930000}"/>
    <cellStyle name="Normal 57 6 6 3 4" xfId="19114" xr:uid="{00000000-0005-0000-0000-000057930000}"/>
    <cellStyle name="Normal 57 6 6 3 4 2" xfId="44667" xr:uid="{00000000-0005-0000-0000-000058930000}"/>
    <cellStyle name="Normal 57 6 6 3 5" xfId="30604" xr:uid="{00000000-0005-0000-0000-000059930000}"/>
    <cellStyle name="Normal 57 6 6 4" xfId="2464" xr:uid="{00000000-0005-0000-0000-00005A930000}"/>
    <cellStyle name="Normal 57 6 6 4 2" xfId="11829" xr:uid="{00000000-0005-0000-0000-00005B930000}"/>
    <cellStyle name="Normal 57 6 6 4 2 2" xfId="37384" xr:uid="{00000000-0005-0000-0000-00005C930000}"/>
    <cellStyle name="Normal 57 6 6 4 3" xfId="21833" xr:uid="{00000000-0005-0000-0000-00005D930000}"/>
    <cellStyle name="Normal 57 6 6 4 3 2" xfId="47386" xr:uid="{00000000-0005-0000-0000-00005E930000}"/>
    <cellStyle name="Normal 57 6 6 4 4" xfId="28316" xr:uid="{00000000-0005-0000-0000-00005F930000}"/>
    <cellStyle name="Normal 57 6 6 5" xfId="6488" xr:uid="{00000000-0005-0000-0000-000060930000}"/>
    <cellStyle name="Normal 57 6 6 5 2" xfId="15315" xr:uid="{00000000-0005-0000-0000-000061930000}"/>
    <cellStyle name="Normal 57 6 6 5 2 2" xfId="40870" xr:uid="{00000000-0005-0000-0000-000062930000}"/>
    <cellStyle name="Normal 57 6 6 5 3" xfId="25566" xr:uid="{00000000-0005-0000-0000-000063930000}"/>
    <cellStyle name="Normal 57 6 6 5 3 2" xfId="51119" xr:uid="{00000000-0005-0000-0000-000064930000}"/>
    <cellStyle name="Normal 57 6 6 5 4" xfId="32049" xr:uid="{00000000-0005-0000-0000-000065930000}"/>
    <cellStyle name="Normal 57 6 6 6" xfId="7934" xr:uid="{00000000-0005-0000-0000-000066930000}"/>
    <cellStyle name="Normal 57 6 6 6 2" xfId="20315" xr:uid="{00000000-0005-0000-0000-000067930000}"/>
    <cellStyle name="Normal 57 6 6 6 2 2" xfId="45868" xr:uid="{00000000-0005-0000-0000-000068930000}"/>
    <cellStyle name="Normal 57 6 6 6 3" xfId="33491" xr:uid="{00000000-0005-0000-0000-000069930000}"/>
    <cellStyle name="Normal 57 6 6 7" xfId="16826" xr:uid="{00000000-0005-0000-0000-00006A930000}"/>
    <cellStyle name="Normal 57 6 6 7 2" xfId="42379" xr:uid="{00000000-0005-0000-0000-00006B930000}"/>
    <cellStyle name="Normal 57 6 6 8" xfId="26798" xr:uid="{00000000-0005-0000-0000-00006C930000}"/>
    <cellStyle name="Normal 57 6 7" xfId="1080" xr:uid="{00000000-0005-0000-0000-00006D930000}"/>
    <cellStyle name="Normal 57 6 7 2" xfId="3509" xr:uid="{00000000-0005-0000-0000-00006E930000}"/>
    <cellStyle name="Normal 57 6 7 2 2" xfId="12645" xr:uid="{00000000-0005-0000-0000-00006F930000}"/>
    <cellStyle name="Normal 57 6 7 2 2 2" xfId="22864" xr:uid="{00000000-0005-0000-0000-000070930000}"/>
    <cellStyle name="Normal 57 6 7 2 2 2 2" xfId="48417" xr:uid="{00000000-0005-0000-0000-000071930000}"/>
    <cellStyle name="Normal 57 6 7 2 2 3" xfId="38200" xr:uid="{00000000-0005-0000-0000-000072930000}"/>
    <cellStyle name="Normal 57 6 7 2 3" xfId="9067" xr:uid="{00000000-0005-0000-0000-000073930000}"/>
    <cellStyle name="Normal 57 6 7 2 3 2" xfId="34624" xr:uid="{00000000-0005-0000-0000-000074930000}"/>
    <cellStyle name="Normal 57 6 7 2 4" xfId="17857" xr:uid="{00000000-0005-0000-0000-000075930000}"/>
    <cellStyle name="Normal 57 6 7 2 4 2" xfId="43410" xr:uid="{00000000-0005-0000-0000-000076930000}"/>
    <cellStyle name="Normal 57 6 7 2 5" xfId="29347" xr:uid="{00000000-0005-0000-0000-000077930000}"/>
    <cellStyle name="Normal 57 6 7 3" xfId="5172" xr:uid="{00000000-0005-0000-0000-000078930000}"/>
    <cellStyle name="Normal 57 6 7 3 2" xfId="14009" xr:uid="{00000000-0005-0000-0000-000079930000}"/>
    <cellStyle name="Normal 57 6 7 3 2 2" xfId="24260" xr:uid="{00000000-0005-0000-0000-00007A930000}"/>
    <cellStyle name="Normal 57 6 7 3 2 2 2" xfId="49813" xr:uid="{00000000-0005-0000-0000-00007B930000}"/>
    <cellStyle name="Normal 57 6 7 3 2 3" xfId="39564" xr:uid="{00000000-0005-0000-0000-00007C930000}"/>
    <cellStyle name="Normal 57 6 7 3 3" xfId="10430" xr:uid="{00000000-0005-0000-0000-00007D930000}"/>
    <cellStyle name="Normal 57 6 7 3 3 2" xfId="35987" xr:uid="{00000000-0005-0000-0000-00007E930000}"/>
    <cellStyle name="Normal 57 6 7 3 4" xfId="19253" xr:uid="{00000000-0005-0000-0000-00007F930000}"/>
    <cellStyle name="Normal 57 6 7 3 4 2" xfId="44806" xr:uid="{00000000-0005-0000-0000-000080930000}"/>
    <cellStyle name="Normal 57 6 7 3 5" xfId="30743" xr:uid="{00000000-0005-0000-0000-000081930000}"/>
    <cellStyle name="Normal 57 6 7 4" xfId="1732" xr:uid="{00000000-0005-0000-0000-000082930000}"/>
    <cellStyle name="Normal 57 6 7 4 2" xfId="11106" xr:uid="{00000000-0005-0000-0000-000083930000}"/>
    <cellStyle name="Normal 57 6 7 4 2 2" xfId="36661" xr:uid="{00000000-0005-0000-0000-000084930000}"/>
    <cellStyle name="Normal 57 6 7 4 3" xfId="21110" xr:uid="{00000000-0005-0000-0000-000085930000}"/>
    <cellStyle name="Normal 57 6 7 4 3 2" xfId="46663" xr:uid="{00000000-0005-0000-0000-000086930000}"/>
    <cellStyle name="Normal 57 6 7 4 4" xfId="27593" xr:uid="{00000000-0005-0000-0000-000087930000}"/>
    <cellStyle name="Normal 57 6 7 5" xfId="6627" xr:uid="{00000000-0005-0000-0000-000088930000}"/>
    <cellStyle name="Normal 57 6 7 5 2" xfId="15454" xr:uid="{00000000-0005-0000-0000-000089930000}"/>
    <cellStyle name="Normal 57 6 7 5 2 2" xfId="41009" xr:uid="{00000000-0005-0000-0000-00008A930000}"/>
    <cellStyle name="Normal 57 6 7 5 3" xfId="25705" xr:uid="{00000000-0005-0000-0000-00008B930000}"/>
    <cellStyle name="Normal 57 6 7 5 3 2" xfId="51258" xr:uid="{00000000-0005-0000-0000-00008C930000}"/>
    <cellStyle name="Normal 57 6 7 5 4" xfId="32188" xr:uid="{00000000-0005-0000-0000-00008D930000}"/>
    <cellStyle name="Normal 57 6 7 6" xfId="8073" xr:uid="{00000000-0005-0000-0000-00008E930000}"/>
    <cellStyle name="Normal 57 6 7 6 2" xfId="20463" xr:uid="{00000000-0005-0000-0000-00008F930000}"/>
    <cellStyle name="Normal 57 6 7 6 2 2" xfId="46016" xr:uid="{00000000-0005-0000-0000-000090930000}"/>
    <cellStyle name="Normal 57 6 7 6 3" xfId="33630" xr:uid="{00000000-0005-0000-0000-000091930000}"/>
    <cellStyle name="Normal 57 6 7 7" xfId="16103" xr:uid="{00000000-0005-0000-0000-000092930000}"/>
    <cellStyle name="Normal 57 6 7 7 2" xfId="41656" xr:uid="{00000000-0005-0000-0000-000093930000}"/>
    <cellStyle name="Normal 57 6 7 8" xfId="26946" xr:uid="{00000000-0005-0000-0000-000094930000}"/>
    <cellStyle name="Normal 57 6 8" xfId="2632" xr:uid="{00000000-0005-0000-0000-000095930000}"/>
    <cellStyle name="Normal 57 6 8 2" xfId="5584" xr:uid="{00000000-0005-0000-0000-000096930000}"/>
    <cellStyle name="Normal 57 6 8 2 2" xfId="14411" xr:uid="{00000000-0005-0000-0000-000097930000}"/>
    <cellStyle name="Normal 57 6 8 2 2 2" xfId="39966" xr:uid="{00000000-0005-0000-0000-000098930000}"/>
    <cellStyle name="Normal 57 6 8 2 3" xfId="24662" xr:uid="{00000000-0005-0000-0000-000099930000}"/>
    <cellStyle name="Normal 57 6 8 2 3 2" xfId="50215" xr:uid="{00000000-0005-0000-0000-00009A930000}"/>
    <cellStyle name="Normal 57 6 8 2 4" xfId="31145" xr:uid="{00000000-0005-0000-0000-00009B930000}"/>
    <cellStyle name="Normal 57 6 8 3" xfId="7028" xr:uid="{00000000-0005-0000-0000-00009C930000}"/>
    <cellStyle name="Normal 57 6 8 3 2" xfId="21994" xr:uid="{00000000-0005-0000-0000-00009D930000}"/>
    <cellStyle name="Normal 57 6 8 3 2 2" xfId="47547" xr:uid="{00000000-0005-0000-0000-00009E930000}"/>
    <cellStyle name="Normal 57 6 8 3 3" xfId="32585" xr:uid="{00000000-0005-0000-0000-00009F930000}"/>
    <cellStyle name="Normal 57 6 8 4" xfId="16987" xr:uid="{00000000-0005-0000-0000-0000A0930000}"/>
    <cellStyle name="Normal 57 6 8 4 2" xfId="42540" xr:uid="{00000000-0005-0000-0000-0000A1930000}"/>
    <cellStyle name="Normal 57 6 8 5" xfId="28477" xr:uid="{00000000-0005-0000-0000-0000A2930000}"/>
    <cellStyle name="Normal 57 6 9" xfId="4126" xr:uid="{00000000-0005-0000-0000-0000A3930000}"/>
    <cellStyle name="Normal 57 6 9 2" xfId="12964" xr:uid="{00000000-0005-0000-0000-0000A4930000}"/>
    <cellStyle name="Normal 57 6 9 2 2" xfId="23215" xr:uid="{00000000-0005-0000-0000-0000A5930000}"/>
    <cellStyle name="Normal 57 6 9 2 2 2" xfId="48768" xr:uid="{00000000-0005-0000-0000-0000A6930000}"/>
    <cellStyle name="Normal 57 6 9 2 3" xfId="38519" xr:uid="{00000000-0005-0000-0000-0000A7930000}"/>
    <cellStyle name="Normal 57 6 9 3" xfId="9385" xr:uid="{00000000-0005-0000-0000-0000A8930000}"/>
    <cellStyle name="Normal 57 6 9 3 2" xfId="34942" xr:uid="{00000000-0005-0000-0000-0000A9930000}"/>
    <cellStyle name="Normal 57 6 9 4" xfId="18208" xr:uid="{00000000-0005-0000-0000-0000AA930000}"/>
    <cellStyle name="Normal 57 6 9 4 2" xfId="43761" xr:uid="{00000000-0005-0000-0000-0000AB930000}"/>
    <cellStyle name="Normal 57 6 9 5" xfId="29698" xr:uid="{00000000-0005-0000-0000-0000AC930000}"/>
    <cellStyle name="Normal 57 6_Degree data" xfId="3976" xr:uid="{00000000-0005-0000-0000-0000AD930000}"/>
    <cellStyle name="Normal 57 7" xfId="132" xr:uid="{00000000-0005-0000-0000-0000AE930000}"/>
    <cellStyle name="Normal 57 7 10" xfId="5643" xr:uid="{00000000-0005-0000-0000-0000AF930000}"/>
    <cellStyle name="Normal 57 7 10 2" xfId="14470" xr:uid="{00000000-0005-0000-0000-0000B0930000}"/>
    <cellStyle name="Normal 57 7 10 2 2" xfId="40025" xr:uid="{00000000-0005-0000-0000-0000B1930000}"/>
    <cellStyle name="Normal 57 7 10 3" xfId="24721" xr:uid="{00000000-0005-0000-0000-0000B2930000}"/>
    <cellStyle name="Normal 57 7 10 3 2" xfId="50274" xr:uid="{00000000-0005-0000-0000-0000B3930000}"/>
    <cellStyle name="Normal 57 7 10 4" xfId="31204" xr:uid="{00000000-0005-0000-0000-0000B4930000}"/>
    <cellStyle name="Normal 57 7 11" xfId="7087" xr:uid="{00000000-0005-0000-0000-0000B5930000}"/>
    <cellStyle name="Normal 57 7 11 2" xfId="19596" xr:uid="{00000000-0005-0000-0000-0000B6930000}"/>
    <cellStyle name="Normal 57 7 11 2 2" xfId="45149" xr:uid="{00000000-0005-0000-0000-0000B7930000}"/>
    <cellStyle name="Normal 57 7 11 3" xfId="32644" xr:uid="{00000000-0005-0000-0000-0000B8930000}"/>
    <cellStyle name="Normal 57 7 12" xfId="15833" xr:uid="{00000000-0005-0000-0000-0000B9930000}"/>
    <cellStyle name="Normal 57 7 12 2" xfId="41386" xr:uid="{00000000-0005-0000-0000-0000BA930000}"/>
    <cellStyle name="Normal 57 7 13" xfId="26079" xr:uid="{00000000-0005-0000-0000-0000BB930000}"/>
    <cellStyle name="Normal 57 7 2" xfId="249" xr:uid="{00000000-0005-0000-0000-0000BC930000}"/>
    <cellStyle name="Normal 57 7 2 10" xfId="16038" xr:uid="{00000000-0005-0000-0000-0000BD930000}"/>
    <cellStyle name="Normal 57 7 2 10 2" xfId="41591" xr:uid="{00000000-0005-0000-0000-0000BE930000}"/>
    <cellStyle name="Normal 57 7 2 11" xfId="26184" xr:uid="{00000000-0005-0000-0000-0000BF930000}"/>
    <cellStyle name="Normal 57 7 2 2" xfId="572" xr:uid="{00000000-0005-0000-0000-0000C0930000}"/>
    <cellStyle name="Normal 57 7 2 2 2" xfId="3058" xr:uid="{00000000-0005-0000-0000-0000C1930000}"/>
    <cellStyle name="Normal 57 7 2 2 2 2" xfId="12219" xr:uid="{00000000-0005-0000-0000-0000C2930000}"/>
    <cellStyle name="Normal 57 7 2 2 2 2 2" xfId="22419" xr:uid="{00000000-0005-0000-0000-0000C3930000}"/>
    <cellStyle name="Normal 57 7 2 2 2 2 2 2" xfId="47972" xr:uid="{00000000-0005-0000-0000-0000C4930000}"/>
    <cellStyle name="Normal 57 7 2 2 2 2 3" xfId="37774" xr:uid="{00000000-0005-0000-0000-0000C5930000}"/>
    <cellStyle name="Normal 57 7 2 2 2 3" xfId="8641" xr:uid="{00000000-0005-0000-0000-0000C6930000}"/>
    <cellStyle name="Normal 57 7 2 2 2 3 2" xfId="34198" xr:uid="{00000000-0005-0000-0000-0000C7930000}"/>
    <cellStyle name="Normal 57 7 2 2 2 4" xfId="17412" xr:uid="{00000000-0005-0000-0000-0000C8930000}"/>
    <cellStyle name="Normal 57 7 2 2 2 4 2" xfId="42965" xr:uid="{00000000-0005-0000-0000-0000C9930000}"/>
    <cellStyle name="Normal 57 7 2 2 2 5" xfId="28902" xr:uid="{00000000-0005-0000-0000-0000CA930000}"/>
    <cellStyle name="Normal 57 7 2 2 3" xfId="4691" xr:uid="{00000000-0005-0000-0000-0000CB930000}"/>
    <cellStyle name="Normal 57 7 2 2 3 2" xfId="13529" xr:uid="{00000000-0005-0000-0000-0000CC930000}"/>
    <cellStyle name="Normal 57 7 2 2 3 2 2" xfId="23780" xr:uid="{00000000-0005-0000-0000-0000CD930000}"/>
    <cellStyle name="Normal 57 7 2 2 3 2 2 2" xfId="49333" xr:uid="{00000000-0005-0000-0000-0000CE930000}"/>
    <cellStyle name="Normal 57 7 2 2 3 2 3" xfId="39084" xr:uid="{00000000-0005-0000-0000-0000CF930000}"/>
    <cellStyle name="Normal 57 7 2 2 3 3" xfId="9950" xr:uid="{00000000-0005-0000-0000-0000D0930000}"/>
    <cellStyle name="Normal 57 7 2 2 3 3 2" xfId="35507" xr:uid="{00000000-0005-0000-0000-0000D1930000}"/>
    <cellStyle name="Normal 57 7 2 2 3 4" xfId="18773" xr:uid="{00000000-0005-0000-0000-0000D2930000}"/>
    <cellStyle name="Normal 57 7 2 2 3 4 2" xfId="44326" xr:uid="{00000000-0005-0000-0000-0000D3930000}"/>
    <cellStyle name="Normal 57 7 2 2 3 5" xfId="30263" xr:uid="{00000000-0005-0000-0000-0000D4930000}"/>
    <cellStyle name="Normal 57 7 2 2 4" xfId="2167" xr:uid="{00000000-0005-0000-0000-0000D5930000}"/>
    <cellStyle name="Normal 57 7 2 2 4 2" xfId="11532" xr:uid="{00000000-0005-0000-0000-0000D6930000}"/>
    <cellStyle name="Normal 57 7 2 2 4 2 2" xfId="37087" xr:uid="{00000000-0005-0000-0000-0000D7930000}"/>
    <cellStyle name="Normal 57 7 2 2 4 3" xfId="21536" xr:uid="{00000000-0005-0000-0000-0000D8930000}"/>
    <cellStyle name="Normal 57 7 2 2 4 3 2" xfId="47089" xr:uid="{00000000-0005-0000-0000-0000D9930000}"/>
    <cellStyle name="Normal 57 7 2 2 4 4" xfId="28019" xr:uid="{00000000-0005-0000-0000-0000DA930000}"/>
    <cellStyle name="Normal 57 7 2 2 5" xfId="6147" xr:uid="{00000000-0005-0000-0000-0000DB930000}"/>
    <cellStyle name="Normal 57 7 2 2 5 2" xfId="14974" xr:uid="{00000000-0005-0000-0000-0000DC930000}"/>
    <cellStyle name="Normal 57 7 2 2 5 2 2" xfId="40529" xr:uid="{00000000-0005-0000-0000-0000DD930000}"/>
    <cellStyle name="Normal 57 7 2 2 5 3" xfId="25225" xr:uid="{00000000-0005-0000-0000-0000DE930000}"/>
    <cellStyle name="Normal 57 7 2 2 5 3 2" xfId="50778" xr:uid="{00000000-0005-0000-0000-0000DF930000}"/>
    <cellStyle name="Normal 57 7 2 2 5 4" xfId="31708" xr:uid="{00000000-0005-0000-0000-0000E0930000}"/>
    <cellStyle name="Normal 57 7 2 2 6" xfId="7592" xr:uid="{00000000-0005-0000-0000-0000E1930000}"/>
    <cellStyle name="Normal 57 7 2 2 6 2" xfId="20018" xr:uid="{00000000-0005-0000-0000-0000E2930000}"/>
    <cellStyle name="Normal 57 7 2 2 6 2 2" xfId="45571" xr:uid="{00000000-0005-0000-0000-0000E3930000}"/>
    <cellStyle name="Normal 57 7 2 2 6 3" xfId="33149" xr:uid="{00000000-0005-0000-0000-0000E4930000}"/>
    <cellStyle name="Normal 57 7 2 2 7" xfId="16529" xr:uid="{00000000-0005-0000-0000-0000E5930000}"/>
    <cellStyle name="Normal 57 7 2 2 7 2" xfId="42082" xr:uid="{00000000-0005-0000-0000-0000E6930000}"/>
    <cellStyle name="Normal 57 7 2 2 8" xfId="26501" xr:uid="{00000000-0005-0000-0000-0000E7930000}"/>
    <cellStyle name="Normal 57 7 2 3" xfId="877" xr:uid="{00000000-0005-0000-0000-0000E8930000}"/>
    <cellStyle name="Normal 57 7 2 3 2" xfId="3362" xr:uid="{00000000-0005-0000-0000-0000E9930000}"/>
    <cellStyle name="Normal 57 7 2 3 2 2" xfId="12504" xr:uid="{00000000-0005-0000-0000-0000EA930000}"/>
    <cellStyle name="Normal 57 7 2 3 2 2 2" xfId="22723" xr:uid="{00000000-0005-0000-0000-0000EB930000}"/>
    <cellStyle name="Normal 57 7 2 3 2 2 2 2" xfId="48276" xr:uid="{00000000-0005-0000-0000-0000EC930000}"/>
    <cellStyle name="Normal 57 7 2 3 2 2 3" xfId="38059" xr:uid="{00000000-0005-0000-0000-0000ED930000}"/>
    <cellStyle name="Normal 57 7 2 3 2 3" xfId="8926" xr:uid="{00000000-0005-0000-0000-0000EE930000}"/>
    <cellStyle name="Normal 57 7 2 3 2 3 2" xfId="34483" xr:uid="{00000000-0005-0000-0000-0000EF930000}"/>
    <cellStyle name="Normal 57 7 2 3 2 4" xfId="17716" xr:uid="{00000000-0005-0000-0000-0000F0930000}"/>
    <cellStyle name="Normal 57 7 2 3 2 4 2" xfId="43269" xr:uid="{00000000-0005-0000-0000-0000F1930000}"/>
    <cellStyle name="Normal 57 7 2 3 2 5" xfId="29206" xr:uid="{00000000-0005-0000-0000-0000F2930000}"/>
    <cellStyle name="Normal 57 7 2 3 3" xfId="5040" xr:uid="{00000000-0005-0000-0000-0000F3930000}"/>
    <cellStyle name="Normal 57 7 2 3 3 2" xfId="13877" xr:uid="{00000000-0005-0000-0000-0000F4930000}"/>
    <cellStyle name="Normal 57 7 2 3 3 2 2" xfId="24128" xr:uid="{00000000-0005-0000-0000-0000F5930000}"/>
    <cellStyle name="Normal 57 7 2 3 3 2 2 2" xfId="49681" xr:uid="{00000000-0005-0000-0000-0000F6930000}"/>
    <cellStyle name="Normal 57 7 2 3 3 2 3" xfId="39432" xr:uid="{00000000-0005-0000-0000-0000F7930000}"/>
    <cellStyle name="Normal 57 7 2 3 3 3" xfId="10298" xr:uid="{00000000-0005-0000-0000-0000F8930000}"/>
    <cellStyle name="Normal 57 7 2 3 3 3 2" xfId="35855" xr:uid="{00000000-0005-0000-0000-0000F9930000}"/>
    <cellStyle name="Normal 57 7 2 3 3 4" xfId="19121" xr:uid="{00000000-0005-0000-0000-0000FA930000}"/>
    <cellStyle name="Normal 57 7 2 3 3 4 2" xfId="44674" xr:uid="{00000000-0005-0000-0000-0000FB930000}"/>
    <cellStyle name="Normal 57 7 2 3 3 5" xfId="30611" xr:uid="{00000000-0005-0000-0000-0000FC930000}"/>
    <cellStyle name="Normal 57 7 2 3 4" xfId="2471" xr:uid="{00000000-0005-0000-0000-0000FD930000}"/>
    <cellStyle name="Normal 57 7 2 3 4 2" xfId="11836" xr:uid="{00000000-0005-0000-0000-0000FE930000}"/>
    <cellStyle name="Normal 57 7 2 3 4 2 2" xfId="37391" xr:uid="{00000000-0005-0000-0000-0000FF930000}"/>
    <cellStyle name="Normal 57 7 2 3 4 3" xfId="21840" xr:uid="{00000000-0005-0000-0000-000000940000}"/>
    <cellStyle name="Normal 57 7 2 3 4 3 2" xfId="47393" xr:uid="{00000000-0005-0000-0000-000001940000}"/>
    <cellStyle name="Normal 57 7 2 3 4 4" xfId="28323" xr:uid="{00000000-0005-0000-0000-000002940000}"/>
    <cellStyle name="Normal 57 7 2 3 5" xfId="6495" xr:uid="{00000000-0005-0000-0000-000003940000}"/>
    <cellStyle name="Normal 57 7 2 3 5 2" xfId="15322" xr:uid="{00000000-0005-0000-0000-000004940000}"/>
    <cellStyle name="Normal 57 7 2 3 5 2 2" xfId="40877" xr:uid="{00000000-0005-0000-0000-000005940000}"/>
    <cellStyle name="Normal 57 7 2 3 5 3" xfId="25573" xr:uid="{00000000-0005-0000-0000-000006940000}"/>
    <cellStyle name="Normal 57 7 2 3 5 3 2" xfId="51126" xr:uid="{00000000-0005-0000-0000-000007940000}"/>
    <cellStyle name="Normal 57 7 2 3 5 4" xfId="32056" xr:uid="{00000000-0005-0000-0000-000008940000}"/>
    <cellStyle name="Normal 57 7 2 3 6" xfId="7941" xr:uid="{00000000-0005-0000-0000-000009940000}"/>
    <cellStyle name="Normal 57 7 2 3 6 2" xfId="20322" xr:uid="{00000000-0005-0000-0000-00000A940000}"/>
    <cellStyle name="Normal 57 7 2 3 6 2 2" xfId="45875" xr:uid="{00000000-0005-0000-0000-00000B940000}"/>
    <cellStyle name="Normal 57 7 2 3 6 3" xfId="33498" xr:uid="{00000000-0005-0000-0000-00000C940000}"/>
    <cellStyle name="Normal 57 7 2 3 7" xfId="16833" xr:uid="{00000000-0005-0000-0000-00000D940000}"/>
    <cellStyle name="Normal 57 7 2 3 7 2" xfId="42386" xr:uid="{00000000-0005-0000-0000-00000E940000}"/>
    <cellStyle name="Normal 57 7 2 3 8" xfId="26805" xr:uid="{00000000-0005-0000-0000-00000F940000}"/>
    <cellStyle name="Normal 57 7 2 4" xfId="1344" xr:uid="{00000000-0005-0000-0000-000010940000}"/>
    <cellStyle name="Normal 57 7 2 4 2" xfId="3773" xr:uid="{00000000-0005-0000-0000-000011940000}"/>
    <cellStyle name="Normal 57 7 2 4 2 2" xfId="12909" xr:uid="{00000000-0005-0000-0000-000012940000}"/>
    <cellStyle name="Normal 57 7 2 4 2 2 2" xfId="23128" xr:uid="{00000000-0005-0000-0000-000013940000}"/>
    <cellStyle name="Normal 57 7 2 4 2 2 2 2" xfId="48681" xr:uid="{00000000-0005-0000-0000-000014940000}"/>
    <cellStyle name="Normal 57 7 2 4 2 2 3" xfId="38464" xr:uid="{00000000-0005-0000-0000-000015940000}"/>
    <cellStyle name="Normal 57 7 2 4 2 3" xfId="9330" xr:uid="{00000000-0005-0000-0000-000016940000}"/>
    <cellStyle name="Normal 57 7 2 4 2 3 2" xfId="34887" xr:uid="{00000000-0005-0000-0000-000017940000}"/>
    <cellStyle name="Normal 57 7 2 4 2 4" xfId="18121" xr:uid="{00000000-0005-0000-0000-000018940000}"/>
    <cellStyle name="Normal 57 7 2 4 2 4 2" xfId="43674" xr:uid="{00000000-0005-0000-0000-000019940000}"/>
    <cellStyle name="Normal 57 7 2 4 2 5" xfId="29611" xr:uid="{00000000-0005-0000-0000-00001A940000}"/>
    <cellStyle name="Normal 57 7 2 4 3" xfId="5436" xr:uid="{00000000-0005-0000-0000-00001B940000}"/>
    <cellStyle name="Normal 57 7 2 4 3 2" xfId="14273" xr:uid="{00000000-0005-0000-0000-00001C940000}"/>
    <cellStyle name="Normal 57 7 2 4 3 2 2" xfId="24524" xr:uid="{00000000-0005-0000-0000-00001D940000}"/>
    <cellStyle name="Normal 57 7 2 4 3 2 2 2" xfId="50077" xr:uid="{00000000-0005-0000-0000-00001E940000}"/>
    <cellStyle name="Normal 57 7 2 4 3 2 3" xfId="39828" xr:uid="{00000000-0005-0000-0000-00001F940000}"/>
    <cellStyle name="Normal 57 7 2 4 3 3" xfId="10694" xr:uid="{00000000-0005-0000-0000-000020940000}"/>
    <cellStyle name="Normal 57 7 2 4 3 3 2" xfId="36251" xr:uid="{00000000-0005-0000-0000-000021940000}"/>
    <cellStyle name="Normal 57 7 2 4 3 4" xfId="19517" xr:uid="{00000000-0005-0000-0000-000022940000}"/>
    <cellStyle name="Normal 57 7 2 4 3 4 2" xfId="45070" xr:uid="{00000000-0005-0000-0000-000023940000}"/>
    <cellStyle name="Normal 57 7 2 4 3 5" xfId="31007" xr:uid="{00000000-0005-0000-0000-000024940000}"/>
    <cellStyle name="Normal 57 7 2 4 4" xfId="1847" xr:uid="{00000000-0005-0000-0000-000025940000}"/>
    <cellStyle name="Normal 57 7 2 4 4 2" xfId="11215" xr:uid="{00000000-0005-0000-0000-000026940000}"/>
    <cellStyle name="Normal 57 7 2 4 4 2 2" xfId="36770" xr:uid="{00000000-0005-0000-0000-000027940000}"/>
    <cellStyle name="Normal 57 7 2 4 4 3" xfId="21219" xr:uid="{00000000-0005-0000-0000-000028940000}"/>
    <cellStyle name="Normal 57 7 2 4 4 3 2" xfId="46772" xr:uid="{00000000-0005-0000-0000-000029940000}"/>
    <cellStyle name="Normal 57 7 2 4 4 4" xfId="27702" xr:uid="{00000000-0005-0000-0000-00002A940000}"/>
    <cellStyle name="Normal 57 7 2 4 5" xfId="6891" xr:uid="{00000000-0005-0000-0000-00002B940000}"/>
    <cellStyle name="Normal 57 7 2 4 5 2" xfId="15718" xr:uid="{00000000-0005-0000-0000-00002C940000}"/>
    <cellStyle name="Normal 57 7 2 4 5 2 2" xfId="41273" xr:uid="{00000000-0005-0000-0000-00002D940000}"/>
    <cellStyle name="Normal 57 7 2 4 5 3" xfId="25969" xr:uid="{00000000-0005-0000-0000-00002E940000}"/>
    <cellStyle name="Normal 57 7 2 4 5 3 2" xfId="51522" xr:uid="{00000000-0005-0000-0000-00002F940000}"/>
    <cellStyle name="Normal 57 7 2 4 5 4" xfId="32452" xr:uid="{00000000-0005-0000-0000-000030940000}"/>
    <cellStyle name="Normal 57 7 2 4 6" xfId="8337" xr:uid="{00000000-0005-0000-0000-000031940000}"/>
    <cellStyle name="Normal 57 7 2 4 6 2" xfId="20727" xr:uid="{00000000-0005-0000-0000-000032940000}"/>
    <cellStyle name="Normal 57 7 2 4 6 2 2" xfId="46280" xr:uid="{00000000-0005-0000-0000-000033940000}"/>
    <cellStyle name="Normal 57 7 2 4 6 3" xfId="33894" xr:uid="{00000000-0005-0000-0000-000034940000}"/>
    <cellStyle name="Normal 57 7 2 4 7" xfId="16212" xr:uid="{00000000-0005-0000-0000-000035940000}"/>
    <cellStyle name="Normal 57 7 2 4 7 2" xfId="41765" xr:uid="{00000000-0005-0000-0000-000036940000}"/>
    <cellStyle name="Normal 57 7 2 4 8" xfId="27210" xr:uid="{00000000-0005-0000-0000-000037940000}"/>
    <cellStyle name="Normal 57 7 2 5" xfId="2741" xr:uid="{00000000-0005-0000-0000-000038940000}"/>
    <cellStyle name="Normal 57 7 2 5 2" xfId="12058" xr:uid="{00000000-0005-0000-0000-000039940000}"/>
    <cellStyle name="Normal 57 7 2 5 2 2" xfId="22102" xr:uid="{00000000-0005-0000-0000-00003A940000}"/>
    <cellStyle name="Normal 57 7 2 5 2 2 2" xfId="47655" xr:uid="{00000000-0005-0000-0000-00003B940000}"/>
    <cellStyle name="Normal 57 7 2 5 2 3" xfId="37613" xr:uid="{00000000-0005-0000-0000-00003C940000}"/>
    <cellStyle name="Normal 57 7 2 5 3" xfId="8628" xr:uid="{00000000-0005-0000-0000-00003D940000}"/>
    <cellStyle name="Normal 57 7 2 5 3 2" xfId="34185" xr:uid="{00000000-0005-0000-0000-00003E940000}"/>
    <cellStyle name="Normal 57 7 2 5 4" xfId="17095" xr:uid="{00000000-0005-0000-0000-00003F940000}"/>
    <cellStyle name="Normal 57 7 2 5 4 2" xfId="42648" xr:uid="{00000000-0005-0000-0000-000040940000}"/>
    <cellStyle name="Normal 57 7 2 5 5" xfId="28585" xr:uid="{00000000-0005-0000-0000-000041940000}"/>
    <cellStyle name="Normal 57 7 2 6" xfId="4392" xr:uid="{00000000-0005-0000-0000-000042940000}"/>
    <cellStyle name="Normal 57 7 2 6 2" xfId="13230" xr:uid="{00000000-0005-0000-0000-000043940000}"/>
    <cellStyle name="Normal 57 7 2 6 2 2" xfId="23481" xr:uid="{00000000-0005-0000-0000-000044940000}"/>
    <cellStyle name="Normal 57 7 2 6 2 2 2" xfId="49034" xr:uid="{00000000-0005-0000-0000-000045940000}"/>
    <cellStyle name="Normal 57 7 2 6 2 3" xfId="38785" xr:uid="{00000000-0005-0000-0000-000046940000}"/>
    <cellStyle name="Normal 57 7 2 6 3" xfId="9651" xr:uid="{00000000-0005-0000-0000-000047940000}"/>
    <cellStyle name="Normal 57 7 2 6 3 2" xfId="35208" xr:uid="{00000000-0005-0000-0000-000048940000}"/>
    <cellStyle name="Normal 57 7 2 6 4" xfId="18474" xr:uid="{00000000-0005-0000-0000-000049940000}"/>
    <cellStyle name="Normal 57 7 2 6 4 2" xfId="44027" xr:uid="{00000000-0005-0000-0000-00004A940000}"/>
    <cellStyle name="Normal 57 7 2 6 5" xfId="29964" xr:uid="{00000000-0005-0000-0000-00004B940000}"/>
    <cellStyle name="Normal 57 7 2 7" xfId="1664" xr:uid="{00000000-0005-0000-0000-00004C940000}"/>
    <cellStyle name="Normal 57 7 2 7 2" xfId="11041" xr:uid="{00000000-0005-0000-0000-00004D940000}"/>
    <cellStyle name="Normal 57 7 2 7 2 2" xfId="36596" xr:uid="{00000000-0005-0000-0000-00004E940000}"/>
    <cellStyle name="Normal 57 7 2 7 3" xfId="21045" xr:uid="{00000000-0005-0000-0000-00004F940000}"/>
    <cellStyle name="Normal 57 7 2 7 3 2" xfId="46598" xr:uid="{00000000-0005-0000-0000-000050940000}"/>
    <cellStyle name="Normal 57 7 2 7 4" xfId="27528" xr:uid="{00000000-0005-0000-0000-000051940000}"/>
    <cellStyle name="Normal 57 7 2 8" xfId="5848" xr:uid="{00000000-0005-0000-0000-000052940000}"/>
    <cellStyle name="Normal 57 7 2 8 2" xfId="14675" xr:uid="{00000000-0005-0000-0000-000053940000}"/>
    <cellStyle name="Normal 57 7 2 8 2 2" xfId="40230" xr:uid="{00000000-0005-0000-0000-000054940000}"/>
    <cellStyle name="Normal 57 7 2 8 3" xfId="24926" xr:uid="{00000000-0005-0000-0000-000055940000}"/>
    <cellStyle name="Normal 57 7 2 8 3 2" xfId="50479" xr:uid="{00000000-0005-0000-0000-000056940000}"/>
    <cellStyle name="Normal 57 7 2 8 4" xfId="31409" xr:uid="{00000000-0005-0000-0000-000057940000}"/>
    <cellStyle name="Normal 57 7 2 9" xfId="7292" xr:uid="{00000000-0005-0000-0000-000058940000}"/>
    <cellStyle name="Normal 57 7 2 9 2" xfId="19701" xr:uid="{00000000-0005-0000-0000-000059940000}"/>
    <cellStyle name="Normal 57 7 2 9 2 2" xfId="45254" xr:uid="{00000000-0005-0000-0000-00005A940000}"/>
    <cellStyle name="Normal 57 7 2 9 3" xfId="32849" xr:uid="{00000000-0005-0000-0000-00005B940000}"/>
    <cellStyle name="Normal 57 7 2_Degree data" xfId="3983" xr:uid="{00000000-0005-0000-0000-00005C940000}"/>
    <cellStyle name="Normal 57 7 3" xfId="467" xr:uid="{00000000-0005-0000-0000-00005D940000}"/>
    <cellStyle name="Normal 57 7 3 10" xfId="26396" xr:uid="{00000000-0005-0000-0000-00005E940000}"/>
    <cellStyle name="Normal 57 7 3 2" xfId="878" xr:uid="{00000000-0005-0000-0000-00005F940000}"/>
    <cellStyle name="Normal 57 7 3 2 2" xfId="3363" xr:uid="{00000000-0005-0000-0000-000060940000}"/>
    <cellStyle name="Normal 57 7 3 2 2 2" xfId="12505" xr:uid="{00000000-0005-0000-0000-000061940000}"/>
    <cellStyle name="Normal 57 7 3 2 2 2 2" xfId="22724" xr:uid="{00000000-0005-0000-0000-000062940000}"/>
    <cellStyle name="Normal 57 7 3 2 2 2 2 2" xfId="48277" xr:uid="{00000000-0005-0000-0000-000063940000}"/>
    <cellStyle name="Normal 57 7 3 2 2 2 3" xfId="38060" xr:uid="{00000000-0005-0000-0000-000064940000}"/>
    <cellStyle name="Normal 57 7 3 2 2 3" xfId="8927" xr:uid="{00000000-0005-0000-0000-000065940000}"/>
    <cellStyle name="Normal 57 7 3 2 2 3 2" xfId="34484" xr:uid="{00000000-0005-0000-0000-000066940000}"/>
    <cellStyle name="Normal 57 7 3 2 2 4" xfId="17717" xr:uid="{00000000-0005-0000-0000-000067940000}"/>
    <cellStyle name="Normal 57 7 3 2 2 4 2" xfId="43270" xr:uid="{00000000-0005-0000-0000-000068940000}"/>
    <cellStyle name="Normal 57 7 3 2 2 5" xfId="29207" xr:uid="{00000000-0005-0000-0000-000069940000}"/>
    <cellStyle name="Normal 57 7 3 2 3" xfId="4692" xr:uid="{00000000-0005-0000-0000-00006A940000}"/>
    <cellStyle name="Normal 57 7 3 2 3 2" xfId="13530" xr:uid="{00000000-0005-0000-0000-00006B940000}"/>
    <cellStyle name="Normal 57 7 3 2 3 2 2" xfId="23781" xr:uid="{00000000-0005-0000-0000-00006C940000}"/>
    <cellStyle name="Normal 57 7 3 2 3 2 2 2" xfId="49334" xr:uid="{00000000-0005-0000-0000-00006D940000}"/>
    <cellStyle name="Normal 57 7 3 2 3 2 3" xfId="39085" xr:uid="{00000000-0005-0000-0000-00006E940000}"/>
    <cellStyle name="Normal 57 7 3 2 3 3" xfId="9951" xr:uid="{00000000-0005-0000-0000-00006F940000}"/>
    <cellStyle name="Normal 57 7 3 2 3 3 2" xfId="35508" xr:uid="{00000000-0005-0000-0000-000070940000}"/>
    <cellStyle name="Normal 57 7 3 2 3 4" xfId="18774" xr:uid="{00000000-0005-0000-0000-000071940000}"/>
    <cellStyle name="Normal 57 7 3 2 3 4 2" xfId="44327" xr:uid="{00000000-0005-0000-0000-000072940000}"/>
    <cellStyle name="Normal 57 7 3 2 3 5" xfId="30264" xr:uid="{00000000-0005-0000-0000-000073940000}"/>
    <cellStyle name="Normal 57 7 3 2 4" xfId="2472" xr:uid="{00000000-0005-0000-0000-000074940000}"/>
    <cellStyle name="Normal 57 7 3 2 4 2" xfId="11837" xr:uid="{00000000-0005-0000-0000-000075940000}"/>
    <cellStyle name="Normal 57 7 3 2 4 2 2" xfId="37392" xr:uid="{00000000-0005-0000-0000-000076940000}"/>
    <cellStyle name="Normal 57 7 3 2 4 3" xfId="21841" xr:uid="{00000000-0005-0000-0000-000077940000}"/>
    <cellStyle name="Normal 57 7 3 2 4 3 2" xfId="47394" xr:uid="{00000000-0005-0000-0000-000078940000}"/>
    <cellStyle name="Normal 57 7 3 2 4 4" xfId="28324" xr:uid="{00000000-0005-0000-0000-000079940000}"/>
    <cellStyle name="Normal 57 7 3 2 5" xfId="6148" xr:uid="{00000000-0005-0000-0000-00007A940000}"/>
    <cellStyle name="Normal 57 7 3 2 5 2" xfId="14975" xr:uid="{00000000-0005-0000-0000-00007B940000}"/>
    <cellStyle name="Normal 57 7 3 2 5 2 2" xfId="40530" xr:uid="{00000000-0005-0000-0000-00007C940000}"/>
    <cellStyle name="Normal 57 7 3 2 5 3" xfId="25226" xr:uid="{00000000-0005-0000-0000-00007D940000}"/>
    <cellStyle name="Normal 57 7 3 2 5 3 2" xfId="50779" xr:uid="{00000000-0005-0000-0000-00007E940000}"/>
    <cellStyle name="Normal 57 7 3 2 5 4" xfId="31709" xr:uid="{00000000-0005-0000-0000-00007F940000}"/>
    <cellStyle name="Normal 57 7 3 2 6" xfId="7593" xr:uid="{00000000-0005-0000-0000-000080940000}"/>
    <cellStyle name="Normal 57 7 3 2 6 2" xfId="20323" xr:uid="{00000000-0005-0000-0000-000081940000}"/>
    <cellStyle name="Normal 57 7 3 2 6 2 2" xfId="45876" xr:uid="{00000000-0005-0000-0000-000082940000}"/>
    <cellStyle name="Normal 57 7 3 2 6 3" xfId="33150" xr:uid="{00000000-0005-0000-0000-000083940000}"/>
    <cellStyle name="Normal 57 7 3 2 7" xfId="16834" xr:uid="{00000000-0005-0000-0000-000084940000}"/>
    <cellStyle name="Normal 57 7 3 2 7 2" xfId="42387" xr:uid="{00000000-0005-0000-0000-000085940000}"/>
    <cellStyle name="Normal 57 7 3 2 8" xfId="26806" xr:uid="{00000000-0005-0000-0000-000086940000}"/>
    <cellStyle name="Normal 57 7 3 3" xfId="1239" xr:uid="{00000000-0005-0000-0000-000087940000}"/>
    <cellStyle name="Normal 57 7 3 3 2" xfId="3668" xr:uid="{00000000-0005-0000-0000-000088940000}"/>
    <cellStyle name="Normal 57 7 3 3 2 2" xfId="12804" xr:uid="{00000000-0005-0000-0000-000089940000}"/>
    <cellStyle name="Normal 57 7 3 3 2 2 2" xfId="23023" xr:uid="{00000000-0005-0000-0000-00008A940000}"/>
    <cellStyle name="Normal 57 7 3 3 2 2 2 2" xfId="48576" xr:uid="{00000000-0005-0000-0000-00008B940000}"/>
    <cellStyle name="Normal 57 7 3 3 2 2 3" xfId="38359" xr:uid="{00000000-0005-0000-0000-00008C940000}"/>
    <cellStyle name="Normal 57 7 3 3 2 3" xfId="9225" xr:uid="{00000000-0005-0000-0000-00008D940000}"/>
    <cellStyle name="Normal 57 7 3 3 2 3 2" xfId="34782" xr:uid="{00000000-0005-0000-0000-00008E940000}"/>
    <cellStyle name="Normal 57 7 3 3 2 4" xfId="18016" xr:uid="{00000000-0005-0000-0000-00008F940000}"/>
    <cellStyle name="Normal 57 7 3 3 2 4 2" xfId="43569" xr:uid="{00000000-0005-0000-0000-000090940000}"/>
    <cellStyle name="Normal 57 7 3 3 2 5" xfId="29506" xr:uid="{00000000-0005-0000-0000-000091940000}"/>
    <cellStyle name="Normal 57 7 3 3 3" xfId="5041" xr:uid="{00000000-0005-0000-0000-000092940000}"/>
    <cellStyle name="Normal 57 7 3 3 3 2" xfId="13878" xr:uid="{00000000-0005-0000-0000-000093940000}"/>
    <cellStyle name="Normal 57 7 3 3 3 2 2" xfId="24129" xr:uid="{00000000-0005-0000-0000-000094940000}"/>
    <cellStyle name="Normal 57 7 3 3 3 2 2 2" xfId="49682" xr:uid="{00000000-0005-0000-0000-000095940000}"/>
    <cellStyle name="Normal 57 7 3 3 3 2 3" xfId="39433" xr:uid="{00000000-0005-0000-0000-000096940000}"/>
    <cellStyle name="Normal 57 7 3 3 3 3" xfId="10299" xr:uid="{00000000-0005-0000-0000-000097940000}"/>
    <cellStyle name="Normal 57 7 3 3 3 3 2" xfId="35856" xr:uid="{00000000-0005-0000-0000-000098940000}"/>
    <cellStyle name="Normal 57 7 3 3 3 4" xfId="19122" xr:uid="{00000000-0005-0000-0000-000099940000}"/>
    <cellStyle name="Normal 57 7 3 3 3 4 2" xfId="44675" xr:uid="{00000000-0005-0000-0000-00009A940000}"/>
    <cellStyle name="Normal 57 7 3 3 3 5" xfId="30612" xr:uid="{00000000-0005-0000-0000-00009B940000}"/>
    <cellStyle name="Normal 57 7 3 3 4" xfId="2062" xr:uid="{00000000-0005-0000-0000-00009C940000}"/>
    <cellStyle name="Normal 57 7 3 3 4 2" xfId="11427" xr:uid="{00000000-0005-0000-0000-00009D940000}"/>
    <cellStyle name="Normal 57 7 3 3 4 2 2" xfId="36982" xr:uid="{00000000-0005-0000-0000-00009E940000}"/>
    <cellStyle name="Normal 57 7 3 3 4 3" xfId="21431" xr:uid="{00000000-0005-0000-0000-00009F940000}"/>
    <cellStyle name="Normal 57 7 3 3 4 3 2" xfId="46984" xr:uid="{00000000-0005-0000-0000-0000A0940000}"/>
    <cellStyle name="Normal 57 7 3 3 4 4" xfId="27914" xr:uid="{00000000-0005-0000-0000-0000A1940000}"/>
    <cellStyle name="Normal 57 7 3 3 5" xfId="6496" xr:uid="{00000000-0005-0000-0000-0000A2940000}"/>
    <cellStyle name="Normal 57 7 3 3 5 2" xfId="15323" xr:uid="{00000000-0005-0000-0000-0000A3940000}"/>
    <cellStyle name="Normal 57 7 3 3 5 2 2" xfId="40878" xr:uid="{00000000-0005-0000-0000-0000A4940000}"/>
    <cellStyle name="Normal 57 7 3 3 5 3" xfId="25574" xr:uid="{00000000-0005-0000-0000-0000A5940000}"/>
    <cellStyle name="Normal 57 7 3 3 5 3 2" xfId="51127" xr:uid="{00000000-0005-0000-0000-0000A6940000}"/>
    <cellStyle name="Normal 57 7 3 3 5 4" xfId="32057" xr:uid="{00000000-0005-0000-0000-0000A7940000}"/>
    <cellStyle name="Normal 57 7 3 3 6" xfId="7942" xr:uid="{00000000-0005-0000-0000-0000A8940000}"/>
    <cellStyle name="Normal 57 7 3 3 6 2" xfId="20622" xr:uid="{00000000-0005-0000-0000-0000A9940000}"/>
    <cellStyle name="Normal 57 7 3 3 6 2 2" xfId="46175" xr:uid="{00000000-0005-0000-0000-0000AA940000}"/>
    <cellStyle name="Normal 57 7 3 3 6 3" xfId="33499" xr:uid="{00000000-0005-0000-0000-0000AB940000}"/>
    <cellStyle name="Normal 57 7 3 3 7" xfId="16424" xr:uid="{00000000-0005-0000-0000-0000AC940000}"/>
    <cellStyle name="Normal 57 7 3 3 7 2" xfId="41977" xr:uid="{00000000-0005-0000-0000-0000AD940000}"/>
    <cellStyle name="Normal 57 7 3 3 8" xfId="27105" xr:uid="{00000000-0005-0000-0000-0000AE940000}"/>
    <cellStyle name="Normal 57 7 3 4" xfId="2953" xr:uid="{00000000-0005-0000-0000-0000AF940000}"/>
    <cellStyle name="Normal 57 7 3 4 2" xfId="5331" xr:uid="{00000000-0005-0000-0000-0000B0940000}"/>
    <cellStyle name="Normal 57 7 3 4 2 2" xfId="14168" xr:uid="{00000000-0005-0000-0000-0000B1940000}"/>
    <cellStyle name="Normal 57 7 3 4 2 2 2" xfId="24419" xr:uid="{00000000-0005-0000-0000-0000B2940000}"/>
    <cellStyle name="Normal 57 7 3 4 2 2 2 2" xfId="49972" xr:uid="{00000000-0005-0000-0000-0000B3940000}"/>
    <cellStyle name="Normal 57 7 3 4 2 2 3" xfId="39723" xr:uid="{00000000-0005-0000-0000-0000B4940000}"/>
    <cellStyle name="Normal 57 7 3 4 2 3" xfId="10589" xr:uid="{00000000-0005-0000-0000-0000B5940000}"/>
    <cellStyle name="Normal 57 7 3 4 2 3 2" xfId="36146" xr:uid="{00000000-0005-0000-0000-0000B6940000}"/>
    <cellStyle name="Normal 57 7 3 4 2 4" xfId="19412" xr:uid="{00000000-0005-0000-0000-0000B7940000}"/>
    <cellStyle name="Normal 57 7 3 4 2 4 2" xfId="44965" xr:uid="{00000000-0005-0000-0000-0000B8940000}"/>
    <cellStyle name="Normal 57 7 3 4 2 5" xfId="30902" xr:uid="{00000000-0005-0000-0000-0000B9940000}"/>
    <cellStyle name="Normal 57 7 3 4 3" xfId="6786" xr:uid="{00000000-0005-0000-0000-0000BA940000}"/>
    <cellStyle name="Normal 57 7 3 4 3 2" xfId="15613" xr:uid="{00000000-0005-0000-0000-0000BB940000}"/>
    <cellStyle name="Normal 57 7 3 4 3 2 2" xfId="41168" xr:uid="{00000000-0005-0000-0000-0000BC940000}"/>
    <cellStyle name="Normal 57 7 3 4 3 3" xfId="25864" xr:uid="{00000000-0005-0000-0000-0000BD940000}"/>
    <cellStyle name="Normal 57 7 3 4 3 3 2" xfId="51417" xr:uid="{00000000-0005-0000-0000-0000BE940000}"/>
    <cellStyle name="Normal 57 7 3 4 3 4" xfId="32347" xr:uid="{00000000-0005-0000-0000-0000BF940000}"/>
    <cellStyle name="Normal 57 7 3 4 4" xfId="8232" xr:uid="{00000000-0005-0000-0000-0000C0940000}"/>
    <cellStyle name="Normal 57 7 3 4 4 2" xfId="22314" xr:uid="{00000000-0005-0000-0000-0000C1940000}"/>
    <cellStyle name="Normal 57 7 3 4 4 2 2" xfId="47867" xr:uid="{00000000-0005-0000-0000-0000C2940000}"/>
    <cellStyle name="Normal 57 7 3 4 4 3" xfId="33789" xr:uid="{00000000-0005-0000-0000-0000C3940000}"/>
    <cellStyle name="Normal 57 7 3 4 5" xfId="17307" xr:uid="{00000000-0005-0000-0000-0000C4940000}"/>
    <cellStyle name="Normal 57 7 3 4 5 2" xfId="42860" xr:uid="{00000000-0005-0000-0000-0000C5940000}"/>
    <cellStyle name="Normal 57 7 3 4 6" xfId="28797" xr:uid="{00000000-0005-0000-0000-0000C6940000}"/>
    <cellStyle name="Normal 57 7 3 5" xfId="4287" xr:uid="{00000000-0005-0000-0000-0000C7940000}"/>
    <cellStyle name="Normal 57 7 3 5 2" xfId="13125" xr:uid="{00000000-0005-0000-0000-0000C8940000}"/>
    <cellStyle name="Normal 57 7 3 5 2 2" xfId="23376" xr:uid="{00000000-0005-0000-0000-0000C9940000}"/>
    <cellStyle name="Normal 57 7 3 5 2 2 2" xfId="48929" xr:uid="{00000000-0005-0000-0000-0000CA940000}"/>
    <cellStyle name="Normal 57 7 3 5 2 3" xfId="38680" xr:uid="{00000000-0005-0000-0000-0000CB940000}"/>
    <cellStyle name="Normal 57 7 3 5 3" xfId="9546" xr:uid="{00000000-0005-0000-0000-0000CC940000}"/>
    <cellStyle name="Normal 57 7 3 5 3 2" xfId="35103" xr:uid="{00000000-0005-0000-0000-0000CD940000}"/>
    <cellStyle name="Normal 57 7 3 5 4" xfId="18369" xr:uid="{00000000-0005-0000-0000-0000CE940000}"/>
    <cellStyle name="Normal 57 7 3 5 4 2" xfId="43922" xr:uid="{00000000-0005-0000-0000-0000CF940000}"/>
    <cellStyle name="Normal 57 7 3 5 5" xfId="29859" xr:uid="{00000000-0005-0000-0000-0000D0940000}"/>
    <cellStyle name="Normal 57 7 3 6" xfId="1559" xr:uid="{00000000-0005-0000-0000-0000D1940000}"/>
    <cellStyle name="Normal 57 7 3 6 2" xfId="10936" xr:uid="{00000000-0005-0000-0000-0000D2940000}"/>
    <cellStyle name="Normal 57 7 3 6 2 2" xfId="36491" xr:uid="{00000000-0005-0000-0000-0000D3940000}"/>
    <cellStyle name="Normal 57 7 3 6 3" xfId="20940" xr:uid="{00000000-0005-0000-0000-0000D4940000}"/>
    <cellStyle name="Normal 57 7 3 6 3 2" xfId="46493" xr:uid="{00000000-0005-0000-0000-0000D5940000}"/>
    <cellStyle name="Normal 57 7 3 6 4" xfId="27423" xr:uid="{00000000-0005-0000-0000-0000D6940000}"/>
    <cellStyle name="Normal 57 7 3 7" xfId="5743" xr:uid="{00000000-0005-0000-0000-0000D7940000}"/>
    <cellStyle name="Normal 57 7 3 7 2" xfId="14570" xr:uid="{00000000-0005-0000-0000-0000D8940000}"/>
    <cellStyle name="Normal 57 7 3 7 2 2" xfId="40125" xr:uid="{00000000-0005-0000-0000-0000D9940000}"/>
    <cellStyle name="Normal 57 7 3 7 3" xfId="24821" xr:uid="{00000000-0005-0000-0000-0000DA940000}"/>
    <cellStyle name="Normal 57 7 3 7 3 2" xfId="50374" xr:uid="{00000000-0005-0000-0000-0000DB940000}"/>
    <cellStyle name="Normal 57 7 3 7 4" xfId="31304" xr:uid="{00000000-0005-0000-0000-0000DC940000}"/>
    <cellStyle name="Normal 57 7 3 8" xfId="7187" xr:uid="{00000000-0005-0000-0000-0000DD940000}"/>
    <cellStyle name="Normal 57 7 3 8 2" xfId="19913" xr:uid="{00000000-0005-0000-0000-0000DE940000}"/>
    <cellStyle name="Normal 57 7 3 8 2 2" xfId="45466" xr:uid="{00000000-0005-0000-0000-0000DF940000}"/>
    <cellStyle name="Normal 57 7 3 8 3" xfId="32744" xr:uid="{00000000-0005-0000-0000-0000E0940000}"/>
    <cellStyle name="Normal 57 7 3 9" xfId="15933" xr:uid="{00000000-0005-0000-0000-0000E1940000}"/>
    <cellStyle name="Normal 57 7 3 9 2" xfId="41486" xr:uid="{00000000-0005-0000-0000-0000E2940000}"/>
    <cellStyle name="Normal 57 7 3_Degree data" xfId="3984" xr:uid="{00000000-0005-0000-0000-0000E3940000}"/>
    <cellStyle name="Normal 57 7 4" xfId="367" xr:uid="{00000000-0005-0000-0000-0000E4940000}"/>
    <cellStyle name="Normal 57 7 4 2" xfId="2853" xr:uid="{00000000-0005-0000-0000-0000E5940000}"/>
    <cellStyle name="Normal 57 7 4 2 2" xfId="12141" xr:uid="{00000000-0005-0000-0000-0000E6940000}"/>
    <cellStyle name="Normal 57 7 4 2 2 2" xfId="22214" xr:uid="{00000000-0005-0000-0000-0000E7940000}"/>
    <cellStyle name="Normal 57 7 4 2 2 2 2" xfId="47767" xr:uid="{00000000-0005-0000-0000-0000E8940000}"/>
    <cellStyle name="Normal 57 7 4 2 2 3" xfId="37696" xr:uid="{00000000-0005-0000-0000-0000E9940000}"/>
    <cellStyle name="Normal 57 7 4 2 3" xfId="8612" xr:uid="{00000000-0005-0000-0000-0000EA940000}"/>
    <cellStyle name="Normal 57 7 4 2 3 2" xfId="34169" xr:uid="{00000000-0005-0000-0000-0000EB940000}"/>
    <cellStyle name="Normal 57 7 4 2 4" xfId="17207" xr:uid="{00000000-0005-0000-0000-0000EC940000}"/>
    <cellStyle name="Normal 57 7 4 2 4 2" xfId="42760" xr:uid="{00000000-0005-0000-0000-0000ED940000}"/>
    <cellStyle name="Normal 57 7 4 2 5" xfId="28697" xr:uid="{00000000-0005-0000-0000-0000EE940000}"/>
    <cellStyle name="Normal 57 7 4 3" xfId="4690" xr:uid="{00000000-0005-0000-0000-0000EF940000}"/>
    <cellStyle name="Normal 57 7 4 3 2" xfId="13528" xr:uid="{00000000-0005-0000-0000-0000F0940000}"/>
    <cellStyle name="Normal 57 7 4 3 2 2" xfId="23779" xr:uid="{00000000-0005-0000-0000-0000F1940000}"/>
    <cellStyle name="Normal 57 7 4 3 2 2 2" xfId="49332" xr:uid="{00000000-0005-0000-0000-0000F2940000}"/>
    <cellStyle name="Normal 57 7 4 3 2 3" xfId="39083" xr:uid="{00000000-0005-0000-0000-0000F3940000}"/>
    <cellStyle name="Normal 57 7 4 3 3" xfId="9949" xr:uid="{00000000-0005-0000-0000-0000F4940000}"/>
    <cellStyle name="Normal 57 7 4 3 3 2" xfId="35506" xr:uid="{00000000-0005-0000-0000-0000F5940000}"/>
    <cellStyle name="Normal 57 7 4 3 4" xfId="18772" xr:uid="{00000000-0005-0000-0000-0000F6940000}"/>
    <cellStyle name="Normal 57 7 4 3 4 2" xfId="44325" xr:uid="{00000000-0005-0000-0000-0000F7940000}"/>
    <cellStyle name="Normal 57 7 4 3 5" xfId="30262" xr:uid="{00000000-0005-0000-0000-0000F8940000}"/>
    <cellStyle name="Normal 57 7 4 4" xfId="1962" xr:uid="{00000000-0005-0000-0000-0000F9940000}"/>
    <cellStyle name="Normal 57 7 4 4 2" xfId="11327" xr:uid="{00000000-0005-0000-0000-0000FA940000}"/>
    <cellStyle name="Normal 57 7 4 4 2 2" xfId="36882" xr:uid="{00000000-0005-0000-0000-0000FB940000}"/>
    <cellStyle name="Normal 57 7 4 4 3" xfId="21331" xr:uid="{00000000-0005-0000-0000-0000FC940000}"/>
    <cellStyle name="Normal 57 7 4 4 3 2" xfId="46884" xr:uid="{00000000-0005-0000-0000-0000FD940000}"/>
    <cellStyle name="Normal 57 7 4 4 4" xfId="27814" xr:uid="{00000000-0005-0000-0000-0000FE940000}"/>
    <cellStyle name="Normal 57 7 4 5" xfId="6146" xr:uid="{00000000-0005-0000-0000-0000FF940000}"/>
    <cellStyle name="Normal 57 7 4 5 2" xfId="14973" xr:uid="{00000000-0005-0000-0000-000000950000}"/>
    <cellStyle name="Normal 57 7 4 5 2 2" xfId="40528" xr:uid="{00000000-0005-0000-0000-000001950000}"/>
    <cellStyle name="Normal 57 7 4 5 3" xfId="25224" xr:uid="{00000000-0005-0000-0000-000002950000}"/>
    <cellStyle name="Normal 57 7 4 5 3 2" xfId="50777" xr:uid="{00000000-0005-0000-0000-000003950000}"/>
    <cellStyle name="Normal 57 7 4 5 4" xfId="31707" xr:uid="{00000000-0005-0000-0000-000004950000}"/>
    <cellStyle name="Normal 57 7 4 6" xfId="7591" xr:uid="{00000000-0005-0000-0000-000005950000}"/>
    <cellStyle name="Normal 57 7 4 6 2" xfId="19813" xr:uid="{00000000-0005-0000-0000-000006950000}"/>
    <cellStyle name="Normal 57 7 4 6 2 2" xfId="45366" xr:uid="{00000000-0005-0000-0000-000007950000}"/>
    <cellStyle name="Normal 57 7 4 6 3" xfId="33148" xr:uid="{00000000-0005-0000-0000-000008950000}"/>
    <cellStyle name="Normal 57 7 4 7" xfId="16324" xr:uid="{00000000-0005-0000-0000-000009950000}"/>
    <cellStyle name="Normal 57 7 4 7 2" xfId="41877" xr:uid="{00000000-0005-0000-0000-00000A950000}"/>
    <cellStyle name="Normal 57 7 4 8" xfId="26296" xr:uid="{00000000-0005-0000-0000-00000B950000}"/>
    <cellStyle name="Normal 57 7 5" xfId="876" xr:uid="{00000000-0005-0000-0000-00000C950000}"/>
    <cellStyle name="Normal 57 7 5 2" xfId="3361" xr:uid="{00000000-0005-0000-0000-00000D950000}"/>
    <cellStyle name="Normal 57 7 5 2 2" xfId="12503" xr:uid="{00000000-0005-0000-0000-00000E950000}"/>
    <cellStyle name="Normal 57 7 5 2 2 2" xfId="22722" xr:uid="{00000000-0005-0000-0000-00000F950000}"/>
    <cellStyle name="Normal 57 7 5 2 2 2 2" xfId="48275" xr:uid="{00000000-0005-0000-0000-000010950000}"/>
    <cellStyle name="Normal 57 7 5 2 2 3" xfId="38058" xr:uid="{00000000-0005-0000-0000-000011950000}"/>
    <cellStyle name="Normal 57 7 5 2 3" xfId="8925" xr:uid="{00000000-0005-0000-0000-000012950000}"/>
    <cellStyle name="Normal 57 7 5 2 3 2" xfId="34482" xr:uid="{00000000-0005-0000-0000-000013950000}"/>
    <cellStyle name="Normal 57 7 5 2 4" xfId="17715" xr:uid="{00000000-0005-0000-0000-000014950000}"/>
    <cellStyle name="Normal 57 7 5 2 4 2" xfId="43268" xr:uid="{00000000-0005-0000-0000-000015950000}"/>
    <cellStyle name="Normal 57 7 5 2 5" xfId="29205" xr:uid="{00000000-0005-0000-0000-000016950000}"/>
    <cellStyle name="Normal 57 7 5 3" xfId="5039" xr:uid="{00000000-0005-0000-0000-000017950000}"/>
    <cellStyle name="Normal 57 7 5 3 2" xfId="13876" xr:uid="{00000000-0005-0000-0000-000018950000}"/>
    <cellStyle name="Normal 57 7 5 3 2 2" xfId="24127" xr:uid="{00000000-0005-0000-0000-000019950000}"/>
    <cellStyle name="Normal 57 7 5 3 2 2 2" xfId="49680" xr:uid="{00000000-0005-0000-0000-00001A950000}"/>
    <cellStyle name="Normal 57 7 5 3 2 3" xfId="39431" xr:uid="{00000000-0005-0000-0000-00001B950000}"/>
    <cellStyle name="Normal 57 7 5 3 3" xfId="10297" xr:uid="{00000000-0005-0000-0000-00001C950000}"/>
    <cellStyle name="Normal 57 7 5 3 3 2" xfId="35854" xr:uid="{00000000-0005-0000-0000-00001D950000}"/>
    <cellStyle name="Normal 57 7 5 3 4" xfId="19120" xr:uid="{00000000-0005-0000-0000-00001E950000}"/>
    <cellStyle name="Normal 57 7 5 3 4 2" xfId="44673" xr:uid="{00000000-0005-0000-0000-00001F950000}"/>
    <cellStyle name="Normal 57 7 5 3 5" xfId="30610" xr:uid="{00000000-0005-0000-0000-000020950000}"/>
    <cellStyle name="Normal 57 7 5 4" xfId="2470" xr:uid="{00000000-0005-0000-0000-000021950000}"/>
    <cellStyle name="Normal 57 7 5 4 2" xfId="11835" xr:uid="{00000000-0005-0000-0000-000022950000}"/>
    <cellStyle name="Normal 57 7 5 4 2 2" xfId="37390" xr:uid="{00000000-0005-0000-0000-000023950000}"/>
    <cellStyle name="Normal 57 7 5 4 3" xfId="21839" xr:uid="{00000000-0005-0000-0000-000024950000}"/>
    <cellStyle name="Normal 57 7 5 4 3 2" xfId="47392" xr:uid="{00000000-0005-0000-0000-000025950000}"/>
    <cellStyle name="Normal 57 7 5 4 4" xfId="28322" xr:uid="{00000000-0005-0000-0000-000026950000}"/>
    <cellStyle name="Normal 57 7 5 5" xfId="6494" xr:uid="{00000000-0005-0000-0000-000027950000}"/>
    <cellStyle name="Normal 57 7 5 5 2" xfId="15321" xr:uid="{00000000-0005-0000-0000-000028950000}"/>
    <cellStyle name="Normal 57 7 5 5 2 2" xfId="40876" xr:uid="{00000000-0005-0000-0000-000029950000}"/>
    <cellStyle name="Normal 57 7 5 5 3" xfId="25572" xr:uid="{00000000-0005-0000-0000-00002A950000}"/>
    <cellStyle name="Normal 57 7 5 5 3 2" xfId="51125" xr:uid="{00000000-0005-0000-0000-00002B950000}"/>
    <cellStyle name="Normal 57 7 5 5 4" xfId="32055" xr:uid="{00000000-0005-0000-0000-00002C950000}"/>
    <cellStyle name="Normal 57 7 5 6" xfId="7940" xr:uid="{00000000-0005-0000-0000-00002D950000}"/>
    <cellStyle name="Normal 57 7 5 6 2" xfId="20321" xr:uid="{00000000-0005-0000-0000-00002E950000}"/>
    <cellStyle name="Normal 57 7 5 6 2 2" xfId="45874" xr:uid="{00000000-0005-0000-0000-00002F950000}"/>
    <cellStyle name="Normal 57 7 5 6 3" xfId="33497" xr:uid="{00000000-0005-0000-0000-000030950000}"/>
    <cellStyle name="Normal 57 7 5 7" xfId="16832" xr:uid="{00000000-0005-0000-0000-000031950000}"/>
    <cellStyle name="Normal 57 7 5 7 2" xfId="42385" xr:uid="{00000000-0005-0000-0000-000032950000}"/>
    <cellStyle name="Normal 57 7 5 8" xfId="26804" xr:uid="{00000000-0005-0000-0000-000033950000}"/>
    <cellStyle name="Normal 57 7 6" xfId="1139" xr:uid="{00000000-0005-0000-0000-000034950000}"/>
    <cellStyle name="Normal 57 7 6 2" xfId="3568" xr:uid="{00000000-0005-0000-0000-000035950000}"/>
    <cellStyle name="Normal 57 7 6 2 2" xfId="12704" xr:uid="{00000000-0005-0000-0000-000036950000}"/>
    <cellStyle name="Normal 57 7 6 2 2 2" xfId="22923" xr:uid="{00000000-0005-0000-0000-000037950000}"/>
    <cellStyle name="Normal 57 7 6 2 2 2 2" xfId="48476" xr:uid="{00000000-0005-0000-0000-000038950000}"/>
    <cellStyle name="Normal 57 7 6 2 2 3" xfId="38259" xr:uid="{00000000-0005-0000-0000-000039950000}"/>
    <cellStyle name="Normal 57 7 6 2 3" xfId="9125" xr:uid="{00000000-0005-0000-0000-00003A950000}"/>
    <cellStyle name="Normal 57 7 6 2 3 2" xfId="34682" xr:uid="{00000000-0005-0000-0000-00003B950000}"/>
    <cellStyle name="Normal 57 7 6 2 4" xfId="17916" xr:uid="{00000000-0005-0000-0000-00003C950000}"/>
    <cellStyle name="Normal 57 7 6 2 4 2" xfId="43469" xr:uid="{00000000-0005-0000-0000-00003D950000}"/>
    <cellStyle name="Normal 57 7 6 2 5" xfId="29406" xr:uid="{00000000-0005-0000-0000-00003E950000}"/>
    <cellStyle name="Normal 57 7 6 3" xfId="5231" xr:uid="{00000000-0005-0000-0000-00003F950000}"/>
    <cellStyle name="Normal 57 7 6 3 2" xfId="14068" xr:uid="{00000000-0005-0000-0000-000040950000}"/>
    <cellStyle name="Normal 57 7 6 3 2 2" xfId="24319" xr:uid="{00000000-0005-0000-0000-000041950000}"/>
    <cellStyle name="Normal 57 7 6 3 2 2 2" xfId="49872" xr:uid="{00000000-0005-0000-0000-000042950000}"/>
    <cellStyle name="Normal 57 7 6 3 2 3" xfId="39623" xr:uid="{00000000-0005-0000-0000-000043950000}"/>
    <cellStyle name="Normal 57 7 6 3 3" xfId="10489" xr:uid="{00000000-0005-0000-0000-000044950000}"/>
    <cellStyle name="Normal 57 7 6 3 3 2" xfId="36046" xr:uid="{00000000-0005-0000-0000-000045950000}"/>
    <cellStyle name="Normal 57 7 6 3 4" xfId="19312" xr:uid="{00000000-0005-0000-0000-000046950000}"/>
    <cellStyle name="Normal 57 7 6 3 4 2" xfId="44865" xr:uid="{00000000-0005-0000-0000-000047950000}"/>
    <cellStyle name="Normal 57 7 6 3 5" xfId="30802" xr:uid="{00000000-0005-0000-0000-000048950000}"/>
    <cellStyle name="Normal 57 7 6 4" xfId="1738" xr:uid="{00000000-0005-0000-0000-000049950000}"/>
    <cellStyle name="Normal 57 7 6 4 2" xfId="11109" xr:uid="{00000000-0005-0000-0000-00004A950000}"/>
    <cellStyle name="Normal 57 7 6 4 2 2" xfId="36664" xr:uid="{00000000-0005-0000-0000-00004B950000}"/>
    <cellStyle name="Normal 57 7 6 4 3" xfId="21113" xr:uid="{00000000-0005-0000-0000-00004C950000}"/>
    <cellStyle name="Normal 57 7 6 4 3 2" xfId="46666" xr:uid="{00000000-0005-0000-0000-00004D950000}"/>
    <cellStyle name="Normal 57 7 6 4 4" xfId="27596" xr:uid="{00000000-0005-0000-0000-00004E950000}"/>
    <cellStyle name="Normal 57 7 6 5" xfId="6686" xr:uid="{00000000-0005-0000-0000-00004F950000}"/>
    <cellStyle name="Normal 57 7 6 5 2" xfId="15513" xr:uid="{00000000-0005-0000-0000-000050950000}"/>
    <cellStyle name="Normal 57 7 6 5 2 2" xfId="41068" xr:uid="{00000000-0005-0000-0000-000051950000}"/>
    <cellStyle name="Normal 57 7 6 5 3" xfId="25764" xr:uid="{00000000-0005-0000-0000-000052950000}"/>
    <cellStyle name="Normal 57 7 6 5 3 2" xfId="51317" xr:uid="{00000000-0005-0000-0000-000053950000}"/>
    <cellStyle name="Normal 57 7 6 5 4" xfId="32247" xr:uid="{00000000-0005-0000-0000-000054950000}"/>
    <cellStyle name="Normal 57 7 6 6" xfId="8132" xr:uid="{00000000-0005-0000-0000-000055950000}"/>
    <cellStyle name="Normal 57 7 6 6 2" xfId="20522" xr:uid="{00000000-0005-0000-0000-000056950000}"/>
    <cellStyle name="Normal 57 7 6 6 2 2" xfId="46075" xr:uid="{00000000-0005-0000-0000-000057950000}"/>
    <cellStyle name="Normal 57 7 6 6 3" xfId="33689" xr:uid="{00000000-0005-0000-0000-000058950000}"/>
    <cellStyle name="Normal 57 7 6 7" xfId="16106" xr:uid="{00000000-0005-0000-0000-000059950000}"/>
    <cellStyle name="Normal 57 7 6 7 2" xfId="41659" xr:uid="{00000000-0005-0000-0000-00005A950000}"/>
    <cellStyle name="Normal 57 7 6 8" xfId="27005" xr:uid="{00000000-0005-0000-0000-00005B950000}"/>
    <cellStyle name="Normal 57 7 7" xfId="2636" xr:uid="{00000000-0005-0000-0000-00005C950000}"/>
    <cellStyle name="Normal 57 7 7 2" xfId="11968" xr:uid="{00000000-0005-0000-0000-00005D950000}"/>
    <cellStyle name="Normal 57 7 7 2 2" xfId="21997" xr:uid="{00000000-0005-0000-0000-00005E950000}"/>
    <cellStyle name="Normal 57 7 7 2 2 2" xfId="47550" xr:uid="{00000000-0005-0000-0000-00005F950000}"/>
    <cellStyle name="Normal 57 7 7 2 3" xfId="37523" xr:uid="{00000000-0005-0000-0000-000060950000}"/>
    <cellStyle name="Normal 57 7 7 3" xfId="8388" xr:uid="{00000000-0005-0000-0000-000061950000}"/>
    <cellStyle name="Normal 57 7 7 3 2" xfId="33945" xr:uid="{00000000-0005-0000-0000-000062950000}"/>
    <cellStyle name="Normal 57 7 7 4" xfId="16990" xr:uid="{00000000-0005-0000-0000-000063950000}"/>
    <cellStyle name="Normal 57 7 7 4 2" xfId="42543" xr:uid="{00000000-0005-0000-0000-000064950000}"/>
    <cellStyle name="Normal 57 7 7 5" xfId="28480" xr:uid="{00000000-0005-0000-0000-000065950000}"/>
    <cellStyle name="Normal 57 7 8" xfId="4187" xr:uid="{00000000-0005-0000-0000-000066950000}"/>
    <cellStyle name="Normal 57 7 8 2" xfId="13025" xr:uid="{00000000-0005-0000-0000-000067950000}"/>
    <cellStyle name="Normal 57 7 8 2 2" xfId="23276" xr:uid="{00000000-0005-0000-0000-000068950000}"/>
    <cellStyle name="Normal 57 7 8 2 2 2" xfId="48829" xr:uid="{00000000-0005-0000-0000-000069950000}"/>
    <cellStyle name="Normal 57 7 8 2 3" xfId="38580" xr:uid="{00000000-0005-0000-0000-00006A950000}"/>
    <cellStyle name="Normal 57 7 8 3" xfId="9446" xr:uid="{00000000-0005-0000-0000-00006B950000}"/>
    <cellStyle name="Normal 57 7 8 3 2" xfId="35003" xr:uid="{00000000-0005-0000-0000-00006C950000}"/>
    <cellStyle name="Normal 57 7 8 4" xfId="18269" xr:uid="{00000000-0005-0000-0000-00006D950000}"/>
    <cellStyle name="Normal 57 7 8 4 2" xfId="43822" xr:uid="{00000000-0005-0000-0000-00006E950000}"/>
    <cellStyle name="Normal 57 7 8 5" xfId="29759" xr:uid="{00000000-0005-0000-0000-00006F950000}"/>
    <cellStyle name="Normal 57 7 9" xfId="1459" xr:uid="{00000000-0005-0000-0000-000070950000}"/>
    <cellStyle name="Normal 57 7 9 2" xfId="10836" xr:uid="{00000000-0005-0000-0000-000071950000}"/>
    <cellStyle name="Normal 57 7 9 2 2" xfId="36391" xr:uid="{00000000-0005-0000-0000-000072950000}"/>
    <cellStyle name="Normal 57 7 9 3" xfId="20840" xr:uid="{00000000-0005-0000-0000-000073950000}"/>
    <cellStyle name="Normal 57 7 9 3 2" xfId="46393" xr:uid="{00000000-0005-0000-0000-000074950000}"/>
    <cellStyle name="Normal 57 7 9 4" xfId="27323" xr:uid="{00000000-0005-0000-0000-000075950000}"/>
    <cellStyle name="Normal 57 7_Degree data" xfId="3982" xr:uid="{00000000-0005-0000-0000-000076950000}"/>
    <cellStyle name="Normal 57 8" xfId="169" xr:uid="{00000000-0005-0000-0000-000077950000}"/>
    <cellStyle name="Normal 57 8 10" xfId="7117" xr:uid="{00000000-0005-0000-0000-000078950000}"/>
    <cellStyle name="Normal 57 8 10 2" xfId="19626" xr:uid="{00000000-0005-0000-0000-000079950000}"/>
    <cellStyle name="Normal 57 8 10 2 2" xfId="45179" xr:uid="{00000000-0005-0000-0000-00007A950000}"/>
    <cellStyle name="Normal 57 8 10 3" xfId="32674" xr:uid="{00000000-0005-0000-0000-00007B950000}"/>
    <cellStyle name="Normal 57 8 11" xfId="15863" xr:uid="{00000000-0005-0000-0000-00007C950000}"/>
    <cellStyle name="Normal 57 8 11 2" xfId="41416" xr:uid="{00000000-0005-0000-0000-00007D950000}"/>
    <cellStyle name="Normal 57 8 12" xfId="26109" xr:uid="{00000000-0005-0000-0000-00007E950000}"/>
    <cellStyle name="Normal 57 8 2" xfId="497" xr:uid="{00000000-0005-0000-0000-00007F950000}"/>
    <cellStyle name="Normal 57 8 2 10" xfId="26426" xr:uid="{00000000-0005-0000-0000-000080950000}"/>
    <cellStyle name="Normal 57 8 2 2" xfId="880" xr:uid="{00000000-0005-0000-0000-000081950000}"/>
    <cellStyle name="Normal 57 8 2 2 2" xfId="3365" xr:uid="{00000000-0005-0000-0000-000082950000}"/>
    <cellStyle name="Normal 57 8 2 2 2 2" xfId="12507" xr:uid="{00000000-0005-0000-0000-000083950000}"/>
    <cellStyle name="Normal 57 8 2 2 2 2 2" xfId="22726" xr:uid="{00000000-0005-0000-0000-000084950000}"/>
    <cellStyle name="Normal 57 8 2 2 2 2 2 2" xfId="48279" xr:uid="{00000000-0005-0000-0000-000085950000}"/>
    <cellStyle name="Normal 57 8 2 2 2 2 3" xfId="38062" xr:uid="{00000000-0005-0000-0000-000086950000}"/>
    <cellStyle name="Normal 57 8 2 2 2 3" xfId="8929" xr:uid="{00000000-0005-0000-0000-000087950000}"/>
    <cellStyle name="Normal 57 8 2 2 2 3 2" xfId="34486" xr:uid="{00000000-0005-0000-0000-000088950000}"/>
    <cellStyle name="Normal 57 8 2 2 2 4" xfId="17719" xr:uid="{00000000-0005-0000-0000-000089950000}"/>
    <cellStyle name="Normal 57 8 2 2 2 4 2" xfId="43272" xr:uid="{00000000-0005-0000-0000-00008A950000}"/>
    <cellStyle name="Normal 57 8 2 2 2 5" xfId="29209" xr:uid="{00000000-0005-0000-0000-00008B950000}"/>
    <cellStyle name="Normal 57 8 2 2 3" xfId="4694" xr:uid="{00000000-0005-0000-0000-00008C950000}"/>
    <cellStyle name="Normal 57 8 2 2 3 2" xfId="13532" xr:uid="{00000000-0005-0000-0000-00008D950000}"/>
    <cellStyle name="Normal 57 8 2 2 3 2 2" xfId="23783" xr:uid="{00000000-0005-0000-0000-00008E950000}"/>
    <cellStyle name="Normal 57 8 2 2 3 2 2 2" xfId="49336" xr:uid="{00000000-0005-0000-0000-00008F950000}"/>
    <cellStyle name="Normal 57 8 2 2 3 2 3" xfId="39087" xr:uid="{00000000-0005-0000-0000-000090950000}"/>
    <cellStyle name="Normal 57 8 2 2 3 3" xfId="9953" xr:uid="{00000000-0005-0000-0000-000091950000}"/>
    <cellStyle name="Normal 57 8 2 2 3 3 2" xfId="35510" xr:uid="{00000000-0005-0000-0000-000092950000}"/>
    <cellStyle name="Normal 57 8 2 2 3 4" xfId="18776" xr:uid="{00000000-0005-0000-0000-000093950000}"/>
    <cellStyle name="Normal 57 8 2 2 3 4 2" xfId="44329" xr:uid="{00000000-0005-0000-0000-000094950000}"/>
    <cellStyle name="Normal 57 8 2 2 3 5" xfId="30266" xr:uid="{00000000-0005-0000-0000-000095950000}"/>
    <cellStyle name="Normal 57 8 2 2 4" xfId="2474" xr:uid="{00000000-0005-0000-0000-000096950000}"/>
    <cellStyle name="Normal 57 8 2 2 4 2" xfId="11839" xr:uid="{00000000-0005-0000-0000-000097950000}"/>
    <cellStyle name="Normal 57 8 2 2 4 2 2" xfId="37394" xr:uid="{00000000-0005-0000-0000-000098950000}"/>
    <cellStyle name="Normal 57 8 2 2 4 3" xfId="21843" xr:uid="{00000000-0005-0000-0000-000099950000}"/>
    <cellStyle name="Normal 57 8 2 2 4 3 2" xfId="47396" xr:uid="{00000000-0005-0000-0000-00009A950000}"/>
    <cellStyle name="Normal 57 8 2 2 4 4" xfId="28326" xr:uid="{00000000-0005-0000-0000-00009B950000}"/>
    <cellStyle name="Normal 57 8 2 2 5" xfId="6150" xr:uid="{00000000-0005-0000-0000-00009C950000}"/>
    <cellStyle name="Normal 57 8 2 2 5 2" xfId="14977" xr:uid="{00000000-0005-0000-0000-00009D950000}"/>
    <cellStyle name="Normal 57 8 2 2 5 2 2" xfId="40532" xr:uid="{00000000-0005-0000-0000-00009E950000}"/>
    <cellStyle name="Normal 57 8 2 2 5 3" xfId="25228" xr:uid="{00000000-0005-0000-0000-00009F950000}"/>
    <cellStyle name="Normal 57 8 2 2 5 3 2" xfId="50781" xr:uid="{00000000-0005-0000-0000-0000A0950000}"/>
    <cellStyle name="Normal 57 8 2 2 5 4" xfId="31711" xr:uid="{00000000-0005-0000-0000-0000A1950000}"/>
    <cellStyle name="Normal 57 8 2 2 6" xfId="7595" xr:uid="{00000000-0005-0000-0000-0000A2950000}"/>
    <cellStyle name="Normal 57 8 2 2 6 2" xfId="20325" xr:uid="{00000000-0005-0000-0000-0000A3950000}"/>
    <cellStyle name="Normal 57 8 2 2 6 2 2" xfId="45878" xr:uid="{00000000-0005-0000-0000-0000A4950000}"/>
    <cellStyle name="Normal 57 8 2 2 6 3" xfId="33152" xr:uid="{00000000-0005-0000-0000-0000A5950000}"/>
    <cellStyle name="Normal 57 8 2 2 7" xfId="16836" xr:uid="{00000000-0005-0000-0000-0000A6950000}"/>
    <cellStyle name="Normal 57 8 2 2 7 2" xfId="42389" xr:uid="{00000000-0005-0000-0000-0000A7950000}"/>
    <cellStyle name="Normal 57 8 2 2 8" xfId="26808" xr:uid="{00000000-0005-0000-0000-0000A8950000}"/>
    <cellStyle name="Normal 57 8 2 3" xfId="1269" xr:uid="{00000000-0005-0000-0000-0000A9950000}"/>
    <cellStyle name="Normal 57 8 2 3 2" xfId="3698" xr:uid="{00000000-0005-0000-0000-0000AA950000}"/>
    <cellStyle name="Normal 57 8 2 3 2 2" xfId="12834" xr:uid="{00000000-0005-0000-0000-0000AB950000}"/>
    <cellStyle name="Normal 57 8 2 3 2 2 2" xfId="23053" xr:uid="{00000000-0005-0000-0000-0000AC950000}"/>
    <cellStyle name="Normal 57 8 2 3 2 2 2 2" xfId="48606" xr:uid="{00000000-0005-0000-0000-0000AD950000}"/>
    <cellStyle name="Normal 57 8 2 3 2 2 3" xfId="38389" xr:uid="{00000000-0005-0000-0000-0000AE950000}"/>
    <cellStyle name="Normal 57 8 2 3 2 3" xfId="9255" xr:uid="{00000000-0005-0000-0000-0000AF950000}"/>
    <cellStyle name="Normal 57 8 2 3 2 3 2" xfId="34812" xr:uid="{00000000-0005-0000-0000-0000B0950000}"/>
    <cellStyle name="Normal 57 8 2 3 2 4" xfId="18046" xr:uid="{00000000-0005-0000-0000-0000B1950000}"/>
    <cellStyle name="Normal 57 8 2 3 2 4 2" xfId="43599" xr:uid="{00000000-0005-0000-0000-0000B2950000}"/>
    <cellStyle name="Normal 57 8 2 3 2 5" xfId="29536" xr:uid="{00000000-0005-0000-0000-0000B3950000}"/>
    <cellStyle name="Normal 57 8 2 3 3" xfId="5043" xr:uid="{00000000-0005-0000-0000-0000B4950000}"/>
    <cellStyle name="Normal 57 8 2 3 3 2" xfId="13880" xr:uid="{00000000-0005-0000-0000-0000B5950000}"/>
    <cellStyle name="Normal 57 8 2 3 3 2 2" xfId="24131" xr:uid="{00000000-0005-0000-0000-0000B6950000}"/>
    <cellStyle name="Normal 57 8 2 3 3 2 2 2" xfId="49684" xr:uid="{00000000-0005-0000-0000-0000B7950000}"/>
    <cellStyle name="Normal 57 8 2 3 3 2 3" xfId="39435" xr:uid="{00000000-0005-0000-0000-0000B8950000}"/>
    <cellStyle name="Normal 57 8 2 3 3 3" xfId="10301" xr:uid="{00000000-0005-0000-0000-0000B9950000}"/>
    <cellStyle name="Normal 57 8 2 3 3 3 2" xfId="35858" xr:uid="{00000000-0005-0000-0000-0000BA950000}"/>
    <cellStyle name="Normal 57 8 2 3 3 4" xfId="19124" xr:uid="{00000000-0005-0000-0000-0000BB950000}"/>
    <cellStyle name="Normal 57 8 2 3 3 4 2" xfId="44677" xr:uid="{00000000-0005-0000-0000-0000BC950000}"/>
    <cellStyle name="Normal 57 8 2 3 3 5" xfId="30614" xr:uid="{00000000-0005-0000-0000-0000BD950000}"/>
    <cellStyle name="Normal 57 8 2 3 4" xfId="2092" xr:uid="{00000000-0005-0000-0000-0000BE950000}"/>
    <cellStyle name="Normal 57 8 2 3 4 2" xfId="11457" xr:uid="{00000000-0005-0000-0000-0000BF950000}"/>
    <cellStyle name="Normal 57 8 2 3 4 2 2" xfId="37012" xr:uid="{00000000-0005-0000-0000-0000C0950000}"/>
    <cellStyle name="Normal 57 8 2 3 4 3" xfId="21461" xr:uid="{00000000-0005-0000-0000-0000C1950000}"/>
    <cellStyle name="Normal 57 8 2 3 4 3 2" xfId="47014" xr:uid="{00000000-0005-0000-0000-0000C2950000}"/>
    <cellStyle name="Normal 57 8 2 3 4 4" xfId="27944" xr:uid="{00000000-0005-0000-0000-0000C3950000}"/>
    <cellStyle name="Normal 57 8 2 3 5" xfId="6498" xr:uid="{00000000-0005-0000-0000-0000C4950000}"/>
    <cellStyle name="Normal 57 8 2 3 5 2" xfId="15325" xr:uid="{00000000-0005-0000-0000-0000C5950000}"/>
    <cellStyle name="Normal 57 8 2 3 5 2 2" xfId="40880" xr:uid="{00000000-0005-0000-0000-0000C6950000}"/>
    <cellStyle name="Normal 57 8 2 3 5 3" xfId="25576" xr:uid="{00000000-0005-0000-0000-0000C7950000}"/>
    <cellStyle name="Normal 57 8 2 3 5 3 2" xfId="51129" xr:uid="{00000000-0005-0000-0000-0000C8950000}"/>
    <cellStyle name="Normal 57 8 2 3 5 4" xfId="32059" xr:uid="{00000000-0005-0000-0000-0000C9950000}"/>
    <cellStyle name="Normal 57 8 2 3 6" xfId="7944" xr:uid="{00000000-0005-0000-0000-0000CA950000}"/>
    <cellStyle name="Normal 57 8 2 3 6 2" xfId="20652" xr:uid="{00000000-0005-0000-0000-0000CB950000}"/>
    <cellStyle name="Normal 57 8 2 3 6 2 2" xfId="46205" xr:uid="{00000000-0005-0000-0000-0000CC950000}"/>
    <cellStyle name="Normal 57 8 2 3 6 3" xfId="33501" xr:uid="{00000000-0005-0000-0000-0000CD950000}"/>
    <cellStyle name="Normal 57 8 2 3 7" xfId="16454" xr:uid="{00000000-0005-0000-0000-0000CE950000}"/>
    <cellStyle name="Normal 57 8 2 3 7 2" xfId="42007" xr:uid="{00000000-0005-0000-0000-0000CF950000}"/>
    <cellStyle name="Normal 57 8 2 3 8" xfId="27135" xr:uid="{00000000-0005-0000-0000-0000D0950000}"/>
    <cellStyle name="Normal 57 8 2 4" xfId="2983" xr:uid="{00000000-0005-0000-0000-0000D1950000}"/>
    <cellStyle name="Normal 57 8 2 4 2" xfId="5361" xr:uid="{00000000-0005-0000-0000-0000D2950000}"/>
    <cellStyle name="Normal 57 8 2 4 2 2" xfId="14198" xr:uid="{00000000-0005-0000-0000-0000D3950000}"/>
    <cellStyle name="Normal 57 8 2 4 2 2 2" xfId="24449" xr:uid="{00000000-0005-0000-0000-0000D4950000}"/>
    <cellStyle name="Normal 57 8 2 4 2 2 2 2" xfId="50002" xr:uid="{00000000-0005-0000-0000-0000D5950000}"/>
    <cellStyle name="Normal 57 8 2 4 2 2 3" xfId="39753" xr:uid="{00000000-0005-0000-0000-0000D6950000}"/>
    <cellStyle name="Normal 57 8 2 4 2 3" xfId="10619" xr:uid="{00000000-0005-0000-0000-0000D7950000}"/>
    <cellStyle name="Normal 57 8 2 4 2 3 2" xfId="36176" xr:uid="{00000000-0005-0000-0000-0000D8950000}"/>
    <cellStyle name="Normal 57 8 2 4 2 4" xfId="19442" xr:uid="{00000000-0005-0000-0000-0000D9950000}"/>
    <cellStyle name="Normal 57 8 2 4 2 4 2" xfId="44995" xr:uid="{00000000-0005-0000-0000-0000DA950000}"/>
    <cellStyle name="Normal 57 8 2 4 2 5" xfId="30932" xr:uid="{00000000-0005-0000-0000-0000DB950000}"/>
    <cellStyle name="Normal 57 8 2 4 3" xfId="6816" xr:uid="{00000000-0005-0000-0000-0000DC950000}"/>
    <cellStyle name="Normal 57 8 2 4 3 2" xfId="15643" xr:uid="{00000000-0005-0000-0000-0000DD950000}"/>
    <cellStyle name="Normal 57 8 2 4 3 2 2" xfId="41198" xr:uid="{00000000-0005-0000-0000-0000DE950000}"/>
    <cellStyle name="Normal 57 8 2 4 3 3" xfId="25894" xr:uid="{00000000-0005-0000-0000-0000DF950000}"/>
    <cellStyle name="Normal 57 8 2 4 3 3 2" xfId="51447" xr:uid="{00000000-0005-0000-0000-0000E0950000}"/>
    <cellStyle name="Normal 57 8 2 4 3 4" xfId="32377" xr:uid="{00000000-0005-0000-0000-0000E1950000}"/>
    <cellStyle name="Normal 57 8 2 4 4" xfId="8262" xr:uid="{00000000-0005-0000-0000-0000E2950000}"/>
    <cellStyle name="Normal 57 8 2 4 4 2" xfId="22344" xr:uid="{00000000-0005-0000-0000-0000E3950000}"/>
    <cellStyle name="Normal 57 8 2 4 4 2 2" xfId="47897" xr:uid="{00000000-0005-0000-0000-0000E4950000}"/>
    <cellStyle name="Normal 57 8 2 4 4 3" xfId="33819" xr:uid="{00000000-0005-0000-0000-0000E5950000}"/>
    <cellStyle name="Normal 57 8 2 4 5" xfId="17337" xr:uid="{00000000-0005-0000-0000-0000E6950000}"/>
    <cellStyle name="Normal 57 8 2 4 5 2" xfId="42890" xr:uid="{00000000-0005-0000-0000-0000E7950000}"/>
    <cellStyle name="Normal 57 8 2 4 6" xfId="28827" xr:uid="{00000000-0005-0000-0000-0000E8950000}"/>
    <cellStyle name="Normal 57 8 2 5" xfId="4317" xr:uid="{00000000-0005-0000-0000-0000E9950000}"/>
    <cellStyle name="Normal 57 8 2 5 2" xfId="13155" xr:uid="{00000000-0005-0000-0000-0000EA950000}"/>
    <cellStyle name="Normal 57 8 2 5 2 2" xfId="23406" xr:uid="{00000000-0005-0000-0000-0000EB950000}"/>
    <cellStyle name="Normal 57 8 2 5 2 2 2" xfId="48959" xr:uid="{00000000-0005-0000-0000-0000EC950000}"/>
    <cellStyle name="Normal 57 8 2 5 2 3" xfId="38710" xr:uid="{00000000-0005-0000-0000-0000ED950000}"/>
    <cellStyle name="Normal 57 8 2 5 3" xfId="9576" xr:uid="{00000000-0005-0000-0000-0000EE950000}"/>
    <cellStyle name="Normal 57 8 2 5 3 2" xfId="35133" xr:uid="{00000000-0005-0000-0000-0000EF950000}"/>
    <cellStyle name="Normal 57 8 2 5 4" xfId="18399" xr:uid="{00000000-0005-0000-0000-0000F0950000}"/>
    <cellStyle name="Normal 57 8 2 5 4 2" xfId="43952" xr:uid="{00000000-0005-0000-0000-0000F1950000}"/>
    <cellStyle name="Normal 57 8 2 5 5" xfId="29889" xr:uid="{00000000-0005-0000-0000-0000F2950000}"/>
    <cellStyle name="Normal 57 8 2 6" xfId="1589" xr:uid="{00000000-0005-0000-0000-0000F3950000}"/>
    <cellStyle name="Normal 57 8 2 6 2" xfId="10966" xr:uid="{00000000-0005-0000-0000-0000F4950000}"/>
    <cellStyle name="Normal 57 8 2 6 2 2" xfId="36521" xr:uid="{00000000-0005-0000-0000-0000F5950000}"/>
    <cellStyle name="Normal 57 8 2 6 3" xfId="20970" xr:uid="{00000000-0005-0000-0000-0000F6950000}"/>
    <cellStyle name="Normal 57 8 2 6 3 2" xfId="46523" xr:uid="{00000000-0005-0000-0000-0000F7950000}"/>
    <cellStyle name="Normal 57 8 2 6 4" xfId="27453" xr:uid="{00000000-0005-0000-0000-0000F8950000}"/>
    <cellStyle name="Normal 57 8 2 7" xfId="5773" xr:uid="{00000000-0005-0000-0000-0000F9950000}"/>
    <cellStyle name="Normal 57 8 2 7 2" xfId="14600" xr:uid="{00000000-0005-0000-0000-0000FA950000}"/>
    <cellStyle name="Normal 57 8 2 7 2 2" xfId="40155" xr:uid="{00000000-0005-0000-0000-0000FB950000}"/>
    <cellStyle name="Normal 57 8 2 7 3" xfId="24851" xr:uid="{00000000-0005-0000-0000-0000FC950000}"/>
    <cellStyle name="Normal 57 8 2 7 3 2" xfId="50404" xr:uid="{00000000-0005-0000-0000-0000FD950000}"/>
    <cellStyle name="Normal 57 8 2 7 4" xfId="31334" xr:uid="{00000000-0005-0000-0000-0000FE950000}"/>
    <cellStyle name="Normal 57 8 2 8" xfId="7217" xr:uid="{00000000-0005-0000-0000-0000FF950000}"/>
    <cellStyle name="Normal 57 8 2 8 2" xfId="19943" xr:uid="{00000000-0005-0000-0000-000000960000}"/>
    <cellStyle name="Normal 57 8 2 8 2 2" xfId="45496" xr:uid="{00000000-0005-0000-0000-000001960000}"/>
    <cellStyle name="Normal 57 8 2 8 3" xfId="32774" xr:uid="{00000000-0005-0000-0000-000002960000}"/>
    <cellStyle name="Normal 57 8 2 9" xfId="15963" xr:uid="{00000000-0005-0000-0000-000003960000}"/>
    <cellStyle name="Normal 57 8 2 9 2" xfId="41516" xr:uid="{00000000-0005-0000-0000-000004960000}"/>
    <cellStyle name="Normal 57 8 2_Degree data" xfId="3986" xr:uid="{00000000-0005-0000-0000-000005960000}"/>
    <cellStyle name="Normal 57 8 3" xfId="397" xr:uid="{00000000-0005-0000-0000-000006960000}"/>
    <cellStyle name="Normal 57 8 3 2" xfId="2883" xr:uid="{00000000-0005-0000-0000-000007960000}"/>
    <cellStyle name="Normal 57 8 3 2 2" xfId="12171" xr:uid="{00000000-0005-0000-0000-000008960000}"/>
    <cellStyle name="Normal 57 8 3 2 2 2" xfId="22244" xr:uid="{00000000-0005-0000-0000-000009960000}"/>
    <cellStyle name="Normal 57 8 3 2 2 2 2" xfId="47797" xr:uid="{00000000-0005-0000-0000-00000A960000}"/>
    <cellStyle name="Normal 57 8 3 2 2 3" xfId="37726" xr:uid="{00000000-0005-0000-0000-00000B960000}"/>
    <cellStyle name="Normal 57 8 3 2 3" xfId="8437" xr:uid="{00000000-0005-0000-0000-00000C960000}"/>
    <cellStyle name="Normal 57 8 3 2 3 2" xfId="33994" xr:uid="{00000000-0005-0000-0000-00000D960000}"/>
    <cellStyle name="Normal 57 8 3 2 4" xfId="17237" xr:uid="{00000000-0005-0000-0000-00000E960000}"/>
    <cellStyle name="Normal 57 8 3 2 4 2" xfId="42790" xr:uid="{00000000-0005-0000-0000-00000F960000}"/>
    <cellStyle name="Normal 57 8 3 2 5" xfId="28727" xr:uid="{00000000-0005-0000-0000-000010960000}"/>
    <cellStyle name="Normal 57 8 3 3" xfId="4693" xr:uid="{00000000-0005-0000-0000-000011960000}"/>
    <cellStyle name="Normal 57 8 3 3 2" xfId="13531" xr:uid="{00000000-0005-0000-0000-000012960000}"/>
    <cellStyle name="Normal 57 8 3 3 2 2" xfId="23782" xr:uid="{00000000-0005-0000-0000-000013960000}"/>
    <cellStyle name="Normal 57 8 3 3 2 2 2" xfId="49335" xr:uid="{00000000-0005-0000-0000-000014960000}"/>
    <cellStyle name="Normal 57 8 3 3 2 3" xfId="39086" xr:uid="{00000000-0005-0000-0000-000015960000}"/>
    <cellStyle name="Normal 57 8 3 3 3" xfId="9952" xr:uid="{00000000-0005-0000-0000-000016960000}"/>
    <cellStyle name="Normal 57 8 3 3 3 2" xfId="35509" xr:uid="{00000000-0005-0000-0000-000017960000}"/>
    <cellStyle name="Normal 57 8 3 3 4" xfId="18775" xr:uid="{00000000-0005-0000-0000-000018960000}"/>
    <cellStyle name="Normal 57 8 3 3 4 2" xfId="44328" xr:uid="{00000000-0005-0000-0000-000019960000}"/>
    <cellStyle name="Normal 57 8 3 3 5" xfId="30265" xr:uid="{00000000-0005-0000-0000-00001A960000}"/>
    <cellStyle name="Normal 57 8 3 4" xfId="1992" xr:uid="{00000000-0005-0000-0000-00001B960000}"/>
    <cellStyle name="Normal 57 8 3 4 2" xfId="11357" xr:uid="{00000000-0005-0000-0000-00001C960000}"/>
    <cellStyle name="Normal 57 8 3 4 2 2" xfId="36912" xr:uid="{00000000-0005-0000-0000-00001D960000}"/>
    <cellStyle name="Normal 57 8 3 4 3" xfId="21361" xr:uid="{00000000-0005-0000-0000-00001E960000}"/>
    <cellStyle name="Normal 57 8 3 4 3 2" xfId="46914" xr:uid="{00000000-0005-0000-0000-00001F960000}"/>
    <cellStyle name="Normal 57 8 3 4 4" xfId="27844" xr:uid="{00000000-0005-0000-0000-000020960000}"/>
    <cellStyle name="Normal 57 8 3 5" xfId="6149" xr:uid="{00000000-0005-0000-0000-000021960000}"/>
    <cellStyle name="Normal 57 8 3 5 2" xfId="14976" xr:uid="{00000000-0005-0000-0000-000022960000}"/>
    <cellStyle name="Normal 57 8 3 5 2 2" xfId="40531" xr:uid="{00000000-0005-0000-0000-000023960000}"/>
    <cellStyle name="Normal 57 8 3 5 3" xfId="25227" xr:uid="{00000000-0005-0000-0000-000024960000}"/>
    <cellStyle name="Normal 57 8 3 5 3 2" xfId="50780" xr:uid="{00000000-0005-0000-0000-000025960000}"/>
    <cellStyle name="Normal 57 8 3 5 4" xfId="31710" xr:uid="{00000000-0005-0000-0000-000026960000}"/>
    <cellStyle name="Normal 57 8 3 6" xfId="7594" xr:uid="{00000000-0005-0000-0000-000027960000}"/>
    <cellStyle name="Normal 57 8 3 6 2" xfId="19843" xr:uid="{00000000-0005-0000-0000-000028960000}"/>
    <cellStyle name="Normal 57 8 3 6 2 2" xfId="45396" xr:uid="{00000000-0005-0000-0000-000029960000}"/>
    <cellStyle name="Normal 57 8 3 6 3" xfId="33151" xr:uid="{00000000-0005-0000-0000-00002A960000}"/>
    <cellStyle name="Normal 57 8 3 7" xfId="16354" xr:uid="{00000000-0005-0000-0000-00002B960000}"/>
    <cellStyle name="Normal 57 8 3 7 2" xfId="41907" xr:uid="{00000000-0005-0000-0000-00002C960000}"/>
    <cellStyle name="Normal 57 8 3 8" xfId="26326" xr:uid="{00000000-0005-0000-0000-00002D960000}"/>
    <cellStyle name="Normal 57 8 4" xfId="879" xr:uid="{00000000-0005-0000-0000-00002E960000}"/>
    <cellStyle name="Normal 57 8 4 2" xfId="3364" xr:uid="{00000000-0005-0000-0000-00002F960000}"/>
    <cellStyle name="Normal 57 8 4 2 2" xfId="12506" xr:uid="{00000000-0005-0000-0000-000030960000}"/>
    <cellStyle name="Normal 57 8 4 2 2 2" xfId="22725" xr:uid="{00000000-0005-0000-0000-000031960000}"/>
    <cellStyle name="Normal 57 8 4 2 2 2 2" xfId="48278" xr:uid="{00000000-0005-0000-0000-000032960000}"/>
    <cellStyle name="Normal 57 8 4 2 2 3" xfId="38061" xr:uid="{00000000-0005-0000-0000-000033960000}"/>
    <cellStyle name="Normal 57 8 4 2 3" xfId="8928" xr:uid="{00000000-0005-0000-0000-000034960000}"/>
    <cellStyle name="Normal 57 8 4 2 3 2" xfId="34485" xr:uid="{00000000-0005-0000-0000-000035960000}"/>
    <cellStyle name="Normal 57 8 4 2 4" xfId="17718" xr:uid="{00000000-0005-0000-0000-000036960000}"/>
    <cellStyle name="Normal 57 8 4 2 4 2" xfId="43271" xr:uid="{00000000-0005-0000-0000-000037960000}"/>
    <cellStyle name="Normal 57 8 4 2 5" xfId="29208" xr:uid="{00000000-0005-0000-0000-000038960000}"/>
    <cellStyle name="Normal 57 8 4 3" xfId="5042" xr:uid="{00000000-0005-0000-0000-000039960000}"/>
    <cellStyle name="Normal 57 8 4 3 2" xfId="13879" xr:uid="{00000000-0005-0000-0000-00003A960000}"/>
    <cellStyle name="Normal 57 8 4 3 2 2" xfId="24130" xr:uid="{00000000-0005-0000-0000-00003B960000}"/>
    <cellStyle name="Normal 57 8 4 3 2 2 2" xfId="49683" xr:uid="{00000000-0005-0000-0000-00003C960000}"/>
    <cellStyle name="Normal 57 8 4 3 2 3" xfId="39434" xr:uid="{00000000-0005-0000-0000-00003D960000}"/>
    <cellStyle name="Normal 57 8 4 3 3" xfId="10300" xr:uid="{00000000-0005-0000-0000-00003E960000}"/>
    <cellStyle name="Normal 57 8 4 3 3 2" xfId="35857" xr:uid="{00000000-0005-0000-0000-00003F960000}"/>
    <cellStyle name="Normal 57 8 4 3 4" xfId="19123" xr:uid="{00000000-0005-0000-0000-000040960000}"/>
    <cellStyle name="Normal 57 8 4 3 4 2" xfId="44676" xr:uid="{00000000-0005-0000-0000-000041960000}"/>
    <cellStyle name="Normal 57 8 4 3 5" xfId="30613" xr:uid="{00000000-0005-0000-0000-000042960000}"/>
    <cellStyle name="Normal 57 8 4 4" xfId="2473" xr:uid="{00000000-0005-0000-0000-000043960000}"/>
    <cellStyle name="Normal 57 8 4 4 2" xfId="11838" xr:uid="{00000000-0005-0000-0000-000044960000}"/>
    <cellStyle name="Normal 57 8 4 4 2 2" xfId="37393" xr:uid="{00000000-0005-0000-0000-000045960000}"/>
    <cellStyle name="Normal 57 8 4 4 3" xfId="21842" xr:uid="{00000000-0005-0000-0000-000046960000}"/>
    <cellStyle name="Normal 57 8 4 4 3 2" xfId="47395" xr:uid="{00000000-0005-0000-0000-000047960000}"/>
    <cellStyle name="Normal 57 8 4 4 4" xfId="28325" xr:uid="{00000000-0005-0000-0000-000048960000}"/>
    <cellStyle name="Normal 57 8 4 5" xfId="6497" xr:uid="{00000000-0005-0000-0000-000049960000}"/>
    <cellStyle name="Normal 57 8 4 5 2" xfId="15324" xr:uid="{00000000-0005-0000-0000-00004A960000}"/>
    <cellStyle name="Normal 57 8 4 5 2 2" xfId="40879" xr:uid="{00000000-0005-0000-0000-00004B960000}"/>
    <cellStyle name="Normal 57 8 4 5 3" xfId="25575" xr:uid="{00000000-0005-0000-0000-00004C960000}"/>
    <cellStyle name="Normal 57 8 4 5 3 2" xfId="51128" xr:uid="{00000000-0005-0000-0000-00004D960000}"/>
    <cellStyle name="Normal 57 8 4 5 4" xfId="32058" xr:uid="{00000000-0005-0000-0000-00004E960000}"/>
    <cellStyle name="Normal 57 8 4 6" xfId="7943" xr:uid="{00000000-0005-0000-0000-00004F960000}"/>
    <cellStyle name="Normal 57 8 4 6 2" xfId="20324" xr:uid="{00000000-0005-0000-0000-000050960000}"/>
    <cellStyle name="Normal 57 8 4 6 2 2" xfId="45877" xr:uid="{00000000-0005-0000-0000-000051960000}"/>
    <cellStyle name="Normal 57 8 4 6 3" xfId="33500" xr:uid="{00000000-0005-0000-0000-000052960000}"/>
    <cellStyle name="Normal 57 8 4 7" xfId="16835" xr:uid="{00000000-0005-0000-0000-000053960000}"/>
    <cellStyle name="Normal 57 8 4 7 2" xfId="42388" xr:uid="{00000000-0005-0000-0000-000054960000}"/>
    <cellStyle name="Normal 57 8 4 8" xfId="26807" xr:uid="{00000000-0005-0000-0000-000055960000}"/>
    <cellStyle name="Normal 57 8 5" xfId="1169" xr:uid="{00000000-0005-0000-0000-000056960000}"/>
    <cellStyle name="Normal 57 8 5 2" xfId="3598" xr:uid="{00000000-0005-0000-0000-000057960000}"/>
    <cellStyle name="Normal 57 8 5 2 2" xfId="12734" xr:uid="{00000000-0005-0000-0000-000058960000}"/>
    <cellStyle name="Normal 57 8 5 2 2 2" xfId="22953" xr:uid="{00000000-0005-0000-0000-000059960000}"/>
    <cellStyle name="Normal 57 8 5 2 2 2 2" xfId="48506" xr:uid="{00000000-0005-0000-0000-00005A960000}"/>
    <cellStyle name="Normal 57 8 5 2 2 3" xfId="38289" xr:uid="{00000000-0005-0000-0000-00005B960000}"/>
    <cellStyle name="Normal 57 8 5 2 3" xfId="9155" xr:uid="{00000000-0005-0000-0000-00005C960000}"/>
    <cellStyle name="Normal 57 8 5 2 3 2" xfId="34712" xr:uid="{00000000-0005-0000-0000-00005D960000}"/>
    <cellStyle name="Normal 57 8 5 2 4" xfId="17946" xr:uid="{00000000-0005-0000-0000-00005E960000}"/>
    <cellStyle name="Normal 57 8 5 2 4 2" xfId="43499" xr:uid="{00000000-0005-0000-0000-00005F960000}"/>
    <cellStyle name="Normal 57 8 5 2 5" xfId="29436" xr:uid="{00000000-0005-0000-0000-000060960000}"/>
    <cellStyle name="Normal 57 8 5 3" xfId="5261" xr:uid="{00000000-0005-0000-0000-000061960000}"/>
    <cellStyle name="Normal 57 8 5 3 2" xfId="14098" xr:uid="{00000000-0005-0000-0000-000062960000}"/>
    <cellStyle name="Normal 57 8 5 3 2 2" xfId="24349" xr:uid="{00000000-0005-0000-0000-000063960000}"/>
    <cellStyle name="Normal 57 8 5 3 2 2 2" xfId="49902" xr:uid="{00000000-0005-0000-0000-000064960000}"/>
    <cellStyle name="Normal 57 8 5 3 2 3" xfId="39653" xr:uid="{00000000-0005-0000-0000-000065960000}"/>
    <cellStyle name="Normal 57 8 5 3 3" xfId="10519" xr:uid="{00000000-0005-0000-0000-000066960000}"/>
    <cellStyle name="Normal 57 8 5 3 3 2" xfId="36076" xr:uid="{00000000-0005-0000-0000-000067960000}"/>
    <cellStyle name="Normal 57 8 5 3 4" xfId="19342" xr:uid="{00000000-0005-0000-0000-000068960000}"/>
    <cellStyle name="Normal 57 8 5 3 4 2" xfId="44895" xr:uid="{00000000-0005-0000-0000-000069960000}"/>
    <cellStyle name="Normal 57 8 5 3 5" xfId="30832" xr:uid="{00000000-0005-0000-0000-00006A960000}"/>
    <cellStyle name="Normal 57 8 5 4" xfId="1771" xr:uid="{00000000-0005-0000-0000-00006B960000}"/>
    <cellStyle name="Normal 57 8 5 4 2" xfId="11140" xr:uid="{00000000-0005-0000-0000-00006C960000}"/>
    <cellStyle name="Normal 57 8 5 4 2 2" xfId="36695" xr:uid="{00000000-0005-0000-0000-00006D960000}"/>
    <cellStyle name="Normal 57 8 5 4 3" xfId="21144" xr:uid="{00000000-0005-0000-0000-00006E960000}"/>
    <cellStyle name="Normal 57 8 5 4 3 2" xfId="46697" xr:uid="{00000000-0005-0000-0000-00006F960000}"/>
    <cellStyle name="Normal 57 8 5 4 4" xfId="27627" xr:uid="{00000000-0005-0000-0000-000070960000}"/>
    <cellStyle name="Normal 57 8 5 5" xfId="6716" xr:uid="{00000000-0005-0000-0000-000071960000}"/>
    <cellStyle name="Normal 57 8 5 5 2" xfId="15543" xr:uid="{00000000-0005-0000-0000-000072960000}"/>
    <cellStyle name="Normal 57 8 5 5 2 2" xfId="41098" xr:uid="{00000000-0005-0000-0000-000073960000}"/>
    <cellStyle name="Normal 57 8 5 5 3" xfId="25794" xr:uid="{00000000-0005-0000-0000-000074960000}"/>
    <cellStyle name="Normal 57 8 5 5 3 2" xfId="51347" xr:uid="{00000000-0005-0000-0000-000075960000}"/>
    <cellStyle name="Normal 57 8 5 5 4" xfId="32277" xr:uid="{00000000-0005-0000-0000-000076960000}"/>
    <cellStyle name="Normal 57 8 5 6" xfId="8162" xr:uid="{00000000-0005-0000-0000-000077960000}"/>
    <cellStyle name="Normal 57 8 5 6 2" xfId="20552" xr:uid="{00000000-0005-0000-0000-000078960000}"/>
    <cellStyle name="Normal 57 8 5 6 2 2" xfId="46105" xr:uid="{00000000-0005-0000-0000-000079960000}"/>
    <cellStyle name="Normal 57 8 5 6 3" xfId="33719" xr:uid="{00000000-0005-0000-0000-00007A960000}"/>
    <cellStyle name="Normal 57 8 5 7" xfId="16137" xr:uid="{00000000-0005-0000-0000-00007B960000}"/>
    <cellStyle name="Normal 57 8 5 7 2" xfId="41690" xr:uid="{00000000-0005-0000-0000-00007C960000}"/>
    <cellStyle name="Normal 57 8 5 8" xfId="27035" xr:uid="{00000000-0005-0000-0000-00007D960000}"/>
    <cellStyle name="Normal 57 8 6" xfId="2666" xr:uid="{00000000-0005-0000-0000-00007E960000}"/>
    <cellStyle name="Normal 57 8 6 2" xfId="11983" xr:uid="{00000000-0005-0000-0000-00007F960000}"/>
    <cellStyle name="Normal 57 8 6 2 2" xfId="22027" xr:uid="{00000000-0005-0000-0000-000080960000}"/>
    <cellStyle name="Normal 57 8 6 2 2 2" xfId="47580" xr:uid="{00000000-0005-0000-0000-000081960000}"/>
    <cellStyle name="Normal 57 8 6 2 3" xfId="37538" xr:uid="{00000000-0005-0000-0000-000082960000}"/>
    <cellStyle name="Normal 57 8 6 3" xfId="8567" xr:uid="{00000000-0005-0000-0000-000083960000}"/>
    <cellStyle name="Normal 57 8 6 3 2" xfId="34124" xr:uid="{00000000-0005-0000-0000-000084960000}"/>
    <cellStyle name="Normal 57 8 6 4" xfId="17020" xr:uid="{00000000-0005-0000-0000-000085960000}"/>
    <cellStyle name="Normal 57 8 6 4 2" xfId="42573" xr:uid="{00000000-0005-0000-0000-000086960000}"/>
    <cellStyle name="Normal 57 8 6 5" xfId="28510" xr:uid="{00000000-0005-0000-0000-000087960000}"/>
    <cellStyle name="Normal 57 8 7" xfId="4217" xr:uid="{00000000-0005-0000-0000-000088960000}"/>
    <cellStyle name="Normal 57 8 7 2" xfId="13055" xr:uid="{00000000-0005-0000-0000-000089960000}"/>
    <cellStyle name="Normal 57 8 7 2 2" xfId="23306" xr:uid="{00000000-0005-0000-0000-00008A960000}"/>
    <cellStyle name="Normal 57 8 7 2 2 2" xfId="48859" xr:uid="{00000000-0005-0000-0000-00008B960000}"/>
    <cellStyle name="Normal 57 8 7 2 3" xfId="38610" xr:uid="{00000000-0005-0000-0000-00008C960000}"/>
    <cellStyle name="Normal 57 8 7 3" xfId="9476" xr:uid="{00000000-0005-0000-0000-00008D960000}"/>
    <cellStyle name="Normal 57 8 7 3 2" xfId="35033" xr:uid="{00000000-0005-0000-0000-00008E960000}"/>
    <cellStyle name="Normal 57 8 7 4" xfId="18299" xr:uid="{00000000-0005-0000-0000-00008F960000}"/>
    <cellStyle name="Normal 57 8 7 4 2" xfId="43852" xr:uid="{00000000-0005-0000-0000-000090960000}"/>
    <cellStyle name="Normal 57 8 7 5" xfId="29789" xr:uid="{00000000-0005-0000-0000-000091960000}"/>
    <cellStyle name="Normal 57 8 8" xfId="1489" xr:uid="{00000000-0005-0000-0000-000092960000}"/>
    <cellStyle name="Normal 57 8 8 2" xfId="10866" xr:uid="{00000000-0005-0000-0000-000093960000}"/>
    <cellStyle name="Normal 57 8 8 2 2" xfId="36421" xr:uid="{00000000-0005-0000-0000-000094960000}"/>
    <cellStyle name="Normal 57 8 8 3" xfId="20870" xr:uid="{00000000-0005-0000-0000-000095960000}"/>
    <cellStyle name="Normal 57 8 8 3 2" xfId="46423" xr:uid="{00000000-0005-0000-0000-000096960000}"/>
    <cellStyle name="Normal 57 8 8 4" xfId="27353" xr:uid="{00000000-0005-0000-0000-000097960000}"/>
    <cellStyle name="Normal 57 8 9" xfId="5673" xr:uid="{00000000-0005-0000-0000-000098960000}"/>
    <cellStyle name="Normal 57 8 9 2" xfId="14500" xr:uid="{00000000-0005-0000-0000-000099960000}"/>
    <cellStyle name="Normal 57 8 9 2 2" xfId="40055" xr:uid="{00000000-0005-0000-0000-00009A960000}"/>
    <cellStyle name="Normal 57 8 9 3" xfId="24751" xr:uid="{00000000-0005-0000-0000-00009B960000}"/>
    <cellStyle name="Normal 57 8 9 3 2" xfId="50304" xr:uid="{00000000-0005-0000-0000-00009C960000}"/>
    <cellStyle name="Normal 57 8 9 4" xfId="31234" xr:uid="{00000000-0005-0000-0000-00009D960000}"/>
    <cellStyle name="Normal 57 8_Degree data" xfId="3985" xr:uid="{00000000-0005-0000-0000-00009E960000}"/>
    <cellStyle name="Normal 57 9" xfId="222" xr:uid="{00000000-0005-0000-0000-00009F960000}"/>
    <cellStyle name="Normal 57 9 10" xfId="7060" xr:uid="{00000000-0005-0000-0000-0000A0960000}"/>
    <cellStyle name="Normal 57 9 10 2" xfId="19674" xr:uid="{00000000-0005-0000-0000-0000A1960000}"/>
    <cellStyle name="Normal 57 9 10 2 2" xfId="45227" xr:uid="{00000000-0005-0000-0000-0000A2960000}"/>
    <cellStyle name="Normal 57 9 10 3" xfId="32617" xr:uid="{00000000-0005-0000-0000-0000A3960000}"/>
    <cellStyle name="Normal 57 9 11" xfId="15806" xr:uid="{00000000-0005-0000-0000-0000A4960000}"/>
    <cellStyle name="Normal 57 9 11 2" xfId="41359" xr:uid="{00000000-0005-0000-0000-0000A5960000}"/>
    <cellStyle name="Normal 57 9 12" xfId="26157" xr:uid="{00000000-0005-0000-0000-0000A6960000}"/>
    <cellStyle name="Normal 57 9 2" xfId="545" xr:uid="{00000000-0005-0000-0000-0000A7960000}"/>
    <cellStyle name="Normal 57 9 2 10" xfId="26474" xr:uid="{00000000-0005-0000-0000-0000A8960000}"/>
    <cellStyle name="Normal 57 9 2 2" xfId="882" xr:uid="{00000000-0005-0000-0000-0000A9960000}"/>
    <cellStyle name="Normal 57 9 2 2 2" xfId="3367" xr:uid="{00000000-0005-0000-0000-0000AA960000}"/>
    <cellStyle name="Normal 57 9 2 2 2 2" xfId="12509" xr:uid="{00000000-0005-0000-0000-0000AB960000}"/>
    <cellStyle name="Normal 57 9 2 2 2 2 2" xfId="22728" xr:uid="{00000000-0005-0000-0000-0000AC960000}"/>
    <cellStyle name="Normal 57 9 2 2 2 2 2 2" xfId="48281" xr:uid="{00000000-0005-0000-0000-0000AD960000}"/>
    <cellStyle name="Normal 57 9 2 2 2 2 3" xfId="38064" xr:uid="{00000000-0005-0000-0000-0000AE960000}"/>
    <cellStyle name="Normal 57 9 2 2 2 3" xfId="8931" xr:uid="{00000000-0005-0000-0000-0000AF960000}"/>
    <cellStyle name="Normal 57 9 2 2 2 3 2" xfId="34488" xr:uid="{00000000-0005-0000-0000-0000B0960000}"/>
    <cellStyle name="Normal 57 9 2 2 2 4" xfId="17721" xr:uid="{00000000-0005-0000-0000-0000B1960000}"/>
    <cellStyle name="Normal 57 9 2 2 2 4 2" xfId="43274" xr:uid="{00000000-0005-0000-0000-0000B2960000}"/>
    <cellStyle name="Normal 57 9 2 2 2 5" xfId="29211" xr:uid="{00000000-0005-0000-0000-0000B3960000}"/>
    <cellStyle name="Normal 57 9 2 2 3" xfId="4696" xr:uid="{00000000-0005-0000-0000-0000B4960000}"/>
    <cellStyle name="Normal 57 9 2 2 3 2" xfId="13534" xr:uid="{00000000-0005-0000-0000-0000B5960000}"/>
    <cellStyle name="Normal 57 9 2 2 3 2 2" xfId="23785" xr:uid="{00000000-0005-0000-0000-0000B6960000}"/>
    <cellStyle name="Normal 57 9 2 2 3 2 2 2" xfId="49338" xr:uid="{00000000-0005-0000-0000-0000B7960000}"/>
    <cellStyle name="Normal 57 9 2 2 3 2 3" xfId="39089" xr:uid="{00000000-0005-0000-0000-0000B8960000}"/>
    <cellStyle name="Normal 57 9 2 2 3 3" xfId="9955" xr:uid="{00000000-0005-0000-0000-0000B9960000}"/>
    <cellStyle name="Normal 57 9 2 2 3 3 2" xfId="35512" xr:uid="{00000000-0005-0000-0000-0000BA960000}"/>
    <cellStyle name="Normal 57 9 2 2 3 4" xfId="18778" xr:uid="{00000000-0005-0000-0000-0000BB960000}"/>
    <cellStyle name="Normal 57 9 2 2 3 4 2" xfId="44331" xr:uid="{00000000-0005-0000-0000-0000BC960000}"/>
    <cellStyle name="Normal 57 9 2 2 3 5" xfId="30268" xr:uid="{00000000-0005-0000-0000-0000BD960000}"/>
    <cellStyle name="Normal 57 9 2 2 4" xfId="2476" xr:uid="{00000000-0005-0000-0000-0000BE960000}"/>
    <cellStyle name="Normal 57 9 2 2 4 2" xfId="11841" xr:uid="{00000000-0005-0000-0000-0000BF960000}"/>
    <cellStyle name="Normal 57 9 2 2 4 2 2" xfId="37396" xr:uid="{00000000-0005-0000-0000-0000C0960000}"/>
    <cellStyle name="Normal 57 9 2 2 4 3" xfId="21845" xr:uid="{00000000-0005-0000-0000-0000C1960000}"/>
    <cellStyle name="Normal 57 9 2 2 4 3 2" xfId="47398" xr:uid="{00000000-0005-0000-0000-0000C2960000}"/>
    <cellStyle name="Normal 57 9 2 2 4 4" xfId="28328" xr:uid="{00000000-0005-0000-0000-0000C3960000}"/>
    <cellStyle name="Normal 57 9 2 2 5" xfId="6152" xr:uid="{00000000-0005-0000-0000-0000C4960000}"/>
    <cellStyle name="Normal 57 9 2 2 5 2" xfId="14979" xr:uid="{00000000-0005-0000-0000-0000C5960000}"/>
    <cellStyle name="Normal 57 9 2 2 5 2 2" xfId="40534" xr:uid="{00000000-0005-0000-0000-0000C6960000}"/>
    <cellStyle name="Normal 57 9 2 2 5 3" xfId="25230" xr:uid="{00000000-0005-0000-0000-0000C7960000}"/>
    <cellStyle name="Normal 57 9 2 2 5 3 2" xfId="50783" xr:uid="{00000000-0005-0000-0000-0000C8960000}"/>
    <cellStyle name="Normal 57 9 2 2 5 4" xfId="31713" xr:uid="{00000000-0005-0000-0000-0000C9960000}"/>
    <cellStyle name="Normal 57 9 2 2 6" xfId="7597" xr:uid="{00000000-0005-0000-0000-0000CA960000}"/>
    <cellStyle name="Normal 57 9 2 2 6 2" xfId="20327" xr:uid="{00000000-0005-0000-0000-0000CB960000}"/>
    <cellStyle name="Normal 57 9 2 2 6 2 2" xfId="45880" xr:uid="{00000000-0005-0000-0000-0000CC960000}"/>
    <cellStyle name="Normal 57 9 2 2 6 3" xfId="33154" xr:uid="{00000000-0005-0000-0000-0000CD960000}"/>
    <cellStyle name="Normal 57 9 2 2 7" xfId="16838" xr:uid="{00000000-0005-0000-0000-0000CE960000}"/>
    <cellStyle name="Normal 57 9 2 2 7 2" xfId="42391" xr:uid="{00000000-0005-0000-0000-0000CF960000}"/>
    <cellStyle name="Normal 57 9 2 2 8" xfId="26810" xr:uid="{00000000-0005-0000-0000-0000D0960000}"/>
    <cellStyle name="Normal 57 9 2 3" xfId="1317" xr:uid="{00000000-0005-0000-0000-0000D1960000}"/>
    <cellStyle name="Normal 57 9 2 3 2" xfId="3746" xr:uid="{00000000-0005-0000-0000-0000D2960000}"/>
    <cellStyle name="Normal 57 9 2 3 2 2" xfId="12882" xr:uid="{00000000-0005-0000-0000-0000D3960000}"/>
    <cellStyle name="Normal 57 9 2 3 2 2 2" xfId="23101" xr:uid="{00000000-0005-0000-0000-0000D4960000}"/>
    <cellStyle name="Normal 57 9 2 3 2 2 2 2" xfId="48654" xr:uid="{00000000-0005-0000-0000-0000D5960000}"/>
    <cellStyle name="Normal 57 9 2 3 2 2 3" xfId="38437" xr:uid="{00000000-0005-0000-0000-0000D6960000}"/>
    <cellStyle name="Normal 57 9 2 3 2 3" xfId="9303" xr:uid="{00000000-0005-0000-0000-0000D7960000}"/>
    <cellStyle name="Normal 57 9 2 3 2 3 2" xfId="34860" xr:uid="{00000000-0005-0000-0000-0000D8960000}"/>
    <cellStyle name="Normal 57 9 2 3 2 4" xfId="18094" xr:uid="{00000000-0005-0000-0000-0000D9960000}"/>
    <cellStyle name="Normal 57 9 2 3 2 4 2" xfId="43647" xr:uid="{00000000-0005-0000-0000-0000DA960000}"/>
    <cellStyle name="Normal 57 9 2 3 2 5" xfId="29584" xr:uid="{00000000-0005-0000-0000-0000DB960000}"/>
    <cellStyle name="Normal 57 9 2 3 3" xfId="5045" xr:uid="{00000000-0005-0000-0000-0000DC960000}"/>
    <cellStyle name="Normal 57 9 2 3 3 2" xfId="13882" xr:uid="{00000000-0005-0000-0000-0000DD960000}"/>
    <cellStyle name="Normal 57 9 2 3 3 2 2" xfId="24133" xr:uid="{00000000-0005-0000-0000-0000DE960000}"/>
    <cellStyle name="Normal 57 9 2 3 3 2 2 2" xfId="49686" xr:uid="{00000000-0005-0000-0000-0000DF960000}"/>
    <cellStyle name="Normal 57 9 2 3 3 2 3" xfId="39437" xr:uid="{00000000-0005-0000-0000-0000E0960000}"/>
    <cellStyle name="Normal 57 9 2 3 3 3" xfId="10303" xr:uid="{00000000-0005-0000-0000-0000E1960000}"/>
    <cellStyle name="Normal 57 9 2 3 3 3 2" xfId="35860" xr:uid="{00000000-0005-0000-0000-0000E2960000}"/>
    <cellStyle name="Normal 57 9 2 3 3 4" xfId="19126" xr:uid="{00000000-0005-0000-0000-0000E3960000}"/>
    <cellStyle name="Normal 57 9 2 3 3 4 2" xfId="44679" xr:uid="{00000000-0005-0000-0000-0000E4960000}"/>
    <cellStyle name="Normal 57 9 2 3 3 5" xfId="30616" xr:uid="{00000000-0005-0000-0000-0000E5960000}"/>
    <cellStyle name="Normal 57 9 2 3 4" xfId="2140" xr:uid="{00000000-0005-0000-0000-0000E6960000}"/>
    <cellStyle name="Normal 57 9 2 3 4 2" xfId="11505" xr:uid="{00000000-0005-0000-0000-0000E7960000}"/>
    <cellStyle name="Normal 57 9 2 3 4 2 2" xfId="37060" xr:uid="{00000000-0005-0000-0000-0000E8960000}"/>
    <cellStyle name="Normal 57 9 2 3 4 3" xfId="21509" xr:uid="{00000000-0005-0000-0000-0000E9960000}"/>
    <cellStyle name="Normal 57 9 2 3 4 3 2" xfId="47062" xr:uid="{00000000-0005-0000-0000-0000EA960000}"/>
    <cellStyle name="Normal 57 9 2 3 4 4" xfId="27992" xr:uid="{00000000-0005-0000-0000-0000EB960000}"/>
    <cellStyle name="Normal 57 9 2 3 5" xfId="6500" xr:uid="{00000000-0005-0000-0000-0000EC960000}"/>
    <cellStyle name="Normal 57 9 2 3 5 2" xfId="15327" xr:uid="{00000000-0005-0000-0000-0000ED960000}"/>
    <cellStyle name="Normal 57 9 2 3 5 2 2" xfId="40882" xr:uid="{00000000-0005-0000-0000-0000EE960000}"/>
    <cellStyle name="Normal 57 9 2 3 5 3" xfId="25578" xr:uid="{00000000-0005-0000-0000-0000EF960000}"/>
    <cellStyle name="Normal 57 9 2 3 5 3 2" xfId="51131" xr:uid="{00000000-0005-0000-0000-0000F0960000}"/>
    <cellStyle name="Normal 57 9 2 3 5 4" xfId="32061" xr:uid="{00000000-0005-0000-0000-0000F1960000}"/>
    <cellStyle name="Normal 57 9 2 3 6" xfId="7946" xr:uid="{00000000-0005-0000-0000-0000F2960000}"/>
    <cellStyle name="Normal 57 9 2 3 6 2" xfId="20700" xr:uid="{00000000-0005-0000-0000-0000F3960000}"/>
    <cellStyle name="Normal 57 9 2 3 6 2 2" xfId="46253" xr:uid="{00000000-0005-0000-0000-0000F4960000}"/>
    <cellStyle name="Normal 57 9 2 3 6 3" xfId="33503" xr:uid="{00000000-0005-0000-0000-0000F5960000}"/>
    <cellStyle name="Normal 57 9 2 3 7" xfId="16502" xr:uid="{00000000-0005-0000-0000-0000F6960000}"/>
    <cellStyle name="Normal 57 9 2 3 7 2" xfId="42055" xr:uid="{00000000-0005-0000-0000-0000F7960000}"/>
    <cellStyle name="Normal 57 9 2 3 8" xfId="27183" xr:uid="{00000000-0005-0000-0000-0000F8960000}"/>
    <cellStyle name="Normal 57 9 2 4" xfId="3031" xr:uid="{00000000-0005-0000-0000-0000F9960000}"/>
    <cellStyle name="Normal 57 9 2 4 2" xfId="5409" xr:uid="{00000000-0005-0000-0000-0000FA960000}"/>
    <cellStyle name="Normal 57 9 2 4 2 2" xfId="14246" xr:uid="{00000000-0005-0000-0000-0000FB960000}"/>
    <cellStyle name="Normal 57 9 2 4 2 2 2" xfId="24497" xr:uid="{00000000-0005-0000-0000-0000FC960000}"/>
    <cellStyle name="Normal 57 9 2 4 2 2 2 2" xfId="50050" xr:uid="{00000000-0005-0000-0000-0000FD960000}"/>
    <cellStyle name="Normal 57 9 2 4 2 2 3" xfId="39801" xr:uid="{00000000-0005-0000-0000-0000FE960000}"/>
    <cellStyle name="Normal 57 9 2 4 2 3" xfId="10667" xr:uid="{00000000-0005-0000-0000-0000FF960000}"/>
    <cellStyle name="Normal 57 9 2 4 2 3 2" xfId="36224" xr:uid="{00000000-0005-0000-0000-000000970000}"/>
    <cellStyle name="Normal 57 9 2 4 2 4" xfId="19490" xr:uid="{00000000-0005-0000-0000-000001970000}"/>
    <cellStyle name="Normal 57 9 2 4 2 4 2" xfId="45043" xr:uid="{00000000-0005-0000-0000-000002970000}"/>
    <cellStyle name="Normal 57 9 2 4 2 5" xfId="30980" xr:uid="{00000000-0005-0000-0000-000003970000}"/>
    <cellStyle name="Normal 57 9 2 4 3" xfId="6864" xr:uid="{00000000-0005-0000-0000-000004970000}"/>
    <cellStyle name="Normal 57 9 2 4 3 2" xfId="15691" xr:uid="{00000000-0005-0000-0000-000005970000}"/>
    <cellStyle name="Normal 57 9 2 4 3 2 2" xfId="41246" xr:uid="{00000000-0005-0000-0000-000006970000}"/>
    <cellStyle name="Normal 57 9 2 4 3 3" xfId="25942" xr:uid="{00000000-0005-0000-0000-000007970000}"/>
    <cellStyle name="Normal 57 9 2 4 3 3 2" xfId="51495" xr:uid="{00000000-0005-0000-0000-000008970000}"/>
    <cellStyle name="Normal 57 9 2 4 3 4" xfId="32425" xr:uid="{00000000-0005-0000-0000-000009970000}"/>
    <cellStyle name="Normal 57 9 2 4 4" xfId="8310" xr:uid="{00000000-0005-0000-0000-00000A970000}"/>
    <cellStyle name="Normal 57 9 2 4 4 2" xfId="22392" xr:uid="{00000000-0005-0000-0000-00000B970000}"/>
    <cellStyle name="Normal 57 9 2 4 4 2 2" xfId="47945" xr:uid="{00000000-0005-0000-0000-00000C970000}"/>
    <cellStyle name="Normal 57 9 2 4 4 3" xfId="33867" xr:uid="{00000000-0005-0000-0000-00000D970000}"/>
    <cellStyle name="Normal 57 9 2 4 5" xfId="17385" xr:uid="{00000000-0005-0000-0000-00000E970000}"/>
    <cellStyle name="Normal 57 9 2 4 5 2" xfId="42938" xr:uid="{00000000-0005-0000-0000-00000F970000}"/>
    <cellStyle name="Normal 57 9 2 4 6" xfId="28875" xr:uid="{00000000-0005-0000-0000-000010970000}"/>
    <cellStyle name="Normal 57 9 2 5" xfId="4365" xr:uid="{00000000-0005-0000-0000-000011970000}"/>
    <cellStyle name="Normal 57 9 2 5 2" xfId="13203" xr:uid="{00000000-0005-0000-0000-000012970000}"/>
    <cellStyle name="Normal 57 9 2 5 2 2" xfId="23454" xr:uid="{00000000-0005-0000-0000-000013970000}"/>
    <cellStyle name="Normal 57 9 2 5 2 2 2" xfId="49007" xr:uid="{00000000-0005-0000-0000-000014970000}"/>
    <cellStyle name="Normal 57 9 2 5 2 3" xfId="38758" xr:uid="{00000000-0005-0000-0000-000015970000}"/>
    <cellStyle name="Normal 57 9 2 5 3" xfId="9624" xr:uid="{00000000-0005-0000-0000-000016970000}"/>
    <cellStyle name="Normal 57 9 2 5 3 2" xfId="35181" xr:uid="{00000000-0005-0000-0000-000017970000}"/>
    <cellStyle name="Normal 57 9 2 5 4" xfId="18447" xr:uid="{00000000-0005-0000-0000-000018970000}"/>
    <cellStyle name="Normal 57 9 2 5 4 2" xfId="44000" xr:uid="{00000000-0005-0000-0000-000019970000}"/>
    <cellStyle name="Normal 57 9 2 5 5" xfId="29937" xr:uid="{00000000-0005-0000-0000-00001A970000}"/>
    <cellStyle name="Normal 57 9 2 6" xfId="1637" xr:uid="{00000000-0005-0000-0000-00001B970000}"/>
    <cellStyle name="Normal 57 9 2 6 2" xfId="11014" xr:uid="{00000000-0005-0000-0000-00001C970000}"/>
    <cellStyle name="Normal 57 9 2 6 2 2" xfId="36569" xr:uid="{00000000-0005-0000-0000-00001D970000}"/>
    <cellStyle name="Normal 57 9 2 6 3" xfId="21018" xr:uid="{00000000-0005-0000-0000-00001E970000}"/>
    <cellStyle name="Normal 57 9 2 6 3 2" xfId="46571" xr:uid="{00000000-0005-0000-0000-00001F970000}"/>
    <cellStyle name="Normal 57 9 2 6 4" xfId="27501" xr:uid="{00000000-0005-0000-0000-000020970000}"/>
    <cellStyle name="Normal 57 9 2 7" xfId="5821" xr:uid="{00000000-0005-0000-0000-000021970000}"/>
    <cellStyle name="Normal 57 9 2 7 2" xfId="14648" xr:uid="{00000000-0005-0000-0000-000022970000}"/>
    <cellStyle name="Normal 57 9 2 7 2 2" xfId="40203" xr:uid="{00000000-0005-0000-0000-000023970000}"/>
    <cellStyle name="Normal 57 9 2 7 3" xfId="24899" xr:uid="{00000000-0005-0000-0000-000024970000}"/>
    <cellStyle name="Normal 57 9 2 7 3 2" xfId="50452" xr:uid="{00000000-0005-0000-0000-000025970000}"/>
    <cellStyle name="Normal 57 9 2 7 4" xfId="31382" xr:uid="{00000000-0005-0000-0000-000026970000}"/>
    <cellStyle name="Normal 57 9 2 8" xfId="7265" xr:uid="{00000000-0005-0000-0000-000027970000}"/>
    <cellStyle name="Normal 57 9 2 8 2" xfId="19991" xr:uid="{00000000-0005-0000-0000-000028970000}"/>
    <cellStyle name="Normal 57 9 2 8 2 2" xfId="45544" xr:uid="{00000000-0005-0000-0000-000029970000}"/>
    <cellStyle name="Normal 57 9 2 8 3" xfId="32822" xr:uid="{00000000-0005-0000-0000-00002A970000}"/>
    <cellStyle name="Normal 57 9 2 9" xfId="16011" xr:uid="{00000000-0005-0000-0000-00002B970000}"/>
    <cellStyle name="Normal 57 9 2 9 2" xfId="41564" xr:uid="{00000000-0005-0000-0000-00002C970000}"/>
    <cellStyle name="Normal 57 9 2_Degree data" xfId="3988" xr:uid="{00000000-0005-0000-0000-00002D970000}"/>
    <cellStyle name="Normal 57 9 3" xfId="340" xr:uid="{00000000-0005-0000-0000-00002E970000}"/>
    <cellStyle name="Normal 57 9 3 2" xfId="2826" xr:uid="{00000000-0005-0000-0000-00002F970000}"/>
    <cellStyle name="Normal 57 9 3 2 2" xfId="12114" xr:uid="{00000000-0005-0000-0000-000030970000}"/>
    <cellStyle name="Normal 57 9 3 2 2 2" xfId="22187" xr:uid="{00000000-0005-0000-0000-000031970000}"/>
    <cellStyle name="Normal 57 9 3 2 2 2 2" xfId="47740" xr:uid="{00000000-0005-0000-0000-000032970000}"/>
    <cellStyle name="Normal 57 9 3 2 2 3" xfId="37669" xr:uid="{00000000-0005-0000-0000-000033970000}"/>
    <cellStyle name="Normal 57 9 3 2 3" xfId="8467" xr:uid="{00000000-0005-0000-0000-000034970000}"/>
    <cellStyle name="Normal 57 9 3 2 3 2" xfId="34024" xr:uid="{00000000-0005-0000-0000-000035970000}"/>
    <cellStyle name="Normal 57 9 3 2 4" xfId="17180" xr:uid="{00000000-0005-0000-0000-000036970000}"/>
    <cellStyle name="Normal 57 9 3 2 4 2" xfId="42733" xr:uid="{00000000-0005-0000-0000-000037970000}"/>
    <cellStyle name="Normal 57 9 3 2 5" xfId="28670" xr:uid="{00000000-0005-0000-0000-000038970000}"/>
    <cellStyle name="Normal 57 9 3 3" xfId="4695" xr:uid="{00000000-0005-0000-0000-000039970000}"/>
    <cellStyle name="Normal 57 9 3 3 2" xfId="13533" xr:uid="{00000000-0005-0000-0000-00003A970000}"/>
    <cellStyle name="Normal 57 9 3 3 2 2" xfId="23784" xr:uid="{00000000-0005-0000-0000-00003B970000}"/>
    <cellStyle name="Normal 57 9 3 3 2 2 2" xfId="49337" xr:uid="{00000000-0005-0000-0000-00003C970000}"/>
    <cellStyle name="Normal 57 9 3 3 2 3" xfId="39088" xr:uid="{00000000-0005-0000-0000-00003D970000}"/>
    <cellStyle name="Normal 57 9 3 3 3" xfId="9954" xr:uid="{00000000-0005-0000-0000-00003E970000}"/>
    <cellStyle name="Normal 57 9 3 3 3 2" xfId="35511" xr:uid="{00000000-0005-0000-0000-00003F970000}"/>
    <cellStyle name="Normal 57 9 3 3 4" xfId="18777" xr:uid="{00000000-0005-0000-0000-000040970000}"/>
    <cellStyle name="Normal 57 9 3 3 4 2" xfId="44330" xr:uid="{00000000-0005-0000-0000-000041970000}"/>
    <cellStyle name="Normal 57 9 3 3 5" xfId="30267" xr:uid="{00000000-0005-0000-0000-000042970000}"/>
    <cellStyle name="Normal 57 9 3 4" xfId="1935" xr:uid="{00000000-0005-0000-0000-000043970000}"/>
    <cellStyle name="Normal 57 9 3 4 2" xfId="11300" xr:uid="{00000000-0005-0000-0000-000044970000}"/>
    <cellStyle name="Normal 57 9 3 4 2 2" xfId="36855" xr:uid="{00000000-0005-0000-0000-000045970000}"/>
    <cellStyle name="Normal 57 9 3 4 3" xfId="21304" xr:uid="{00000000-0005-0000-0000-000046970000}"/>
    <cellStyle name="Normal 57 9 3 4 3 2" xfId="46857" xr:uid="{00000000-0005-0000-0000-000047970000}"/>
    <cellStyle name="Normal 57 9 3 4 4" xfId="27787" xr:uid="{00000000-0005-0000-0000-000048970000}"/>
    <cellStyle name="Normal 57 9 3 5" xfId="6151" xr:uid="{00000000-0005-0000-0000-000049970000}"/>
    <cellStyle name="Normal 57 9 3 5 2" xfId="14978" xr:uid="{00000000-0005-0000-0000-00004A970000}"/>
    <cellStyle name="Normal 57 9 3 5 2 2" xfId="40533" xr:uid="{00000000-0005-0000-0000-00004B970000}"/>
    <cellStyle name="Normal 57 9 3 5 3" xfId="25229" xr:uid="{00000000-0005-0000-0000-00004C970000}"/>
    <cellStyle name="Normal 57 9 3 5 3 2" xfId="50782" xr:uid="{00000000-0005-0000-0000-00004D970000}"/>
    <cellStyle name="Normal 57 9 3 5 4" xfId="31712" xr:uid="{00000000-0005-0000-0000-00004E970000}"/>
    <cellStyle name="Normal 57 9 3 6" xfId="7596" xr:uid="{00000000-0005-0000-0000-00004F970000}"/>
    <cellStyle name="Normal 57 9 3 6 2" xfId="19786" xr:uid="{00000000-0005-0000-0000-000050970000}"/>
    <cellStyle name="Normal 57 9 3 6 2 2" xfId="45339" xr:uid="{00000000-0005-0000-0000-000051970000}"/>
    <cellStyle name="Normal 57 9 3 6 3" xfId="33153" xr:uid="{00000000-0005-0000-0000-000052970000}"/>
    <cellStyle name="Normal 57 9 3 7" xfId="16297" xr:uid="{00000000-0005-0000-0000-000053970000}"/>
    <cellStyle name="Normal 57 9 3 7 2" xfId="41850" xr:uid="{00000000-0005-0000-0000-000054970000}"/>
    <cellStyle name="Normal 57 9 3 8" xfId="26269" xr:uid="{00000000-0005-0000-0000-000055970000}"/>
    <cellStyle name="Normal 57 9 4" xfId="881" xr:uid="{00000000-0005-0000-0000-000056970000}"/>
    <cellStyle name="Normal 57 9 4 2" xfId="3366" xr:uid="{00000000-0005-0000-0000-000057970000}"/>
    <cellStyle name="Normal 57 9 4 2 2" xfId="12508" xr:uid="{00000000-0005-0000-0000-000058970000}"/>
    <cellStyle name="Normal 57 9 4 2 2 2" xfId="22727" xr:uid="{00000000-0005-0000-0000-000059970000}"/>
    <cellStyle name="Normal 57 9 4 2 2 2 2" xfId="48280" xr:uid="{00000000-0005-0000-0000-00005A970000}"/>
    <cellStyle name="Normal 57 9 4 2 2 3" xfId="38063" xr:uid="{00000000-0005-0000-0000-00005B970000}"/>
    <cellStyle name="Normal 57 9 4 2 3" xfId="8930" xr:uid="{00000000-0005-0000-0000-00005C970000}"/>
    <cellStyle name="Normal 57 9 4 2 3 2" xfId="34487" xr:uid="{00000000-0005-0000-0000-00005D970000}"/>
    <cellStyle name="Normal 57 9 4 2 4" xfId="17720" xr:uid="{00000000-0005-0000-0000-00005E970000}"/>
    <cellStyle name="Normal 57 9 4 2 4 2" xfId="43273" xr:uid="{00000000-0005-0000-0000-00005F970000}"/>
    <cellStyle name="Normal 57 9 4 2 5" xfId="29210" xr:uid="{00000000-0005-0000-0000-000060970000}"/>
    <cellStyle name="Normal 57 9 4 3" xfId="5044" xr:uid="{00000000-0005-0000-0000-000061970000}"/>
    <cellStyle name="Normal 57 9 4 3 2" xfId="13881" xr:uid="{00000000-0005-0000-0000-000062970000}"/>
    <cellStyle name="Normal 57 9 4 3 2 2" xfId="24132" xr:uid="{00000000-0005-0000-0000-000063970000}"/>
    <cellStyle name="Normal 57 9 4 3 2 2 2" xfId="49685" xr:uid="{00000000-0005-0000-0000-000064970000}"/>
    <cellStyle name="Normal 57 9 4 3 2 3" xfId="39436" xr:uid="{00000000-0005-0000-0000-000065970000}"/>
    <cellStyle name="Normal 57 9 4 3 3" xfId="10302" xr:uid="{00000000-0005-0000-0000-000066970000}"/>
    <cellStyle name="Normal 57 9 4 3 3 2" xfId="35859" xr:uid="{00000000-0005-0000-0000-000067970000}"/>
    <cellStyle name="Normal 57 9 4 3 4" xfId="19125" xr:uid="{00000000-0005-0000-0000-000068970000}"/>
    <cellStyle name="Normal 57 9 4 3 4 2" xfId="44678" xr:uid="{00000000-0005-0000-0000-000069970000}"/>
    <cellStyle name="Normal 57 9 4 3 5" xfId="30615" xr:uid="{00000000-0005-0000-0000-00006A970000}"/>
    <cellStyle name="Normal 57 9 4 4" xfId="2475" xr:uid="{00000000-0005-0000-0000-00006B970000}"/>
    <cellStyle name="Normal 57 9 4 4 2" xfId="11840" xr:uid="{00000000-0005-0000-0000-00006C970000}"/>
    <cellStyle name="Normal 57 9 4 4 2 2" xfId="37395" xr:uid="{00000000-0005-0000-0000-00006D970000}"/>
    <cellStyle name="Normal 57 9 4 4 3" xfId="21844" xr:uid="{00000000-0005-0000-0000-00006E970000}"/>
    <cellStyle name="Normal 57 9 4 4 3 2" xfId="47397" xr:uid="{00000000-0005-0000-0000-00006F970000}"/>
    <cellStyle name="Normal 57 9 4 4 4" xfId="28327" xr:uid="{00000000-0005-0000-0000-000070970000}"/>
    <cellStyle name="Normal 57 9 4 5" xfId="6499" xr:uid="{00000000-0005-0000-0000-000071970000}"/>
    <cellStyle name="Normal 57 9 4 5 2" xfId="15326" xr:uid="{00000000-0005-0000-0000-000072970000}"/>
    <cellStyle name="Normal 57 9 4 5 2 2" xfId="40881" xr:uid="{00000000-0005-0000-0000-000073970000}"/>
    <cellStyle name="Normal 57 9 4 5 3" xfId="25577" xr:uid="{00000000-0005-0000-0000-000074970000}"/>
    <cellStyle name="Normal 57 9 4 5 3 2" xfId="51130" xr:uid="{00000000-0005-0000-0000-000075970000}"/>
    <cellStyle name="Normal 57 9 4 5 4" xfId="32060" xr:uid="{00000000-0005-0000-0000-000076970000}"/>
    <cellStyle name="Normal 57 9 4 6" xfId="7945" xr:uid="{00000000-0005-0000-0000-000077970000}"/>
    <cellStyle name="Normal 57 9 4 6 2" xfId="20326" xr:uid="{00000000-0005-0000-0000-000078970000}"/>
    <cellStyle name="Normal 57 9 4 6 2 2" xfId="45879" xr:uid="{00000000-0005-0000-0000-000079970000}"/>
    <cellStyle name="Normal 57 9 4 6 3" xfId="33502" xr:uid="{00000000-0005-0000-0000-00007A970000}"/>
    <cellStyle name="Normal 57 9 4 7" xfId="16837" xr:uid="{00000000-0005-0000-0000-00007B970000}"/>
    <cellStyle name="Normal 57 9 4 7 2" xfId="42390" xr:uid="{00000000-0005-0000-0000-00007C970000}"/>
    <cellStyle name="Normal 57 9 4 8" xfId="26809" xr:uid="{00000000-0005-0000-0000-00007D970000}"/>
    <cellStyle name="Normal 57 9 5" xfId="1112" xr:uid="{00000000-0005-0000-0000-00007E970000}"/>
    <cellStyle name="Normal 57 9 5 2" xfId="3541" xr:uid="{00000000-0005-0000-0000-00007F970000}"/>
    <cellStyle name="Normal 57 9 5 2 2" xfId="12677" xr:uid="{00000000-0005-0000-0000-000080970000}"/>
    <cellStyle name="Normal 57 9 5 2 2 2" xfId="22896" xr:uid="{00000000-0005-0000-0000-000081970000}"/>
    <cellStyle name="Normal 57 9 5 2 2 2 2" xfId="48449" xr:uid="{00000000-0005-0000-0000-000082970000}"/>
    <cellStyle name="Normal 57 9 5 2 2 3" xfId="38232" xr:uid="{00000000-0005-0000-0000-000083970000}"/>
    <cellStyle name="Normal 57 9 5 2 3" xfId="9098" xr:uid="{00000000-0005-0000-0000-000084970000}"/>
    <cellStyle name="Normal 57 9 5 2 3 2" xfId="34655" xr:uid="{00000000-0005-0000-0000-000085970000}"/>
    <cellStyle name="Normal 57 9 5 2 4" xfId="17889" xr:uid="{00000000-0005-0000-0000-000086970000}"/>
    <cellStyle name="Normal 57 9 5 2 4 2" xfId="43442" xr:uid="{00000000-0005-0000-0000-000087970000}"/>
    <cellStyle name="Normal 57 9 5 2 5" xfId="29379" xr:uid="{00000000-0005-0000-0000-000088970000}"/>
    <cellStyle name="Normal 57 9 5 3" xfId="5204" xr:uid="{00000000-0005-0000-0000-000089970000}"/>
    <cellStyle name="Normal 57 9 5 3 2" xfId="14041" xr:uid="{00000000-0005-0000-0000-00008A970000}"/>
    <cellStyle name="Normal 57 9 5 3 2 2" xfId="24292" xr:uid="{00000000-0005-0000-0000-00008B970000}"/>
    <cellStyle name="Normal 57 9 5 3 2 2 2" xfId="49845" xr:uid="{00000000-0005-0000-0000-00008C970000}"/>
    <cellStyle name="Normal 57 9 5 3 2 3" xfId="39596" xr:uid="{00000000-0005-0000-0000-00008D970000}"/>
    <cellStyle name="Normal 57 9 5 3 3" xfId="10462" xr:uid="{00000000-0005-0000-0000-00008E970000}"/>
    <cellStyle name="Normal 57 9 5 3 3 2" xfId="36019" xr:uid="{00000000-0005-0000-0000-00008F970000}"/>
    <cellStyle name="Normal 57 9 5 3 4" xfId="19285" xr:uid="{00000000-0005-0000-0000-000090970000}"/>
    <cellStyle name="Normal 57 9 5 3 4 2" xfId="44838" xr:uid="{00000000-0005-0000-0000-000091970000}"/>
    <cellStyle name="Normal 57 9 5 3 5" xfId="30775" xr:uid="{00000000-0005-0000-0000-000092970000}"/>
    <cellStyle name="Normal 57 9 5 4" xfId="1820" xr:uid="{00000000-0005-0000-0000-000093970000}"/>
    <cellStyle name="Normal 57 9 5 4 2" xfId="11188" xr:uid="{00000000-0005-0000-0000-000094970000}"/>
    <cellStyle name="Normal 57 9 5 4 2 2" xfId="36743" xr:uid="{00000000-0005-0000-0000-000095970000}"/>
    <cellStyle name="Normal 57 9 5 4 3" xfId="21192" xr:uid="{00000000-0005-0000-0000-000096970000}"/>
    <cellStyle name="Normal 57 9 5 4 3 2" xfId="46745" xr:uid="{00000000-0005-0000-0000-000097970000}"/>
    <cellStyle name="Normal 57 9 5 4 4" xfId="27675" xr:uid="{00000000-0005-0000-0000-000098970000}"/>
    <cellStyle name="Normal 57 9 5 5" xfId="6659" xr:uid="{00000000-0005-0000-0000-000099970000}"/>
    <cellStyle name="Normal 57 9 5 5 2" xfId="15486" xr:uid="{00000000-0005-0000-0000-00009A970000}"/>
    <cellStyle name="Normal 57 9 5 5 2 2" xfId="41041" xr:uid="{00000000-0005-0000-0000-00009B970000}"/>
    <cellStyle name="Normal 57 9 5 5 3" xfId="25737" xr:uid="{00000000-0005-0000-0000-00009C970000}"/>
    <cellStyle name="Normal 57 9 5 5 3 2" xfId="51290" xr:uid="{00000000-0005-0000-0000-00009D970000}"/>
    <cellStyle name="Normal 57 9 5 5 4" xfId="32220" xr:uid="{00000000-0005-0000-0000-00009E970000}"/>
    <cellStyle name="Normal 57 9 5 6" xfId="8105" xr:uid="{00000000-0005-0000-0000-00009F970000}"/>
    <cellStyle name="Normal 57 9 5 6 2" xfId="20495" xr:uid="{00000000-0005-0000-0000-0000A0970000}"/>
    <cellStyle name="Normal 57 9 5 6 2 2" xfId="46048" xr:uid="{00000000-0005-0000-0000-0000A1970000}"/>
    <cellStyle name="Normal 57 9 5 6 3" xfId="33662" xr:uid="{00000000-0005-0000-0000-0000A2970000}"/>
    <cellStyle name="Normal 57 9 5 7" xfId="16185" xr:uid="{00000000-0005-0000-0000-0000A3970000}"/>
    <cellStyle name="Normal 57 9 5 7 2" xfId="41738" xr:uid="{00000000-0005-0000-0000-0000A4970000}"/>
    <cellStyle name="Normal 57 9 5 8" xfId="26978" xr:uid="{00000000-0005-0000-0000-0000A5970000}"/>
    <cellStyle name="Normal 57 9 6" xfId="2714" xr:uid="{00000000-0005-0000-0000-0000A6970000}"/>
    <cellStyle name="Normal 57 9 6 2" xfId="12031" xr:uid="{00000000-0005-0000-0000-0000A7970000}"/>
    <cellStyle name="Normal 57 9 6 2 2" xfId="22075" xr:uid="{00000000-0005-0000-0000-0000A8970000}"/>
    <cellStyle name="Normal 57 9 6 2 2 2" xfId="47628" xr:uid="{00000000-0005-0000-0000-0000A9970000}"/>
    <cellStyle name="Normal 57 9 6 2 3" xfId="37586" xr:uid="{00000000-0005-0000-0000-0000AA970000}"/>
    <cellStyle name="Normal 57 9 6 3" xfId="8613" xr:uid="{00000000-0005-0000-0000-0000AB970000}"/>
    <cellStyle name="Normal 57 9 6 3 2" xfId="34170" xr:uid="{00000000-0005-0000-0000-0000AC970000}"/>
    <cellStyle name="Normal 57 9 6 4" xfId="17068" xr:uid="{00000000-0005-0000-0000-0000AD970000}"/>
    <cellStyle name="Normal 57 9 6 4 2" xfId="42621" xr:uid="{00000000-0005-0000-0000-0000AE970000}"/>
    <cellStyle name="Normal 57 9 6 5" xfId="28558" xr:uid="{00000000-0005-0000-0000-0000AF970000}"/>
    <cellStyle name="Normal 57 9 7" xfId="4160" xr:uid="{00000000-0005-0000-0000-0000B0970000}"/>
    <cellStyle name="Normal 57 9 7 2" xfId="12998" xr:uid="{00000000-0005-0000-0000-0000B1970000}"/>
    <cellStyle name="Normal 57 9 7 2 2" xfId="23249" xr:uid="{00000000-0005-0000-0000-0000B2970000}"/>
    <cellStyle name="Normal 57 9 7 2 2 2" xfId="48802" xr:uid="{00000000-0005-0000-0000-0000B3970000}"/>
    <cellStyle name="Normal 57 9 7 2 3" xfId="38553" xr:uid="{00000000-0005-0000-0000-0000B4970000}"/>
    <cellStyle name="Normal 57 9 7 3" xfId="9419" xr:uid="{00000000-0005-0000-0000-0000B5970000}"/>
    <cellStyle name="Normal 57 9 7 3 2" xfId="34976" xr:uid="{00000000-0005-0000-0000-0000B6970000}"/>
    <cellStyle name="Normal 57 9 7 4" xfId="18242" xr:uid="{00000000-0005-0000-0000-0000B7970000}"/>
    <cellStyle name="Normal 57 9 7 4 2" xfId="43795" xr:uid="{00000000-0005-0000-0000-0000B8970000}"/>
    <cellStyle name="Normal 57 9 7 5" xfId="29732" xr:uid="{00000000-0005-0000-0000-0000B9970000}"/>
    <cellStyle name="Normal 57 9 8" xfId="1432" xr:uid="{00000000-0005-0000-0000-0000BA970000}"/>
    <cellStyle name="Normal 57 9 8 2" xfId="10809" xr:uid="{00000000-0005-0000-0000-0000BB970000}"/>
    <cellStyle name="Normal 57 9 8 2 2" xfId="36364" xr:uid="{00000000-0005-0000-0000-0000BC970000}"/>
    <cellStyle name="Normal 57 9 8 3" xfId="20813" xr:uid="{00000000-0005-0000-0000-0000BD970000}"/>
    <cellStyle name="Normal 57 9 8 3 2" xfId="46366" xr:uid="{00000000-0005-0000-0000-0000BE970000}"/>
    <cellStyle name="Normal 57 9 8 4" xfId="27296" xr:uid="{00000000-0005-0000-0000-0000BF970000}"/>
    <cellStyle name="Normal 57 9 9" xfId="5616" xr:uid="{00000000-0005-0000-0000-0000C0970000}"/>
    <cellStyle name="Normal 57 9 9 2" xfId="14443" xr:uid="{00000000-0005-0000-0000-0000C1970000}"/>
    <cellStyle name="Normal 57 9 9 2 2" xfId="39998" xr:uid="{00000000-0005-0000-0000-0000C2970000}"/>
    <cellStyle name="Normal 57 9 9 3" xfId="24694" xr:uid="{00000000-0005-0000-0000-0000C3970000}"/>
    <cellStyle name="Normal 57 9 9 3 2" xfId="50247" xr:uid="{00000000-0005-0000-0000-0000C4970000}"/>
    <cellStyle name="Normal 57 9 9 4" xfId="31177" xr:uid="{00000000-0005-0000-0000-0000C5970000}"/>
    <cellStyle name="Normal 57 9_Degree data" xfId="3987" xr:uid="{00000000-0005-0000-0000-0000C6970000}"/>
    <cellStyle name="Normal 57_Degree data" xfId="3931" xr:uid="{00000000-0005-0000-0000-0000C7970000}"/>
    <cellStyle name="Normal 58" xfId="38" xr:uid="{00000000-0005-0000-0000-0000C8970000}"/>
    <cellStyle name="Normal 58 10" xfId="441" xr:uid="{00000000-0005-0000-0000-0000C9970000}"/>
    <cellStyle name="Normal 58 10 10" xfId="26370" xr:uid="{00000000-0005-0000-0000-0000CA970000}"/>
    <cellStyle name="Normal 58 10 2" xfId="884" xr:uid="{00000000-0005-0000-0000-0000CB970000}"/>
    <cellStyle name="Normal 58 10 2 2" xfId="3369" xr:uid="{00000000-0005-0000-0000-0000CC970000}"/>
    <cellStyle name="Normal 58 10 2 2 2" xfId="12511" xr:uid="{00000000-0005-0000-0000-0000CD970000}"/>
    <cellStyle name="Normal 58 10 2 2 2 2" xfId="22730" xr:uid="{00000000-0005-0000-0000-0000CE970000}"/>
    <cellStyle name="Normal 58 10 2 2 2 2 2" xfId="48283" xr:uid="{00000000-0005-0000-0000-0000CF970000}"/>
    <cellStyle name="Normal 58 10 2 2 2 3" xfId="38066" xr:uid="{00000000-0005-0000-0000-0000D0970000}"/>
    <cellStyle name="Normal 58 10 2 2 3" xfId="8933" xr:uid="{00000000-0005-0000-0000-0000D1970000}"/>
    <cellStyle name="Normal 58 10 2 2 3 2" xfId="34490" xr:uid="{00000000-0005-0000-0000-0000D2970000}"/>
    <cellStyle name="Normal 58 10 2 2 4" xfId="17723" xr:uid="{00000000-0005-0000-0000-0000D3970000}"/>
    <cellStyle name="Normal 58 10 2 2 4 2" xfId="43276" xr:uid="{00000000-0005-0000-0000-0000D4970000}"/>
    <cellStyle name="Normal 58 10 2 2 5" xfId="29213" xr:uid="{00000000-0005-0000-0000-0000D5970000}"/>
    <cellStyle name="Normal 58 10 2 3" xfId="4698" xr:uid="{00000000-0005-0000-0000-0000D6970000}"/>
    <cellStyle name="Normal 58 10 2 3 2" xfId="13536" xr:uid="{00000000-0005-0000-0000-0000D7970000}"/>
    <cellStyle name="Normal 58 10 2 3 2 2" xfId="23787" xr:uid="{00000000-0005-0000-0000-0000D8970000}"/>
    <cellStyle name="Normal 58 10 2 3 2 2 2" xfId="49340" xr:uid="{00000000-0005-0000-0000-0000D9970000}"/>
    <cellStyle name="Normal 58 10 2 3 2 3" xfId="39091" xr:uid="{00000000-0005-0000-0000-0000DA970000}"/>
    <cellStyle name="Normal 58 10 2 3 3" xfId="9957" xr:uid="{00000000-0005-0000-0000-0000DB970000}"/>
    <cellStyle name="Normal 58 10 2 3 3 2" xfId="35514" xr:uid="{00000000-0005-0000-0000-0000DC970000}"/>
    <cellStyle name="Normal 58 10 2 3 4" xfId="18780" xr:uid="{00000000-0005-0000-0000-0000DD970000}"/>
    <cellStyle name="Normal 58 10 2 3 4 2" xfId="44333" xr:uid="{00000000-0005-0000-0000-0000DE970000}"/>
    <cellStyle name="Normal 58 10 2 3 5" xfId="30270" xr:uid="{00000000-0005-0000-0000-0000DF970000}"/>
    <cellStyle name="Normal 58 10 2 4" xfId="2478" xr:uid="{00000000-0005-0000-0000-0000E0970000}"/>
    <cellStyle name="Normal 58 10 2 4 2" xfId="11843" xr:uid="{00000000-0005-0000-0000-0000E1970000}"/>
    <cellStyle name="Normal 58 10 2 4 2 2" xfId="37398" xr:uid="{00000000-0005-0000-0000-0000E2970000}"/>
    <cellStyle name="Normal 58 10 2 4 3" xfId="21847" xr:uid="{00000000-0005-0000-0000-0000E3970000}"/>
    <cellStyle name="Normal 58 10 2 4 3 2" xfId="47400" xr:uid="{00000000-0005-0000-0000-0000E4970000}"/>
    <cellStyle name="Normal 58 10 2 4 4" xfId="28330" xr:uid="{00000000-0005-0000-0000-0000E5970000}"/>
    <cellStyle name="Normal 58 10 2 5" xfId="6154" xr:uid="{00000000-0005-0000-0000-0000E6970000}"/>
    <cellStyle name="Normal 58 10 2 5 2" xfId="14981" xr:uid="{00000000-0005-0000-0000-0000E7970000}"/>
    <cellStyle name="Normal 58 10 2 5 2 2" xfId="40536" xr:uid="{00000000-0005-0000-0000-0000E8970000}"/>
    <cellStyle name="Normal 58 10 2 5 3" xfId="25232" xr:uid="{00000000-0005-0000-0000-0000E9970000}"/>
    <cellStyle name="Normal 58 10 2 5 3 2" xfId="50785" xr:uid="{00000000-0005-0000-0000-0000EA970000}"/>
    <cellStyle name="Normal 58 10 2 5 4" xfId="31715" xr:uid="{00000000-0005-0000-0000-0000EB970000}"/>
    <cellStyle name="Normal 58 10 2 6" xfId="7599" xr:uid="{00000000-0005-0000-0000-0000EC970000}"/>
    <cellStyle name="Normal 58 10 2 6 2" xfId="20329" xr:uid="{00000000-0005-0000-0000-0000ED970000}"/>
    <cellStyle name="Normal 58 10 2 6 2 2" xfId="45882" xr:uid="{00000000-0005-0000-0000-0000EE970000}"/>
    <cellStyle name="Normal 58 10 2 6 3" xfId="33156" xr:uid="{00000000-0005-0000-0000-0000EF970000}"/>
    <cellStyle name="Normal 58 10 2 7" xfId="16840" xr:uid="{00000000-0005-0000-0000-0000F0970000}"/>
    <cellStyle name="Normal 58 10 2 7 2" xfId="42393" xr:uid="{00000000-0005-0000-0000-0000F1970000}"/>
    <cellStyle name="Normal 58 10 2 8" xfId="26812" xr:uid="{00000000-0005-0000-0000-0000F2970000}"/>
    <cellStyle name="Normal 58 10 3" xfId="1213" xr:uid="{00000000-0005-0000-0000-0000F3970000}"/>
    <cellStyle name="Normal 58 10 3 2" xfId="3642" xr:uid="{00000000-0005-0000-0000-0000F4970000}"/>
    <cellStyle name="Normal 58 10 3 2 2" xfId="12778" xr:uid="{00000000-0005-0000-0000-0000F5970000}"/>
    <cellStyle name="Normal 58 10 3 2 2 2" xfId="22997" xr:uid="{00000000-0005-0000-0000-0000F6970000}"/>
    <cellStyle name="Normal 58 10 3 2 2 2 2" xfId="48550" xr:uid="{00000000-0005-0000-0000-0000F7970000}"/>
    <cellStyle name="Normal 58 10 3 2 2 3" xfId="38333" xr:uid="{00000000-0005-0000-0000-0000F8970000}"/>
    <cellStyle name="Normal 58 10 3 2 3" xfId="9199" xr:uid="{00000000-0005-0000-0000-0000F9970000}"/>
    <cellStyle name="Normal 58 10 3 2 3 2" xfId="34756" xr:uid="{00000000-0005-0000-0000-0000FA970000}"/>
    <cellStyle name="Normal 58 10 3 2 4" xfId="17990" xr:uid="{00000000-0005-0000-0000-0000FB970000}"/>
    <cellStyle name="Normal 58 10 3 2 4 2" xfId="43543" xr:uid="{00000000-0005-0000-0000-0000FC970000}"/>
    <cellStyle name="Normal 58 10 3 2 5" xfId="29480" xr:uid="{00000000-0005-0000-0000-0000FD970000}"/>
    <cellStyle name="Normal 58 10 3 3" xfId="5047" xr:uid="{00000000-0005-0000-0000-0000FE970000}"/>
    <cellStyle name="Normal 58 10 3 3 2" xfId="13884" xr:uid="{00000000-0005-0000-0000-0000FF970000}"/>
    <cellStyle name="Normal 58 10 3 3 2 2" xfId="24135" xr:uid="{00000000-0005-0000-0000-000000980000}"/>
    <cellStyle name="Normal 58 10 3 3 2 2 2" xfId="49688" xr:uid="{00000000-0005-0000-0000-000001980000}"/>
    <cellStyle name="Normal 58 10 3 3 2 3" xfId="39439" xr:uid="{00000000-0005-0000-0000-000002980000}"/>
    <cellStyle name="Normal 58 10 3 3 3" xfId="10305" xr:uid="{00000000-0005-0000-0000-000003980000}"/>
    <cellStyle name="Normal 58 10 3 3 3 2" xfId="35862" xr:uid="{00000000-0005-0000-0000-000004980000}"/>
    <cellStyle name="Normal 58 10 3 3 4" xfId="19128" xr:uid="{00000000-0005-0000-0000-000005980000}"/>
    <cellStyle name="Normal 58 10 3 3 4 2" xfId="44681" xr:uid="{00000000-0005-0000-0000-000006980000}"/>
    <cellStyle name="Normal 58 10 3 3 5" xfId="30618" xr:uid="{00000000-0005-0000-0000-000007980000}"/>
    <cellStyle name="Normal 58 10 3 4" xfId="2036" xr:uid="{00000000-0005-0000-0000-000008980000}"/>
    <cellStyle name="Normal 58 10 3 4 2" xfId="11401" xr:uid="{00000000-0005-0000-0000-000009980000}"/>
    <cellStyle name="Normal 58 10 3 4 2 2" xfId="36956" xr:uid="{00000000-0005-0000-0000-00000A980000}"/>
    <cellStyle name="Normal 58 10 3 4 3" xfId="21405" xr:uid="{00000000-0005-0000-0000-00000B980000}"/>
    <cellStyle name="Normal 58 10 3 4 3 2" xfId="46958" xr:uid="{00000000-0005-0000-0000-00000C980000}"/>
    <cellStyle name="Normal 58 10 3 4 4" xfId="27888" xr:uid="{00000000-0005-0000-0000-00000D980000}"/>
    <cellStyle name="Normal 58 10 3 5" xfId="6502" xr:uid="{00000000-0005-0000-0000-00000E980000}"/>
    <cellStyle name="Normal 58 10 3 5 2" xfId="15329" xr:uid="{00000000-0005-0000-0000-00000F980000}"/>
    <cellStyle name="Normal 58 10 3 5 2 2" xfId="40884" xr:uid="{00000000-0005-0000-0000-000010980000}"/>
    <cellStyle name="Normal 58 10 3 5 3" xfId="25580" xr:uid="{00000000-0005-0000-0000-000011980000}"/>
    <cellStyle name="Normal 58 10 3 5 3 2" xfId="51133" xr:uid="{00000000-0005-0000-0000-000012980000}"/>
    <cellStyle name="Normal 58 10 3 5 4" xfId="32063" xr:uid="{00000000-0005-0000-0000-000013980000}"/>
    <cellStyle name="Normal 58 10 3 6" xfId="7948" xr:uid="{00000000-0005-0000-0000-000014980000}"/>
    <cellStyle name="Normal 58 10 3 6 2" xfId="20596" xr:uid="{00000000-0005-0000-0000-000015980000}"/>
    <cellStyle name="Normal 58 10 3 6 2 2" xfId="46149" xr:uid="{00000000-0005-0000-0000-000016980000}"/>
    <cellStyle name="Normal 58 10 3 6 3" xfId="33505" xr:uid="{00000000-0005-0000-0000-000017980000}"/>
    <cellStyle name="Normal 58 10 3 7" xfId="16398" xr:uid="{00000000-0005-0000-0000-000018980000}"/>
    <cellStyle name="Normal 58 10 3 7 2" xfId="41951" xr:uid="{00000000-0005-0000-0000-000019980000}"/>
    <cellStyle name="Normal 58 10 3 8" xfId="27079" xr:uid="{00000000-0005-0000-0000-00001A980000}"/>
    <cellStyle name="Normal 58 10 4" xfId="2927" xr:uid="{00000000-0005-0000-0000-00001B980000}"/>
    <cellStyle name="Normal 58 10 4 2" xfId="5305" xr:uid="{00000000-0005-0000-0000-00001C980000}"/>
    <cellStyle name="Normal 58 10 4 2 2" xfId="14142" xr:uid="{00000000-0005-0000-0000-00001D980000}"/>
    <cellStyle name="Normal 58 10 4 2 2 2" xfId="24393" xr:uid="{00000000-0005-0000-0000-00001E980000}"/>
    <cellStyle name="Normal 58 10 4 2 2 2 2" xfId="49946" xr:uid="{00000000-0005-0000-0000-00001F980000}"/>
    <cellStyle name="Normal 58 10 4 2 2 3" xfId="39697" xr:uid="{00000000-0005-0000-0000-000020980000}"/>
    <cellStyle name="Normal 58 10 4 2 3" xfId="10563" xr:uid="{00000000-0005-0000-0000-000021980000}"/>
    <cellStyle name="Normal 58 10 4 2 3 2" xfId="36120" xr:uid="{00000000-0005-0000-0000-000022980000}"/>
    <cellStyle name="Normal 58 10 4 2 4" xfId="19386" xr:uid="{00000000-0005-0000-0000-000023980000}"/>
    <cellStyle name="Normal 58 10 4 2 4 2" xfId="44939" xr:uid="{00000000-0005-0000-0000-000024980000}"/>
    <cellStyle name="Normal 58 10 4 2 5" xfId="30876" xr:uid="{00000000-0005-0000-0000-000025980000}"/>
    <cellStyle name="Normal 58 10 4 3" xfId="6760" xr:uid="{00000000-0005-0000-0000-000026980000}"/>
    <cellStyle name="Normal 58 10 4 3 2" xfId="15587" xr:uid="{00000000-0005-0000-0000-000027980000}"/>
    <cellStyle name="Normal 58 10 4 3 2 2" xfId="41142" xr:uid="{00000000-0005-0000-0000-000028980000}"/>
    <cellStyle name="Normal 58 10 4 3 3" xfId="25838" xr:uid="{00000000-0005-0000-0000-000029980000}"/>
    <cellStyle name="Normal 58 10 4 3 3 2" xfId="51391" xr:uid="{00000000-0005-0000-0000-00002A980000}"/>
    <cellStyle name="Normal 58 10 4 3 4" xfId="32321" xr:uid="{00000000-0005-0000-0000-00002B980000}"/>
    <cellStyle name="Normal 58 10 4 4" xfId="8206" xr:uid="{00000000-0005-0000-0000-00002C980000}"/>
    <cellStyle name="Normal 58 10 4 4 2" xfId="22288" xr:uid="{00000000-0005-0000-0000-00002D980000}"/>
    <cellStyle name="Normal 58 10 4 4 2 2" xfId="47841" xr:uid="{00000000-0005-0000-0000-00002E980000}"/>
    <cellStyle name="Normal 58 10 4 4 3" xfId="33763" xr:uid="{00000000-0005-0000-0000-00002F980000}"/>
    <cellStyle name="Normal 58 10 4 5" xfId="17281" xr:uid="{00000000-0005-0000-0000-000030980000}"/>
    <cellStyle name="Normal 58 10 4 5 2" xfId="42834" xr:uid="{00000000-0005-0000-0000-000031980000}"/>
    <cellStyle name="Normal 58 10 4 6" xfId="28771" xr:uid="{00000000-0005-0000-0000-000032980000}"/>
    <cellStyle name="Normal 58 10 5" xfId="4261" xr:uid="{00000000-0005-0000-0000-000033980000}"/>
    <cellStyle name="Normal 58 10 5 2" xfId="13099" xr:uid="{00000000-0005-0000-0000-000034980000}"/>
    <cellStyle name="Normal 58 10 5 2 2" xfId="23350" xr:uid="{00000000-0005-0000-0000-000035980000}"/>
    <cellStyle name="Normal 58 10 5 2 2 2" xfId="48903" xr:uid="{00000000-0005-0000-0000-000036980000}"/>
    <cellStyle name="Normal 58 10 5 2 3" xfId="38654" xr:uid="{00000000-0005-0000-0000-000037980000}"/>
    <cellStyle name="Normal 58 10 5 3" xfId="9520" xr:uid="{00000000-0005-0000-0000-000038980000}"/>
    <cellStyle name="Normal 58 10 5 3 2" xfId="35077" xr:uid="{00000000-0005-0000-0000-000039980000}"/>
    <cellStyle name="Normal 58 10 5 4" xfId="18343" xr:uid="{00000000-0005-0000-0000-00003A980000}"/>
    <cellStyle name="Normal 58 10 5 4 2" xfId="43896" xr:uid="{00000000-0005-0000-0000-00003B980000}"/>
    <cellStyle name="Normal 58 10 5 5" xfId="29833" xr:uid="{00000000-0005-0000-0000-00003C980000}"/>
    <cellStyle name="Normal 58 10 6" xfId="1533" xr:uid="{00000000-0005-0000-0000-00003D980000}"/>
    <cellStyle name="Normal 58 10 6 2" xfId="10910" xr:uid="{00000000-0005-0000-0000-00003E980000}"/>
    <cellStyle name="Normal 58 10 6 2 2" xfId="36465" xr:uid="{00000000-0005-0000-0000-00003F980000}"/>
    <cellStyle name="Normal 58 10 6 3" xfId="20914" xr:uid="{00000000-0005-0000-0000-000040980000}"/>
    <cellStyle name="Normal 58 10 6 3 2" xfId="46467" xr:uid="{00000000-0005-0000-0000-000041980000}"/>
    <cellStyle name="Normal 58 10 6 4" xfId="27397" xr:uid="{00000000-0005-0000-0000-000042980000}"/>
    <cellStyle name="Normal 58 10 7" xfId="5717" xr:uid="{00000000-0005-0000-0000-000043980000}"/>
    <cellStyle name="Normal 58 10 7 2" xfId="14544" xr:uid="{00000000-0005-0000-0000-000044980000}"/>
    <cellStyle name="Normal 58 10 7 2 2" xfId="40099" xr:uid="{00000000-0005-0000-0000-000045980000}"/>
    <cellStyle name="Normal 58 10 7 3" xfId="24795" xr:uid="{00000000-0005-0000-0000-000046980000}"/>
    <cellStyle name="Normal 58 10 7 3 2" xfId="50348" xr:uid="{00000000-0005-0000-0000-000047980000}"/>
    <cellStyle name="Normal 58 10 7 4" xfId="31278" xr:uid="{00000000-0005-0000-0000-000048980000}"/>
    <cellStyle name="Normal 58 10 8" xfId="7161" xr:uid="{00000000-0005-0000-0000-000049980000}"/>
    <cellStyle name="Normal 58 10 8 2" xfId="19887" xr:uid="{00000000-0005-0000-0000-00004A980000}"/>
    <cellStyle name="Normal 58 10 8 2 2" xfId="45440" xr:uid="{00000000-0005-0000-0000-00004B980000}"/>
    <cellStyle name="Normal 58 10 8 3" xfId="32718" xr:uid="{00000000-0005-0000-0000-00004C980000}"/>
    <cellStyle name="Normal 58 10 9" xfId="15907" xr:uid="{00000000-0005-0000-0000-00004D980000}"/>
    <cellStyle name="Normal 58 10 9 2" xfId="41460" xr:uid="{00000000-0005-0000-0000-00004E980000}"/>
    <cellStyle name="Normal 58 10_Degree data" xfId="3990" xr:uid="{00000000-0005-0000-0000-00004F980000}"/>
    <cellStyle name="Normal 58 11" xfId="297" xr:uid="{00000000-0005-0000-0000-000050980000}"/>
    <cellStyle name="Normal 58 11 10" xfId="26226" xr:uid="{00000000-0005-0000-0000-000051980000}"/>
    <cellStyle name="Normal 58 11 2" xfId="885" xr:uid="{00000000-0005-0000-0000-000052980000}"/>
    <cellStyle name="Normal 58 11 2 2" xfId="3370" xr:uid="{00000000-0005-0000-0000-000053980000}"/>
    <cellStyle name="Normal 58 11 2 2 2" xfId="12512" xr:uid="{00000000-0005-0000-0000-000054980000}"/>
    <cellStyle name="Normal 58 11 2 2 2 2" xfId="22731" xr:uid="{00000000-0005-0000-0000-000055980000}"/>
    <cellStyle name="Normal 58 11 2 2 2 2 2" xfId="48284" xr:uid="{00000000-0005-0000-0000-000056980000}"/>
    <cellStyle name="Normal 58 11 2 2 2 3" xfId="38067" xr:uid="{00000000-0005-0000-0000-000057980000}"/>
    <cellStyle name="Normal 58 11 2 2 3" xfId="8934" xr:uid="{00000000-0005-0000-0000-000058980000}"/>
    <cellStyle name="Normal 58 11 2 2 3 2" xfId="34491" xr:uid="{00000000-0005-0000-0000-000059980000}"/>
    <cellStyle name="Normal 58 11 2 2 4" xfId="17724" xr:uid="{00000000-0005-0000-0000-00005A980000}"/>
    <cellStyle name="Normal 58 11 2 2 4 2" xfId="43277" xr:uid="{00000000-0005-0000-0000-00005B980000}"/>
    <cellStyle name="Normal 58 11 2 2 5" xfId="29214" xr:uid="{00000000-0005-0000-0000-00005C980000}"/>
    <cellStyle name="Normal 58 11 2 3" xfId="4699" xr:uid="{00000000-0005-0000-0000-00005D980000}"/>
    <cellStyle name="Normal 58 11 2 3 2" xfId="13537" xr:uid="{00000000-0005-0000-0000-00005E980000}"/>
    <cellStyle name="Normal 58 11 2 3 2 2" xfId="23788" xr:uid="{00000000-0005-0000-0000-00005F980000}"/>
    <cellStyle name="Normal 58 11 2 3 2 2 2" xfId="49341" xr:uid="{00000000-0005-0000-0000-000060980000}"/>
    <cellStyle name="Normal 58 11 2 3 2 3" xfId="39092" xr:uid="{00000000-0005-0000-0000-000061980000}"/>
    <cellStyle name="Normal 58 11 2 3 3" xfId="9958" xr:uid="{00000000-0005-0000-0000-000062980000}"/>
    <cellStyle name="Normal 58 11 2 3 3 2" xfId="35515" xr:uid="{00000000-0005-0000-0000-000063980000}"/>
    <cellStyle name="Normal 58 11 2 3 4" xfId="18781" xr:uid="{00000000-0005-0000-0000-000064980000}"/>
    <cellStyle name="Normal 58 11 2 3 4 2" xfId="44334" xr:uid="{00000000-0005-0000-0000-000065980000}"/>
    <cellStyle name="Normal 58 11 2 3 5" xfId="30271" xr:uid="{00000000-0005-0000-0000-000066980000}"/>
    <cellStyle name="Normal 58 11 2 4" xfId="2479" xr:uid="{00000000-0005-0000-0000-000067980000}"/>
    <cellStyle name="Normal 58 11 2 4 2" xfId="11844" xr:uid="{00000000-0005-0000-0000-000068980000}"/>
    <cellStyle name="Normal 58 11 2 4 2 2" xfId="37399" xr:uid="{00000000-0005-0000-0000-000069980000}"/>
    <cellStyle name="Normal 58 11 2 4 3" xfId="21848" xr:uid="{00000000-0005-0000-0000-00006A980000}"/>
    <cellStyle name="Normal 58 11 2 4 3 2" xfId="47401" xr:uid="{00000000-0005-0000-0000-00006B980000}"/>
    <cellStyle name="Normal 58 11 2 4 4" xfId="28331" xr:uid="{00000000-0005-0000-0000-00006C980000}"/>
    <cellStyle name="Normal 58 11 2 5" xfId="6155" xr:uid="{00000000-0005-0000-0000-00006D980000}"/>
    <cellStyle name="Normal 58 11 2 5 2" xfId="14982" xr:uid="{00000000-0005-0000-0000-00006E980000}"/>
    <cellStyle name="Normal 58 11 2 5 2 2" xfId="40537" xr:uid="{00000000-0005-0000-0000-00006F980000}"/>
    <cellStyle name="Normal 58 11 2 5 3" xfId="25233" xr:uid="{00000000-0005-0000-0000-000070980000}"/>
    <cellStyle name="Normal 58 11 2 5 3 2" xfId="50786" xr:uid="{00000000-0005-0000-0000-000071980000}"/>
    <cellStyle name="Normal 58 11 2 5 4" xfId="31716" xr:uid="{00000000-0005-0000-0000-000072980000}"/>
    <cellStyle name="Normal 58 11 2 6" xfId="7600" xr:uid="{00000000-0005-0000-0000-000073980000}"/>
    <cellStyle name="Normal 58 11 2 6 2" xfId="20330" xr:uid="{00000000-0005-0000-0000-000074980000}"/>
    <cellStyle name="Normal 58 11 2 6 2 2" xfId="45883" xr:uid="{00000000-0005-0000-0000-000075980000}"/>
    <cellStyle name="Normal 58 11 2 6 3" xfId="33157" xr:uid="{00000000-0005-0000-0000-000076980000}"/>
    <cellStyle name="Normal 58 11 2 7" xfId="16841" xr:uid="{00000000-0005-0000-0000-000077980000}"/>
    <cellStyle name="Normal 58 11 2 7 2" xfId="42394" xr:uid="{00000000-0005-0000-0000-000078980000}"/>
    <cellStyle name="Normal 58 11 2 8" xfId="26813" xr:uid="{00000000-0005-0000-0000-000079980000}"/>
    <cellStyle name="Normal 58 11 3" xfId="1069" xr:uid="{00000000-0005-0000-0000-00007A980000}"/>
    <cellStyle name="Normal 58 11 3 2" xfId="3498" xr:uid="{00000000-0005-0000-0000-00007B980000}"/>
    <cellStyle name="Normal 58 11 3 2 2" xfId="12634" xr:uid="{00000000-0005-0000-0000-00007C980000}"/>
    <cellStyle name="Normal 58 11 3 2 2 2" xfId="22853" xr:uid="{00000000-0005-0000-0000-00007D980000}"/>
    <cellStyle name="Normal 58 11 3 2 2 2 2" xfId="48406" xr:uid="{00000000-0005-0000-0000-00007E980000}"/>
    <cellStyle name="Normal 58 11 3 2 2 3" xfId="38189" xr:uid="{00000000-0005-0000-0000-00007F980000}"/>
    <cellStyle name="Normal 58 11 3 2 3" xfId="9056" xr:uid="{00000000-0005-0000-0000-000080980000}"/>
    <cellStyle name="Normal 58 11 3 2 3 2" xfId="34613" xr:uid="{00000000-0005-0000-0000-000081980000}"/>
    <cellStyle name="Normal 58 11 3 2 4" xfId="17846" xr:uid="{00000000-0005-0000-0000-000082980000}"/>
    <cellStyle name="Normal 58 11 3 2 4 2" xfId="43399" xr:uid="{00000000-0005-0000-0000-000083980000}"/>
    <cellStyle name="Normal 58 11 3 2 5" xfId="29336" xr:uid="{00000000-0005-0000-0000-000084980000}"/>
    <cellStyle name="Normal 58 11 3 3" xfId="5048" xr:uid="{00000000-0005-0000-0000-000085980000}"/>
    <cellStyle name="Normal 58 11 3 3 2" xfId="13885" xr:uid="{00000000-0005-0000-0000-000086980000}"/>
    <cellStyle name="Normal 58 11 3 3 2 2" xfId="24136" xr:uid="{00000000-0005-0000-0000-000087980000}"/>
    <cellStyle name="Normal 58 11 3 3 2 2 2" xfId="49689" xr:uid="{00000000-0005-0000-0000-000088980000}"/>
    <cellStyle name="Normal 58 11 3 3 2 3" xfId="39440" xr:uid="{00000000-0005-0000-0000-000089980000}"/>
    <cellStyle name="Normal 58 11 3 3 3" xfId="10306" xr:uid="{00000000-0005-0000-0000-00008A980000}"/>
    <cellStyle name="Normal 58 11 3 3 3 2" xfId="35863" xr:uid="{00000000-0005-0000-0000-00008B980000}"/>
    <cellStyle name="Normal 58 11 3 3 4" xfId="19129" xr:uid="{00000000-0005-0000-0000-00008C980000}"/>
    <cellStyle name="Normal 58 11 3 3 4 2" xfId="44682" xr:uid="{00000000-0005-0000-0000-00008D980000}"/>
    <cellStyle name="Normal 58 11 3 3 5" xfId="30619" xr:uid="{00000000-0005-0000-0000-00008E980000}"/>
    <cellStyle name="Normal 58 11 3 4" xfId="2594" xr:uid="{00000000-0005-0000-0000-00008F980000}"/>
    <cellStyle name="Normal 58 11 3 4 2" xfId="11958" xr:uid="{00000000-0005-0000-0000-000090980000}"/>
    <cellStyle name="Normal 58 11 3 4 2 2" xfId="37513" xr:uid="{00000000-0005-0000-0000-000091980000}"/>
    <cellStyle name="Normal 58 11 3 4 3" xfId="21962" xr:uid="{00000000-0005-0000-0000-000092980000}"/>
    <cellStyle name="Normal 58 11 3 4 3 2" xfId="47515" xr:uid="{00000000-0005-0000-0000-000093980000}"/>
    <cellStyle name="Normal 58 11 3 4 4" xfId="28445" xr:uid="{00000000-0005-0000-0000-000094980000}"/>
    <cellStyle name="Normal 58 11 3 5" xfId="6503" xr:uid="{00000000-0005-0000-0000-000095980000}"/>
    <cellStyle name="Normal 58 11 3 5 2" xfId="15330" xr:uid="{00000000-0005-0000-0000-000096980000}"/>
    <cellStyle name="Normal 58 11 3 5 2 2" xfId="40885" xr:uid="{00000000-0005-0000-0000-000097980000}"/>
    <cellStyle name="Normal 58 11 3 5 3" xfId="25581" xr:uid="{00000000-0005-0000-0000-000098980000}"/>
    <cellStyle name="Normal 58 11 3 5 3 2" xfId="51134" xr:uid="{00000000-0005-0000-0000-000099980000}"/>
    <cellStyle name="Normal 58 11 3 5 4" xfId="32064" xr:uid="{00000000-0005-0000-0000-00009A980000}"/>
    <cellStyle name="Normal 58 11 3 6" xfId="7949" xr:uid="{00000000-0005-0000-0000-00009B980000}"/>
    <cellStyle name="Normal 58 11 3 6 2" xfId="20452" xr:uid="{00000000-0005-0000-0000-00009C980000}"/>
    <cellStyle name="Normal 58 11 3 6 2 2" xfId="46005" xr:uid="{00000000-0005-0000-0000-00009D980000}"/>
    <cellStyle name="Normal 58 11 3 6 3" xfId="33506" xr:uid="{00000000-0005-0000-0000-00009E980000}"/>
    <cellStyle name="Normal 58 11 3 7" xfId="16955" xr:uid="{00000000-0005-0000-0000-00009F980000}"/>
    <cellStyle name="Normal 58 11 3 7 2" xfId="42508" xr:uid="{00000000-0005-0000-0000-0000A0980000}"/>
    <cellStyle name="Normal 58 11 3 8" xfId="26935" xr:uid="{00000000-0005-0000-0000-0000A1980000}"/>
    <cellStyle name="Normal 58 11 4" xfId="2783" xr:uid="{00000000-0005-0000-0000-0000A2980000}"/>
    <cellStyle name="Normal 58 11 4 2" xfId="5161" xr:uid="{00000000-0005-0000-0000-0000A3980000}"/>
    <cellStyle name="Normal 58 11 4 2 2" xfId="13998" xr:uid="{00000000-0005-0000-0000-0000A4980000}"/>
    <cellStyle name="Normal 58 11 4 2 2 2" xfId="24249" xr:uid="{00000000-0005-0000-0000-0000A5980000}"/>
    <cellStyle name="Normal 58 11 4 2 2 2 2" xfId="49802" xr:uid="{00000000-0005-0000-0000-0000A6980000}"/>
    <cellStyle name="Normal 58 11 4 2 2 3" xfId="39553" xr:uid="{00000000-0005-0000-0000-0000A7980000}"/>
    <cellStyle name="Normal 58 11 4 2 3" xfId="10419" xr:uid="{00000000-0005-0000-0000-0000A8980000}"/>
    <cellStyle name="Normal 58 11 4 2 3 2" xfId="35976" xr:uid="{00000000-0005-0000-0000-0000A9980000}"/>
    <cellStyle name="Normal 58 11 4 2 4" xfId="19242" xr:uid="{00000000-0005-0000-0000-0000AA980000}"/>
    <cellStyle name="Normal 58 11 4 2 4 2" xfId="44795" xr:uid="{00000000-0005-0000-0000-0000AB980000}"/>
    <cellStyle name="Normal 58 11 4 2 5" xfId="30732" xr:uid="{00000000-0005-0000-0000-0000AC980000}"/>
    <cellStyle name="Normal 58 11 4 3" xfId="6616" xr:uid="{00000000-0005-0000-0000-0000AD980000}"/>
    <cellStyle name="Normal 58 11 4 3 2" xfId="15443" xr:uid="{00000000-0005-0000-0000-0000AE980000}"/>
    <cellStyle name="Normal 58 11 4 3 2 2" xfId="40998" xr:uid="{00000000-0005-0000-0000-0000AF980000}"/>
    <cellStyle name="Normal 58 11 4 3 3" xfId="25694" xr:uid="{00000000-0005-0000-0000-0000B0980000}"/>
    <cellStyle name="Normal 58 11 4 3 3 2" xfId="51247" xr:uid="{00000000-0005-0000-0000-0000B1980000}"/>
    <cellStyle name="Normal 58 11 4 3 4" xfId="32177" xr:uid="{00000000-0005-0000-0000-0000B2980000}"/>
    <cellStyle name="Normal 58 11 4 4" xfId="8062" xr:uid="{00000000-0005-0000-0000-0000B3980000}"/>
    <cellStyle name="Normal 58 11 4 4 2" xfId="22144" xr:uid="{00000000-0005-0000-0000-0000B4980000}"/>
    <cellStyle name="Normal 58 11 4 4 2 2" xfId="47697" xr:uid="{00000000-0005-0000-0000-0000B5980000}"/>
    <cellStyle name="Normal 58 11 4 4 3" xfId="33619" xr:uid="{00000000-0005-0000-0000-0000B6980000}"/>
    <cellStyle name="Normal 58 11 4 5" xfId="17137" xr:uid="{00000000-0005-0000-0000-0000B7980000}"/>
    <cellStyle name="Normal 58 11 4 5 2" xfId="42690" xr:uid="{00000000-0005-0000-0000-0000B8980000}"/>
    <cellStyle name="Normal 58 11 4 6" xfId="28627" xr:uid="{00000000-0005-0000-0000-0000B9980000}"/>
    <cellStyle name="Normal 58 11 5" xfId="4115" xr:uid="{00000000-0005-0000-0000-0000BA980000}"/>
    <cellStyle name="Normal 58 11 5 2" xfId="12953" xr:uid="{00000000-0005-0000-0000-0000BB980000}"/>
    <cellStyle name="Normal 58 11 5 2 2" xfId="23204" xr:uid="{00000000-0005-0000-0000-0000BC980000}"/>
    <cellStyle name="Normal 58 11 5 2 2 2" xfId="48757" xr:uid="{00000000-0005-0000-0000-0000BD980000}"/>
    <cellStyle name="Normal 58 11 5 2 3" xfId="38508" xr:uid="{00000000-0005-0000-0000-0000BE980000}"/>
    <cellStyle name="Normal 58 11 5 3" xfId="9374" xr:uid="{00000000-0005-0000-0000-0000BF980000}"/>
    <cellStyle name="Normal 58 11 5 3 2" xfId="34931" xr:uid="{00000000-0005-0000-0000-0000C0980000}"/>
    <cellStyle name="Normal 58 11 5 4" xfId="18197" xr:uid="{00000000-0005-0000-0000-0000C1980000}"/>
    <cellStyle name="Normal 58 11 5 4 2" xfId="43750" xr:uid="{00000000-0005-0000-0000-0000C2980000}"/>
    <cellStyle name="Normal 58 11 5 5" xfId="29687" xr:uid="{00000000-0005-0000-0000-0000C3980000}"/>
    <cellStyle name="Normal 58 11 6" xfId="1892" xr:uid="{00000000-0005-0000-0000-0000C4980000}"/>
    <cellStyle name="Normal 58 11 6 2" xfId="11257" xr:uid="{00000000-0005-0000-0000-0000C5980000}"/>
    <cellStyle name="Normal 58 11 6 2 2" xfId="36812" xr:uid="{00000000-0005-0000-0000-0000C6980000}"/>
    <cellStyle name="Normal 58 11 6 3" xfId="21261" xr:uid="{00000000-0005-0000-0000-0000C7980000}"/>
    <cellStyle name="Normal 58 11 6 3 2" xfId="46814" xr:uid="{00000000-0005-0000-0000-0000C8980000}"/>
    <cellStyle name="Normal 58 11 6 4" xfId="27744" xr:uid="{00000000-0005-0000-0000-0000C9980000}"/>
    <cellStyle name="Normal 58 11 7" xfId="5573" xr:uid="{00000000-0005-0000-0000-0000CA980000}"/>
    <cellStyle name="Normal 58 11 7 2" xfId="14400" xr:uid="{00000000-0005-0000-0000-0000CB980000}"/>
    <cellStyle name="Normal 58 11 7 2 2" xfId="39955" xr:uid="{00000000-0005-0000-0000-0000CC980000}"/>
    <cellStyle name="Normal 58 11 7 3" xfId="24651" xr:uid="{00000000-0005-0000-0000-0000CD980000}"/>
    <cellStyle name="Normal 58 11 7 3 2" xfId="50204" xr:uid="{00000000-0005-0000-0000-0000CE980000}"/>
    <cellStyle name="Normal 58 11 7 4" xfId="31134" xr:uid="{00000000-0005-0000-0000-0000CF980000}"/>
    <cellStyle name="Normal 58 11 8" xfId="7017" xr:uid="{00000000-0005-0000-0000-0000D0980000}"/>
    <cellStyle name="Normal 58 11 8 2" xfId="19743" xr:uid="{00000000-0005-0000-0000-0000D1980000}"/>
    <cellStyle name="Normal 58 11 8 2 2" xfId="45296" xr:uid="{00000000-0005-0000-0000-0000D2980000}"/>
    <cellStyle name="Normal 58 11 8 3" xfId="32574" xr:uid="{00000000-0005-0000-0000-0000D3980000}"/>
    <cellStyle name="Normal 58 11 9" xfId="16254" xr:uid="{00000000-0005-0000-0000-0000D4980000}"/>
    <cellStyle name="Normal 58 11 9 2" xfId="41807" xr:uid="{00000000-0005-0000-0000-0000D5980000}"/>
    <cellStyle name="Normal 58 11_Degree data" xfId="3991" xr:uid="{00000000-0005-0000-0000-0000D6980000}"/>
    <cellStyle name="Normal 58 12" xfId="883" xr:uid="{00000000-0005-0000-0000-0000D7980000}"/>
    <cellStyle name="Normal 58 12 2" xfId="3368" xr:uid="{00000000-0005-0000-0000-0000D8980000}"/>
    <cellStyle name="Normal 58 12 2 2" xfId="12510" xr:uid="{00000000-0005-0000-0000-0000D9980000}"/>
    <cellStyle name="Normal 58 12 2 2 2" xfId="22729" xr:uid="{00000000-0005-0000-0000-0000DA980000}"/>
    <cellStyle name="Normal 58 12 2 2 2 2" xfId="48282" xr:uid="{00000000-0005-0000-0000-0000DB980000}"/>
    <cellStyle name="Normal 58 12 2 2 3" xfId="38065" xr:uid="{00000000-0005-0000-0000-0000DC980000}"/>
    <cellStyle name="Normal 58 12 2 3" xfId="8932" xr:uid="{00000000-0005-0000-0000-0000DD980000}"/>
    <cellStyle name="Normal 58 12 2 3 2" xfId="34489" xr:uid="{00000000-0005-0000-0000-0000DE980000}"/>
    <cellStyle name="Normal 58 12 2 4" xfId="17722" xr:uid="{00000000-0005-0000-0000-0000DF980000}"/>
    <cellStyle name="Normal 58 12 2 4 2" xfId="43275" xr:uid="{00000000-0005-0000-0000-0000E0980000}"/>
    <cellStyle name="Normal 58 12 2 5" xfId="29212" xr:uid="{00000000-0005-0000-0000-0000E1980000}"/>
    <cellStyle name="Normal 58 12 3" xfId="4697" xr:uid="{00000000-0005-0000-0000-0000E2980000}"/>
    <cellStyle name="Normal 58 12 3 2" xfId="13535" xr:uid="{00000000-0005-0000-0000-0000E3980000}"/>
    <cellStyle name="Normal 58 12 3 2 2" xfId="23786" xr:uid="{00000000-0005-0000-0000-0000E4980000}"/>
    <cellStyle name="Normal 58 12 3 2 2 2" xfId="49339" xr:uid="{00000000-0005-0000-0000-0000E5980000}"/>
    <cellStyle name="Normal 58 12 3 2 3" xfId="39090" xr:uid="{00000000-0005-0000-0000-0000E6980000}"/>
    <cellStyle name="Normal 58 12 3 3" xfId="9956" xr:uid="{00000000-0005-0000-0000-0000E7980000}"/>
    <cellStyle name="Normal 58 12 3 3 2" xfId="35513" xr:uid="{00000000-0005-0000-0000-0000E8980000}"/>
    <cellStyle name="Normal 58 12 3 4" xfId="18779" xr:uid="{00000000-0005-0000-0000-0000E9980000}"/>
    <cellStyle name="Normal 58 12 3 4 2" xfId="44332" xr:uid="{00000000-0005-0000-0000-0000EA980000}"/>
    <cellStyle name="Normal 58 12 3 5" xfId="30269" xr:uid="{00000000-0005-0000-0000-0000EB980000}"/>
    <cellStyle name="Normal 58 12 4" xfId="2477" xr:uid="{00000000-0005-0000-0000-0000EC980000}"/>
    <cellStyle name="Normal 58 12 4 2" xfId="11842" xr:uid="{00000000-0005-0000-0000-0000ED980000}"/>
    <cellStyle name="Normal 58 12 4 2 2" xfId="37397" xr:uid="{00000000-0005-0000-0000-0000EE980000}"/>
    <cellStyle name="Normal 58 12 4 3" xfId="21846" xr:uid="{00000000-0005-0000-0000-0000EF980000}"/>
    <cellStyle name="Normal 58 12 4 3 2" xfId="47399" xr:uid="{00000000-0005-0000-0000-0000F0980000}"/>
    <cellStyle name="Normal 58 12 4 4" xfId="28329" xr:uid="{00000000-0005-0000-0000-0000F1980000}"/>
    <cellStyle name="Normal 58 12 5" xfId="6153" xr:uid="{00000000-0005-0000-0000-0000F2980000}"/>
    <cellStyle name="Normal 58 12 5 2" xfId="14980" xr:uid="{00000000-0005-0000-0000-0000F3980000}"/>
    <cellStyle name="Normal 58 12 5 2 2" xfId="40535" xr:uid="{00000000-0005-0000-0000-0000F4980000}"/>
    <cellStyle name="Normal 58 12 5 3" xfId="25231" xr:uid="{00000000-0005-0000-0000-0000F5980000}"/>
    <cellStyle name="Normal 58 12 5 3 2" xfId="50784" xr:uid="{00000000-0005-0000-0000-0000F6980000}"/>
    <cellStyle name="Normal 58 12 5 4" xfId="31714" xr:uid="{00000000-0005-0000-0000-0000F7980000}"/>
    <cellStyle name="Normal 58 12 6" xfId="7598" xr:uid="{00000000-0005-0000-0000-0000F8980000}"/>
    <cellStyle name="Normal 58 12 6 2" xfId="20328" xr:uid="{00000000-0005-0000-0000-0000F9980000}"/>
    <cellStyle name="Normal 58 12 6 2 2" xfId="45881" xr:uid="{00000000-0005-0000-0000-0000FA980000}"/>
    <cellStyle name="Normal 58 12 6 3" xfId="33155" xr:uid="{00000000-0005-0000-0000-0000FB980000}"/>
    <cellStyle name="Normal 58 12 7" xfId="16839" xr:uid="{00000000-0005-0000-0000-0000FC980000}"/>
    <cellStyle name="Normal 58 12 7 2" xfId="42392" xr:uid="{00000000-0005-0000-0000-0000FD980000}"/>
    <cellStyle name="Normal 58 12 8" xfId="26811" xr:uid="{00000000-0005-0000-0000-0000FE980000}"/>
    <cellStyle name="Normal 58 13" xfId="1042" xr:uid="{00000000-0005-0000-0000-0000FF980000}"/>
    <cellStyle name="Normal 58 13 2" xfId="3471" xr:uid="{00000000-0005-0000-0000-000000990000}"/>
    <cellStyle name="Normal 58 13 2 2" xfId="12607" xr:uid="{00000000-0005-0000-0000-000001990000}"/>
    <cellStyle name="Normal 58 13 2 2 2" xfId="22826" xr:uid="{00000000-0005-0000-0000-000002990000}"/>
    <cellStyle name="Normal 58 13 2 2 2 2" xfId="48379" xr:uid="{00000000-0005-0000-0000-000003990000}"/>
    <cellStyle name="Normal 58 13 2 2 3" xfId="38162" xr:uid="{00000000-0005-0000-0000-000004990000}"/>
    <cellStyle name="Normal 58 13 2 3" xfId="9029" xr:uid="{00000000-0005-0000-0000-000005990000}"/>
    <cellStyle name="Normal 58 13 2 3 2" xfId="34586" xr:uid="{00000000-0005-0000-0000-000006990000}"/>
    <cellStyle name="Normal 58 13 2 4" xfId="17819" xr:uid="{00000000-0005-0000-0000-000007990000}"/>
    <cellStyle name="Normal 58 13 2 4 2" xfId="43372" xr:uid="{00000000-0005-0000-0000-000008990000}"/>
    <cellStyle name="Normal 58 13 2 5" xfId="29309" xr:uid="{00000000-0005-0000-0000-000009990000}"/>
    <cellStyle name="Normal 58 13 3" xfId="5046" xr:uid="{00000000-0005-0000-0000-00000A990000}"/>
    <cellStyle name="Normal 58 13 3 2" xfId="13883" xr:uid="{00000000-0005-0000-0000-00000B990000}"/>
    <cellStyle name="Normal 58 13 3 2 2" xfId="24134" xr:uid="{00000000-0005-0000-0000-00000C990000}"/>
    <cellStyle name="Normal 58 13 3 2 2 2" xfId="49687" xr:uid="{00000000-0005-0000-0000-00000D990000}"/>
    <cellStyle name="Normal 58 13 3 2 3" xfId="39438" xr:uid="{00000000-0005-0000-0000-00000E990000}"/>
    <cellStyle name="Normal 58 13 3 3" xfId="10304" xr:uid="{00000000-0005-0000-0000-00000F990000}"/>
    <cellStyle name="Normal 58 13 3 3 2" xfId="35861" xr:uid="{00000000-0005-0000-0000-000010990000}"/>
    <cellStyle name="Normal 58 13 3 4" xfId="19127" xr:uid="{00000000-0005-0000-0000-000011990000}"/>
    <cellStyle name="Normal 58 13 3 4 2" xfId="44680" xr:uid="{00000000-0005-0000-0000-000012990000}"/>
    <cellStyle name="Normal 58 13 3 5" xfId="30617" xr:uid="{00000000-0005-0000-0000-000013990000}"/>
    <cellStyle name="Normal 58 13 4" xfId="1706" xr:uid="{00000000-0005-0000-0000-000014990000}"/>
    <cellStyle name="Normal 58 13 4 2" xfId="11083" xr:uid="{00000000-0005-0000-0000-000015990000}"/>
    <cellStyle name="Normal 58 13 4 2 2" xfId="36638" xr:uid="{00000000-0005-0000-0000-000016990000}"/>
    <cellStyle name="Normal 58 13 4 3" xfId="21087" xr:uid="{00000000-0005-0000-0000-000017990000}"/>
    <cellStyle name="Normal 58 13 4 3 2" xfId="46640" xr:uid="{00000000-0005-0000-0000-000018990000}"/>
    <cellStyle name="Normal 58 13 4 4" xfId="27570" xr:uid="{00000000-0005-0000-0000-000019990000}"/>
    <cellStyle name="Normal 58 13 5" xfId="6501" xr:uid="{00000000-0005-0000-0000-00001A990000}"/>
    <cellStyle name="Normal 58 13 5 2" xfId="15328" xr:uid="{00000000-0005-0000-0000-00001B990000}"/>
    <cellStyle name="Normal 58 13 5 2 2" xfId="40883" xr:uid="{00000000-0005-0000-0000-00001C990000}"/>
    <cellStyle name="Normal 58 13 5 3" xfId="25579" xr:uid="{00000000-0005-0000-0000-00001D990000}"/>
    <cellStyle name="Normal 58 13 5 3 2" xfId="51132" xr:uid="{00000000-0005-0000-0000-00001E990000}"/>
    <cellStyle name="Normal 58 13 5 4" xfId="32062" xr:uid="{00000000-0005-0000-0000-00001F990000}"/>
    <cellStyle name="Normal 58 13 6" xfId="7947" xr:uid="{00000000-0005-0000-0000-000020990000}"/>
    <cellStyle name="Normal 58 13 6 2" xfId="20425" xr:uid="{00000000-0005-0000-0000-000021990000}"/>
    <cellStyle name="Normal 58 13 6 2 2" xfId="45978" xr:uid="{00000000-0005-0000-0000-000022990000}"/>
    <cellStyle name="Normal 58 13 6 3" xfId="33504" xr:uid="{00000000-0005-0000-0000-000023990000}"/>
    <cellStyle name="Normal 58 13 7" xfId="16080" xr:uid="{00000000-0005-0000-0000-000024990000}"/>
    <cellStyle name="Normal 58 13 7 2" xfId="41633" xr:uid="{00000000-0005-0000-0000-000025990000}"/>
    <cellStyle name="Normal 58 13 8" xfId="26908" xr:uid="{00000000-0005-0000-0000-000026990000}"/>
    <cellStyle name="Normal 58 14" xfId="2606" xr:uid="{00000000-0005-0000-0000-000027990000}"/>
    <cellStyle name="Normal 58 14 2" xfId="5134" xr:uid="{00000000-0005-0000-0000-000028990000}"/>
    <cellStyle name="Normal 58 14 2 2" xfId="13971" xr:uid="{00000000-0005-0000-0000-000029990000}"/>
    <cellStyle name="Normal 58 14 2 2 2" xfId="24222" xr:uid="{00000000-0005-0000-0000-00002A990000}"/>
    <cellStyle name="Normal 58 14 2 2 2 2" xfId="49775" xr:uid="{00000000-0005-0000-0000-00002B990000}"/>
    <cellStyle name="Normal 58 14 2 2 3" xfId="39526" xr:uid="{00000000-0005-0000-0000-00002C990000}"/>
    <cellStyle name="Normal 58 14 2 3" xfId="10392" xr:uid="{00000000-0005-0000-0000-00002D990000}"/>
    <cellStyle name="Normal 58 14 2 3 2" xfId="35949" xr:uid="{00000000-0005-0000-0000-00002E990000}"/>
    <cellStyle name="Normal 58 14 2 4" xfId="19215" xr:uid="{00000000-0005-0000-0000-00002F990000}"/>
    <cellStyle name="Normal 58 14 2 4 2" xfId="44768" xr:uid="{00000000-0005-0000-0000-000030990000}"/>
    <cellStyle name="Normal 58 14 2 5" xfId="30705" xr:uid="{00000000-0005-0000-0000-000031990000}"/>
    <cellStyle name="Normal 58 14 3" xfId="6589" xr:uid="{00000000-0005-0000-0000-000032990000}"/>
    <cellStyle name="Normal 58 14 3 2" xfId="15416" xr:uid="{00000000-0005-0000-0000-000033990000}"/>
    <cellStyle name="Normal 58 14 3 2 2" xfId="40971" xr:uid="{00000000-0005-0000-0000-000034990000}"/>
    <cellStyle name="Normal 58 14 3 3" xfId="25667" xr:uid="{00000000-0005-0000-0000-000035990000}"/>
    <cellStyle name="Normal 58 14 3 3 2" xfId="51220" xr:uid="{00000000-0005-0000-0000-000036990000}"/>
    <cellStyle name="Normal 58 14 3 4" xfId="32150" xr:uid="{00000000-0005-0000-0000-000037990000}"/>
    <cellStyle name="Normal 58 14 4" xfId="8035" xr:uid="{00000000-0005-0000-0000-000038990000}"/>
    <cellStyle name="Normal 58 14 4 2" xfId="21970" xr:uid="{00000000-0005-0000-0000-000039990000}"/>
    <cellStyle name="Normal 58 14 4 2 2" xfId="47523" xr:uid="{00000000-0005-0000-0000-00003A990000}"/>
    <cellStyle name="Normal 58 14 4 3" xfId="33592" xr:uid="{00000000-0005-0000-0000-00003B990000}"/>
    <cellStyle name="Normal 58 14 5" xfId="16963" xr:uid="{00000000-0005-0000-0000-00003C990000}"/>
    <cellStyle name="Normal 58 14 5 2" xfId="42516" xr:uid="{00000000-0005-0000-0000-00003D990000}"/>
    <cellStyle name="Normal 58 14 6" xfId="28453" xr:uid="{00000000-0005-0000-0000-00003E990000}"/>
    <cellStyle name="Normal 58 15" xfId="4088" xr:uid="{00000000-0005-0000-0000-00003F990000}"/>
    <cellStyle name="Normal 58 15 2" xfId="5546" xr:uid="{00000000-0005-0000-0000-000040990000}"/>
    <cellStyle name="Normal 58 15 2 2" xfId="14373" xr:uid="{00000000-0005-0000-0000-000041990000}"/>
    <cellStyle name="Normal 58 15 2 2 2" xfId="39928" xr:uid="{00000000-0005-0000-0000-000042990000}"/>
    <cellStyle name="Normal 58 15 2 3" xfId="24624" xr:uid="{00000000-0005-0000-0000-000043990000}"/>
    <cellStyle name="Normal 58 15 2 3 2" xfId="50177" xr:uid="{00000000-0005-0000-0000-000044990000}"/>
    <cellStyle name="Normal 58 15 2 4" xfId="31107" xr:uid="{00000000-0005-0000-0000-000045990000}"/>
    <cellStyle name="Normal 58 15 3" xfId="6990" xr:uid="{00000000-0005-0000-0000-000046990000}"/>
    <cellStyle name="Normal 58 15 3 2" xfId="23177" xr:uid="{00000000-0005-0000-0000-000047990000}"/>
    <cellStyle name="Normal 58 15 3 2 2" xfId="48730" xr:uid="{00000000-0005-0000-0000-000048990000}"/>
    <cellStyle name="Normal 58 15 3 3" xfId="32547" xr:uid="{00000000-0005-0000-0000-000049990000}"/>
    <cellStyle name="Normal 58 15 4" xfId="18170" xr:uid="{00000000-0005-0000-0000-00004A990000}"/>
    <cellStyle name="Normal 58 15 4 2" xfId="43723" xr:uid="{00000000-0005-0000-0000-00004B990000}"/>
    <cellStyle name="Normal 58 15 5" xfId="29660" xr:uid="{00000000-0005-0000-0000-00004C990000}"/>
    <cellStyle name="Normal 58 16" xfId="1389" xr:uid="{00000000-0005-0000-0000-00004D990000}"/>
    <cellStyle name="Normal 58 16 2" xfId="10766" xr:uid="{00000000-0005-0000-0000-00004E990000}"/>
    <cellStyle name="Normal 58 16 2 2" xfId="36321" xr:uid="{00000000-0005-0000-0000-00004F990000}"/>
    <cellStyle name="Normal 58 16 3" xfId="20770" xr:uid="{00000000-0005-0000-0000-000050990000}"/>
    <cellStyle name="Normal 58 16 3 2" xfId="46323" xr:uid="{00000000-0005-0000-0000-000051990000}"/>
    <cellStyle name="Normal 58 16 4" xfId="27253" xr:uid="{00000000-0005-0000-0000-000052990000}"/>
    <cellStyle name="Normal 58 17" xfId="5506" xr:uid="{00000000-0005-0000-0000-000053990000}"/>
    <cellStyle name="Normal 58 17 2" xfId="14333" xr:uid="{00000000-0005-0000-0000-000054990000}"/>
    <cellStyle name="Normal 58 17 2 2" xfId="39888" xr:uid="{00000000-0005-0000-0000-000055990000}"/>
    <cellStyle name="Normal 58 17 3" xfId="24584" xr:uid="{00000000-0005-0000-0000-000056990000}"/>
    <cellStyle name="Normal 58 17 3 2" xfId="50137" xr:uid="{00000000-0005-0000-0000-000057990000}"/>
    <cellStyle name="Normal 58 17 4" xfId="31067" xr:uid="{00000000-0005-0000-0000-000058990000}"/>
    <cellStyle name="Normal 58 18" xfId="6945" xr:uid="{00000000-0005-0000-0000-000059990000}"/>
    <cellStyle name="Normal 58 18 2" xfId="19570" xr:uid="{00000000-0005-0000-0000-00005A990000}"/>
    <cellStyle name="Normal 58 18 2 2" xfId="45123" xr:uid="{00000000-0005-0000-0000-00005B990000}"/>
    <cellStyle name="Normal 58 18 3" xfId="32503" xr:uid="{00000000-0005-0000-0000-00005C990000}"/>
    <cellStyle name="Normal 58 19" xfId="15763" xr:uid="{00000000-0005-0000-0000-00005D990000}"/>
    <cellStyle name="Normal 58 19 2" xfId="41316" xr:uid="{00000000-0005-0000-0000-00005E990000}"/>
    <cellStyle name="Normal 58 2" xfId="37" xr:uid="{00000000-0005-0000-0000-00005F990000}"/>
    <cellStyle name="Normal 58 20" xfId="26053" xr:uid="{00000000-0005-0000-0000-000060990000}"/>
    <cellStyle name="Normal 58 3" xfId="110" xr:uid="{00000000-0005-0000-0000-000061990000}"/>
    <cellStyle name="Normal 58 3 10" xfId="4100" xr:uid="{00000000-0005-0000-0000-000062990000}"/>
    <cellStyle name="Normal 58 3 10 2" xfId="5558" xr:uid="{00000000-0005-0000-0000-000063990000}"/>
    <cellStyle name="Normal 58 3 10 2 2" xfId="14385" xr:uid="{00000000-0005-0000-0000-000064990000}"/>
    <cellStyle name="Normal 58 3 10 2 2 2" xfId="39940" xr:uid="{00000000-0005-0000-0000-000065990000}"/>
    <cellStyle name="Normal 58 3 10 2 3" xfId="24636" xr:uid="{00000000-0005-0000-0000-000066990000}"/>
    <cellStyle name="Normal 58 3 10 2 3 2" xfId="50189" xr:uid="{00000000-0005-0000-0000-000067990000}"/>
    <cellStyle name="Normal 58 3 10 2 4" xfId="31119" xr:uid="{00000000-0005-0000-0000-000068990000}"/>
    <cellStyle name="Normal 58 3 10 3" xfId="7002" xr:uid="{00000000-0005-0000-0000-000069990000}"/>
    <cellStyle name="Normal 58 3 10 3 2" xfId="23189" xr:uid="{00000000-0005-0000-0000-00006A990000}"/>
    <cellStyle name="Normal 58 3 10 3 2 2" xfId="48742" xr:uid="{00000000-0005-0000-0000-00006B990000}"/>
    <cellStyle name="Normal 58 3 10 3 3" xfId="32559" xr:uid="{00000000-0005-0000-0000-00006C990000}"/>
    <cellStyle name="Normal 58 3 10 4" xfId="18182" xr:uid="{00000000-0005-0000-0000-00006D990000}"/>
    <cellStyle name="Normal 58 3 10 4 2" xfId="43735" xr:uid="{00000000-0005-0000-0000-00006E990000}"/>
    <cellStyle name="Normal 58 3 10 5" xfId="29672" xr:uid="{00000000-0005-0000-0000-00006F990000}"/>
    <cellStyle name="Normal 58 3 11" xfId="1394" xr:uid="{00000000-0005-0000-0000-000070990000}"/>
    <cellStyle name="Normal 58 3 11 2" xfId="10771" xr:uid="{00000000-0005-0000-0000-000071990000}"/>
    <cellStyle name="Normal 58 3 11 2 2" xfId="36326" xr:uid="{00000000-0005-0000-0000-000072990000}"/>
    <cellStyle name="Normal 58 3 11 3" xfId="20775" xr:uid="{00000000-0005-0000-0000-000073990000}"/>
    <cellStyle name="Normal 58 3 11 3 2" xfId="46328" xr:uid="{00000000-0005-0000-0000-000074990000}"/>
    <cellStyle name="Normal 58 3 11 4" xfId="27258" xr:uid="{00000000-0005-0000-0000-000075990000}"/>
    <cellStyle name="Normal 58 3 12" xfId="5528" xr:uid="{00000000-0005-0000-0000-000076990000}"/>
    <cellStyle name="Normal 58 3 12 2" xfId="14355" xr:uid="{00000000-0005-0000-0000-000077990000}"/>
    <cellStyle name="Normal 58 3 12 2 2" xfId="39910" xr:uid="{00000000-0005-0000-0000-000078990000}"/>
    <cellStyle name="Normal 58 3 12 3" xfId="24606" xr:uid="{00000000-0005-0000-0000-000079990000}"/>
    <cellStyle name="Normal 58 3 12 3 2" xfId="50159" xr:uid="{00000000-0005-0000-0000-00007A990000}"/>
    <cellStyle name="Normal 58 3 12 4" xfId="31089" xr:uid="{00000000-0005-0000-0000-00007B990000}"/>
    <cellStyle name="Normal 58 3 13" xfId="6972" xr:uid="{00000000-0005-0000-0000-00007C990000}"/>
    <cellStyle name="Normal 58 3 13 2" xfId="19583" xr:uid="{00000000-0005-0000-0000-00007D990000}"/>
    <cellStyle name="Normal 58 3 13 2 2" xfId="45136" xr:uid="{00000000-0005-0000-0000-00007E990000}"/>
    <cellStyle name="Normal 58 3 13 3" xfId="32529" xr:uid="{00000000-0005-0000-0000-00007F990000}"/>
    <cellStyle name="Normal 58 3 14" xfId="15768" xr:uid="{00000000-0005-0000-0000-000080990000}"/>
    <cellStyle name="Normal 58 3 14 2" xfId="41321" xr:uid="{00000000-0005-0000-0000-000081990000}"/>
    <cellStyle name="Normal 58 3 15" xfId="26066" xr:uid="{00000000-0005-0000-0000-000082990000}"/>
    <cellStyle name="Normal 58 3 2" xfId="154" xr:uid="{00000000-0005-0000-0000-000083990000}"/>
    <cellStyle name="Normal 58 3 2 10" xfId="1419" xr:uid="{00000000-0005-0000-0000-000084990000}"/>
    <cellStyle name="Normal 58 3 2 10 2" xfId="10796" xr:uid="{00000000-0005-0000-0000-000085990000}"/>
    <cellStyle name="Normal 58 3 2 10 2 2" xfId="36351" xr:uid="{00000000-0005-0000-0000-000086990000}"/>
    <cellStyle name="Normal 58 3 2 10 3" xfId="20800" xr:uid="{00000000-0005-0000-0000-000087990000}"/>
    <cellStyle name="Normal 58 3 2 10 3 2" xfId="46353" xr:uid="{00000000-0005-0000-0000-000088990000}"/>
    <cellStyle name="Normal 58 3 2 10 4" xfId="27283" xr:uid="{00000000-0005-0000-0000-000089990000}"/>
    <cellStyle name="Normal 58 3 2 11" xfId="5603" xr:uid="{00000000-0005-0000-0000-00008A990000}"/>
    <cellStyle name="Normal 58 3 2 11 2" xfId="14430" xr:uid="{00000000-0005-0000-0000-00008B990000}"/>
    <cellStyle name="Normal 58 3 2 11 2 2" xfId="39985" xr:uid="{00000000-0005-0000-0000-00008C990000}"/>
    <cellStyle name="Normal 58 3 2 11 3" xfId="24681" xr:uid="{00000000-0005-0000-0000-00008D990000}"/>
    <cellStyle name="Normal 58 3 2 11 3 2" xfId="50234" xr:uid="{00000000-0005-0000-0000-00008E990000}"/>
    <cellStyle name="Normal 58 3 2 11 4" xfId="31164" xr:uid="{00000000-0005-0000-0000-00008F990000}"/>
    <cellStyle name="Normal 58 3 2 12" xfId="7047" xr:uid="{00000000-0005-0000-0000-000090990000}"/>
    <cellStyle name="Normal 58 3 2 12 2" xfId="19613" xr:uid="{00000000-0005-0000-0000-000091990000}"/>
    <cellStyle name="Normal 58 3 2 12 2 2" xfId="45166" xr:uid="{00000000-0005-0000-0000-000092990000}"/>
    <cellStyle name="Normal 58 3 2 12 3" xfId="32604" xr:uid="{00000000-0005-0000-0000-000093990000}"/>
    <cellStyle name="Normal 58 3 2 13" xfId="15793" xr:uid="{00000000-0005-0000-0000-000094990000}"/>
    <cellStyle name="Normal 58 3 2 13 2" xfId="41346" xr:uid="{00000000-0005-0000-0000-000095990000}"/>
    <cellStyle name="Normal 58 3 2 14" xfId="26096" xr:uid="{00000000-0005-0000-0000-000096990000}"/>
    <cellStyle name="Normal 58 3 2 2" xfId="266" xr:uid="{00000000-0005-0000-0000-000097990000}"/>
    <cellStyle name="Normal 58 3 2 2 10" xfId="7104" xr:uid="{00000000-0005-0000-0000-000098990000}"/>
    <cellStyle name="Normal 58 3 2 2 10 2" xfId="19717" xr:uid="{00000000-0005-0000-0000-000099990000}"/>
    <cellStyle name="Normal 58 3 2 2 10 2 2" xfId="45270" xr:uid="{00000000-0005-0000-0000-00009A990000}"/>
    <cellStyle name="Normal 58 3 2 2 10 3" xfId="32661" xr:uid="{00000000-0005-0000-0000-00009B990000}"/>
    <cellStyle name="Normal 58 3 2 2 11" xfId="15850" xr:uid="{00000000-0005-0000-0000-00009C990000}"/>
    <cellStyle name="Normal 58 3 2 2 11 2" xfId="41403" xr:uid="{00000000-0005-0000-0000-00009D990000}"/>
    <cellStyle name="Normal 58 3 2 2 12" xfId="26200" xr:uid="{00000000-0005-0000-0000-00009E990000}"/>
    <cellStyle name="Normal 58 3 2 2 2" xfId="588" xr:uid="{00000000-0005-0000-0000-00009F990000}"/>
    <cellStyle name="Normal 58 3 2 2 2 10" xfId="26517" xr:uid="{00000000-0005-0000-0000-0000A0990000}"/>
    <cellStyle name="Normal 58 3 2 2 2 2" xfId="889" xr:uid="{00000000-0005-0000-0000-0000A1990000}"/>
    <cellStyle name="Normal 58 3 2 2 2 2 2" xfId="3374" xr:uid="{00000000-0005-0000-0000-0000A2990000}"/>
    <cellStyle name="Normal 58 3 2 2 2 2 2 2" xfId="12516" xr:uid="{00000000-0005-0000-0000-0000A3990000}"/>
    <cellStyle name="Normal 58 3 2 2 2 2 2 2 2" xfId="22735" xr:uid="{00000000-0005-0000-0000-0000A4990000}"/>
    <cellStyle name="Normal 58 3 2 2 2 2 2 2 2 2" xfId="48288" xr:uid="{00000000-0005-0000-0000-0000A5990000}"/>
    <cellStyle name="Normal 58 3 2 2 2 2 2 2 3" xfId="38071" xr:uid="{00000000-0005-0000-0000-0000A6990000}"/>
    <cellStyle name="Normal 58 3 2 2 2 2 2 3" xfId="8938" xr:uid="{00000000-0005-0000-0000-0000A7990000}"/>
    <cellStyle name="Normal 58 3 2 2 2 2 2 3 2" xfId="34495" xr:uid="{00000000-0005-0000-0000-0000A8990000}"/>
    <cellStyle name="Normal 58 3 2 2 2 2 2 4" xfId="17728" xr:uid="{00000000-0005-0000-0000-0000A9990000}"/>
    <cellStyle name="Normal 58 3 2 2 2 2 2 4 2" xfId="43281" xr:uid="{00000000-0005-0000-0000-0000AA990000}"/>
    <cellStyle name="Normal 58 3 2 2 2 2 2 5" xfId="29218" xr:uid="{00000000-0005-0000-0000-0000AB990000}"/>
    <cellStyle name="Normal 58 3 2 2 2 2 3" xfId="4703" xr:uid="{00000000-0005-0000-0000-0000AC990000}"/>
    <cellStyle name="Normal 58 3 2 2 2 2 3 2" xfId="13541" xr:uid="{00000000-0005-0000-0000-0000AD990000}"/>
    <cellStyle name="Normal 58 3 2 2 2 2 3 2 2" xfId="23792" xr:uid="{00000000-0005-0000-0000-0000AE990000}"/>
    <cellStyle name="Normal 58 3 2 2 2 2 3 2 2 2" xfId="49345" xr:uid="{00000000-0005-0000-0000-0000AF990000}"/>
    <cellStyle name="Normal 58 3 2 2 2 2 3 2 3" xfId="39096" xr:uid="{00000000-0005-0000-0000-0000B0990000}"/>
    <cellStyle name="Normal 58 3 2 2 2 2 3 3" xfId="9962" xr:uid="{00000000-0005-0000-0000-0000B1990000}"/>
    <cellStyle name="Normal 58 3 2 2 2 2 3 3 2" xfId="35519" xr:uid="{00000000-0005-0000-0000-0000B2990000}"/>
    <cellStyle name="Normal 58 3 2 2 2 2 3 4" xfId="18785" xr:uid="{00000000-0005-0000-0000-0000B3990000}"/>
    <cellStyle name="Normal 58 3 2 2 2 2 3 4 2" xfId="44338" xr:uid="{00000000-0005-0000-0000-0000B4990000}"/>
    <cellStyle name="Normal 58 3 2 2 2 2 3 5" xfId="30275" xr:uid="{00000000-0005-0000-0000-0000B5990000}"/>
    <cellStyle name="Normal 58 3 2 2 2 2 4" xfId="2483" xr:uid="{00000000-0005-0000-0000-0000B6990000}"/>
    <cellStyle name="Normal 58 3 2 2 2 2 4 2" xfId="11848" xr:uid="{00000000-0005-0000-0000-0000B7990000}"/>
    <cellStyle name="Normal 58 3 2 2 2 2 4 2 2" xfId="37403" xr:uid="{00000000-0005-0000-0000-0000B8990000}"/>
    <cellStyle name="Normal 58 3 2 2 2 2 4 3" xfId="21852" xr:uid="{00000000-0005-0000-0000-0000B9990000}"/>
    <cellStyle name="Normal 58 3 2 2 2 2 4 3 2" xfId="47405" xr:uid="{00000000-0005-0000-0000-0000BA990000}"/>
    <cellStyle name="Normal 58 3 2 2 2 2 4 4" xfId="28335" xr:uid="{00000000-0005-0000-0000-0000BB990000}"/>
    <cellStyle name="Normal 58 3 2 2 2 2 5" xfId="6159" xr:uid="{00000000-0005-0000-0000-0000BC990000}"/>
    <cellStyle name="Normal 58 3 2 2 2 2 5 2" xfId="14986" xr:uid="{00000000-0005-0000-0000-0000BD990000}"/>
    <cellStyle name="Normal 58 3 2 2 2 2 5 2 2" xfId="40541" xr:uid="{00000000-0005-0000-0000-0000BE990000}"/>
    <cellStyle name="Normal 58 3 2 2 2 2 5 3" xfId="25237" xr:uid="{00000000-0005-0000-0000-0000BF990000}"/>
    <cellStyle name="Normal 58 3 2 2 2 2 5 3 2" xfId="50790" xr:uid="{00000000-0005-0000-0000-0000C0990000}"/>
    <cellStyle name="Normal 58 3 2 2 2 2 5 4" xfId="31720" xr:uid="{00000000-0005-0000-0000-0000C1990000}"/>
    <cellStyle name="Normal 58 3 2 2 2 2 6" xfId="7604" xr:uid="{00000000-0005-0000-0000-0000C2990000}"/>
    <cellStyle name="Normal 58 3 2 2 2 2 6 2" xfId="20334" xr:uid="{00000000-0005-0000-0000-0000C3990000}"/>
    <cellStyle name="Normal 58 3 2 2 2 2 6 2 2" xfId="45887" xr:uid="{00000000-0005-0000-0000-0000C4990000}"/>
    <cellStyle name="Normal 58 3 2 2 2 2 6 3" xfId="33161" xr:uid="{00000000-0005-0000-0000-0000C5990000}"/>
    <cellStyle name="Normal 58 3 2 2 2 2 7" xfId="16845" xr:uid="{00000000-0005-0000-0000-0000C6990000}"/>
    <cellStyle name="Normal 58 3 2 2 2 2 7 2" xfId="42398" xr:uid="{00000000-0005-0000-0000-0000C7990000}"/>
    <cellStyle name="Normal 58 3 2 2 2 2 8" xfId="26817" xr:uid="{00000000-0005-0000-0000-0000C8990000}"/>
    <cellStyle name="Normal 58 3 2 2 2 3" xfId="1360" xr:uid="{00000000-0005-0000-0000-0000C9990000}"/>
    <cellStyle name="Normal 58 3 2 2 2 3 2" xfId="3789" xr:uid="{00000000-0005-0000-0000-0000CA990000}"/>
    <cellStyle name="Normal 58 3 2 2 2 3 2 2" xfId="12925" xr:uid="{00000000-0005-0000-0000-0000CB990000}"/>
    <cellStyle name="Normal 58 3 2 2 2 3 2 2 2" xfId="23144" xr:uid="{00000000-0005-0000-0000-0000CC990000}"/>
    <cellStyle name="Normal 58 3 2 2 2 3 2 2 2 2" xfId="48697" xr:uid="{00000000-0005-0000-0000-0000CD990000}"/>
    <cellStyle name="Normal 58 3 2 2 2 3 2 2 3" xfId="38480" xr:uid="{00000000-0005-0000-0000-0000CE990000}"/>
    <cellStyle name="Normal 58 3 2 2 2 3 2 3" xfId="9346" xr:uid="{00000000-0005-0000-0000-0000CF990000}"/>
    <cellStyle name="Normal 58 3 2 2 2 3 2 3 2" xfId="34903" xr:uid="{00000000-0005-0000-0000-0000D0990000}"/>
    <cellStyle name="Normal 58 3 2 2 2 3 2 4" xfId="18137" xr:uid="{00000000-0005-0000-0000-0000D1990000}"/>
    <cellStyle name="Normal 58 3 2 2 2 3 2 4 2" xfId="43690" xr:uid="{00000000-0005-0000-0000-0000D2990000}"/>
    <cellStyle name="Normal 58 3 2 2 2 3 2 5" xfId="29627" xr:uid="{00000000-0005-0000-0000-0000D3990000}"/>
    <cellStyle name="Normal 58 3 2 2 2 3 3" xfId="5052" xr:uid="{00000000-0005-0000-0000-0000D4990000}"/>
    <cellStyle name="Normal 58 3 2 2 2 3 3 2" xfId="13889" xr:uid="{00000000-0005-0000-0000-0000D5990000}"/>
    <cellStyle name="Normal 58 3 2 2 2 3 3 2 2" xfId="24140" xr:uid="{00000000-0005-0000-0000-0000D6990000}"/>
    <cellStyle name="Normal 58 3 2 2 2 3 3 2 2 2" xfId="49693" xr:uid="{00000000-0005-0000-0000-0000D7990000}"/>
    <cellStyle name="Normal 58 3 2 2 2 3 3 2 3" xfId="39444" xr:uid="{00000000-0005-0000-0000-0000D8990000}"/>
    <cellStyle name="Normal 58 3 2 2 2 3 3 3" xfId="10310" xr:uid="{00000000-0005-0000-0000-0000D9990000}"/>
    <cellStyle name="Normal 58 3 2 2 2 3 3 3 2" xfId="35867" xr:uid="{00000000-0005-0000-0000-0000DA990000}"/>
    <cellStyle name="Normal 58 3 2 2 2 3 3 4" xfId="19133" xr:uid="{00000000-0005-0000-0000-0000DB990000}"/>
    <cellStyle name="Normal 58 3 2 2 2 3 3 4 2" xfId="44686" xr:uid="{00000000-0005-0000-0000-0000DC990000}"/>
    <cellStyle name="Normal 58 3 2 2 2 3 3 5" xfId="30623" xr:uid="{00000000-0005-0000-0000-0000DD990000}"/>
    <cellStyle name="Normal 58 3 2 2 2 3 4" xfId="2183" xr:uid="{00000000-0005-0000-0000-0000DE990000}"/>
    <cellStyle name="Normal 58 3 2 2 2 3 4 2" xfId="11548" xr:uid="{00000000-0005-0000-0000-0000DF990000}"/>
    <cellStyle name="Normal 58 3 2 2 2 3 4 2 2" xfId="37103" xr:uid="{00000000-0005-0000-0000-0000E0990000}"/>
    <cellStyle name="Normal 58 3 2 2 2 3 4 3" xfId="21552" xr:uid="{00000000-0005-0000-0000-0000E1990000}"/>
    <cellStyle name="Normal 58 3 2 2 2 3 4 3 2" xfId="47105" xr:uid="{00000000-0005-0000-0000-0000E2990000}"/>
    <cellStyle name="Normal 58 3 2 2 2 3 4 4" xfId="28035" xr:uid="{00000000-0005-0000-0000-0000E3990000}"/>
    <cellStyle name="Normal 58 3 2 2 2 3 5" xfId="6507" xr:uid="{00000000-0005-0000-0000-0000E4990000}"/>
    <cellStyle name="Normal 58 3 2 2 2 3 5 2" xfId="15334" xr:uid="{00000000-0005-0000-0000-0000E5990000}"/>
    <cellStyle name="Normal 58 3 2 2 2 3 5 2 2" xfId="40889" xr:uid="{00000000-0005-0000-0000-0000E6990000}"/>
    <cellStyle name="Normal 58 3 2 2 2 3 5 3" xfId="25585" xr:uid="{00000000-0005-0000-0000-0000E7990000}"/>
    <cellStyle name="Normal 58 3 2 2 2 3 5 3 2" xfId="51138" xr:uid="{00000000-0005-0000-0000-0000E8990000}"/>
    <cellStyle name="Normal 58 3 2 2 2 3 5 4" xfId="32068" xr:uid="{00000000-0005-0000-0000-0000E9990000}"/>
    <cellStyle name="Normal 58 3 2 2 2 3 6" xfId="7953" xr:uid="{00000000-0005-0000-0000-0000EA990000}"/>
    <cellStyle name="Normal 58 3 2 2 2 3 6 2" xfId="20743" xr:uid="{00000000-0005-0000-0000-0000EB990000}"/>
    <cellStyle name="Normal 58 3 2 2 2 3 6 2 2" xfId="46296" xr:uid="{00000000-0005-0000-0000-0000EC990000}"/>
    <cellStyle name="Normal 58 3 2 2 2 3 6 3" xfId="33510" xr:uid="{00000000-0005-0000-0000-0000ED990000}"/>
    <cellStyle name="Normal 58 3 2 2 2 3 7" xfId="16545" xr:uid="{00000000-0005-0000-0000-0000EE990000}"/>
    <cellStyle name="Normal 58 3 2 2 2 3 7 2" xfId="42098" xr:uid="{00000000-0005-0000-0000-0000EF990000}"/>
    <cellStyle name="Normal 58 3 2 2 2 3 8" xfId="27226" xr:uid="{00000000-0005-0000-0000-0000F0990000}"/>
    <cellStyle name="Normal 58 3 2 2 2 4" xfId="3074" xr:uid="{00000000-0005-0000-0000-0000F1990000}"/>
    <cellStyle name="Normal 58 3 2 2 2 4 2" xfId="5452" xr:uid="{00000000-0005-0000-0000-0000F2990000}"/>
    <cellStyle name="Normal 58 3 2 2 2 4 2 2" xfId="14289" xr:uid="{00000000-0005-0000-0000-0000F3990000}"/>
    <cellStyle name="Normal 58 3 2 2 2 4 2 2 2" xfId="24540" xr:uid="{00000000-0005-0000-0000-0000F4990000}"/>
    <cellStyle name="Normal 58 3 2 2 2 4 2 2 2 2" xfId="50093" xr:uid="{00000000-0005-0000-0000-0000F5990000}"/>
    <cellStyle name="Normal 58 3 2 2 2 4 2 2 3" xfId="39844" xr:uid="{00000000-0005-0000-0000-0000F6990000}"/>
    <cellStyle name="Normal 58 3 2 2 2 4 2 3" xfId="10710" xr:uid="{00000000-0005-0000-0000-0000F7990000}"/>
    <cellStyle name="Normal 58 3 2 2 2 4 2 3 2" xfId="36267" xr:uid="{00000000-0005-0000-0000-0000F8990000}"/>
    <cellStyle name="Normal 58 3 2 2 2 4 2 4" xfId="19533" xr:uid="{00000000-0005-0000-0000-0000F9990000}"/>
    <cellStyle name="Normal 58 3 2 2 2 4 2 4 2" xfId="45086" xr:uid="{00000000-0005-0000-0000-0000FA990000}"/>
    <cellStyle name="Normal 58 3 2 2 2 4 2 5" xfId="31023" xr:uid="{00000000-0005-0000-0000-0000FB990000}"/>
    <cellStyle name="Normal 58 3 2 2 2 4 3" xfId="6907" xr:uid="{00000000-0005-0000-0000-0000FC990000}"/>
    <cellStyle name="Normal 58 3 2 2 2 4 3 2" xfId="15734" xr:uid="{00000000-0005-0000-0000-0000FD990000}"/>
    <cellStyle name="Normal 58 3 2 2 2 4 3 2 2" xfId="41289" xr:uid="{00000000-0005-0000-0000-0000FE990000}"/>
    <cellStyle name="Normal 58 3 2 2 2 4 3 3" xfId="25985" xr:uid="{00000000-0005-0000-0000-0000FF990000}"/>
    <cellStyle name="Normal 58 3 2 2 2 4 3 3 2" xfId="51538" xr:uid="{00000000-0005-0000-0000-0000009A0000}"/>
    <cellStyle name="Normal 58 3 2 2 2 4 3 4" xfId="32468" xr:uid="{00000000-0005-0000-0000-0000019A0000}"/>
    <cellStyle name="Normal 58 3 2 2 2 4 4" xfId="8353" xr:uid="{00000000-0005-0000-0000-0000029A0000}"/>
    <cellStyle name="Normal 58 3 2 2 2 4 4 2" xfId="22435" xr:uid="{00000000-0005-0000-0000-0000039A0000}"/>
    <cellStyle name="Normal 58 3 2 2 2 4 4 2 2" xfId="47988" xr:uid="{00000000-0005-0000-0000-0000049A0000}"/>
    <cellStyle name="Normal 58 3 2 2 2 4 4 3" xfId="33910" xr:uid="{00000000-0005-0000-0000-0000059A0000}"/>
    <cellStyle name="Normal 58 3 2 2 2 4 5" xfId="17428" xr:uid="{00000000-0005-0000-0000-0000069A0000}"/>
    <cellStyle name="Normal 58 3 2 2 2 4 5 2" xfId="42981" xr:uid="{00000000-0005-0000-0000-0000079A0000}"/>
    <cellStyle name="Normal 58 3 2 2 2 4 6" xfId="28918" xr:uid="{00000000-0005-0000-0000-0000089A0000}"/>
    <cellStyle name="Normal 58 3 2 2 2 5" xfId="4408" xr:uid="{00000000-0005-0000-0000-0000099A0000}"/>
    <cellStyle name="Normal 58 3 2 2 2 5 2" xfId="13246" xr:uid="{00000000-0005-0000-0000-00000A9A0000}"/>
    <cellStyle name="Normal 58 3 2 2 2 5 2 2" xfId="23497" xr:uid="{00000000-0005-0000-0000-00000B9A0000}"/>
    <cellStyle name="Normal 58 3 2 2 2 5 2 2 2" xfId="49050" xr:uid="{00000000-0005-0000-0000-00000C9A0000}"/>
    <cellStyle name="Normal 58 3 2 2 2 5 2 3" xfId="38801" xr:uid="{00000000-0005-0000-0000-00000D9A0000}"/>
    <cellStyle name="Normal 58 3 2 2 2 5 3" xfId="9667" xr:uid="{00000000-0005-0000-0000-00000E9A0000}"/>
    <cellStyle name="Normal 58 3 2 2 2 5 3 2" xfId="35224" xr:uid="{00000000-0005-0000-0000-00000F9A0000}"/>
    <cellStyle name="Normal 58 3 2 2 2 5 4" xfId="18490" xr:uid="{00000000-0005-0000-0000-0000109A0000}"/>
    <cellStyle name="Normal 58 3 2 2 2 5 4 2" xfId="44043" xr:uid="{00000000-0005-0000-0000-0000119A0000}"/>
    <cellStyle name="Normal 58 3 2 2 2 5 5" xfId="29980" xr:uid="{00000000-0005-0000-0000-0000129A0000}"/>
    <cellStyle name="Normal 58 3 2 2 2 6" xfId="1680" xr:uid="{00000000-0005-0000-0000-0000139A0000}"/>
    <cellStyle name="Normal 58 3 2 2 2 6 2" xfId="11057" xr:uid="{00000000-0005-0000-0000-0000149A0000}"/>
    <cellStyle name="Normal 58 3 2 2 2 6 2 2" xfId="36612" xr:uid="{00000000-0005-0000-0000-0000159A0000}"/>
    <cellStyle name="Normal 58 3 2 2 2 6 3" xfId="21061" xr:uid="{00000000-0005-0000-0000-0000169A0000}"/>
    <cellStyle name="Normal 58 3 2 2 2 6 3 2" xfId="46614" xr:uid="{00000000-0005-0000-0000-0000179A0000}"/>
    <cellStyle name="Normal 58 3 2 2 2 6 4" xfId="27544" xr:uid="{00000000-0005-0000-0000-0000189A0000}"/>
    <cellStyle name="Normal 58 3 2 2 2 7" xfId="5864" xr:uid="{00000000-0005-0000-0000-0000199A0000}"/>
    <cellStyle name="Normal 58 3 2 2 2 7 2" xfId="14691" xr:uid="{00000000-0005-0000-0000-00001A9A0000}"/>
    <cellStyle name="Normal 58 3 2 2 2 7 2 2" xfId="40246" xr:uid="{00000000-0005-0000-0000-00001B9A0000}"/>
    <cellStyle name="Normal 58 3 2 2 2 7 3" xfId="24942" xr:uid="{00000000-0005-0000-0000-00001C9A0000}"/>
    <cellStyle name="Normal 58 3 2 2 2 7 3 2" xfId="50495" xr:uid="{00000000-0005-0000-0000-00001D9A0000}"/>
    <cellStyle name="Normal 58 3 2 2 2 7 4" xfId="31425" xr:uid="{00000000-0005-0000-0000-00001E9A0000}"/>
    <cellStyle name="Normal 58 3 2 2 2 8" xfId="7308" xr:uid="{00000000-0005-0000-0000-00001F9A0000}"/>
    <cellStyle name="Normal 58 3 2 2 2 8 2" xfId="20034" xr:uid="{00000000-0005-0000-0000-0000209A0000}"/>
    <cellStyle name="Normal 58 3 2 2 2 8 2 2" xfId="45587" xr:uid="{00000000-0005-0000-0000-0000219A0000}"/>
    <cellStyle name="Normal 58 3 2 2 2 8 3" xfId="32865" xr:uid="{00000000-0005-0000-0000-0000229A0000}"/>
    <cellStyle name="Normal 58 3 2 2 2 9" xfId="16054" xr:uid="{00000000-0005-0000-0000-0000239A0000}"/>
    <cellStyle name="Normal 58 3 2 2 2 9 2" xfId="41607" xr:uid="{00000000-0005-0000-0000-0000249A0000}"/>
    <cellStyle name="Normal 58 3 2 2 2_Degree data" xfId="3995" xr:uid="{00000000-0005-0000-0000-0000259A0000}"/>
    <cellStyle name="Normal 58 3 2 2 3" xfId="384" xr:uid="{00000000-0005-0000-0000-0000269A0000}"/>
    <cellStyle name="Normal 58 3 2 2 3 2" xfId="2870" xr:uid="{00000000-0005-0000-0000-0000279A0000}"/>
    <cellStyle name="Normal 58 3 2 2 3 2 2" xfId="12158" xr:uid="{00000000-0005-0000-0000-0000289A0000}"/>
    <cellStyle name="Normal 58 3 2 2 3 2 2 2" xfId="22231" xr:uid="{00000000-0005-0000-0000-0000299A0000}"/>
    <cellStyle name="Normal 58 3 2 2 3 2 2 2 2" xfId="47784" xr:uid="{00000000-0005-0000-0000-00002A9A0000}"/>
    <cellStyle name="Normal 58 3 2 2 3 2 2 3" xfId="37713" xr:uid="{00000000-0005-0000-0000-00002B9A0000}"/>
    <cellStyle name="Normal 58 3 2 2 3 2 3" xfId="8459" xr:uid="{00000000-0005-0000-0000-00002C9A0000}"/>
    <cellStyle name="Normal 58 3 2 2 3 2 3 2" xfId="34016" xr:uid="{00000000-0005-0000-0000-00002D9A0000}"/>
    <cellStyle name="Normal 58 3 2 2 3 2 4" xfId="17224" xr:uid="{00000000-0005-0000-0000-00002E9A0000}"/>
    <cellStyle name="Normal 58 3 2 2 3 2 4 2" xfId="42777" xr:uid="{00000000-0005-0000-0000-00002F9A0000}"/>
    <cellStyle name="Normal 58 3 2 2 3 2 5" xfId="28714" xr:uid="{00000000-0005-0000-0000-0000309A0000}"/>
    <cellStyle name="Normal 58 3 2 2 3 3" xfId="4702" xr:uid="{00000000-0005-0000-0000-0000319A0000}"/>
    <cellStyle name="Normal 58 3 2 2 3 3 2" xfId="13540" xr:uid="{00000000-0005-0000-0000-0000329A0000}"/>
    <cellStyle name="Normal 58 3 2 2 3 3 2 2" xfId="23791" xr:uid="{00000000-0005-0000-0000-0000339A0000}"/>
    <cellStyle name="Normal 58 3 2 2 3 3 2 2 2" xfId="49344" xr:uid="{00000000-0005-0000-0000-0000349A0000}"/>
    <cellStyle name="Normal 58 3 2 2 3 3 2 3" xfId="39095" xr:uid="{00000000-0005-0000-0000-0000359A0000}"/>
    <cellStyle name="Normal 58 3 2 2 3 3 3" xfId="9961" xr:uid="{00000000-0005-0000-0000-0000369A0000}"/>
    <cellStyle name="Normal 58 3 2 2 3 3 3 2" xfId="35518" xr:uid="{00000000-0005-0000-0000-0000379A0000}"/>
    <cellStyle name="Normal 58 3 2 2 3 3 4" xfId="18784" xr:uid="{00000000-0005-0000-0000-0000389A0000}"/>
    <cellStyle name="Normal 58 3 2 2 3 3 4 2" xfId="44337" xr:uid="{00000000-0005-0000-0000-0000399A0000}"/>
    <cellStyle name="Normal 58 3 2 2 3 3 5" xfId="30274" xr:uid="{00000000-0005-0000-0000-00003A9A0000}"/>
    <cellStyle name="Normal 58 3 2 2 3 4" xfId="1979" xr:uid="{00000000-0005-0000-0000-00003B9A0000}"/>
    <cellStyle name="Normal 58 3 2 2 3 4 2" xfId="11344" xr:uid="{00000000-0005-0000-0000-00003C9A0000}"/>
    <cellStyle name="Normal 58 3 2 2 3 4 2 2" xfId="36899" xr:uid="{00000000-0005-0000-0000-00003D9A0000}"/>
    <cellStyle name="Normal 58 3 2 2 3 4 3" xfId="21348" xr:uid="{00000000-0005-0000-0000-00003E9A0000}"/>
    <cellStyle name="Normal 58 3 2 2 3 4 3 2" xfId="46901" xr:uid="{00000000-0005-0000-0000-00003F9A0000}"/>
    <cellStyle name="Normal 58 3 2 2 3 4 4" xfId="27831" xr:uid="{00000000-0005-0000-0000-0000409A0000}"/>
    <cellStyle name="Normal 58 3 2 2 3 5" xfId="6158" xr:uid="{00000000-0005-0000-0000-0000419A0000}"/>
    <cellStyle name="Normal 58 3 2 2 3 5 2" xfId="14985" xr:uid="{00000000-0005-0000-0000-0000429A0000}"/>
    <cellStyle name="Normal 58 3 2 2 3 5 2 2" xfId="40540" xr:uid="{00000000-0005-0000-0000-0000439A0000}"/>
    <cellStyle name="Normal 58 3 2 2 3 5 3" xfId="25236" xr:uid="{00000000-0005-0000-0000-0000449A0000}"/>
    <cellStyle name="Normal 58 3 2 2 3 5 3 2" xfId="50789" xr:uid="{00000000-0005-0000-0000-0000459A0000}"/>
    <cellStyle name="Normal 58 3 2 2 3 5 4" xfId="31719" xr:uid="{00000000-0005-0000-0000-0000469A0000}"/>
    <cellStyle name="Normal 58 3 2 2 3 6" xfId="7603" xr:uid="{00000000-0005-0000-0000-0000479A0000}"/>
    <cellStyle name="Normal 58 3 2 2 3 6 2" xfId="19830" xr:uid="{00000000-0005-0000-0000-0000489A0000}"/>
    <cellStyle name="Normal 58 3 2 2 3 6 2 2" xfId="45383" xr:uid="{00000000-0005-0000-0000-0000499A0000}"/>
    <cellStyle name="Normal 58 3 2 2 3 6 3" xfId="33160" xr:uid="{00000000-0005-0000-0000-00004A9A0000}"/>
    <cellStyle name="Normal 58 3 2 2 3 7" xfId="16341" xr:uid="{00000000-0005-0000-0000-00004B9A0000}"/>
    <cellStyle name="Normal 58 3 2 2 3 7 2" xfId="41894" xr:uid="{00000000-0005-0000-0000-00004C9A0000}"/>
    <cellStyle name="Normal 58 3 2 2 3 8" xfId="26313" xr:uid="{00000000-0005-0000-0000-00004D9A0000}"/>
    <cellStyle name="Normal 58 3 2 2 4" xfId="888" xr:uid="{00000000-0005-0000-0000-00004E9A0000}"/>
    <cellStyle name="Normal 58 3 2 2 4 2" xfId="3373" xr:uid="{00000000-0005-0000-0000-00004F9A0000}"/>
    <cellStyle name="Normal 58 3 2 2 4 2 2" xfId="12515" xr:uid="{00000000-0005-0000-0000-0000509A0000}"/>
    <cellStyle name="Normal 58 3 2 2 4 2 2 2" xfId="22734" xr:uid="{00000000-0005-0000-0000-0000519A0000}"/>
    <cellStyle name="Normal 58 3 2 2 4 2 2 2 2" xfId="48287" xr:uid="{00000000-0005-0000-0000-0000529A0000}"/>
    <cellStyle name="Normal 58 3 2 2 4 2 2 3" xfId="38070" xr:uid="{00000000-0005-0000-0000-0000539A0000}"/>
    <cellStyle name="Normal 58 3 2 2 4 2 3" xfId="8937" xr:uid="{00000000-0005-0000-0000-0000549A0000}"/>
    <cellStyle name="Normal 58 3 2 2 4 2 3 2" xfId="34494" xr:uid="{00000000-0005-0000-0000-0000559A0000}"/>
    <cellStyle name="Normal 58 3 2 2 4 2 4" xfId="17727" xr:uid="{00000000-0005-0000-0000-0000569A0000}"/>
    <cellStyle name="Normal 58 3 2 2 4 2 4 2" xfId="43280" xr:uid="{00000000-0005-0000-0000-0000579A0000}"/>
    <cellStyle name="Normal 58 3 2 2 4 2 5" xfId="29217" xr:uid="{00000000-0005-0000-0000-0000589A0000}"/>
    <cellStyle name="Normal 58 3 2 2 4 3" xfId="5051" xr:uid="{00000000-0005-0000-0000-0000599A0000}"/>
    <cellStyle name="Normal 58 3 2 2 4 3 2" xfId="13888" xr:uid="{00000000-0005-0000-0000-00005A9A0000}"/>
    <cellStyle name="Normal 58 3 2 2 4 3 2 2" xfId="24139" xr:uid="{00000000-0005-0000-0000-00005B9A0000}"/>
    <cellStyle name="Normal 58 3 2 2 4 3 2 2 2" xfId="49692" xr:uid="{00000000-0005-0000-0000-00005C9A0000}"/>
    <cellStyle name="Normal 58 3 2 2 4 3 2 3" xfId="39443" xr:uid="{00000000-0005-0000-0000-00005D9A0000}"/>
    <cellStyle name="Normal 58 3 2 2 4 3 3" xfId="10309" xr:uid="{00000000-0005-0000-0000-00005E9A0000}"/>
    <cellStyle name="Normal 58 3 2 2 4 3 3 2" xfId="35866" xr:uid="{00000000-0005-0000-0000-00005F9A0000}"/>
    <cellStyle name="Normal 58 3 2 2 4 3 4" xfId="19132" xr:uid="{00000000-0005-0000-0000-0000609A0000}"/>
    <cellStyle name="Normal 58 3 2 2 4 3 4 2" xfId="44685" xr:uid="{00000000-0005-0000-0000-0000619A0000}"/>
    <cellStyle name="Normal 58 3 2 2 4 3 5" xfId="30622" xr:uid="{00000000-0005-0000-0000-0000629A0000}"/>
    <cellStyle name="Normal 58 3 2 2 4 4" xfId="2482" xr:uid="{00000000-0005-0000-0000-0000639A0000}"/>
    <cellStyle name="Normal 58 3 2 2 4 4 2" xfId="11847" xr:uid="{00000000-0005-0000-0000-0000649A0000}"/>
    <cellStyle name="Normal 58 3 2 2 4 4 2 2" xfId="37402" xr:uid="{00000000-0005-0000-0000-0000659A0000}"/>
    <cellStyle name="Normal 58 3 2 2 4 4 3" xfId="21851" xr:uid="{00000000-0005-0000-0000-0000669A0000}"/>
    <cellStyle name="Normal 58 3 2 2 4 4 3 2" xfId="47404" xr:uid="{00000000-0005-0000-0000-0000679A0000}"/>
    <cellStyle name="Normal 58 3 2 2 4 4 4" xfId="28334" xr:uid="{00000000-0005-0000-0000-0000689A0000}"/>
    <cellStyle name="Normal 58 3 2 2 4 5" xfId="6506" xr:uid="{00000000-0005-0000-0000-0000699A0000}"/>
    <cellStyle name="Normal 58 3 2 2 4 5 2" xfId="15333" xr:uid="{00000000-0005-0000-0000-00006A9A0000}"/>
    <cellStyle name="Normal 58 3 2 2 4 5 2 2" xfId="40888" xr:uid="{00000000-0005-0000-0000-00006B9A0000}"/>
    <cellStyle name="Normal 58 3 2 2 4 5 3" xfId="25584" xr:uid="{00000000-0005-0000-0000-00006C9A0000}"/>
    <cellStyle name="Normal 58 3 2 2 4 5 3 2" xfId="51137" xr:uid="{00000000-0005-0000-0000-00006D9A0000}"/>
    <cellStyle name="Normal 58 3 2 2 4 5 4" xfId="32067" xr:uid="{00000000-0005-0000-0000-00006E9A0000}"/>
    <cellStyle name="Normal 58 3 2 2 4 6" xfId="7952" xr:uid="{00000000-0005-0000-0000-00006F9A0000}"/>
    <cellStyle name="Normal 58 3 2 2 4 6 2" xfId="20333" xr:uid="{00000000-0005-0000-0000-0000709A0000}"/>
    <cellStyle name="Normal 58 3 2 2 4 6 2 2" xfId="45886" xr:uid="{00000000-0005-0000-0000-0000719A0000}"/>
    <cellStyle name="Normal 58 3 2 2 4 6 3" xfId="33509" xr:uid="{00000000-0005-0000-0000-0000729A0000}"/>
    <cellStyle name="Normal 58 3 2 2 4 7" xfId="16844" xr:uid="{00000000-0005-0000-0000-0000739A0000}"/>
    <cellStyle name="Normal 58 3 2 2 4 7 2" xfId="42397" xr:uid="{00000000-0005-0000-0000-0000749A0000}"/>
    <cellStyle name="Normal 58 3 2 2 4 8" xfId="26816" xr:uid="{00000000-0005-0000-0000-0000759A0000}"/>
    <cellStyle name="Normal 58 3 2 2 5" xfId="1156" xr:uid="{00000000-0005-0000-0000-0000769A0000}"/>
    <cellStyle name="Normal 58 3 2 2 5 2" xfId="3585" xr:uid="{00000000-0005-0000-0000-0000779A0000}"/>
    <cellStyle name="Normal 58 3 2 2 5 2 2" xfId="12721" xr:uid="{00000000-0005-0000-0000-0000789A0000}"/>
    <cellStyle name="Normal 58 3 2 2 5 2 2 2" xfId="22940" xr:uid="{00000000-0005-0000-0000-0000799A0000}"/>
    <cellStyle name="Normal 58 3 2 2 5 2 2 2 2" xfId="48493" xr:uid="{00000000-0005-0000-0000-00007A9A0000}"/>
    <cellStyle name="Normal 58 3 2 2 5 2 2 3" xfId="38276" xr:uid="{00000000-0005-0000-0000-00007B9A0000}"/>
    <cellStyle name="Normal 58 3 2 2 5 2 3" xfId="9142" xr:uid="{00000000-0005-0000-0000-00007C9A0000}"/>
    <cellStyle name="Normal 58 3 2 2 5 2 3 2" xfId="34699" xr:uid="{00000000-0005-0000-0000-00007D9A0000}"/>
    <cellStyle name="Normal 58 3 2 2 5 2 4" xfId="17933" xr:uid="{00000000-0005-0000-0000-00007E9A0000}"/>
    <cellStyle name="Normal 58 3 2 2 5 2 4 2" xfId="43486" xr:uid="{00000000-0005-0000-0000-00007F9A0000}"/>
    <cellStyle name="Normal 58 3 2 2 5 2 5" xfId="29423" xr:uid="{00000000-0005-0000-0000-0000809A0000}"/>
    <cellStyle name="Normal 58 3 2 2 5 3" xfId="5248" xr:uid="{00000000-0005-0000-0000-0000819A0000}"/>
    <cellStyle name="Normal 58 3 2 2 5 3 2" xfId="14085" xr:uid="{00000000-0005-0000-0000-0000829A0000}"/>
    <cellStyle name="Normal 58 3 2 2 5 3 2 2" xfId="24336" xr:uid="{00000000-0005-0000-0000-0000839A0000}"/>
    <cellStyle name="Normal 58 3 2 2 5 3 2 2 2" xfId="49889" xr:uid="{00000000-0005-0000-0000-0000849A0000}"/>
    <cellStyle name="Normal 58 3 2 2 5 3 2 3" xfId="39640" xr:uid="{00000000-0005-0000-0000-0000859A0000}"/>
    <cellStyle name="Normal 58 3 2 2 5 3 3" xfId="10506" xr:uid="{00000000-0005-0000-0000-0000869A0000}"/>
    <cellStyle name="Normal 58 3 2 2 5 3 3 2" xfId="36063" xr:uid="{00000000-0005-0000-0000-0000879A0000}"/>
    <cellStyle name="Normal 58 3 2 2 5 3 4" xfId="19329" xr:uid="{00000000-0005-0000-0000-0000889A0000}"/>
    <cellStyle name="Normal 58 3 2 2 5 3 4 2" xfId="44882" xr:uid="{00000000-0005-0000-0000-0000899A0000}"/>
    <cellStyle name="Normal 58 3 2 2 5 3 5" xfId="30819" xr:uid="{00000000-0005-0000-0000-00008A9A0000}"/>
    <cellStyle name="Normal 58 3 2 2 5 4" xfId="1863" xr:uid="{00000000-0005-0000-0000-00008B9A0000}"/>
    <cellStyle name="Normal 58 3 2 2 5 4 2" xfId="11231" xr:uid="{00000000-0005-0000-0000-00008C9A0000}"/>
    <cellStyle name="Normal 58 3 2 2 5 4 2 2" xfId="36786" xr:uid="{00000000-0005-0000-0000-00008D9A0000}"/>
    <cellStyle name="Normal 58 3 2 2 5 4 3" xfId="21235" xr:uid="{00000000-0005-0000-0000-00008E9A0000}"/>
    <cellStyle name="Normal 58 3 2 2 5 4 3 2" xfId="46788" xr:uid="{00000000-0005-0000-0000-00008F9A0000}"/>
    <cellStyle name="Normal 58 3 2 2 5 4 4" xfId="27718" xr:uid="{00000000-0005-0000-0000-0000909A0000}"/>
    <cellStyle name="Normal 58 3 2 2 5 5" xfId="6703" xr:uid="{00000000-0005-0000-0000-0000919A0000}"/>
    <cellStyle name="Normal 58 3 2 2 5 5 2" xfId="15530" xr:uid="{00000000-0005-0000-0000-0000929A0000}"/>
    <cellStyle name="Normal 58 3 2 2 5 5 2 2" xfId="41085" xr:uid="{00000000-0005-0000-0000-0000939A0000}"/>
    <cellStyle name="Normal 58 3 2 2 5 5 3" xfId="25781" xr:uid="{00000000-0005-0000-0000-0000949A0000}"/>
    <cellStyle name="Normal 58 3 2 2 5 5 3 2" xfId="51334" xr:uid="{00000000-0005-0000-0000-0000959A0000}"/>
    <cellStyle name="Normal 58 3 2 2 5 5 4" xfId="32264" xr:uid="{00000000-0005-0000-0000-0000969A0000}"/>
    <cellStyle name="Normal 58 3 2 2 5 6" xfId="8149" xr:uid="{00000000-0005-0000-0000-0000979A0000}"/>
    <cellStyle name="Normal 58 3 2 2 5 6 2" xfId="20539" xr:uid="{00000000-0005-0000-0000-0000989A0000}"/>
    <cellStyle name="Normal 58 3 2 2 5 6 2 2" xfId="46092" xr:uid="{00000000-0005-0000-0000-0000999A0000}"/>
    <cellStyle name="Normal 58 3 2 2 5 6 3" xfId="33706" xr:uid="{00000000-0005-0000-0000-00009A9A0000}"/>
    <cellStyle name="Normal 58 3 2 2 5 7" xfId="16228" xr:uid="{00000000-0005-0000-0000-00009B9A0000}"/>
    <cellStyle name="Normal 58 3 2 2 5 7 2" xfId="41781" xr:uid="{00000000-0005-0000-0000-00009C9A0000}"/>
    <cellStyle name="Normal 58 3 2 2 5 8" xfId="27022" xr:uid="{00000000-0005-0000-0000-00009D9A0000}"/>
    <cellStyle name="Normal 58 3 2 2 6" xfId="2757" xr:uid="{00000000-0005-0000-0000-00009E9A0000}"/>
    <cellStyle name="Normal 58 3 2 2 6 2" xfId="12074" xr:uid="{00000000-0005-0000-0000-00009F9A0000}"/>
    <cellStyle name="Normal 58 3 2 2 6 2 2" xfId="22118" xr:uid="{00000000-0005-0000-0000-0000A09A0000}"/>
    <cellStyle name="Normal 58 3 2 2 6 2 2 2" xfId="47671" xr:uid="{00000000-0005-0000-0000-0000A19A0000}"/>
    <cellStyle name="Normal 58 3 2 2 6 2 3" xfId="37629" xr:uid="{00000000-0005-0000-0000-0000A29A0000}"/>
    <cellStyle name="Normal 58 3 2 2 6 3" xfId="8539" xr:uid="{00000000-0005-0000-0000-0000A39A0000}"/>
    <cellStyle name="Normal 58 3 2 2 6 3 2" xfId="34096" xr:uid="{00000000-0005-0000-0000-0000A49A0000}"/>
    <cellStyle name="Normal 58 3 2 2 6 4" xfId="17111" xr:uid="{00000000-0005-0000-0000-0000A59A0000}"/>
    <cellStyle name="Normal 58 3 2 2 6 4 2" xfId="42664" xr:uid="{00000000-0005-0000-0000-0000A69A0000}"/>
    <cellStyle name="Normal 58 3 2 2 6 5" xfId="28601" xr:uid="{00000000-0005-0000-0000-0000A79A0000}"/>
    <cellStyle name="Normal 58 3 2 2 7" xfId="4204" xr:uid="{00000000-0005-0000-0000-0000A89A0000}"/>
    <cellStyle name="Normal 58 3 2 2 7 2" xfId="13042" xr:uid="{00000000-0005-0000-0000-0000A99A0000}"/>
    <cellStyle name="Normal 58 3 2 2 7 2 2" xfId="23293" xr:uid="{00000000-0005-0000-0000-0000AA9A0000}"/>
    <cellStyle name="Normal 58 3 2 2 7 2 2 2" xfId="48846" xr:uid="{00000000-0005-0000-0000-0000AB9A0000}"/>
    <cellStyle name="Normal 58 3 2 2 7 2 3" xfId="38597" xr:uid="{00000000-0005-0000-0000-0000AC9A0000}"/>
    <cellStyle name="Normal 58 3 2 2 7 3" xfId="9463" xr:uid="{00000000-0005-0000-0000-0000AD9A0000}"/>
    <cellStyle name="Normal 58 3 2 2 7 3 2" xfId="35020" xr:uid="{00000000-0005-0000-0000-0000AE9A0000}"/>
    <cellStyle name="Normal 58 3 2 2 7 4" xfId="18286" xr:uid="{00000000-0005-0000-0000-0000AF9A0000}"/>
    <cellStyle name="Normal 58 3 2 2 7 4 2" xfId="43839" xr:uid="{00000000-0005-0000-0000-0000B09A0000}"/>
    <cellStyle name="Normal 58 3 2 2 7 5" xfId="29776" xr:uid="{00000000-0005-0000-0000-0000B19A0000}"/>
    <cellStyle name="Normal 58 3 2 2 8" xfId="1476" xr:uid="{00000000-0005-0000-0000-0000B29A0000}"/>
    <cellStyle name="Normal 58 3 2 2 8 2" xfId="10853" xr:uid="{00000000-0005-0000-0000-0000B39A0000}"/>
    <cellStyle name="Normal 58 3 2 2 8 2 2" xfId="36408" xr:uid="{00000000-0005-0000-0000-0000B49A0000}"/>
    <cellStyle name="Normal 58 3 2 2 8 3" xfId="20857" xr:uid="{00000000-0005-0000-0000-0000B59A0000}"/>
    <cellStyle name="Normal 58 3 2 2 8 3 2" xfId="46410" xr:uid="{00000000-0005-0000-0000-0000B69A0000}"/>
    <cellStyle name="Normal 58 3 2 2 8 4" xfId="27340" xr:uid="{00000000-0005-0000-0000-0000B79A0000}"/>
    <cellStyle name="Normal 58 3 2 2 9" xfId="5660" xr:uid="{00000000-0005-0000-0000-0000B89A0000}"/>
    <cellStyle name="Normal 58 3 2 2 9 2" xfId="14487" xr:uid="{00000000-0005-0000-0000-0000B99A0000}"/>
    <cellStyle name="Normal 58 3 2 2 9 2 2" xfId="40042" xr:uid="{00000000-0005-0000-0000-0000BA9A0000}"/>
    <cellStyle name="Normal 58 3 2 2 9 3" xfId="24738" xr:uid="{00000000-0005-0000-0000-0000BB9A0000}"/>
    <cellStyle name="Normal 58 3 2 2 9 3 2" xfId="50291" xr:uid="{00000000-0005-0000-0000-0000BC9A0000}"/>
    <cellStyle name="Normal 58 3 2 2 9 4" xfId="31221" xr:uid="{00000000-0005-0000-0000-0000BD9A0000}"/>
    <cellStyle name="Normal 58 3 2 2_Degree data" xfId="3994" xr:uid="{00000000-0005-0000-0000-0000BE9A0000}"/>
    <cellStyle name="Normal 58 3 2 3" xfId="220" xr:uid="{00000000-0005-0000-0000-0000BF9A0000}"/>
    <cellStyle name="Normal 58 3 2 3 10" xfId="16010" xr:uid="{00000000-0005-0000-0000-0000C09A0000}"/>
    <cellStyle name="Normal 58 3 2 3 10 2" xfId="41563" xr:uid="{00000000-0005-0000-0000-0000C19A0000}"/>
    <cellStyle name="Normal 58 3 2 3 11" xfId="26156" xr:uid="{00000000-0005-0000-0000-0000C29A0000}"/>
    <cellStyle name="Normal 58 3 2 3 2" xfId="544" xr:uid="{00000000-0005-0000-0000-0000C39A0000}"/>
    <cellStyle name="Normal 58 3 2 3 2 2" xfId="3030" xr:uid="{00000000-0005-0000-0000-0000C49A0000}"/>
    <cellStyle name="Normal 58 3 2 3 2 2 2" xfId="12218" xr:uid="{00000000-0005-0000-0000-0000C59A0000}"/>
    <cellStyle name="Normal 58 3 2 3 2 2 2 2" xfId="22391" xr:uid="{00000000-0005-0000-0000-0000C69A0000}"/>
    <cellStyle name="Normal 58 3 2 3 2 2 2 2 2" xfId="47944" xr:uid="{00000000-0005-0000-0000-0000C79A0000}"/>
    <cellStyle name="Normal 58 3 2 3 2 2 2 3" xfId="37773" xr:uid="{00000000-0005-0000-0000-0000C89A0000}"/>
    <cellStyle name="Normal 58 3 2 3 2 2 3" xfId="8443" xr:uid="{00000000-0005-0000-0000-0000C99A0000}"/>
    <cellStyle name="Normal 58 3 2 3 2 2 3 2" xfId="34000" xr:uid="{00000000-0005-0000-0000-0000CA9A0000}"/>
    <cellStyle name="Normal 58 3 2 3 2 2 4" xfId="17384" xr:uid="{00000000-0005-0000-0000-0000CB9A0000}"/>
    <cellStyle name="Normal 58 3 2 3 2 2 4 2" xfId="42937" xr:uid="{00000000-0005-0000-0000-0000CC9A0000}"/>
    <cellStyle name="Normal 58 3 2 3 2 2 5" xfId="28874" xr:uid="{00000000-0005-0000-0000-0000CD9A0000}"/>
    <cellStyle name="Normal 58 3 2 3 2 3" xfId="4704" xr:uid="{00000000-0005-0000-0000-0000CE9A0000}"/>
    <cellStyle name="Normal 58 3 2 3 2 3 2" xfId="13542" xr:uid="{00000000-0005-0000-0000-0000CF9A0000}"/>
    <cellStyle name="Normal 58 3 2 3 2 3 2 2" xfId="23793" xr:uid="{00000000-0005-0000-0000-0000D09A0000}"/>
    <cellStyle name="Normal 58 3 2 3 2 3 2 2 2" xfId="49346" xr:uid="{00000000-0005-0000-0000-0000D19A0000}"/>
    <cellStyle name="Normal 58 3 2 3 2 3 2 3" xfId="39097" xr:uid="{00000000-0005-0000-0000-0000D29A0000}"/>
    <cellStyle name="Normal 58 3 2 3 2 3 3" xfId="9963" xr:uid="{00000000-0005-0000-0000-0000D39A0000}"/>
    <cellStyle name="Normal 58 3 2 3 2 3 3 2" xfId="35520" xr:uid="{00000000-0005-0000-0000-0000D49A0000}"/>
    <cellStyle name="Normal 58 3 2 3 2 3 4" xfId="18786" xr:uid="{00000000-0005-0000-0000-0000D59A0000}"/>
    <cellStyle name="Normal 58 3 2 3 2 3 4 2" xfId="44339" xr:uid="{00000000-0005-0000-0000-0000D69A0000}"/>
    <cellStyle name="Normal 58 3 2 3 2 3 5" xfId="30276" xr:uid="{00000000-0005-0000-0000-0000D79A0000}"/>
    <cellStyle name="Normal 58 3 2 3 2 4" xfId="2139" xr:uid="{00000000-0005-0000-0000-0000D89A0000}"/>
    <cellStyle name="Normal 58 3 2 3 2 4 2" xfId="11504" xr:uid="{00000000-0005-0000-0000-0000D99A0000}"/>
    <cellStyle name="Normal 58 3 2 3 2 4 2 2" xfId="37059" xr:uid="{00000000-0005-0000-0000-0000DA9A0000}"/>
    <cellStyle name="Normal 58 3 2 3 2 4 3" xfId="21508" xr:uid="{00000000-0005-0000-0000-0000DB9A0000}"/>
    <cellStyle name="Normal 58 3 2 3 2 4 3 2" xfId="47061" xr:uid="{00000000-0005-0000-0000-0000DC9A0000}"/>
    <cellStyle name="Normal 58 3 2 3 2 4 4" xfId="27991" xr:uid="{00000000-0005-0000-0000-0000DD9A0000}"/>
    <cellStyle name="Normal 58 3 2 3 2 5" xfId="6160" xr:uid="{00000000-0005-0000-0000-0000DE9A0000}"/>
    <cellStyle name="Normal 58 3 2 3 2 5 2" xfId="14987" xr:uid="{00000000-0005-0000-0000-0000DF9A0000}"/>
    <cellStyle name="Normal 58 3 2 3 2 5 2 2" xfId="40542" xr:uid="{00000000-0005-0000-0000-0000E09A0000}"/>
    <cellStyle name="Normal 58 3 2 3 2 5 3" xfId="25238" xr:uid="{00000000-0005-0000-0000-0000E19A0000}"/>
    <cellStyle name="Normal 58 3 2 3 2 5 3 2" xfId="50791" xr:uid="{00000000-0005-0000-0000-0000E29A0000}"/>
    <cellStyle name="Normal 58 3 2 3 2 5 4" xfId="31721" xr:uid="{00000000-0005-0000-0000-0000E39A0000}"/>
    <cellStyle name="Normal 58 3 2 3 2 6" xfId="7605" xr:uid="{00000000-0005-0000-0000-0000E49A0000}"/>
    <cellStyle name="Normal 58 3 2 3 2 6 2" xfId="19990" xr:uid="{00000000-0005-0000-0000-0000E59A0000}"/>
    <cellStyle name="Normal 58 3 2 3 2 6 2 2" xfId="45543" xr:uid="{00000000-0005-0000-0000-0000E69A0000}"/>
    <cellStyle name="Normal 58 3 2 3 2 6 3" xfId="33162" xr:uid="{00000000-0005-0000-0000-0000E79A0000}"/>
    <cellStyle name="Normal 58 3 2 3 2 7" xfId="16501" xr:uid="{00000000-0005-0000-0000-0000E89A0000}"/>
    <cellStyle name="Normal 58 3 2 3 2 7 2" xfId="42054" xr:uid="{00000000-0005-0000-0000-0000E99A0000}"/>
    <cellStyle name="Normal 58 3 2 3 2 8" xfId="26473" xr:uid="{00000000-0005-0000-0000-0000EA9A0000}"/>
    <cellStyle name="Normal 58 3 2 3 3" xfId="890" xr:uid="{00000000-0005-0000-0000-0000EB9A0000}"/>
    <cellStyle name="Normal 58 3 2 3 3 2" xfId="3375" xr:uid="{00000000-0005-0000-0000-0000EC9A0000}"/>
    <cellStyle name="Normal 58 3 2 3 3 2 2" xfId="12517" xr:uid="{00000000-0005-0000-0000-0000ED9A0000}"/>
    <cellStyle name="Normal 58 3 2 3 3 2 2 2" xfId="22736" xr:uid="{00000000-0005-0000-0000-0000EE9A0000}"/>
    <cellStyle name="Normal 58 3 2 3 3 2 2 2 2" xfId="48289" xr:uid="{00000000-0005-0000-0000-0000EF9A0000}"/>
    <cellStyle name="Normal 58 3 2 3 3 2 2 3" xfId="38072" xr:uid="{00000000-0005-0000-0000-0000F09A0000}"/>
    <cellStyle name="Normal 58 3 2 3 3 2 3" xfId="8939" xr:uid="{00000000-0005-0000-0000-0000F19A0000}"/>
    <cellStyle name="Normal 58 3 2 3 3 2 3 2" xfId="34496" xr:uid="{00000000-0005-0000-0000-0000F29A0000}"/>
    <cellStyle name="Normal 58 3 2 3 3 2 4" xfId="17729" xr:uid="{00000000-0005-0000-0000-0000F39A0000}"/>
    <cellStyle name="Normal 58 3 2 3 3 2 4 2" xfId="43282" xr:uid="{00000000-0005-0000-0000-0000F49A0000}"/>
    <cellStyle name="Normal 58 3 2 3 3 2 5" xfId="29219" xr:uid="{00000000-0005-0000-0000-0000F59A0000}"/>
    <cellStyle name="Normal 58 3 2 3 3 3" xfId="5053" xr:uid="{00000000-0005-0000-0000-0000F69A0000}"/>
    <cellStyle name="Normal 58 3 2 3 3 3 2" xfId="13890" xr:uid="{00000000-0005-0000-0000-0000F79A0000}"/>
    <cellStyle name="Normal 58 3 2 3 3 3 2 2" xfId="24141" xr:uid="{00000000-0005-0000-0000-0000F89A0000}"/>
    <cellStyle name="Normal 58 3 2 3 3 3 2 2 2" xfId="49694" xr:uid="{00000000-0005-0000-0000-0000F99A0000}"/>
    <cellStyle name="Normal 58 3 2 3 3 3 2 3" xfId="39445" xr:uid="{00000000-0005-0000-0000-0000FA9A0000}"/>
    <cellStyle name="Normal 58 3 2 3 3 3 3" xfId="10311" xr:uid="{00000000-0005-0000-0000-0000FB9A0000}"/>
    <cellStyle name="Normal 58 3 2 3 3 3 3 2" xfId="35868" xr:uid="{00000000-0005-0000-0000-0000FC9A0000}"/>
    <cellStyle name="Normal 58 3 2 3 3 3 4" xfId="19134" xr:uid="{00000000-0005-0000-0000-0000FD9A0000}"/>
    <cellStyle name="Normal 58 3 2 3 3 3 4 2" xfId="44687" xr:uid="{00000000-0005-0000-0000-0000FE9A0000}"/>
    <cellStyle name="Normal 58 3 2 3 3 3 5" xfId="30624" xr:uid="{00000000-0005-0000-0000-0000FF9A0000}"/>
    <cellStyle name="Normal 58 3 2 3 3 4" xfId="2484" xr:uid="{00000000-0005-0000-0000-0000009B0000}"/>
    <cellStyle name="Normal 58 3 2 3 3 4 2" xfId="11849" xr:uid="{00000000-0005-0000-0000-0000019B0000}"/>
    <cellStyle name="Normal 58 3 2 3 3 4 2 2" xfId="37404" xr:uid="{00000000-0005-0000-0000-0000029B0000}"/>
    <cellStyle name="Normal 58 3 2 3 3 4 3" xfId="21853" xr:uid="{00000000-0005-0000-0000-0000039B0000}"/>
    <cellStyle name="Normal 58 3 2 3 3 4 3 2" xfId="47406" xr:uid="{00000000-0005-0000-0000-0000049B0000}"/>
    <cellStyle name="Normal 58 3 2 3 3 4 4" xfId="28336" xr:uid="{00000000-0005-0000-0000-0000059B0000}"/>
    <cellStyle name="Normal 58 3 2 3 3 5" xfId="6508" xr:uid="{00000000-0005-0000-0000-0000069B0000}"/>
    <cellStyle name="Normal 58 3 2 3 3 5 2" xfId="15335" xr:uid="{00000000-0005-0000-0000-0000079B0000}"/>
    <cellStyle name="Normal 58 3 2 3 3 5 2 2" xfId="40890" xr:uid="{00000000-0005-0000-0000-0000089B0000}"/>
    <cellStyle name="Normal 58 3 2 3 3 5 3" xfId="25586" xr:uid="{00000000-0005-0000-0000-0000099B0000}"/>
    <cellStyle name="Normal 58 3 2 3 3 5 3 2" xfId="51139" xr:uid="{00000000-0005-0000-0000-00000A9B0000}"/>
    <cellStyle name="Normal 58 3 2 3 3 5 4" xfId="32069" xr:uid="{00000000-0005-0000-0000-00000B9B0000}"/>
    <cellStyle name="Normal 58 3 2 3 3 6" xfId="7954" xr:uid="{00000000-0005-0000-0000-00000C9B0000}"/>
    <cellStyle name="Normal 58 3 2 3 3 6 2" xfId="20335" xr:uid="{00000000-0005-0000-0000-00000D9B0000}"/>
    <cellStyle name="Normal 58 3 2 3 3 6 2 2" xfId="45888" xr:uid="{00000000-0005-0000-0000-00000E9B0000}"/>
    <cellStyle name="Normal 58 3 2 3 3 6 3" xfId="33511" xr:uid="{00000000-0005-0000-0000-00000F9B0000}"/>
    <cellStyle name="Normal 58 3 2 3 3 7" xfId="16846" xr:uid="{00000000-0005-0000-0000-0000109B0000}"/>
    <cellStyle name="Normal 58 3 2 3 3 7 2" xfId="42399" xr:uid="{00000000-0005-0000-0000-0000119B0000}"/>
    <cellStyle name="Normal 58 3 2 3 3 8" xfId="26818" xr:uid="{00000000-0005-0000-0000-0000129B0000}"/>
    <cellStyle name="Normal 58 3 2 3 4" xfId="1316" xr:uid="{00000000-0005-0000-0000-0000139B0000}"/>
    <cellStyle name="Normal 58 3 2 3 4 2" xfId="3745" xr:uid="{00000000-0005-0000-0000-0000149B0000}"/>
    <cellStyle name="Normal 58 3 2 3 4 2 2" xfId="12881" xr:uid="{00000000-0005-0000-0000-0000159B0000}"/>
    <cellStyle name="Normal 58 3 2 3 4 2 2 2" xfId="23100" xr:uid="{00000000-0005-0000-0000-0000169B0000}"/>
    <cellStyle name="Normal 58 3 2 3 4 2 2 2 2" xfId="48653" xr:uid="{00000000-0005-0000-0000-0000179B0000}"/>
    <cellStyle name="Normal 58 3 2 3 4 2 2 3" xfId="38436" xr:uid="{00000000-0005-0000-0000-0000189B0000}"/>
    <cellStyle name="Normal 58 3 2 3 4 2 3" xfId="9302" xr:uid="{00000000-0005-0000-0000-0000199B0000}"/>
    <cellStyle name="Normal 58 3 2 3 4 2 3 2" xfId="34859" xr:uid="{00000000-0005-0000-0000-00001A9B0000}"/>
    <cellStyle name="Normal 58 3 2 3 4 2 4" xfId="18093" xr:uid="{00000000-0005-0000-0000-00001B9B0000}"/>
    <cellStyle name="Normal 58 3 2 3 4 2 4 2" xfId="43646" xr:uid="{00000000-0005-0000-0000-00001C9B0000}"/>
    <cellStyle name="Normal 58 3 2 3 4 2 5" xfId="29583" xr:uid="{00000000-0005-0000-0000-00001D9B0000}"/>
    <cellStyle name="Normal 58 3 2 3 4 3" xfId="5408" xr:uid="{00000000-0005-0000-0000-00001E9B0000}"/>
    <cellStyle name="Normal 58 3 2 3 4 3 2" xfId="14245" xr:uid="{00000000-0005-0000-0000-00001F9B0000}"/>
    <cellStyle name="Normal 58 3 2 3 4 3 2 2" xfId="24496" xr:uid="{00000000-0005-0000-0000-0000209B0000}"/>
    <cellStyle name="Normal 58 3 2 3 4 3 2 2 2" xfId="50049" xr:uid="{00000000-0005-0000-0000-0000219B0000}"/>
    <cellStyle name="Normal 58 3 2 3 4 3 2 3" xfId="39800" xr:uid="{00000000-0005-0000-0000-0000229B0000}"/>
    <cellStyle name="Normal 58 3 2 3 4 3 3" xfId="10666" xr:uid="{00000000-0005-0000-0000-0000239B0000}"/>
    <cellStyle name="Normal 58 3 2 3 4 3 3 2" xfId="36223" xr:uid="{00000000-0005-0000-0000-0000249B0000}"/>
    <cellStyle name="Normal 58 3 2 3 4 3 4" xfId="19489" xr:uid="{00000000-0005-0000-0000-0000259B0000}"/>
    <cellStyle name="Normal 58 3 2 3 4 3 4 2" xfId="45042" xr:uid="{00000000-0005-0000-0000-0000269B0000}"/>
    <cellStyle name="Normal 58 3 2 3 4 3 5" xfId="30979" xr:uid="{00000000-0005-0000-0000-0000279B0000}"/>
    <cellStyle name="Normal 58 3 2 3 4 4" xfId="1819" xr:uid="{00000000-0005-0000-0000-0000289B0000}"/>
    <cellStyle name="Normal 58 3 2 3 4 4 2" xfId="11187" xr:uid="{00000000-0005-0000-0000-0000299B0000}"/>
    <cellStyle name="Normal 58 3 2 3 4 4 2 2" xfId="36742" xr:uid="{00000000-0005-0000-0000-00002A9B0000}"/>
    <cellStyle name="Normal 58 3 2 3 4 4 3" xfId="21191" xr:uid="{00000000-0005-0000-0000-00002B9B0000}"/>
    <cellStyle name="Normal 58 3 2 3 4 4 3 2" xfId="46744" xr:uid="{00000000-0005-0000-0000-00002C9B0000}"/>
    <cellStyle name="Normal 58 3 2 3 4 4 4" xfId="27674" xr:uid="{00000000-0005-0000-0000-00002D9B0000}"/>
    <cellStyle name="Normal 58 3 2 3 4 5" xfId="6863" xr:uid="{00000000-0005-0000-0000-00002E9B0000}"/>
    <cellStyle name="Normal 58 3 2 3 4 5 2" xfId="15690" xr:uid="{00000000-0005-0000-0000-00002F9B0000}"/>
    <cellStyle name="Normal 58 3 2 3 4 5 2 2" xfId="41245" xr:uid="{00000000-0005-0000-0000-0000309B0000}"/>
    <cellStyle name="Normal 58 3 2 3 4 5 3" xfId="25941" xr:uid="{00000000-0005-0000-0000-0000319B0000}"/>
    <cellStyle name="Normal 58 3 2 3 4 5 3 2" xfId="51494" xr:uid="{00000000-0005-0000-0000-0000329B0000}"/>
    <cellStyle name="Normal 58 3 2 3 4 5 4" xfId="32424" xr:uid="{00000000-0005-0000-0000-0000339B0000}"/>
    <cellStyle name="Normal 58 3 2 3 4 6" xfId="8309" xr:uid="{00000000-0005-0000-0000-0000349B0000}"/>
    <cellStyle name="Normal 58 3 2 3 4 6 2" xfId="20699" xr:uid="{00000000-0005-0000-0000-0000359B0000}"/>
    <cellStyle name="Normal 58 3 2 3 4 6 2 2" xfId="46252" xr:uid="{00000000-0005-0000-0000-0000369B0000}"/>
    <cellStyle name="Normal 58 3 2 3 4 6 3" xfId="33866" xr:uid="{00000000-0005-0000-0000-0000379B0000}"/>
    <cellStyle name="Normal 58 3 2 3 4 7" xfId="16184" xr:uid="{00000000-0005-0000-0000-0000389B0000}"/>
    <cellStyle name="Normal 58 3 2 3 4 7 2" xfId="41737" xr:uid="{00000000-0005-0000-0000-0000399B0000}"/>
    <cellStyle name="Normal 58 3 2 3 4 8" xfId="27182" xr:uid="{00000000-0005-0000-0000-00003A9B0000}"/>
    <cellStyle name="Normal 58 3 2 3 5" xfId="2713" xr:uid="{00000000-0005-0000-0000-00003B9B0000}"/>
    <cellStyle name="Normal 58 3 2 3 5 2" xfId="12030" xr:uid="{00000000-0005-0000-0000-00003C9B0000}"/>
    <cellStyle name="Normal 58 3 2 3 5 2 2" xfId="22074" xr:uid="{00000000-0005-0000-0000-00003D9B0000}"/>
    <cellStyle name="Normal 58 3 2 3 5 2 2 2" xfId="47627" xr:uid="{00000000-0005-0000-0000-00003E9B0000}"/>
    <cellStyle name="Normal 58 3 2 3 5 2 3" xfId="37585" xr:uid="{00000000-0005-0000-0000-00003F9B0000}"/>
    <cellStyle name="Normal 58 3 2 3 5 3" xfId="8383" xr:uid="{00000000-0005-0000-0000-0000409B0000}"/>
    <cellStyle name="Normal 58 3 2 3 5 3 2" xfId="33940" xr:uid="{00000000-0005-0000-0000-0000419B0000}"/>
    <cellStyle name="Normal 58 3 2 3 5 4" xfId="17067" xr:uid="{00000000-0005-0000-0000-0000429B0000}"/>
    <cellStyle name="Normal 58 3 2 3 5 4 2" xfId="42620" xr:uid="{00000000-0005-0000-0000-0000439B0000}"/>
    <cellStyle name="Normal 58 3 2 3 5 5" xfId="28557" xr:uid="{00000000-0005-0000-0000-0000449B0000}"/>
    <cellStyle name="Normal 58 3 2 3 6" xfId="4364" xr:uid="{00000000-0005-0000-0000-0000459B0000}"/>
    <cellStyle name="Normal 58 3 2 3 6 2" xfId="13202" xr:uid="{00000000-0005-0000-0000-0000469B0000}"/>
    <cellStyle name="Normal 58 3 2 3 6 2 2" xfId="23453" xr:uid="{00000000-0005-0000-0000-0000479B0000}"/>
    <cellStyle name="Normal 58 3 2 3 6 2 2 2" xfId="49006" xr:uid="{00000000-0005-0000-0000-0000489B0000}"/>
    <cellStyle name="Normal 58 3 2 3 6 2 3" xfId="38757" xr:uid="{00000000-0005-0000-0000-0000499B0000}"/>
    <cellStyle name="Normal 58 3 2 3 6 3" xfId="9623" xr:uid="{00000000-0005-0000-0000-00004A9B0000}"/>
    <cellStyle name="Normal 58 3 2 3 6 3 2" xfId="35180" xr:uid="{00000000-0005-0000-0000-00004B9B0000}"/>
    <cellStyle name="Normal 58 3 2 3 6 4" xfId="18446" xr:uid="{00000000-0005-0000-0000-00004C9B0000}"/>
    <cellStyle name="Normal 58 3 2 3 6 4 2" xfId="43999" xr:uid="{00000000-0005-0000-0000-00004D9B0000}"/>
    <cellStyle name="Normal 58 3 2 3 6 5" xfId="29936" xr:uid="{00000000-0005-0000-0000-00004E9B0000}"/>
    <cellStyle name="Normal 58 3 2 3 7" xfId="1636" xr:uid="{00000000-0005-0000-0000-00004F9B0000}"/>
    <cellStyle name="Normal 58 3 2 3 7 2" xfId="11013" xr:uid="{00000000-0005-0000-0000-0000509B0000}"/>
    <cellStyle name="Normal 58 3 2 3 7 2 2" xfId="36568" xr:uid="{00000000-0005-0000-0000-0000519B0000}"/>
    <cellStyle name="Normal 58 3 2 3 7 3" xfId="21017" xr:uid="{00000000-0005-0000-0000-0000529B0000}"/>
    <cellStyle name="Normal 58 3 2 3 7 3 2" xfId="46570" xr:uid="{00000000-0005-0000-0000-0000539B0000}"/>
    <cellStyle name="Normal 58 3 2 3 7 4" xfId="27500" xr:uid="{00000000-0005-0000-0000-0000549B0000}"/>
    <cellStyle name="Normal 58 3 2 3 8" xfId="5820" xr:uid="{00000000-0005-0000-0000-0000559B0000}"/>
    <cellStyle name="Normal 58 3 2 3 8 2" xfId="14647" xr:uid="{00000000-0005-0000-0000-0000569B0000}"/>
    <cellStyle name="Normal 58 3 2 3 8 2 2" xfId="40202" xr:uid="{00000000-0005-0000-0000-0000579B0000}"/>
    <cellStyle name="Normal 58 3 2 3 8 3" xfId="24898" xr:uid="{00000000-0005-0000-0000-0000589B0000}"/>
    <cellStyle name="Normal 58 3 2 3 8 3 2" xfId="50451" xr:uid="{00000000-0005-0000-0000-0000599B0000}"/>
    <cellStyle name="Normal 58 3 2 3 8 4" xfId="31381" xr:uid="{00000000-0005-0000-0000-00005A9B0000}"/>
    <cellStyle name="Normal 58 3 2 3 9" xfId="7264" xr:uid="{00000000-0005-0000-0000-00005B9B0000}"/>
    <cellStyle name="Normal 58 3 2 3 9 2" xfId="19673" xr:uid="{00000000-0005-0000-0000-00005C9B0000}"/>
    <cellStyle name="Normal 58 3 2 3 9 2 2" xfId="45226" xr:uid="{00000000-0005-0000-0000-00005D9B0000}"/>
    <cellStyle name="Normal 58 3 2 3 9 3" xfId="32821" xr:uid="{00000000-0005-0000-0000-00005E9B0000}"/>
    <cellStyle name="Normal 58 3 2 3_Degree data" xfId="3996" xr:uid="{00000000-0005-0000-0000-00005F9B0000}"/>
    <cellStyle name="Normal 58 3 2 4" xfId="484" xr:uid="{00000000-0005-0000-0000-0000609B0000}"/>
    <cellStyle name="Normal 58 3 2 4 10" xfId="26413" xr:uid="{00000000-0005-0000-0000-0000619B0000}"/>
    <cellStyle name="Normal 58 3 2 4 2" xfId="891" xr:uid="{00000000-0005-0000-0000-0000629B0000}"/>
    <cellStyle name="Normal 58 3 2 4 2 2" xfId="3376" xr:uid="{00000000-0005-0000-0000-0000639B0000}"/>
    <cellStyle name="Normal 58 3 2 4 2 2 2" xfId="12518" xr:uid="{00000000-0005-0000-0000-0000649B0000}"/>
    <cellStyle name="Normal 58 3 2 4 2 2 2 2" xfId="22737" xr:uid="{00000000-0005-0000-0000-0000659B0000}"/>
    <cellStyle name="Normal 58 3 2 4 2 2 2 2 2" xfId="48290" xr:uid="{00000000-0005-0000-0000-0000669B0000}"/>
    <cellStyle name="Normal 58 3 2 4 2 2 2 3" xfId="38073" xr:uid="{00000000-0005-0000-0000-0000679B0000}"/>
    <cellStyle name="Normal 58 3 2 4 2 2 3" xfId="8940" xr:uid="{00000000-0005-0000-0000-0000689B0000}"/>
    <cellStyle name="Normal 58 3 2 4 2 2 3 2" xfId="34497" xr:uid="{00000000-0005-0000-0000-0000699B0000}"/>
    <cellStyle name="Normal 58 3 2 4 2 2 4" xfId="17730" xr:uid="{00000000-0005-0000-0000-00006A9B0000}"/>
    <cellStyle name="Normal 58 3 2 4 2 2 4 2" xfId="43283" xr:uid="{00000000-0005-0000-0000-00006B9B0000}"/>
    <cellStyle name="Normal 58 3 2 4 2 2 5" xfId="29220" xr:uid="{00000000-0005-0000-0000-00006C9B0000}"/>
    <cellStyle name="Normal 58 3 2 4 2 3" xfId="4705" xr:uid="{00000000-0005-0000-0000-00006D9B0000}"/>
    <cellStyle name="Normal 58 3 2 4 2 3 2" xfId="13543" xr:uid="{00000000-0005-0000-0000-00006E9B0000}"/>
    <cellStyle name="Normal 58 3 2 4 2 3 2 2" xfId="23794" xr:uid="{00000000-0005-0000-0000-00006F9B0000}"/>
    <cellStyle name="Normal 58 3 2 4 2 3 2 2 2" xfId="49347" xr:uid="{00000000-0005-0000-0000-0000709B0000}"/>
    <cellStyle name="Normal 58 3 2 4 2 3 2 3" xfId="39098" xr:uid="{00000000-0005-0000-0000-0000719B0000}"/>
    <cellStyle name="Normal 58 3 2 4 2 3 3" xfId="9964" xr:uid="{00000000-0005-0000-0000-0000729B0000}"/>
    <cellStyle name="Normal 58 3 2 4 2 3 3 2" xfId="35521" xr:uid="{00000000-0005-0000-0000-0000739B0000}"/>
    <cellStyle name="Normal 58 3 2 4 2 3 4" xfId="18787" xr:uid="{00000000-0005-0000-0000-0000749B0000}"/>
    <cellStyle name="Normal 58 3 2 4 2 3 4 2" xfId="44340" xr:uid="{00000000-0005-0000-0000-0000759B0000}"/>
    <cellStyle name="Normal 58 3 2 4 2 3 5" xfId="30277" xr:uid="{00000000-0005-0000-0000-0000769B0000}"/>
    <cellStyle name="Normal 58 3 2 4 2 4" xfId="2485" xr:uid="{00000000-0005-0000-0000-0000779B0000}"/>
    <cellStyle name="Normal 58 3 2 4 2 4 2" xfId="11850" xr:uid="{00000000-0005-0000-0000-0000789B0000}"/>
    <cellStyle name="Normal 58 3 2 4 2 4 2 2" xfId="37405" xr:uid="{00000000-0005-0000-0000-0000799B0000}"/>
    <cellStyle name="Normal 58 3 2 4 2 4 3" xfId="21854" xr:uid="{00000000-0005-0000-0000-00007A9B0000}"/>
    <cellStyle name="Normal 58 3 2 4 2 4 3 2" xfId="47407" xr:uid="{00000000-0005-0000-0000-00007B9B0000}"/>
    <cellStyle name="Normal 58 3 2 4 2 4 4" xfId="28337" xr:uid="{00000000-0005-0000-0000-00007C9B0000}"/>
    <cellStyle name="Normal 58 3 2 4 2 5" xfId="6161" xr:uid="{00000000-0005-0000-0000-00007D9B0000}"/>
    <cellStyle name="Normal 58 3 2 4 2 5 2" xfId="14988" xr:uid="{00000000-0005-0000-0000-00007E9B0000}"/>
    <cellStyle name="Normal 58 3 2 4 2 5 2 2" xfId="40543" xr:uid="{00000000-0005-0000-0000-00007F9B0000}"/>
    <cellStyle name="Normal 58 3 2 4 2 5 3" xfId="25239" xr:uid="{00000000-0005-0000-0000-0000809B0000}"/>
    <cellStyle name="Normal 58 3 2 4 2 5 3 2" xfId="50792" xr:uid="{00000000-0005-0000-0000-0000819B0000}"/>
    <cellStyle name="Normal 58 3 2 4 2 5 4" xfId="31722" xr:uid="{00000000-0005-0000-0000-0000829B0000}"/>
    <cellStyle name="Normal 58 3 2 4 2 6" xfId="7606" xr:uid="{00000000-0005-0000-0000-0000839B0000}"/>
    <cellStyle name="Normal 58 3 2 4 2 6 2" xfId="20336" xr:uid="{00000000-0005-0000-0000-0000849B0000}"/>
    <cellStyle name="Normal 58 3 2 4 2 6 2 2" xfId="45889" xr:uid="{00000000-0005-0000-0000-0000859B0000}"/>
    <cellStyle name="Normal 58 3 2 4 2 6 3" xfId="33163" xr:uid="{00000000-0005-0000-0000-0000869B0000}"/>
    <cellStyle name="Normal 58 3 2 4 2 7" xfId="16847" xr:uid="{00000000-0005-0000-0000-0000879B0000}"/>
    <cellStyle name="Normal 58 3 2 4 2 7 2" xfId="42400" xr:uid="{00000000-0005-0000-0000-0000889B0000}"/>
    <cellStyle name="Normal 58 3 2 4 2 8" xfId="26819" xr:uid="{00000000-0005-0000-0000-0000899B0000}"/>
    <cellStyle name="Normal 58 3 2 4 3" xfId="1256" xr:uid="{00000000-0005-0000-0000-00008A9B0000}"/>
    <cellStyle name="Normal 58 3 2 4 3 2" xfId="3685" xr:uid="{00000000-0005-0000-0000-00008B9B0000}"/>
    <cellStyle name="Normal 58 3 2 4 3 2 2" xfId="12821" xr:uid="{00000000-0005-0000-0000-00008C9B0000}"/>
    <cellStyle name="Normal 58 3 2 4 3 2 2 2" xfId="23040" xr:uid="{00000000-0005-0000-0000-00008D9B0000}"/>
    <cellStyle name="Normal 58 3 2 4 3 2 2 2 2" xfId="48593" xr:uid="{00000000-0005-0000-0000-00008E9B0000}"/>
    <cellStyle name="Normal 58 3 2 4 3 2 2 3" xfId="38376" xr:uid="{00000000-0005-0000-0000-00008F9B0000}"/>
    <cellStyle name="Normal 58 3 2 4 3 2 3" xfId="9242" xr:uid="{00000000-0005-0000-0000-0000909B0000}"/>
    <cellStyle name="Normal 58 3 2 4 3 2 3 2" xfId="34799" xr:uid="{00000000-0005-0000-0000-0000919B0000}"/>
    <cellStyle name="Normal 58 3 2 4 3 2 4" xfId="18033" xr:uid="{00000000-0005-0000-0000-0000929B0000}"/>
    <cellStyle name="Normal 58 3 2 4 3 2 4 2" xfId="43586" xr:uid="{00000000-0005-0000-0000-0000939B0000}"/>
    <cellStyle name="Normal 58 3 2 4 3 2 5" xfId="29523" xr:uid="{00000000-0005-0000-0000-0000949B0000}"/>
    <cellStyle name="Normal 58 3 2 4 3 3" xfId="5054" xr:uid="{00000000-0005-0000-0000-0000959B0000}"/>
    <cellStyle name="Normal 58 3 2 4 3 3 2" xfId="13891" xr:uid="{00000000-0005-0000-0000-0000969B0000}"/>
    <cellStyle name="Normal 58 3 2 4 3 3 2 2" xfId="24142" xr:uid="{00000000-0005-0000-0000-0000979B0000}"/>
    <cellStyle name="Normal 58 3 2 4 3 3 2 2 2" xfId="49695" xr:uid="{00000000-0005-0000-0000-0000989B0000}"/>
    <cellStyle name="Normal 58 3 2 4 3 3 2 3" xfId="39446" xr:uid="{00000000-0005-0000-0000-0000999B0000}"/>
    <cellStyle name="Normal 58 3 2 4 3 3 3" xfId="10312" xr:uid="{00000000-0005-0000-0000-00009A9B0000}"/>
    <cellStyle name="Normal 58 3 2 4 3 3 3 2" xfId="35869" xr:uid="{00000000-0005-0000-0000-00009B9B0000}"/>
    <cellStyle name="Normal 58 3 2 4 3 3 4" xfId="19135" xr:uid="{00000000-0005-0000-0000-00009C9B0000}"/>
    <cellStyle name="Normal 58 3 2 4 3 3 4 2" xfId="44688" xr:uid="{00000000-0005-0000-0000-00009D9B0000}"/>
    <cellStyle name="Normal 58 3 2 4 3 3 5" xfId="30625" xr:uid="{00000000-0005-0000-0000-00009E9B0000}"/>
    <cellStyle name="Normal 58 3 2 4 3 4" xfId="2079" xr:uid="{00000000-0005-0000-0000-00009F9B0000}"/>
    <cellStyle name="Normal 58 3 2 4 3 4 2" xfId="11444" xr:uid="{00000000-0005-0000-0000-0000A09B0000}"/>
    <cellStyle name="Normal 58 3 2 4 3 4 2 2" xfId="36999" xr:uid="{00000000-0005-0000-0000-0000A19B0000}"/>
    <cellStyle name="Normal 58 3 2 4 3 4 3" xfId="21448" xr:uid="{00000000-0005-0000-0000-0000A29B0000}"/>
    <cellStyle name="Normal 58 3 2 4 3 4 3 2" xfId="47001" xr:uid="{00000000-0005-0000-0000-0000A39B0000}"/>
    <cellStyle name="Normal 58 3 2 4 3 4 4" xfId="27931" xr:uid="{00000000-0005-0000-0000-0000A49B0000}"/>
    <cellStyle name="Normal 58 3 2 4 3 5" xfId="6509" xr:uid="{00000000-0005-0000-0000-0000A59B0000}"/>
    <cellStyle name="Normal 58 3 2 4 3 5 2" xfId="15336" xr:uid="{00000000-0005-0000-0000-0000A69B0000}"/>
    <cellStyle name="Normal 58 3 2 4 3 5 2 2" xfId="40891" xr:uid="{00000000-0005-0000-0000-0000A79B0000}"/>
    <cellStyle name="Normal 58 3 2 4 3 5 3" xfId="25587" xr:uid="{00000000-0005-0000-0000-0000A89B0000}"/>
    <cellStyle name="Normal 58 3 2 4 3 5 3 2" xfId="51140" xr:uid="{00000000-0005-0000-0000-0000A99B0000}"/>
    <cellStyle name="Normal 58 3 2 4 3 5 4" xfId="32070" xr:uid="{00000000-0005-0000-0000-0000AA9B0000}"/>
    <cellStyle name="Normal 58 3 2 4 3 6" xfId="7955" xr:uid="{00000000-0005-0000-0000-0000AB9B0000}"/>
    <cellStyle name="Normal 58 3 2 4 3 6 2" xfId="20639" xr:uid="{00000000-0005-0000-0000-0000AC9B0000}"/>
    <cellStyle name="Normal 58 3 2 4 3 6 2 2" xfId="46192" xr:uid="{00000000-0005-0000-0000-0000AD9B0000}"/>
    <cellStyle name="Normal 58 3 2 4 3 6 3" xfId="33512" xr:uid="{00000000-0005-0000-0000-0000AE9B0000}"/>
    <cellStyle name="Normal 58 3 2 4 3 7" xfId="16441" xr:uid="{00000000-0005-0000-0000-0000AF9B0000}"/>
    <cellStyle name="Normal 58 3 2 4 3 7 2" xfId="41994" xr:uid="{00000000-0005-0000-0000-0000B09B0000}"/>
    <cellStyle name="Normal 58 3 2 4 3 8" xfId="27122" xr:uid="{00000000-0005-0000-0000-0000B19B0000}"/>
    <cellStyle name="Normal 58 3 2 4 4" xfId="2970" xr:uid="{00000000-0005-0000-0000-0000B29B0000}"/>
    <cellStyle name="Normal 58 3 2 4 4 2" xfId="5348" xr:uid="{00000000-0005-0000-0000-0000B39B0000}"/>
    <cellStyle name="Normal 58 3 2 4 4 2 2" xfId="14185" xr:uid="{00000000-0005-0000-0000-0000B49B0000}"/>
    <cellStyle name="Normal 58 3 2 4 4 2 2 2" xfId="24436" xr:uid="{00000000-0005-0000-0000-0000B59B0000}"/>
    <cellStyle name="Normal 58 3 2 4 4 2 2 2 2" xfId="49989" xr:uid="{00000000-0005-0000-0000-0000B69B0000}"/>
    <cellStyle name="Normal 58 3 2 4 4 2 2 3" xfId="39740" xr:uid="{00000000-0005-0000-0000-0000B79B0000}"/>
    <cellStyle name="Normal 58 3 2 4 4 2 3" xfId="10606" xr:uid="{00000000-0005-0000-0000-0000B89B0000}"/>
    <cellStyle name="Normal 58 3 2 4 4 2 3 2" xfId="36163" xr:uid="{00000000-0005-0000-0000-0000B99B0000}"/>
    <cellStyle name="Normal 58 3 2 4 4 2 4" xfId="19429" xr:uid="{00000000-0005-0000-0000-0000BA9B0000}"/>
    <cellStyle name="Normal 58 3 2 4 4 2 4 2" xfId="44982" xr:uid="{00000000-0005-0000-0000-0000BB9B0000}"/>
    <cellStyle name="Normal 58 3 2 4 4 2 5" xfId="30919" xr:uid="{00000000-0005-0000-0000-0000BC9B0000}"/>
    <cellStyle name="Normal 58 3 2 4 4 3" xfId="6803" xr:uid="{00000000-0005-0000-0000-0000BD9B0000}"/>
    <cellStyle name="Normal 58 3 2 4 4 3 2" xfId="15630" xr:uid="{00000000-0005-0000-0000-0000BE9B0000}"/>
    <cellStyle name="Normal 58 3 2 4 4 3 2 2" xfId="41185" xr:uid="{00000000-0005-0000-0000-0000BF9B0000}"/>
    <cellStyle name="Normal 58 3 2 4 4 3 3" xfId="25881" xr:uid="{00000000-0005-0000-0000-0000C09B0000}"/>
    <cellStyle name="Normal 58 3 2 4 4 3 3 2" xfId="51434" xr:uid="{00000000-0005-0000-0000-0000C19B0000}"/>
    <cellStyle name="Normal 58 3 2 4 4 3 4" xfId="32364" xr:uid="{00000000-0005-0000-0000-0000C29B0000}"/>
    <cellStyle name="Normal 58 3 2 4 4 4" xfId="8249" xr:uid="{00000000-0005-0000-0000-0000C39B0000}"/>
    <cellStyle name="Normal 58 3 2 4 4 4 2" xfId="22331" xr:uid="{00000000-0005-0000-0000-0000C49B0000}"/>
    <cellStyle name="Normal 58 3 2 4 4 4 2 2" xfId="47884" xr:uid="{00000000-0005-0000-0000-0000C59B0000}"/>
    <cellStyle name="Normal 58 3 2 4 4 4 3" xfId="33806" xr:uid="{00000000-0005-0000-0000-0000C69B0000}"/>
    <cellStyle name="Normal 58 3 2 4 4 5" xfId="17324" xr:uid="{00000000-0005-0000-0000-0000C79B0000}"/>
    <cellStyle name="Normal 58 3 2 4 4 5 2" xfId="42877" xr:uid="{00000000-0005-0000-0000-0000C89B0000}"/>
    <cellStyle name="Normal 58 3 2 4 4 6" xfId="28814" xr:uid="{00000000-0005-0000-0000-0000C99B0000}"/>
    <cellStyle name="Normal 58 3 2 4 5" xfId="4304" xr:uid="{00000000-0005-0000-0000-0000CA9B0000}"/>
    <cellStyle name="Normal 58 3 2 4 5 2" xfId="13142" xr:uid="{00000000-0005-0000-0000-0000CB9B0000}"/>
    <cellStyle name="Normal 58 3 2 4 5 2 2" xfId="23393" xr:uid="{00000000-0005-0000-0000-0000CC9B0000}"/>
    <cellStyle name="Normal 58 3 2 4 5 2 2 2" xfId="48946" xr:uid="{00000000-0005-0000-0000-0000CD9B0000}"/>
    <cellStyle name="Normal 58 3 2 4 5 2 3" xfId="38697" xr:uid="{00000000-0005-0000-0000-0000CE9B0000}"/>
    <cellStyle name="Normal 58 3 2 4 5 3" xfId="9563" xr:uid="{00000000-0005-0000-0000-0000CF9B0000}"/>
    <cellStyle name="Normal 58 3 2 4 5 3 2" xfId="35120" xr:uid="{00000000-0005-0000-0000-0000D09B0000}"/>
    <cellStyle name="Normal 58 3 2 4 5 4" xfId="18386" xr:uid="{00000000-0005-0000-0000-0000D19B0000}"/>
    <cellStyle name="Normal 58 3 2 4 5 4 2" xfId="43939" xr:uid="{00000000-0005-0000-0000-0000D29B0000}"/>
    <cellStyle name="Normal 58 3 2 4 5 5" xfId="29876" xr:uid="{00000000-0005-0000-0000-0000D39B0000}"/>
    <cellStyle name="Normal 58 3 2 4 6" xfId="1576" xr:uid="{00000000-0005-0000-0000-0000D49B0000}"/>
    <cellStyle name="Normal 58 3 2 4 6 2" xfId="10953" xr:uid="{00000000-0005-0000-0000-0000D59B0000}"/>
    <cellStyle name="Normal 58 3 2 4 6 2 2" xfId="36508" xr:uid="{00000000-0005-0000-0000-0000D69B0000}"/>
    <cellStyle name="Normal 58 3 2 4 6 3" xfId="20957" xr:uid="{00000000-0005-0000-0000-0000D79B0000}"/>
    <cellStyle name="Normal 58 3 2 4 6 3 2" xfId="46510" xr:uid="{00000000-0005-0000-0000-0000D89B0000}"/>
    <cellStyle name="Normal 58 3 2 4 6 4" xfId="27440" xr:uid="{00000000-0005-0000-0000-0000D99B0000}"/>
    <cellStyle name="Normal 58 3 2 4 7" xfId="5760" xr:uid="{00000000-0005-0000-0000-0000DA9B0000}"/>
    <cellStyle name="Normal 58 3 2 4 7 2" xfId="14587" xr:uid="{00000000-0005-0000-0000-0000DB9B0000}"/>
    <cellStyle name="Normal 58 3 2 4 7 2 2" xfId="40142" xr:uid="{00000000-0005-0000-0000-0000DC9B0000}"/>
    <cellStyle name="Normal 58 3 2 4 7 3" xfId="24838" xr:uid="{00000000-0005-0000-0000-0000DD9B0000}"/>
    <cellStyle name="Normal 58 3 2 4 7 3 2" xfId="50391" xr:uid="{00000000-0005-0000-0000-0000DE9B0000}"/>
    <cellStyle name="Normal 58 3 2 4 7 4" xfId="31321" xr:uid="{00000000-0005-0000-0000-0000DF9B0000}"/>
    <cellStyle name="Normal 58 3 2 4 8" xfId="7204" xr:uid="{00000000-0005-0000-0000-0000E09B0000}"/>
    <cellStyle name="Normal 58 3 2 4 8 2" xfId="19930" xr:uid="{00000000-0005-0000-0000-0000E19B0000}"/>
    <cellStyle name="Normal 58 3 2 4 8 2 2" xfId="45483" xr:uid="{00000000-0005-0000-0000-0000E29B0000}"/>
    <cellStyle name="Normal 58 3 2 4 8 3" xfId="32761" xr:uid="{00000000-0005-0000-0000-0000E39B0000}"/>
    <cellStyle name="Normal 58 3 2 4 9" xfId="15950" xr:uid="{00000000-0005-0000-0000-0000E49B0000}"/>
    <cellStyle name="Normal 58 3 2 4 9 2" xfId="41503" xr:uid="{00000000-0005-0000-0000-0000E59B0000}"/>
    <cellStyle name="Normal 58 3 2 4_Degree data" xfId="3997" xr:uid="{00000000-0005-0000-0000-0000E69B0000}"/>
    <cellStyle name="Normal 58 3 2 5" xfId="327" xr:uid="{00000000-0005-0000-0000-0000E79B0000}"/>
    <cellStyle name="Normal 58 3 2 5 2" xfId="2813" xr:uid="{00000000-0005-0000-0000-0000E89B0000}"/>
    <cellStyle name="Normal 58 3 2 5 2 2" xfId="12112" xr:uid="{00000000-0005-0000-0000-0000E99B0000}"/>
    <cellStyle name="Normal 58 3 2 5 2 2 2" xfId="22174" xr:uid="{00000000-0005-0000-0000-0000EA9B0000}"/>
    <cellStyle name="Normal 58 3 2 5 2 2 2 2" xfId="47727" xr:uid="{00000000-0005-0000-0000-0000EB9B0000}"/>
    <cellStyle name="Normal 58 3 2 5 2 2 3" xfId="37667" xr:uid="{00000000-0005-0000-0000-0000EC9B0000}"/>
    <cellStyle name="Normal 58 3 2 5 2 3" xfId="8530" xr:uid="{00000000-0005-0000-0000-0000ED9B0000}"/>
    <cellStyle name="Normal 58 3 2 5 2 3 2" xfId="34087" xr:uid="{00000000-0005-0000-0000-0000EE9B0000}"/>
    <cellStyle name="Normal 58 3 2 5 2 4" xfId="17167" xr:uid="{00000000-0005-0000-0000-0000EF9B0000}"/>
    <cellStyle name="Normal 58 3 2 5 2 4 2" xfId="42720" xr:uid="{00000000-0005-0000-0000-0000F09B0000}"/>
    <cellStyle name="Normal 58 3 2 5 2 5" xfId="28657" xr:uid="{00000000-0005-0000-0000-0000F19B0000}"/>
    <cellStyle name="Normal 58 3 2 5 3" xfId="4701" xr:uid="{00000000-0005-0000-0000-0000F29B0000}"/>
    <cellStyle name="Normal 58 3 2 5 3 2" xfId="13539" xr:uid="{00000000-0005-0000-0000-0000F39B0000}"/>
    <cellStyle name="Normal 58 3 2 5 3 2 2" xfId="23790" xr:uid="{00000000-0005-0000-0000-0000F49B0000}"/>
    <cellStyle name="Normal 58 3 2 5 3 2 2 2" xfId="49343" xr:uid="{00000000-0005-0000-0000-0000F59B0000}"/>
    <cellStyle name="Normal 58 3 2 5 3 2 3" xfId="39094" xr:uid="{00000000-0005-0000-0000-0000F69B0000}"/>
    <cellStyle name="Normal 58 3 2 5 3 3" xfId="9960" xr:uid="{00000000-0005-0000-0000-0000F79B0000}"/>
    <cellStyle name="Normal 58 3 2 5 3 3 2" xfId="35517" xr:uid="{00000000-0005-0000-0000-0000F89B0000}"/>
    <cellStyle name="Normal 58 3 2 5 3 4" xfId="18783" xr:uid="{00000000-0005-0000-0000-0000F99B0000}"/>
    <cellStyle name="Normal 58 3 2 5 3 4 2" xfId="44336" xr:uid="{00000000-0005-0000-0000-0000FA9B0000}"/>
    <cellStyle name="Normal 58 3 2 5 3 5" xfId="30273" xr:uid="{00000000-0005-0000-0000-0000FB9B0000}"/>
    <cellStyle name="Normal 58 3 2 5 4" xfId="1922" xr:uid="{00000000-0005-0000-0000-0000FC9B0000}"/>
    <cellStyle name="Normal 58 3 2 5 4 2" xfId="11287" xr:uid="{00000000-0005-0000-0000-0000FD9B0000}"/>
    <cellStyle name="Normal 58 3 2 5 4 2 2" xfId="36842" xr:uid="{00000000-0005-0000-0000-0000FE9B0000}"/>
    <cellStyle name="Normal 58 3 2 5 4 3" xfId="21291" xr:uid="{00000000-0005-0000-0000-0000FF9B0000}"/>
    <cellStyle name="Normal 58 3 2 5 4 3 2" xfId="46844" xr:uid="{00000000-0005-0000-0000-0000009C0000}"/>
    <cellStyle name="Normal 58 3 2 5 4 4" xfId="27774" xr:uid="{00000000-0005-0000-0000-0000019C0000}"/>
    <cellStyle name="Normal 58 3 2 5 5" xfId="6157" xr:uid="{00000000-0005-0000-0000-0000029C0000}"/>
    <cellStyle name="Normal 58 3 2 5 5 2" xfId="14984" xr:uid="{00000000-0005-0000-0000-0000039C0000}"/>
    <cellStyle name="Normal 58 3 2 5 5 2 2" xfId="40539" xr:uid="{00000000-0005-0000-0000-0000049C0000}"/>
    <cellStyle name="Normal 58 3 2 5 5 3" xfId="25235" xr:uid="{00000000-0005-0000-0000-0000059C0000}"/>
    <cellStyle name="Normal 58 3 2 5 5 3 2" xfId="50788" xr:uid="{00000000-0005-0000-0000-0000069C0000}"/>
    <cellStyle name="Normal 58 3 2 5 5 4" xfId="31718" xr:uid="{00000000-0005-0000-0000-0000079C0000}"/>
    <cellStyle name="Normal 58 3 2 5 6" xfId="7602" xr:uid="{00000000-0005-0000-0000-0000089C0000}"/>
    <cellStyle name="Normal 58 3 2 5 6 2" xfId="19773" xr:uid="{00000000-0005-0000-0000-0000099C0000}"/>
    <cellStyle name="Normal 58 3 2 5 6 2 2" xfId="45326" xr:uid="{00000000-0005-0000-0000-00000A9C0000}"/>
    <cellStyle name="Normal 58 3 2 5 6 3" xfId="33159" xr:uid="{00000000-0005-0000-0000-00000B9C0000}"/>
    <cellStyle name="Normal 58 3 2 5 7" xfId="16284" xr:uid="{00000000-0005-0000-0000-00000C9C0000}"/>
    <cellStyle name="Normal 58 3 2 5 7 2" xfId="41837" xr:uid="{00000000-0005-0000-0000-00000D9C0000}"/>
    <cellStyle name="Normal 58 3 2 5 8" xfId="26256" xr:uid="{00000000-0005-0000-0000-00000E9C0000}"/>
    <cellStyle name="Normal 58 3 2 6" xfId="887" xr:uid="{00000000-0005-0000-0000-00000F9C0000}"/>
    <cellStyle name="Normal 58 3 2 6 2" xfId="3372" xr:uid="{00000000-0005-0000-0000-0000109C0000}"/>
    <cellStyle name="Normal 58 3 2 6 2 2" xfId="12514" xr:uid="{00000000-0005-0000-0000-0000119C0000}"/>
    <cellStyle name="Normal 58 3 2 6 2 2 2" xfId="22733" xr:uid="{00000000-0005-0000-0000-0000129C0000}"/>
    <cellStyle name="Normal 58 3 2 6 2 2 2 2" xfId="48286" xr:uid="{00000000-0005-0000-0000-0000139C0000}"/>
    <cellStyle name="Normal 58 3 2 6 2 2 3" xfId="38069" xr:uid="{00000000-0005-0000-0000-0000149C0000}"/>
    <cellStyle name="Normal 58 3 2 6 2 3" xfId="8936" xr:uid="{00000000-0005-0000-0000-0000159C0000}"/>
    <cellStyle name="Normal 58 3 2 6 2 3 2" xfId="34493" xr:uid="{00000000-0005-0000-0000-0000169C0000}"/>
    <cellStyle name="Normal 58 3 2 6 2 4" xfId="17726" xr:uid="{00000000-0005-0000-0000-0000179C0000}"/>
    <cellStyle name="Normal 58 3 2 6 2 4 2" xfId="43279" xr:uid="{00000000-0005-0000-0000-0000189C0000}"/>
    <cellStyle name="Normal 58 3 2 6 2 5" xfId="29216" xr:uid="{00000000-0005-0000-0000-0000199C0000}"/>
    <cellStyle name="Normal 58 3 2 6 3" xfId="5050" xr:uid="{00000000-0005-0000-0000-00001A9C0000}"/>
    <cellStyle name="Normal 58 3 2 6 3 2" xfId="13887" xr:uid="{00000000-0005-0000-0000-00001B9C0000}"/>
    <cellStyle name="Normal 58 3 2 6 3 2 2" xfId="24138" xr:uid="{00000000-0005-0000-0000-00001C9C0000}"/>
    <cellStyle name="Normal 58 3 2 6 3 2 2 2" xfId="49691" xr:uid="{00000000-0005-0000-0000-00001D9C0000}"/>
    <cellStyle name="Normal 58 3 2 6 3 2 3" xfId="39442" xr:uid="{00000000-0005-0000-0000-00001E9C0000}"/>
    <cellStyle name="Normal 58 3 2 6 3 3" xfId="10308" xr:uid="{00000000-0005-0000-0000-00001F9C0000}"/>
    <cellStyle name="Normal 58 3 2 6 3 3 2" xfId="35865" xr:uid="{00000000-0005-0000-0000-0000209C0000}"/>
    <cellStyle name="Normal 58 3 2 6 3 4" xfId="19131" xr:uid="{00000000-0005-0000-0000-0000219C0000}"/>
    <cellStyle name="Normal 58 3 2 6 3 4 2" xfId="44684" xr:uid="{00000000-0005-0000-0000-0000229C0000}"/>
    <cellStyle name="Normal 58 3 2 6 3 5" xfId="30621" xr:uid="{00000000-0005-0000-0000-0000239C0000}"/>
    <cellStyle name="Normal 58 3 2 6 4" xfId="2481" xr:uid="{00000000-0005-0000-0000-0000249C0000}"/>
    <cellStyle name="Normal 58 3 2 6 4 2" xfId="11846" xr:uid="{00000000-0005-0000-0000-0000259C0000}"/>
    <cellStyle name="Normal 58 3 2 6 4 2 2" xfId="37401" xr:uid="{00000000-0005-0000-0000-0000269C0000}"/>
    <cellStyle name="Normal 58 3 2 6 4 3" xfId="21850" xr:uid="{00000000-0005-0000-0000-0000279C0000}"/>
    <cellStyle name="Normal 58 3 2 6 4 3 2" xfId="47403" xr:uid="{00000000-0005-0000-0000-0000289C0000}"/>
    <cellStyle name="Normal 58 3 2 6 4 4" xfId="28333" xr:uid="{00000000-0005-0000-0000-0000299C0000}"/>
    <cellStyle name="Normal 58 3 2 6 5" xfId="6505" xr:uid="{00000000-0005-0000-0000-00002A9C0000}"/>
    <cellStyle name="Normal 58 3 2 6 5 2" xfId="15332" xr:uid="{00000000-0005-0000-0000-00002B9C0000}"/>
    <cellStyle name="Normal 58 3 2 6 5 2 2" xfId="40887" xr:uid="{00000000-0005-0000-0000-00002C9C0000}"/>
    <cellStyle name="Normal 58 3 2 6 5 3" xfId="25583" xr:uid="{00000000-0005-0000-0000-00002D9C0000}"/>
    <cellStyle name="Normal 58 3 2 6 5 3 2" xfId="51136" xr:uid="{00000000-0005-0000-0000-00002E9C0000}"/>
    <cellStyle name="Normal 58 3 2 6 5 4" xfId="32066" xr:uid="{00000000-0005-0000-0000-00002F9C0000}"/>
    <cellStyle name="Normal 58 3 2 6 6" xfId="7951" xr:uid="{00000000-0005-0000-0000-0000309C0000}"/>
    <cellStyle name="Normal 58 3 2 6 6 2" xfId="20332" xr:uid="{00000000-0005-0000-0000-0000319C0000}"/>
    <cellStyle name="Normal 58 3 2 6 6 2 2" xfId="45885" xr:uid="{00000000-0005-0000-0000-0000329C0000}"/>
    <cellStyle name="Normal 58 3 2 6 6 3" xfId="33508" xr:uid="{00000000-0005-0000-0000-0000339C0000}"/>
    <cellStyle name="Normal 58 3 2 6 7" xfId="16843" xr:uid="{00000000-0005-0000-0000-0000349C0000}"/>
    <cellStyle name="Normal 58 3 2 6 7 2" xfId="42396" xr:uid="{00000000-0005-0000-0000-0000359C0000}"/>
    <cellStyle name="Normal 58 3 2 6 8" xfId="26815" xr:uid="{00000000-0005-0000-0000-0000369C0000}"/>
    <cellStyle name="Normal 58 3 2 7" xfId="1099" xr:uid="{00000000-0005-0000-0000-0000379C0000}"/>
    <cellStyle name="Normal 58 3 2 7 2" xfId="3528" xr:uid="{00000000-0005-0000-0000-0000389C0000}"/>
    <cellStyle name="Normal 58 3 2 7 2 2" xfId="12664" xr:uid="{00000000-0005-0000-0000-0000399C0000}"/>
    <cellStyle name="Normal 58 3 2 7 2 2 2" xfId="22883" xr:uid="{00000000-0005-0000-0000-00003A9C0000}"/>
    <cellStyle name="Normal 58 3 2 7 2 2 2 2" xfId="48436" xr:uid="{00000000-0005-0000-0000-00003B9C0000}"/>
    <cellStyle name="Normal 58 3 2 7 2 2 3" xfId="38219" xr:uid="{00000000-0005-0000-0000-00003C9C0000}"/>
    <cellStyle name="Normal 58 3 2 7 2 3" xfId="9085" xr:uid="{00000000-0005-0000-0000-00003D9C0000}"/>
    <cellStyle name="Normal 58 3 2 7 2 3 2" xfId="34642" xr:uid="{00000000-0005-0000-0000-00003E9C0000}"/>
    <cellStyle name="Normal 58 3 2 7 2 4" xfId="17876" xr:uid="{00000000-0005-0000-0000-00003F9C0000}"/>
    <cellStyle name="Normal 58 3 2 7 2 4 2" xfId="43429" xr:uid="{00000000-0005-0000-0000-0000409C0000}"/>
    <cellStyle name="Normal 58 3 2 7 2 5" xfId="29366" xr:uid="{00000000-0005-0000-0000-0000419C0000}"/>
    <cellStyle name="Normal 58 3 2 7 3" xfId="5191" xr:uid="{00000000-0005-0000-0000-0000429C0000}"/>
    <cellStyle name="Normal 58 3 2 7 3 2" xfId="14028" xr:uid="{00000000-0005-0000-0000-0000439C0000}"/>
    <cellStyle name="Normal 58 3 2 7 3 2 2" xfId="24279" xr:uid="{00000000-0005-0000-0000-0000449C0000}"/>
    <cellStyle name="Normal 58 3 2 7 3 2 2 2" xfId="49832" xr:uid="{00000000-0005-0000-0000-0000459C0000}"/>
    <cellStyle name="Normal 58 3 2 7 3 2 3" xfId="39583" xr:uid="{00000000-0005-0000-0000-0000469C0000}"/>
    <cellStyle name="Normal 58 3 2 7 3 3" xfId="10449" xr:uid="{00000000-0005-0000-0000-0000479C0000}"/>
    <cellStyle name="Normal 58 3 2 7 3 3 2" xfId="36006" xr:uid="{00000000-0005-0000-0000-0000489C0000}"/>
    <cellStyle name="Normal 58 3 2 7 3 4" xfId="19272" xr:uid="{00000000-0005-0000-0000-0000499C0000}"/>
    <cellStyle name="Normal 58 3 2 7 3 4 2" xfId="44825" xr:uid="{00000000-0005-0000-0000-00004A9C0000}"/>
    <cellStyle name="Normal 58 3 2 7 3 5" xfId="30762" xr:uid="{00000000-0005-0000-0000-00004B9C0000}"/>
    <cellStyle name="Normal 58 3 2 7 4" xfId="1756" xr:uid="{00000000-0005-0000-0000-00004C9C0000}"/>
    <cellStyle name="Normal 58 3 2 7 4 2" xfId="11127" xr:uid="{00000000-0005-0000-0000-00004D9C0000}"/>
    <cellStyle name="Normal 58 3 2 7 4 2 2" xfId="36682" xr:uid="{00000000-0005-0000-0000-00004E9C0000}"/>
    <cellStyle name="Normal 58 3 2 7 4 3" xfId="21131" xr:uid="{00000000-0005-0000-0000-00004F9C0000}"/>
    <cellStyle name="Normal 58 3 2 7 4 3 2" xfId="46684" xr:uid="{00000000-0005-0000-0000-0000509C0000}"/>
    <cellStyle name="Normal 58 3 2 7 4 4" xfId="27614" xr:uid="{00000000-0005-0000-0000-0000519C0000}"/>
    <cellStyle name="Normal 58 3 2 7 5" xfId="6646" xr:uid="{00000000-0005-0000-0000-0000529C0000}"/>
    <cellStyle name="Normal 58 3 2 7 5 2" xfId="15473" xr:uid="{00000000-0005-0000-0000-0000539C0000}"/>
    <cellStyle name="Normal 58 3 2 7 5 2 2" xfId="41028" xr:uid="{00000000-0005-0000-0000-0000549C0000}"/>
    <cellStyle name="Normal 58 3 2 7 5 3" xfId="25724" xr:uid="{00000000-0005-0000-0000-0000559C0000}"/>
    <cellStyle name="Normal 58 3 2 7 5 3 2" xfId="51277" xr:uid="{00000000-0005-0000-0000-0000569C0000}"/>
    <cellStyle name="Normal 58 3 2 7 5 4" xfId="32207" xr:uid="{00000000-0005-0000-0000-0000579C0000}"/>
    <cellStyle name="Normal 58 3 2 7 6" xfId="8092" xr:uid="{00000000-0005-0000-0000-0000589C0000}"/>
    <cellStyle name="Normal 58 3 2 7 6 2" xfId="20482" xr:uid="{00000000-0005-0000-0000-0000599C0000}"/>
    <cellStyle name="Normal 58 3 2 7 6 2 2" xfId="46035" xr:uid="{00000000-0005-0000-0000-00005A9C0000}"/>
    <cellStyle name="Normal 58 3 2 7 6 3" xfId="33649" xr:uid="{00000000-0005-0000-0000-00005B9C0000}"/>
    <cellStyle name="Normal 58 3 2 7 7" xfId="16124" xr:uid="{00000000-0005-0000-0000-00005C9C0000}"/>
    <cellStyle name="Normal 58 3 2 7 7 2" xfId="41677" xr:uid="{00000000-0005-0000-0000-00005D9C0000}"/>
    <cellStyle name="Normal 58 3 2 7 8" xfId="26965" xr:uid="{00000000-0005-0000-0000-00005E9C0000}"/>
    <cellStyle name="Normal 58 3 2 8" xfId="2653" xr:uid="{00000000-0005-0000-0000-00005F9C0000}"/>
    <cellStyle name="Normal 58 3 2 8 2" xfId="11973" xr:uid="{00000000-0005-0000-0000-0000609C0000}"/>
    <cellStyle name="Normal 58 3 2 8 2 2" xfId="22014" xr:uid="{00000000-0005-0000-0000-0000619C0000}"/>
    <cellStyle name="Normal 58 3 2 8 2 2 2" xfId="47567" xr:uid="{00000000-0005-0000-0000-0000629C0000}"/>
    <cellStyle name="Normal 58 3 2 8 2 3" xfId="37528" xr:uid="{00000000-0005-0000-0000-0000639C0000}"/>
    <cellStyle name="Normal 58 3 2 8 3" xfId="8591" xr:uid="{00000000-0005-0000-0000-0000649C0000}"/>
    <cellStyle name="Normal 58 3 2 8 3 2" xfId="34148" xr:uid="{00000000-0005-0000-0000-0000659C0000}"/>
    <cellStyle name="Normal 58 3 2 8 4" xfId="17007" xr:uid="{00000000-0005-0000-0000-0000669C0000}"/>
    <cellStyle name="Normal 58 3 2 8 4 2" xfId="42560" xr:uid="{00000000-0005-0000-0000-0000679C0000}"/>
    <cellStyle name="Normal 58 3 2 8 5" xfId="28497" xr:uid="{00000000-0005-0000-0000-0000689C0000}"/>
    <cellStyle name="Normal 58 3 2 9" xfId="4145" xr:uid="{00000000-0005-0000-0000-0000699C0000}"/>
    <cellStyle name="Normal 58 3 2 9 2" xfId="12983" xr:uid="{00000000-0005-0000-0000-00006A9C0000}"/>
    <cellStyle name="Normal 58 3 2 9 2 2" xfId="23234" xr:uid="{00000000-0005-0000-0000-00006B9C0000}"/>
    <cellStyle name="Normal 58 3 2 9 2 2 2" xfId="48787" xr:uid="{00000000-0005-0000-0000-00006C9C0000}"/>
    <cellStyle name="Normal 58 3 2 9 2 3" xfId="38538" xr:uid="{00000000-0005-0000-0000-00006D9C0000}"/>
    <cellStyle name="Normal 58 3 2 9 3" xfId="9404" xr:uid="{00000000-0005-0000-0000-00006E9C0000}"/>
    <cellStyle name="Normal 58 3 2 9 3 2" xfId="34961" xr:uid="{00000000-0005-0000-0000-00006F9C0000}"/>
    <cellStyle name="Normal 58 3 2 9 4" xfId="18227" xr:uid="{00000000-0005-0000-0000-0000709C0000}"/>
    <cellStyle name="Normal 58 3 2 9 4 2" xfId="43780" xr:uid="{00000000-0005-0000-0000-0000719C0000}"/>
    <cellStyle name="Normal 58 3 2 9 5" xfId="29717" xr:uid="{00000000-0005-0000-0000-0000729C0000}"/>
    <cellStyle name="Normal 58 3 2_Degree data" xfId="3993" xr:uid="{00000000-0005-0000-0000-0000739C0000}"/>
    <cellStyle name="Normal 58 3 3" xfId="201" xr:uid="{00000000-0005-0000-0000-0000749C0000}"/>
    <cellStyle name="Normal 58 3 3 10" xfId="7147" xr:uid="{00000000-0005-0000-0000-0000759C0000}"/>
    <cellStyle name="Normal 58 3 3 10 2" xfId="19656" xr:uid="{00000000-0005-0000-0000-0000769C0000}"/>
    <cellStyle name="Normal 58 3 3 10 2 2" xfId="45209" xr:uid="{00000000-0005-0000-0000-0000779C0000}"/>
    <cellStyle name="Normal 58 3 3 10 3" xfId="32704" xr:uid="{00000000-0005-0000-0000-0000789C0000}"/>
    <cellStyle name="Normal 58 3 3 11" xfId="15893" xr:uid="{00000000-0005-0000-0000-0000799C0000}"/>
    <cellStyle name="Normal 58 3 3 11 2" xfId="41446" xr:uid="{00000000-0005-0000-0000-00007A9C0000}"/>
    <cellStyle name="Normal 58 3 3 12" xfId="26139" xr:uid="{00000000-0005-0000-0000-00007B9C0000}"/>
    <cellStyle name="Normal 58 3 3 2" xfId="527" xr:uid="{00000000-0005-0000-0000-00007C9C0000}"/>
    <cellStyle name="Normal 58 3 3 2 10" xfId="26456" xr:uid="{00000000-0005-0000-0000-00007D9C0000}"/>
    <cellStyle name="Normal 58 3 3 2 2" xfId="893" xr:uid="{00000000-0005-0000-0000-00007E9C0000}"/>
    <cellStyle name="Normal 58 3 3 2 2 2" xfId="3378" xr:uid="{00000000-0005-0000-0000-00007F9C0000}"/>
    <cellStyle name="Normal 58 3 3 2 2 2 2" xfId="12520" xr:uid="{00000000-0005-0000-0000-0000809C0000}"/>
    <cellStyle name="Normal 58 3 3 2 2 2 2 2" xfId="22739" xr:uid="{00000000-0005-0000-0000-0000819C0000}"/>
    <cellStyle name="Normal 58 3 3 2 2 2 2 2 2" xfId="48292" xr:uid="{00000000-0005-0000-0000-0000829C0000}"/>
    <cellStyle name="Normal 58 3 3 2 2 2 2 3" xfId="38075" xr:uid="{00000000-0005-0000-0000-0000839C0000}"/>
    <cellStyle name="Normal 58 3 3 2 2 2 3" xfId="8942" xr:uid="{00000000-0005-0000-0000-0000849C0000}"/>
    <cellStyle name="Normal 58 3 3 2 2 2 3 2" xfId="34499" xr:uid="{00000000-0005-0000-0000-0000859C0000}"/>
    <cellStyle name="Normal 58 3 3 2 2 2 4" xfId="17732" xr:uid="{00000000-0005-0000-0000-0000869C0000}"/>
    <cellStyle name="Normal 58 3 3 2 2 2 4 2" xfId="43285" xr:uid="{00000000-0005-0000-0000-0000879C0000}"/>
    <cellStyle name="Normal 58 3 3 2 2 2 5" xfId="29222" xr:uid="{00000000-0005-0000-0000-0000889C0000}"/>
    <cellStyle name="Normal 58 3 3 2 2 3" xfId="4707" xr:uid="{00000000-0005-0000-0000-0000899C0000}"/>
    <cellStyle name="Normal 58 3 3 2 2 3 2" xfId="13545" xr:uid="{00000000-0005-0000-0000-00008A9C0000}"/>
    <cellStyle name="Normal 58 3 3 2 2 3 2 2" xfId="23796" xr:uid="{00000000-0005-0000-0000-00008B9C0000}"/>
    <cellStyle name="Normal 58 3 3 2 2 3 2 2 2" xfId="49349" xr:uid="{00000000-0005-0000-0000-00008C9C0000}"/>
    <cellStyle name="Normal 58 3 3 2 2 3 2 3" xfId="39100" xr:uid="{00000000-0005-0000-0000-00008D9C0000}"/>
    <cellStyle name="Normal 58 3 3 2 2 3 3" xfId="9966" xr:uid="{00000000-0005-0000-0000-00008E9C0000}"/>
    <cellStyle name="Normal 58 3 3 2 2 3 3 2" xfId="35523" xr:uid="{00000000-0005-0000-0000-00008F9C0000}"/>
    <cellStyle name="Normal 58 3 3 2 2 3 4" xfId="18789" xr:uid="{00000000-0005-0000-0000-0000909C0000}"/>
    <cellStyle name="Normal 58 3 3 2 2 3 4 2" xfId="44342" xr:uid="{00000000-0005-0000-0000-0000919C0000}"/>
    <cellStyle name="Normal 58 3 3 2 2 3 5" xfId="30279" xr:uid="{00000000-0005-0000-0000-0000929C0000}"/>
    <cellStyle name="Normal 58 3 3 2 2 4" xfId="2487" xr:uid="{00000000-0005-0000-0000-0000939C0000}"/>
    <cellStyle name="Normal 58 3 3 2 2 4 2" xfId="11852" xr:uid="{00000000-0005-0000-0000-0000949C0000}"/>
    <cellStyle name="Normal 58 3 3 2 2 4 2 2" xfId="37407" xr:uid="{00000000-0005-0000-0000-0000959C0000}"/>
    <cellStyle name="Normal 58 3 3 2 2 4 3" xfId="21856" xr:uid="{00000000-0005-0000-0000-0000969C0000}"/>
    <cellStyle name="Normal 58 3 3 2 2 4 3 2" xfId="47409" xr:uid="{00000000-0005-0000-0000-0000979C0000}"/>
    <cellStyle name="Normal 58 3 3 2 2 4 4" xfId="28339" xr:uid="{00000000-0005-0000-0000-0000989C0000}"/>
    <cellStyle name="Normal 58 3 3 2 2 5" xfId="6163" xr:uid="{00000000-0005-0000-0000-0000999C0000}"/>
    <cellStyle name="Normal 58 3 3 2 2 5 2" xfId="14990" xr:uid="{00000000-0005-0000-0000-00009A9C0000}"/>
    <cellStyle name="Normal 58 3 3 2 2 5 2 2" xfId="40545" xr:uid="{00000000-0005-0000-0000-00009B9C0000}"/>
    <cellStyle name="Normal 58 3 3 2 2 5 3" xfId="25241" xr:uid="{00000000-0005-0000-0000-00009C9C0000}"/>
    <cellStyle name="Normal 58 3 3 2 2 5 3 2" xfId="50794" xr:uid="{00000000-0005-0000-0000-00009D9C0000}"/>
    <cellStyle name="Normal 58 3 3 2 2 5 4" xfId="31724" xr:uid="{00000000-0005-0000-0000-00009E9C0000}"/>
    <cellStyle name="Normal 58 3 3 2 2 6" xfId="7608" xr:uid="{00000000-0005-0000-0000-00009F9C0000}"/>
    <cellStyle name="Normal 58 3 3 2 2 6 2" xfId="20338" xr:uid="{00000000-0005-0000-0000-0000A09C0000}"/>
    <cellStyle name="Normal 58 3 3 2 2 6 2 2" xfId="45891" xr:uid="{00000000-0005-0000-0000-0000A19C0000}"/>
    <cellStyle name="Normal 58 3 3 2 2 6 3" xfId="33165" xr:uid="{00000000-0005-0000-0000-0000A29C0000}"/>
    <cellStyle name="Normal 58 3 3 2 2 7" xfId="16849" xr:uid="{00000000-0005-0000-0000-0000A39C0000}"/>
    <cellStyle name="Normal 58 3 3 2 2 7 2" xfId="42402" xr:uid="{00000000-0005-0000-0000-0000A49C0000}"/>
    <cellStyle name="Normal 58 3 3 2 2 8" xfId="26821" xr:uid="{00000000-0005-0000-0000-0000A59C0000}"/>
    <cellStyle name="Normal 58 3 3 2 3" xfId="1299" xr:uid="{00000000-0005-0000-0000-0000A69C0000}"/>
    <cellStyle name="Normal 58 3 3 2 3 2" xfId="3728" xr:uid="{00000000-0005-0000-0000-0000A79C0000}"/>
    <cellStyle name="Normal 58 3 3 2 3 2 2" xfId="12864" xr:uid="{00000000-0005-0000-0000-0000A89C0000}"/>
    <cellStyle name="Normal 58 3 3 2 3 2 2 2" xfId="23083" xr:uid="{00000000-0005-0000-0000-0000A99C0000}"/>
    <cellStyle name="Normal 58 3 3 2 3 2 2 2 2" xfId="48636" xr:uid="{00000000-0005-0000-0000-0000AA9C0000}"/>
    <cellStyle name="Normal 58 3 3 2 3 2 2 3" xfId="38419" xr:uid="{00000000-0005-0000-0000-0000AB9C0000}"/>
    <cellStyle name="Normal 58 3 3 2 3 2 3" xfId="9285" xr:uid="{00000000-0005-0000-0000-0000AC9C0000}"/>
    <cellStyle name="Normal 58 3 3 2 3 2 3 2" xfId="34842" xr:uid="{00000000-0005-0000-0000-0000AD9C0000}"/>
    <cellStyle name="Normal 58 3 3 2 3 2 4" xfId="18076" xr:uid="{00000000-0005-0000-0000-0000AE9C0000}"/>
    <cellStyle name="Normal 58 3 3 2 3 2 4 2" xfId="43629" xr:uid="{00000000-0005-0000-0000-0000AF9C0000}"/>
    <cellStyle name="Normal 58 3 3 2 3 2 5" xfId="29566" xr:uid="{00000000-0005-0000-0000-0000B09C0000}"/>
    <cellStyle name="Normal 58 3 3 2 3 3" xfId="5056" xr:uid="{00000000-0005-0000-0000-0000B19C0000}"/>
    <cellStyle name="Normal 58 3 3 2 3 3 2" xfId="13893" xr:uid="{00000000-0005-0000-0000-0000B29C0000}"/>
    <cellStyle name="Normal 58 3 3 2 3 3 2 2" xfId="24144" xr:uid="{00000000-0005-0000-0000-0000B39C0000}"/>
    <cellStyle name="Normal 58 3 3 2 3 3 2 2 2" xfId="49697" xr:uid="{00000000-0005-0000-0000-0000B49C0000}"/>
    <cellStyle name="Normal 58 3 3 2 3 3 2 3" xfId="39448" xr:uid="{00000000-0005-0000-0000-0000B59C0000}"/>
    <cellStyle name="Normal 58 3 3 2 3 3 3" xfId="10314" xr:uid="{00000000-0005-0000-0000-0000B69C0000}"/>
    <cellStyle name="Normal 58 3 3 2 3 3 3 2" xfId="35871" xr:uid="{00000000-0005-0000-0000-0000B79C0000}"/>
    <cellStyle name="Normal 58 3 3 2 3 3 4" xfId="19137" xr:uid="{00000000-0005-0000-0000-0000B89C0000}"/>
    <cellStyle name="Normal 58 3 3 2 3 3 4 2" xfId="44690" xr:uid="{00000000-0005-0000-0000-0000B99C0000}"/>
    <cellStyle name="Normal 58 3 3 2 3 3 5" xfId="30627" xr:uid="{00000000-0005-0000-0000-0000BA9C0000}"/>
    <cellStyle name="Normal 58 3 3 2 3 4" xfId="2122" xr:uid="{00000000-0005-0000-0000-0000BB9C0000}"/>
    <cellStyle name="Normal 58 3 3 2 3 4 2" xfId="11487" xr:uid="{00000000-0005-0000-0000-0000BC9C0000}"/>
    <cellStyle name="Normal 58 3 3 2 3 4 2 2" xfId="37042" xr:uid="{00000000-0005-0000-0000-0000BD9C0000}"/>
    <cellStyle name="Normal 58 3 3 2 3 4 3" xfId="21491" xr:uid="{00000000-0005-0000-0000-0000BE9C0000}"/>
    <cellStyle name="Normal 58 3 3 2 3 4 3 2" xfId="47044" xr:uid="{00000000-0005-0000-0000-0000BF9C0000}"/>
    <cellStyle name="Normal 58 3 3 2 3 4 4" xfId="27974" xr:uid="{00000000-0005-0000-0000-0000C09C0000}"/>
    <cellStyle name="Normal 58 3 3 2 3 5" xfId="6511" xr:uid="{00000000-0005-0000-0000-0000C19C0000}"/>
    <cellStyle name="Normal 58 3 3 2 3 5 2" xfId="15338" xr:uid="{00000000-0005-0000-0000-0000C29C0000}"/>
    <cellStyle name="Normal 58 3 3 2 3 5 2 2" xfId="40893" xr:uid="{00000000-0005-0000-0000-0000C39C0000}"/>
    <cellStyle name="Normal 58 3 3 2 3 5 3" xfId="25589" xr:uid="{00000000-0005-0000-0000-0000C49C0000}"/>
    <cellStyle name="Normal 58 3 3 2 3 5 3 2" xfId="51142" xr:uid="{00000000-0005-0000-0000-0000C59C0000}"/>
    <cellStyle name="Normal 58 3 3 2 3 5 4" xfId="32072" xr:uid="{00000000-0005-0000-0000-0000C69C0000}"/>
    <cellStyle name="Normal 58 3 3 2 3 6" xfId="7957" xr:uid="{00000000-0005-0000-0000-0000C79C0000}"/>
    <cellStyle name="Normal 58 3 3 2 3 6 2" xfId="20682" xr:uid="{00000000-0005-0000-0000-0000C89C0000}"/>
    <cellStyle name="Normal 58 3 3 2 3 6 2 2" xfId="46235" xr:uid="{00000000-0005-0000-0000-0000C99C0000}"/>
    <cellStyle name="Normal 58 3 3 2 3 6 3" xfId="33514" xr:uid="{00000000-0005-0000-0000-0000CA9C0000}"/>
    <cellStyle name="Normal 58 3 3 2 3 7" xfId="16484" xr:uid="{00000000-0005-0000-0000-0000CB9C0000}"/>
    <cellStyle name="Normal 58 3 3 2 3 7 2" xfId="42037" xr:uid="{00000000-0005-0000-0000-0000CC9C0000}"/>
    <cellStyle name="Normal 58 3 3 2 3 8" xfId="27165" xr:uid="{00000000-0005-0000-0000-0000CD9C0000}"/>
    <cellStyle name="Normal 58 3 3 2 4" xfId="3013" xr:uid="{00000000-0005-0000-0000-0000CE9C0000}"/>
    <cellStyle name="Normal 58 3 3 2 4 2" xfId="5391" xr:uid="{00000000-0005-0000-0000-0000CF9C0000}"/>
    <cellStyle name="Normal 58 3 3 2 4 2 2" xfId="14228" xr:uid="{00000000-0005-0000-0000-0000D09C0000}"/>
    <cellStyle name="Normal 58 3 3 2 4 2 2 2" xfId="24479" xr:uid="{00000000-0005-0000-0000-0000D19C0000}"/>
    <cellStyle name="Normal 58 3 3 2 4 2 2 2 2" xfId="50032" xr:uid="{00000000-0005-0000-0000-0000D29C0000}"/>
    <cellStyle name="Normal 58 3 3 2 4 2 2 3" xfId="39783" xr:uid="{00000000-0005-0000-0000-0000D39C0000}"/>
    <cellStyle name="Normal 58 3 3 2 4 2 3" xfId="10649" xr:uid="{00000000-0005-0000-0000-0000D49C0000}"/>
    <cellStyle name="Normal 58 3 3 2 4 2 3 2" xfId="36206" xr:uid="{00000000-0005-0000-0000-0000D59C0000}"/>
    <cellStyle name="Normal 58 3 3 2 4 2 4" xfId="19472" xr:uid="{00000000-0005-0000-0000-0000D69C0000}"/>
    <cellStyle name="Normal 58 3 3 2 4 2 4 2" xfId="45025" xr:uid="{00000000-0005-0000-0000-0000D79C0000}"/>
    <cellStyle name="Normal 58 3 3 2 4 2 5" xfId="30962" xr:uid="{00000000-0005-0000-0000-0000D89C0000}"/>
    <cellStyle name="Normal 58 3 3 2 4 3" xfId="6846" xr:uid="{00000000-0005-0000-0000-0000D99C0000}"/>
    <cellStyle name="Normal 58 3 3 2 4 3 2" xfId="15673" xr:uid="{00000000-0005-0000-0000-0000DA9C0000}"/>
    <cellStyle name="Normal 58 3 3 2 4 3 2 2" xfId="41228" xr:uid="{00000000-0005-0000-0000-0000DB9C0000}"/>
    <cellStyle name="Normal 58 3 3 2 4 3 3" xfId="25924" xr:uid="{00000000-0005-0000-0000-0000DC9C0000}"/>
    <cellStyle name="Normal 58 3 3 2 4 3 3 2" xfId="51477" xr:uid="{00000000-0005-0000-0000-0000DD9C0000}"/>
    <cellStyle name="Normal 58 3 3 2 4 3 4" xfId="32407" xr:uid="{00000000-0005-0000-0000-0000DE9C0000}"/>
    <cellStyle name="Normal 58 3 3 2 4 4" xfId="8292" xr:uid="{00000000-0005-0000-0000-0000DF9C0000}"/>
    <cellStyle name="Normal 58 3 3 2 4 4 2" xfId="22374" xr:uid="{00000000-0005-0000-0000-0000E09C0000}"/>
    <cellStyle name="Normal 58 3 3 2 4 4 2 2" xfId="47927" xr:uid="{00000000-0005-0000-0000-0000E19C0000}"/>
    <cellStyle name="Normal 58 3 3 2 4 4 3" xfId="33849" xr:uid="{00000000-0005-0000-0000-0000E29C0000}"/>
    <cellStyle name="Normal 58 3 3 2 4 5" xfId="17367" xr:uid="{00000000-0005-0000-0000-0000E39C0000}"/>
    <cellStyle name="Normal 58 3 3 2 4 5 2" xfId="42920" xr:uid="{00000000-0005-0000-0000-0000E49C0000}"/>
    <cellStyle name="Normal 58 3 3 2 4 6" xfId="28857" xr:uid="{00000000-0005-0000-0000-0000E59C0000}"/>
    <cellStyle name="Normal 58 3 3 2 5" xfId="4347" xr:uid="{00000000-0005-0000-0000-0000E69C0000}"/>
    <cellStyle name="Normal 58 3 3 2 5 2" xfId="13185" xr:uid="{00000000-0005-0000-0000-0000E79C0000}"/>
    <cellStyle name="Normal 58 3 3 2 5 2 2" xfId="23436" xr:uid="{00000000-0005-0000-0000-0000E89C0000}"/>
    <cellStyle name="Normal 58 3 3 2 5 2 2 2" xfId="48989" xr:uid="{00000000-0005-0000-0000-0000E99C0000}"/>
    <cellStyle name="Normal 58 3 3 2 5 2 3" xfId="38740" xr:uid="{00000000-0005-0000-0000-0000EA9C0000}"/>
    <cellStyle name="Normal 58 3 3 2 5 3" xfId="9606" xr:uid="{00000000-0005-0000-0000-0000EB9C0000}"/>
    <cellStyle name="Normal 58 3 3 2 5 3 2" xfId="35163" xr:uid="{00000000-0005-0000-0000-0000EC9C0000}"/>
    <cellStyle name="Normal 58 3 3 2 5 4" xfId="18429" xr:uid="{00000000-0005-0000-0000-0000ED9C0000}"/>
    <cellStyle name="Normal 58 3 3 2 5 4 2" xfId="43982" xr:uid="{00000000-0005-0000-0000-0000EE9C0000}"/>
    <cellStyle name="Normal 58 3 3 2 5 5" xfId="29919" xr:uid="{00000000-0005-0000-0000-0000EF9C0000}"/>
    <cellStyle name="Normal 58 3 3 2 6" xfId="1619" xr:uid="{00000000-0005-0000-0000-0000F09C0000}"/>
    <cellStyle name="Normal 58 3 3 2 6 2" xfId="10996" xr:uid="{00000000-0005-0000-0000-0000F19C0000}"/>
    <cellStyle name="Normal 58 3 3 2 6 2 2" xfId="36551" xr:uid="{00000000-0005-0000-0000-0000F29C0000}"/>
    <cellStyle name="Normal 58 3 3 2 6 3" xfId="21000" xr:uid="{00000000-0005-0000-0000-0000F39C0000}"/>
    <cellStyle name="Normal 58 3 3 2 6 3 2" xfId="46553" xr:uid="{00000000-0005-0000-0000-0000F49C0000}"/>
    <cellStyle name="Normal 58 3 3 2 6 4" xfId="27483" xr:uid="{00000000-0005-0000-0000-0000F59C0000}"/>
    <cellStyle name="Normal 58 3 3 2 7" xfId="5803" xr:uid="{00000000-0005-0000-0000-0000F69C0000}"/>
    <cellStyle name="Normal 58 3 3 2 7 2" xfId="14630" xr:uid="{00000000-0005-0000-0000-0000F79C0000}"/>
    <cellStyle name="Normal 58 3 3 2 7 2 2" xfId="40185" xr:uid="{00000000-0005-0000-0000-0000F89C0000}"/>
    <cellStyle name="Normal 58 3 3 2 7 3" xfId="24881" xr:uid="{00000000-0005-0000-0000-0000F99C0000}"/>
    <cellStyle name="Normal 58 3 3 2 7 3 2" xfId="50434" xr:uid="{00000000-0005-0000-0000-0000FA9C0000}"/>
    <cellStyle name="Normal 58 3 3 2 7 4" xfId="31364" xr:uid="{00000000-0005-0000-0000-0000FB9C0000}"/>
    <cellStyle name="Normal 58 3 3 2 8" xfId="7247" xr:uid="{00000000-0005-0000-0000-0000FC9C0000}"/>
    <cellStyle name="Normal 58 3 3 2 8 2" xfId="19973" xr:uid="{00000000-0005-0000-0000-0000FD9C0000}"/>
    <cellStyle name="Normal 58 3 3 2 8 2 2" xfId="45526" xr:uid="{00000000-0005-0000-0000-0000FE9C0000}"/>
    <cellStyle name="Normal 58 3 3 2 8 3" xfId="32804" xr:uid="{00000000-0005-0000-0000-0000FF9C0000}"/>
    <cellStyle name="Normal 58 3 3 2 9" xfId="15993" xr:uid="{00000000-0005-0000-0000-0000009D0000}"/>
    <cellStyle name="Normal 58 3 3 2 9 2" xfId="41546" xr:uid="{00000000-0005-0000-0000-0000019D0000}"/>
    <cellStyle name="Normal 58 3 3 2_Degree data" xfId="3999" xr:uid="{00000000-0005-0000-0000-0000029D0000}"/>
    <cellStyle name="Normal 58 3 3 3" xfId="427" xr:uid="{00000000-0005-0000-0000-0000039D0000}"/>
    <cellStyle name="Normal 58 3 3 3 2" xfId="2913" xr:uid="{00000000-0005-0000-0000-0000049D0000}"/>
    <cellStyle name="Normal 58 3 3 3 2 2" xfId="12201" xr:uid="{00000000-0005-0000-0000-0000059D0000}"/>
    <cellStyle name="Normal 58 3 3 3 2 2 2" xfId="22274" xr:uid="{00000000-0005-0000-0000-0000069D0000}"/>
    <cellStyle name="Normal 58 3 3 3 2 2 2 2" xfId="47827" xr:uid="{00000000-0005-0000-0000-0000079D0000}"/>
    <cellStyle name="Normal 58 3 3 3 2 2 3" xfId="37756" xr:uid="{00000000-0005-0000-0000-0000089D0000}"/>
    <cellStyle name="Normal 58 3 3 3 2 3" xfId="8421" xr:uid="{00000000-0005-0000-0000-0000099D0000}"/>
    <cellStyle name="Normal 58 3 3 3 2 3 2" xfId="33978" xr:uid="{00000000-0005-0000-0000-00000A9D0000}"/>
    <cellStyle name="Normal 58 3 3 3 2 4" xfId="17267" xr:uid="{00000000-0005-0000-0000-00000B9D0000}"/>
    <cellStyle name="Normal 58 3 3 3 2 4 2" xfId="42820" xr:uid="{00000000-0005-0000-0000-00000C9D0000}"/>
    <cellStyle name="Normal 58 3 3 3 2 5" xfId="28757" xr:uid="{00000000-0005-0000-0000-00000D9D0000}"/>
    <cellStyle name="Normal 58 3 3 3 3" xfId="4706" xr:uid="{00000000-0005-0000-0000-00000E9D0000}"/>
    <cellStyle name="Normal 58 3 3 3 3 2" xfId="13544" xr:uid="{00000000-0005-0000-0000-00000F9D0000}"/>
    <cellStyle name="Normal 58 3 3 3 3 2 2" xfId="23795" xr:uid="{00000000-0005-0000-0000-0000109D0000}"/>
    <cellStyle name="Normal 58 3 3 3 3 2 2 2" xfId="49348" xr:uid="{00000000-0005-0000-0000-0000119D0000}"/>
    <cellStyle name="Normal 58 3 3 3 3 2 3" xfId="39099" xr:uid="{00000000-0005-0000-0000-0000129D0000}"/>
    <cellStyle name="Normal 58 3 3 3 3 3" xfId="9965" xr:uid="{00000000-0005-0000-0000-0000139D0000}"/>
    <cellStyle name="Normal 58 3 3 3 3 3 2" xfId="35522" xr:uid="{00000000-0005-0000-0000-0000149D0000}"/>
    <cellStyle name="Normal 58 3 3 3 3 4" xfId="18788" xr:uid="{00000000-0005-0000-0000-0000159D0000}"/>
    <cellStyle name="Normal 58 3 3 3 3 4 2" xfId="44341" xr:uid="{00000000-0005-0000-0000-0000169D0000}"/>
    <cellStyle name="Normal 58 3 3 3 3 5" xfId="30278" xr:uid="{00000000-0005-0000-0000-0000179D0000}"/>
    <cellStyle name="Normal 58 3 3 3 4" xfId="2022" xr:uid="{00000000-0005-0000-0000-0000189D0000}"/>
    <cellStyle name="Normal 58 3 3 3 4 2" xfId="11387" xr:uid="{00000000-0005-0000-0000-0000199D0000}"/>
    <cellStyle name="Normal 58 3 3 3 4 2 2" xfId="36942" xr:uid="{00000000-0005-0000-0000-00001A9D0000}"/>
    <cellStyle name="Normal 58 3 3 3 4 3" xfId="21391" xr:uid="{00000000-0005-0000-0000-00001B9D0000}"/>
    <cellStyle name="Normal 58 3 3 3 4 3 2" xfId="46944" xr:uid="{00000000-0005-0000-0000-00001C9D0000}"/>
    <cellStyle name="Normal 58 3 3 3 4 4" xfId="27874" xr:uid="{00000000-0005-0000-0000-00001D9D0000}"/>
    <cellStyle name="Normal 58 3 3 3 5" xfId="6162" xr:uid="{00000000-0005-0000-0000-00001E9D0000}"/>
    <cellStyle name="Normal 58 3 3 3 5 2" xfId="14989" xr:uid="{00000000-0005-0000-0000-00001F9D0000}"/>
    <cellStyle name="Normal 58 3 3 3 5 2 2" xfId="40544" xr:uid="{00000000-0005-0000-0000-0000209D0000}"/>
    <cellStyle name="Normal 58 3 3 3 5 3" xfId="25240" xr:uid="{00000000-0005-0000-0000-0000219D0000}"/>
    <cellStyle name="Normal 58 3 3 3 5 3 2" xfId="50793" xr:uid="{00000000-0005-0000-0000-0000229D0000}"/>
    <cellStyle name="Normal 58 3 3 3 5 4" xfId="31723" xr:uid="{00000000-0005-0000-0000-0000239D0000}"/>
    <cellStyle name="Normal 58 3 3 3 6" xfId="7607" xr:uid="{00000000-0005-0000-0000-0000249D0000}"/>
    <cellStyle name="Normal 58 3 3 3 6 2" xfId="19873" xr:uid="{00000000-0005-0000-0000-0000259D0000}"/>
    <cellStyle name="Normal 58 3 3 3 6 2 2" xfId="45426" xr:uid="{00000000-0005-0000-0000-0000269D0000}"/>
    <cellStyle name="Normal 58 3 3 3 6 3" xfId="33164" xr:uid="{00000000-0005-0000-0000-0000279D0000}"/>
    <cellStyle name="Normal 58 3 3 3 7" xfId="16384" xr:uid="{00000000-0005-0000-0000-0000289D0000}"/>
    <cellStyle name="Normal 58 3 3 3 7 2" xfId="41937" xr:uid="{00000000-0005-0000-0000-0000299D0000}"/>
    <cellStyle name="Normal 58 3 3 3 8" xfId="26356" xr:uid="{00000000-0005-0000-0000-00002A9D0000}"/>
    <cellStyle name="Normal 58 3 3 4" xfId="892" xr:uid="{00000000-0005-0000-0000-00002B9D0000}"/>
    <cellStyle name="Normal 58 3 3 4 2" xfId="3377" xr:uid="{00000000-0005-0000-0000-00002C9D0000}"/>
    <cellStyle name="Normal 58 3 3 4 2 2" xfId="12519" xr:uid="{00000000-0005-0000-0000-00002D9D0000}"/>
    <cellStyle name="Normal 58 3 3 4 2 2 2" xfId="22738" xr:uid="{00000000-0005-0000-0000-00002E9D0000}"/>
    <cellStyle name="Normal 58 3 3 4 2 2 2 2" xfId="48291" xr:uid="{00000000-0005-0000-0000-00002F9D0000}"/>
    <cellStyle name="Normal 58 3 3 4 2 2 3" xfId="38074" xr:uid="{00000000-0005-0000-0000-0000309D0000}"/>
    <cellStyle name="Normal 58 3 3 4 2 3" xfId="8941" xr:uid="{00000000-0005-0000-0000-0000319D0000}"/>
    <cellStyle name="Normal 58 3 3 4 2 3 2" xfId="34498" xr:uid="{00000000-0005-0000-0000-0000329D0000}"/>
    <cellStyle name="Normal 58 3 3 4 2 4" xfId="17731" xr:uid="{00000000-0005-0000-0000-0000339D0000}"/>
    <cellStyle name="Normal 58 3 3 4 2 4 2" xfId="43284" xr:uid="{00000000-0005-0000-0000-0000349D0000}"/>
    <cellStyle name="Normal 58 3 3 4 2 5" xfId="29221" xr:uid="{00000000-0005-0000-0000-0000359D0000}"/>
    <cellStyle name="Normal 58 3 3 4 3" xfId="5055" xr:uid="{00000000-0005-0000-0000-0000369D0000}"/>
    <cellStyle name="Normal 58 3 3 4 3 2" xfId="13892" xr:uid="{00000000-0005-0000-0000-0000379D0000}"/>
    <cellStyle name="Normal 58 3 3 4 3 2 2" xfId="24143" xr:uid="{00000000-0005-0000-0000-0000389D0000}"/>
    <cellStyle name="Normal 58 3 3 4 3 2 2 2" xfId="49696" xr:uid="{00000000-0005-0000-0000-0000399D0000}"/>
    <cellStyle name="Normal 58 3 3 4 3 2 3" xfId="39447" xr:uid="{00000000-0005-0000-0000-00003A9D0000}"/>
    <cellStyle name="Normal 58 3 3 4 3 3" xfId="10313" xr:uid="{00000000-0005-0000-0000-00003B9D0000}"/>
    <cellStyle name="Normal 58 3 3 4 3 3 2" xfId="35870" xr:uid="{00000000-0005-0000-0000-00003C9D0000}"/>
    <cellStyle name="Normal 58 3 3 4 3 4" xfId="19136" xr:uid="{00000000-0005-0000-0000-00003D9D0000}"/>
    <cellStyle name="Normal 58 3 3 4 3 4 2" xfId="44689" xr:uid="{00000000-0005-0000-0000-00003E9D0000}"/>
    <cellStyle name="Normal 58 3 3 4 3 5" xfId="30626" xr:uid="{00000000-0005-0000-0000-00003F9D0000}"/>
    <cellStyle name="Normal 58 3 3 4 4" xfId="2486" xr:uid="{00000000-0005-0000-0000-0000409D0000}"/>
    <cellStyle name="Normal 58 3 3 4 4 2" xfId="11851" xr:uid="{00000000-0005-0000-0000-0000419D0000}"/>
    <cellStyle name="Normal 58 3 3 4 4 2 2" xfId="37406" xr:uid="{00000000-0005-0000-0000-0000429D0000}"/>
    <cellStyle name="Normal 58 3 3 4 4 3" xfId="21855" xr:uid="{00000000-0005-0000-0000-0000439D0000}"/>
    <cellStyle name="Normal 58 3 3 4 4 3 2" xfId="47408" xr:uid="{00000000-0005-0000-0000-0000449D0000}"/>
    <cellStyle name="Normal 58 3 3 4 4 4" xfId="28338" xr:uid="{00000000-0005-0000-0000-0000459D0000}"/>
    <cellStyle name="Normal 58 3 3 4 5" xfId="6510" xr:uid="{00000000-0005-0000-0000-0000469D0000}"/>
    <cellStyle name="Normal 58 3 3 4 5 2" xfId="15337" xr:uid="{00000000-0005-0000-0000-0000479D0000}"/>
    <cellStyle name="Normal 58 3 3 4 5 2 2" xfId="40892" xr:uid="{00000000-0005-0000-0000-0000489D0000}"/>
    <cellStyle name="Normal 58 3 3 4 5 3" xfId="25588" xr:uid="{00000000-0005-0000-0000-0000499D0000}"/>
    <cellStyle name="Normal 58 3 3 4 5 3 2" xfId="51141" xr:uid="{00000000-0005-0000-0000-00004A9D0000}"/>
    <cellStyle name="Normal 58 3 3 4 5 4" xfId="32071" xr:uid="{00000000-0005-0000-0000-00004B9D0000}"/>
    <cellStyle name="Normal 58 3 3 4 6" xfId="7956" xr:uid="{00000000-0005-0000-0000-00004C9D0000}"/>
    <cellStyle name="Normal 58 3 3 4 6 2" xfId="20337" xr:uid="{00000000-0005-0000-0000-00004D9D0000}"/>
    <cellStyle name="Normal 58 3 3 4 6 2 2" xfId="45890" xr:uid="{00000000-0005-0000-0000-00004E9D0000}"/>
    <cellStyle name="Normal 58 3 3 4 6 3" xfId="33513" xr:uid="{00000000-0005-0000-0000-00004F9D0000}"/>
    <cellStyle name="Normal 58 3 3 4 7" xfId="16848" xr:uid="{00000000-0005-0000-0000-0000509D0000}"/>
    <cellStyle name="Normal 58 3 3 4 7 2" xfId="42401" xr:uid="{00000000-0005-0000-0000-0000519D0000}"/>
    <cellStyle name="Normal 58 3 3 4 8" xfId="26820" xr:uid="{00000000-0005-0000-0000-0000529D0000}"/>
    <cellStyle name="Normal 58 3 3 5" xfId="1199" xr:uid="{00000000-0005-0000-0000-0000539D0000}"/>
    <cellStyle name="Normal 58 3 3 5 2" xfId="3628" xr:uid="{00000000-0005-0000-0000-0000549D0000}"/>
    <cellStyle name="Normal 58 3 3 5 2 2" xfId="12764" xr:uid="{00000000-0005-0000-0000-0000559D0000}"/>
    <cellStyle name="Normal 58 3 3 5 2 2 2" xfId="22983" xr:uid="{00000000-0005-0000-0000-0000569D0000}"/>
    <cellStyle name="Normal 58 3 3 5 2 2 2 2" xfId="48536" xr:uid="{00000000-0005-0000-0000-0000579D0000}"/>
    <cellStyle name="Normal 58 3 3 5 2 2 3" xfId="38319" xr:uid="{00000000-0005-0000-0000-0000589D0000}"/>
    <cellStyle name="Normal 58 3 3 5 2 3" xfId="9185" xr:uid="{00000000-0005-0000-0000-0000599D0000}"/>
    <cellStyle name="Normal 58 3 3 5 2 3 2" xfId="34742" xr:uid="{00000000-0005-0000-0000-00005A9D0000}"/>
    <cellStyle name="Normal 58 3 3 5 2 4" xfId="17976" xr:uid="{00000000-0005-0000-0000-00005B9D0000}"/>
    <cellStyle name="Normal 58 3 3 5 2 4 2" xfId="43529" xr:uid="{00000000-0005-0000-0000-00005C9D0000}"/>
    <cellStyle name="Normal 58 3 3 5 2 5" xfId="29466" xr:uid="{00000000-0005-0000-0000-00005D9D0000}"/>
    <cellStyle name="Normal 58 3 3 5 3" xfId="5291" xr:uid="{00000000-0005-0000-0000-00005E9D0000}"/>
    <cellStyle name="Normal 58 3 3 5 3 2" xfId="14128" xr:uid="{00000000-0005-0000-0000-00005F9D0000}"/>
    <cellStyle name="Normal 58 3 3 5 3 2 2" xfId="24379" xr:uid="{00000000-0005-0000-0000-0000609D0000}"/>
    <cellStyle name="Normal 58 3 3 5 3 2 2 2" xfId="49932" xr:uid="{00000000-0005-0000-0000-0000619D0000}"/>
    <cellStyle name="Normal 58 3 3 5 3 2 3" xfId="39683" xr:uid="{00000000-0005-0000-0000-0000629D0000}"/>
    <cellStyle name="Normal 58 3 3 5 3 3" xfId="10549" xr:uid="{00000000-0005-0000-0000-0000639D0000}"/>
    <cellStyle name="Normal 58 3 3 5 3 3 2" xfId="36106" xr:uid="{00000000-0005-0000-0000-0000649D0000}"/>
    <cellStyle name="Normal 58 3 3 5 3 4" xfId="19372" xr:uid="{00000000-0005-0000-0000-0000659D0000}"/>
    <cellStyle name="Normal 58 3 3 5 3 4 2" xfId="44925" xr:uid="{00000000-0005-0000-0000-0000669D0000}"/>
    <cellStyle name="Normal 58 3 3 5 3 5" xfId="30862" xr:uid="{00000000-0005-0000-0000-0000679D0000}"/>
    <cellStyle name="Normal 58 3 3 5 4" xfId="1802" xr:uid="{00000000-0005-0000-0000-0000689D0000}"/>
    <cellStyle name="Normal 58 3 3 5 4 2" xfId="11170" xr:uid="{00000000-0005-0000-0000-0000699D0000}"/>
    <cellStyle name="Normal 58 3 3 5 4 2 2" xfId="36725" xr:uid="{00000000-0005-0000-0000-00006A9D0000}"/>
    <cellStyle name="Normal 58 3 3 5 4 3" xfId="21174" xr:uid="{00000000-0005-0000-0000-00006B9D0000}"/>
    <cellStyle name="Normal 58 3 3 5 4 3 2" xfId="46727" xr:uid="{00000000-0005-0000-0000-00006C9D0000}"/>
    <cellStyle name="Normal 58 3 3 5 4 4" xfId="27657" xr:uid="{00000000-0005-0000-0000-00006D9D0000}"/>
    <cellStyle name="Normal 58 3 3 5 5" xfId="6746" xr:uid="{00000000-0005-0000-0000-00006E9D0000}"/>
    <cellStyle name="Normal 58 3 3 5 5 2" xfId="15573" xr:uid="{00000000-0005-0000-0000-00006F9D0000}"/>
    <cellStyle name="Normal 58 3 3 5 5 2 2" xfId="41128" xr:uid="{00000000-0005-0000-0000-0000709D0000}"/>
    <cellStyle name="Normal 58 3 3 5 5 3" xfId="25824" xr:uid="{00000000-0005-0000-0000-0000719D0000}"/>
    <cellStyle name="Normal 58 3 3 5 5 3 2" xfId="51377" xr:uid="{00000000-0005-0000-0000-0000729D0000}"/>
    <cellStyle name="Normal 58 3 3 5 5 4" xfId="32307" xr:uid="{00000000-0005-0000-0000-0000739D0000}"/>
    <cellStyle name="Normal 58 3 3 5 6" xfId="8192" xr:uid="{00000000-0005-0000-0000-0000749D0000}"/>
    <cellStyle name="Normal 58 3 3 5 6 2" xfId="20582" xr:uid="{00000000-0005-0000-0000-0000759D0000}"/>
    <cellStyle name="Normal 58 3 3 5 6 2 2" xfId="46135" xr:uid="{00000000-0005-0000-0000-0000769D0000}"/>
    <cellStyle name="Normal 58 3 3 5 6 3" xfId="33749" xr:uid="{00000000-0005-0000-0000-0000779D0000}"/>
    <cellStyle name="Normal 58 3 3 5 7" xfId="16167" xr:uid="{00000000-0005-0000-0000-0000789D0000}"/>
    <cellStyle name="Normal 58 3 3 5 7 2" xfId="41720" xr:uid="{00000000-0005-0000-0000-0000799D0000}"/>
    <cellStyle name="Normal 58 3 3 5 8" xfId="27065" xr:uid="{00000000-0005-0000-0000-00007A9D0000}"/>
    <cellStyle name="Normal 58 3 3 6" xfId="2696" xr:uid="{00000000-0005-0000-0000-00007B9D0000}"/>
    <cellStyle name="Normal 58 3 3 6 2" xfId="12013" xr:uid="{00000000-0005-0000-0000-00007C9D0000}"/>
    <cellStyle name="Normal 58 3 3 6 2 2" xfId="22057" xr:uid="{00000000-0005-0000-0000-00007D9D0000}"/>
    <cellStyle name="Normal 58 3 3 6 2 2 2" xfId="47610" xr:uid="{00000000-0005-0000-0000-00007E9D0000}"/>
    <cellStyle name="Normal 58 3 3 6 2 3" xfId="37568" xr:uid="{00000000-0005-0000-0000-00007F9D0000}"/>
    <cellStyle name="Normal 58 3 3 6 3" xfId="8573" xr:uid="{00000000-0005-0000-0000-0000809D0000}"/>
    <cellStyle name="Normal 58 3 3 6 3 2" xfId="34130" xr:uid="{00000000-0005-0000-0000-0000819D0000}"/>
    <cellStyle name="Normal 58 3 3 6 4" xfId="17050" xr:uid="{00000000-0005-0000-0000-0000829D0000}"/>
    <cellStyle name="Normal 58 3 3 6 4 2" xfId="42603" xr:uid="{00000000-0005-0000-0000-0000839D0000}"/>
    <cellStyle name="Normal 58 3 3 6 5" xfId="28540" xr:uid="{00000000-0005-0000-0000-0000849D0000}"/>
    <cellStyle name="Normal 58 3 3 7" xfId="4247" xr:uid="{00000000-0005-0000-0000-0000859D0000}"/>
    <cellStyle name="Normal 58 3 3 7 2" xfId="13085" xr:uid="{00000000-0005-0000-0000-0000869D0000}"/>
    <cellStyle name="Normal 58 3 3 7 2 2" xfId="23336" xr:uid="{00000000-0005-0000-0000-0000879D0000}"/>
    <cellStyle name="Normal 58 3 3 7 2 2 2" xfId="48889" xr:uid="{00000000-0005-0000-0000-0000889D0000}"/>
    <cellStyle name="Normal 58 3 3 7 2 3" xfId="38640" xr:uid="{00000000-0005-0000-0000-0000899D0000}"/>
    <cellStyle name="Normal 58 3 3 7 3" xfId="9506" xr:uid="{00000000-0005-0000-0000-00008A9D0000}"/>
    <cellStyle name="Normal 58 3 3 7 3 2" xfId="35063" xr:uid="{00000000-0005-0000-0000-00008B9D0000}"/>
    <cellStyle name="Normal 58 3 3 7 4" xfId="18329" xr:uid="{00000000-0005-0000-0000-00008C9D0000}"/>
    <cellStyle name="Normal 58 3 3 7 4 2" xfId="43882" xr:uid="{00000000-0005-0000-0000-00008D9D0000}"/>
    <cellStyle name="Normal 58 3 3 7 5" xfId="29819" xr:uid="{00000000-0005-0000-0000-00008E9D0000}"/>
    <cellStyle name="Normal 58 3 3 8" xfId="1519" xr:uid="{00000000-0005-0000-0000-00008F9D0000}"/>
    <cellStyle name="Normal 58 3 3 8 2" xfId="10896" xr:uid="{00000000-0005-0000-0000-0000909D0000}"/>
    <cellStyle name="Normal 58 3 3 8 2 2" xfId="36451" xr:uid="{00000000-0005-0000-0000-0000919D0000}"/>
    <cellStyle name="Normal 58 3 3 8 3" xfId="20900" xr:uid="{00000000-0005-0000-0000-0000929D0000}"/>
    <cellStyle name="Normal 58 3 3 8 3 2" xfId="46453" xr:uid="{00000000-0005-0000-0000-0000939D0000}"/>
    <cellStyle name="Normal 58 3 3 8 4" xfId="27383" xr:uid="{00000000-0005-0000-0000-0000949D0000}"/>
    <cellStyle name="Normal 58 3 3 9" xfId="5703" xr:uid="{00000000-0005-0000-0000-0000959D0000}"/>
    <cellStyle name="Normal 58 3 3 9 2" xfId="14530" xr:uid="{00000000-0005-0000-0000-0000969D0000}"/>
    <cellStyle name="Normal 58 3 3 9 2 2" xfId="40085" xr:uid="{00000000-0005-0000-0000-0000979D0000}"/>
    <cellStyle name="Normal 58 3 3 9 3" xfId="24781" xr:uid="{00000000-0005-0000-0000-0000989D0000}"/>
    <cellStyle name="Normal 58 3 3 9 3 2" xfId="50334" xr:uid="{00000000-0005-0000-0000-0000999D0000}"/>
    <cellStyle name="Normal 58 3 3 9 4" xfId="31264" xr:uid="{00000000-0005-0000-0000-00009A9D0000}"/>
    <cellStyle name="Normal 58 3 3_Degree data" xfId="3998" xr:uid="{00000000-0005-0000-0000-00009B9D0000}"/>
    <cellStyle name="Normal 58 3 4" xfId="236" xr:uid="{00000000-0005-0000-0000-00009C9D0000}"/>
    <cellStyle name="Normal 58 3 4 10" xfId="7074" xr:uid="{00000000-0005-0000-0000-00009D9D0000}"/>
    <cellStyle name="Normal 58 3 4 10 2" xfId="19688" xr:uid="{00000000-0005-0000-0000-00009E9D0000}"/>
    <cellStyle name="Normal 58 3 4 10 2 2" xfId="45241" xr:uid="{00000000-0005-0000-0000-00009F9D0000}"/>
    <cellStyle name="Normal 58 3 4 10 3" xfId="32631" xr:uid="{00000000-0005-0000-0000-0000A09D0000}"/>
    <cellStyle name="Normal 58 3 4 11" xfId="15820" xr:uid="{00000000-0005-0000-0000-0000A19D0000}"/>
    <cellStyle name="Normal 58 3 4 11 2" xfId="41373" xr:uid="{00000000-0005-0000-0000-0000A29D0000}"/>
    <cellStyle name="Normal 58 3 4 12" xfId="26171" xr:uid="{00000000-0005-0000-0000-0000A39D0000}"/>
    <cellStyle name="Normal 58 3 4 2" xfId="559" xr:uid="{00000000-0005-0000-0000-0000A49D0000}"/>
    <cellStyle name="Normal 58 3 4 2 10" xfId="26488" xr:uid="{00000000-0005-0000-0000-0000A59D0000}"/>
    <cellStyle name="Normal 58 3 4 2 2" xfId="895" xr:uid="{00000000-0005-0000-0000-0000A69D0000}"/>
    <cellStyle name="Normal 58 3 4 2 2 2" xfId="3380" xr:uid="{00000000-0005-0000-0000-0000A79D0000}"/>
    <cellStyle name="Normal 58 3 4 2 2 2 2" xfId="12522" xr:uid="{00000000-0005-0000-0000-0000A89D0000}"/>
    <cellStyle name="Normal 58 3 4 2 2 2 2 2" xfId="22741" xr:uid="{00000000-0005-0000-0000-0000A99D0000}"/>
    <cellStyle name="Normal 58 3 4 2 2 2 2 2 2" xfId="48294" xr:uid="{00000000-0005-0000-0000-0000AA9D0000}"/>
    <cellStyle name="Normal 58 3 4 2 2 2 2 3" xfId="38077" xr:uid="{00000000-0005-0000-0000-0000AB9D0000}"/>
    <cellStyle name="Normal 58 3 4 2 2 2 3" xfId="8944" xr:uid="{00000000-0005-0000-0000-0000AC9D0000}"/>
    <cellStyle name="Normal 58 3 4 2 2 2 3 2" xfId="34501" xr:uid="{00000000-0005-0000-0000-0000AD9D0000}"/>
    <cellStyle name="Normal 58 3 4 2 2 2 4" xfId="17734" xr:uid="{00000000-0005-0000-0000-0000AE9D0000}"/>
    <cellStyle name="Normal 58 3 4 2 2 2 4 2" xfId="43287" xr:uid="{00000000-0005-0000-0000-0000AF9D0000}"/>
    <cellStyle name="Normal 58 3 4 2 2 2 5" xfId="29224" xr:uid="{00000000-0005-0000-0000-0000B09D0000}"/>
    <cellStyle name="Normal 58 3 4 2 2 3" xfId="4709" xr:uid="{00000000-0005-0000-0000-0000B19D0000}"/>
    <cellStyle name="Normal 58 3 4 2 2 3 2" xfId="13547" xr:uid="{00000000-0005-0000-0000-0000B29D0000}"/>
    <cellStyle name="Normal 58 3 4 2 2 3 2 2" xfId="23798" xr:uid="{00000000-0005-0000-0000-0000B39D0000}"/>
    <cellStyle name="Normal 58 3 4 2 2 3 2 2 2" xfId="49351" xr:uid="{00000000-0005-0000-0000-0000B49D0000}"/>
    <cellStyle name="Normal 58 3 4 2 2 3 2 3" xfId="39102" xr:uid="{00000000-0005-0000-0000-0000B59D0000}"/>
    <cellStyle name="Normal 58 3 4 2 2 3 3" xfId="9968" xr:uid="{00000000-0005-0000-0000-0000B69D0000}"/>
    <cellStyle name="Normal 58 3 4 2 2 3 3 2" xfId="35525" xr:uid="{00000000-0005-0000-0000-0000B79D0000}"/>
    <cellStyle name="Normal 58 3 4 2 2 3 4" xfId="18791" xr:uid="{00000000-0005-0000-0000-0000B89D0000}"/>
    <cellStyle name="Normal 58 3 4 2 2 3 4 2" xfId="44344" xr:uid="{00000000-0005-0000-0000-0000B99D0000}"/>
    <cellStyle name="Normal 58 3 4 2 2 3 5" xfId="30281" xr:uid="{00000000-0005-0000-0000-0000BA9D0000}"/>
    <cellStyle name="Normal 58 3 4 2 2 4" xfId="2489" xr:uid="{00000000-0005-0000-0000-0000BB9D0000}"/>
    <cellStyle name="Normal 58 3 4 2 2 4 2" xfId="11854" xr:uid="{00000000-0005-0000-0000-0000BC9D0000}"/>
    <cellStyle name="Normal 58 3 4 2 2 4 2 2" xfId="37409" xr:uid="{00000000-0005-0000-0000-0000BD9D0000}"/>
    <cellStyle name="Normal 58 3 4 2 2 4 3" xfId="21858" xr:uid="{00000000-0005-0000-0000-0000BE9D0000}"/>
    <cellStyle name="Normal 58 3 4 2 2 4 3 2" xfId="47411" xr:uid="{00000000-0005-0000-0000-0000BF9D0000}"/>
    <cellStyle name="Normal 58 3 4 2 2 4 4" xfId="28341" xr:uid="{00000000-0005-0000-0000-0000C09D0000}"/>
    <cellStyle name="Normal 58 3 4 2 2 5" xfId="6165" xr:uid="{00000000-0005-0000-0000-0000C19D0000}"/>
    <cellStyle name="Normal 58 3 4 2 2 5 2" xfId="14992" xr:uid="{00000000-0005-0000-0000-0000C29D0000}"/>
    <cellStyle name="Normal 58 3 4 2 2 5 2 2" xfId="40547" xr:uid="{00000000-0005-0000-0000-0000C39D0000}"/>
    <cellStyle name="Normal 58 3 4 2 2 5 3" xfId="25243" xr:uid="{00000000-0005-0000-0000-0000C49D0000}"/>
    <cellStyle name="Normal 58 3 4 2 2 5 3 2" xfId="50796" xr:uid="{00000000-0005-0000-0000-0000C59D0000}"/>
    <cellStyle name="Normal 58 3 4 2 2 5 4" xfId="31726" xr:uid="{00000000-0005-0000-0000-0000C69D0000}"/>
    <cellStyle name="Normal 58 3 4 2 2 6" xfId="7610" xr:uid="{00000000-0005-0000-0000-0000C79D0000}"/>
    <cellStyle name="Normal 58 3 4 2 2 6 2" xfId="20340" xr:uid="{00000000-0005-0000-0000-0000C89D0000}"/>
    <cellStyle name="Normal 58 3 4 2 2 6 2 2" xfId="45893" xr:uid="{00000000-0005-0000-0000-0000C99D0000}"/>
    <cellStyle name="Normal 58 3 4 2 2 6 3" xfId="33167" xr:uid="{00000000-0005-0000-0000-0000CA9D0000}"/>
    <cellStyle name="Normal 58 3 4 2 2 7" xfId="16851" xr:uid="{00000000-0005-0000-0000-0000CB9D0000}"/>
    <cellStyle name="Normal 58 3 4 2 2 7 2" xfId="42404" xr:uid="{00000000-0005-0000-0000-0000CC9D0000}"/>
    <cellStyle name="Normal 58 3 4 2 2 8" xfId="26823" xr:uid="{00000000-0005-0000-0000-0000CD9D0000}"/>
    <cellStyle name="Normal 58 3 4 2 3" xfId="1331" xr:uid="{00000000-0005-0000-0000-0000CE9D0000}"/>
    <cellStyle name="Normal 58 3 4 2 3 2" xfId="3760" xr:uid="{00000000-0005-0000-0000-0000CF9D0000}"/>
    <cellStyle name="Normal 58 3 4 2 3 2 2" xfId="12896" xr:uid="{00000000-0005-0000-0000-0000D09D0000}"/>
    <cellStyle name="Normal 58 3 4 2 3 2 2 2" xfId="23115" xr:uid="{00000000-0005-0000-0000-0000D19D0000}"/>
    <cellStyle name="Normal 58 3 4 2 3 2 2 2 2" xfId="48668" xr:uid="{00000000-0005-0000-0000-0000D29D0000}"/>
    <cellStyle name="Normal 58 3 4 2 3 2 2 3" xfId="38451" xr:uid="{00000000-0005-0000-0000-0000D39D0000}"/>
    <cellStyle name="Normal 58 3 4 2 3 2 3" xfId="9317" xr:uid="{00000000-0005-0000-0000-0000D49D0000}"/>
    <cellStyle name="Normal 58 3 4 2 3 2 3 2" xfId="34874" xr:uid="{00000000-0005-0000-0000-0000D59D0000}"/>
    <cellStyle name="Normal 58 3 4 2 3 2 4" xfId="18108" xr:uid="{00000000-0005-0000-0000-0000D69D0000}"/>
    <cellStyle name="Normal 58 3 4 2 3 2 4 2" xfId="43661" xr:uid="{00000000-0005-0000-0000-0000D79D0000}"/>
    <cellStyle name="Normal 58 3 4 2 3 2 5" xfId="29598" xr:uid="{00000000-0005-0000-0000-0000D89D0000}"/>
    <cellStyle name="Normal 58 3 4 2 3 3" xfId="5058" xr:uid="{00000000-0005-0000-0000-0000D99D0000}"/>
    <cellStyle name="Normal 58 3 4 2 3 3 2" xfId="13895" xr:uid="{00000000-0005-0000-0000-0000DA9D0000}"/>
    <cellStyle name="Normal 58 3 4 2 3 3 2 2" xfId="24146" xr:uid="{00000000-0005-0000-0000-0000DB9D0000}"/>
    <cellStyle name="Normal 58 3 4 2 3 3 2 2 2" xfId="49699" xr:uid="{00000000-0005-0000-0000-0000DC9D0000}"/>
    <cellStyle name="Normal 58 3 4 2 3 3 2 3" xfId="39450" xr:uid="{00000000-0005-0000-0000-0000DD9D0000}"/>
    <cellStyle name="Normal 58 3 4 2 3 3 3" xfId="10316" xr:uid="{00000000-0005-0000-0000-0000DE9D0000}"/>
    <cellStyle name="Normal 58 3 4 2 3 3 3 2" xfId="35873" xr:uid="{00000000-0005-0000-0000-0000DF9D0000}"/>
    <cellStyle name="Normal 58 3 4 2 3 3 4" xfId="19139" xr:uid="{00000000-0005-0000-0000-0000E09D0000}"/>
    <cellStyle name="Normal 58 3 4 2 3 3 4 2" xfId="44692" xr:uid="{00000000-0005-0000-0000-0000E19D0000}"/>
    <cellStyle name="Normal 58 3 4 2 3 3 5" xfId="30629" xr:uid="{00000000-0005-0000-0000-0000E29D0000}"/>
    <cellStyle name="Normal 58 3 4 2 3 4" xfId="2154" xr:uid="{00000000-0005-0000-0000-0000E39D0000}"/>
    <cellStyle name="Normal 58 3 4 2 3 4 2" xfId="11519" xr:uid="{00000000-0005-0000-0000-0000E49D0000}"/>
    <cellStyle name="Normal 58 3 4 2 3 4 2 2" xfId="37074" xr:uid="{00000000-0005-0000-0000-0000E59D0000}"/>
    <cellStyle name="Normal 58 3 4 2 3 4 3" xfId="21523" xr:uid="{00000000-0005-0000-0000-0000E69D0000}"/>
    <cellStyle name="Normal 58 3 4 2 3 4 3 2" xfId="47076" xr:uid="{00000000-0005-0000-0000-0000E79D0000}"/>
    <cellStyle name="Normal 58 3 4 2 3 4 4" xfId="28006" xr:uid="{00000000-0005-0000-0000-0000E89D0000}"/>
    <cellStyle name="Normal 58 3 4 2 3 5" xfId="6513" xr:uid="{00000000-0005-0000-0000-0000E99D0000}"/>
    <cellStyle name="Normal 58 3 4 2 3 5 2" xfId="15340" xr:uid="{00000000-0005-0000-0000-0000EA9D0000}"/>
    <cellStyle name="Normal 58 3 4 2 3 5 2 2" xfId="40895" xr:uid="{00000000-0005-0000-0000-0000EB9D0000}"/>
    <cellStyle name="Normal 58 3 4 2 3 5 3" xfId="25591" xr:uid="{00000000-0005-0000-0000-0000EC9D0000}"/>
    <cellStyle name="Normal 58 3 4 2 3 5 3 2" xfId="51144" xr:uid="{00000000-0005-0000-0000-0000ED9D0000}"/>
    <cellStyle name="Normal 58 3 4 2 3 5 4" xfId="32074" xr:uid="{00000000-0005-0000-0000-0000EE9D0000}"/>
    <cellStyle name="Normal 58 3 4 2 3 6" xfId="7959" xr:uid="{00000000-0005-0000-0000-0000EF9D0000}"/>
    <cellStyle name="Normal 58 3 4 2 3 6 2" xfId="20714" xr:uid="{00000000-0005-0000-0000-0000F09D0000}"/>
    <cellStyle name="Normal 58 3 4 2 3 6 2 2" xfId="46267" xr:uid="{00000000-0005-0000-0000-0000F19D0000}"/>
    <cellStyle name="Normal 58 3 4 2 3 6 3" xfId="33516" xr:uid="{00000000-0005-0000-0000-0000F29D0000}"/>
    <cellStyle name="Normal 58 3 4 2 3 7" xfId="16516" xr:uid="{00000000-0005-0000-0000-0000F39D0000}"/>
    <cellStyle name="Normal 58 3 4 2 3 7 2" xfId="42069" xr:uid="{00000000-0005-0000-0000-0000F49D0000}"/>
    <cellStyle name="Normal 58 3 4 2 3 8" xfId="27197" xr:uid="{00000000-0005-0000-0000-0000F59D0000}"/>
    <cellStyle name="Normal 58 3 4 2 4" xfId="3045" xr:uid="{00000000-0005-0000-0000-0000F69D0000}"/>
    <cellStyle name="Normal 58 3 4 2 4 2" xfId="5423" xr:uid="{00000000-0005-0000-0000-0000F79D0000}"/>
    <cellStyle name="Normal 58 3 4 2 4 2 2" xfId="14260" xr:uid="{00000000-0005-0000-0000-0000F89D0000}"/>
    <cellStyle name="Normal 58 3 4 2 4 2 2 2" xfId="24511" xr:uid="{00000000-0005-0000-0000-0000F99D0000}"/>
    <cellStyle name="Normal 58 3 4 2 4 2 2 2 2" xfId="50064" xr:uid="{00000000-0005-0000-0000-0000FA9D0000}"/>
    <cellStyle name="Normal 58 3 4 2 4 2 2 3" xfId="39815" xr:uid="{00000000-0005-0000-0000-0000FB9D0000}"/>
    <cellStyle name="Normal 58 3 4 2 4 2 3" xfId="10681" xr:uid="{00000000-0005-0000-0000-0000FC9D0000}"/>
    <cellStyle name="Normal 58 3 4 2 4 2 3 2" xfId="36238" xr:uid="{00000000-0005-0000-0000-0000FD9D0000}"/>
    <cellStyle name="Normal 58 3 4 2 4 2 4" xfId="19504" xr:uid="{00000000-0005-0000-0000-0000FE9D0000}"/>
    <cellStyle name="Normal 58 3 4 2 4 2 4 2" xfId="45057" xr:uid="{00000000-0005-0000-0000-0000FF9D0000}"/>
    <cellStyle name="Normal 58 3 4 2 4 2 5" xfId="30994" xr:uid="{00000000-0005-0000-0000-0000009E0000}"/>
    <cellStyle name="Normal 58 3 4 2 4 3" xfId="6878" xr:uid="{00000000-0005-0000-0000-0000019E0000}"/>
    <cellStyle name="Normal 58 3 4 2 4 3 2" xfId="15705" xr:uid="{00000000-0005-0000-0000-0000029E0000}"/>
    <cellStyle name="Normal 58 3 4 2 4 3 2 2" xfId="41260" xr:uid="{00000000-0005-0000-0000-0000039E0000}"/>
    <cellStyle name="Normal 58 3 4 2 4 3 3" xfId="25956" xr:uid="{00000000-0005-0000-0000-0000049E0000}"/>
    <cellStyle name="Normal 58 3 4 2 4 3 3 2" xfId="51509" xr:uid="{00000000-0005-0000-0000-0000059E0000}"/>
    <cellStyle name="Normal 58 3 4 2 4 3 4" xfId="32439" xr:uid="{00000000-0005-0000-0000-0000069E0000}"/>
    <cellStyle name="Normal 58 3 4 2 4 4" xfId="8324" xr:uid="{00000000-0005-0000-0000-0000079E0000}"/>
    <cellStyle name="Normal 58 3 4 2 4 4 2" xfId="22406" xr:uid="{00000000-0005-0000-0000-0000089E0000}"/>
    <cellStyle name="Normal 58 3 4 2 4 4 2 2" xfId="47959" xr:uid="{00000000-0005-0000-0000-0000099E0000}"/>
    <cellStyle name="Normal 58 3 4 2 4 4 3" xfId="33881" xr:uid="{00000000-0005-0000-0000-00000A9E0000}"/>
    <cellStyle name="Normal 58 3 4 2 4 5" xfId="17399" xr:uid="{00000000-0005-0000-0000-00000B9E0000}"/>
    <cellStyle name="Normal 58 3 4 2 4 5 2" xfId="42952" xr:uid="{00000000-0005-0000-0000-00000C9E0000}"/>
    <cellStyle name="Normal 58 3 4 2 4 6" xfId="28889" xr:uid="{00000000-0005-0000-0000-00000D9E0000}"/>
    <cellStyle name="Normal 58 3 4 2 5" xfId="4379" xr:uid="{00000000-0005-0000-0000-00000E9E0000}"/>
    <cellStyle name="Normal 58 3 4 2 5 2" xfId="13217" xr:uid="{00000000-0005-0000-0000-00000F9E0000}"/>
    <cellStyle name="Normal 58 3 4 2 5 2 2" xfId="23468" xr:uid="{00000000-0005-0000-0000-0000109E0000}"/>
    <cellStyle name="Normal 58 3 4 2 5 2 2 2" xfId="49021" xr:uid="{00000000-0005-0000-0000-0000119E0000}"/>
    <cellStyle name="Normal 58 3 4 2 5 2 3" xfId="38772" xr:uid="{00000000-0005-0000-0000-0000129E0000}"/>
    <cellStyle name="Normal 58 3 4 2 5 3" xfId="9638" xr:uid="{00000000-0005-0000-0000-0000139E0000}"/>
    <cellStyle name="Normal 58 3 4 2 5 3 2" xfId="35195" xr:uid="{00000000-0005-0000-0000-0000149E0000}"/>
    <cellStyle name="Normal 58 3 4 2 5 4" xfId="18461" xr:uid="{00000000-0005-0000-0000-0000159E0000}"/>
    <cellStyle name="Normal 58 3 4 2 5 4 2" xfId="44014" xr:uid="{00000000-0005-0000-0000-0000169E0000}"/>
    <cellStyle name="Normal 58 3 4 2 5 5" xfId="29951" xr:uid="{00000000-0005-0000-0000-0000179E0000}"/>
    <cellStyle name="Normal 58 3 4 2 6" xfId="1651" xr:uid="{00000000-0005-0000-0000-0000189E0000}"/>
    <cellStyle name="Normal 58 3 4 2 6 2" xfId="11028" xr:uid="{00000000-0005-0000-0000-0000199E0000}"/>
    <cellStyle name="Normal 58 3 4 2 6 2 2" xfId="36583" xr:uid="{00000000-0005-0000-0000-00001A9E0000}"/>
    <cellStyle name="Normal 58 3 4 2 6 3" xfId="21032" xr:uid="{00000000-0005-0000-0000-00001B9E0000}"/>
    <cellStyle name="Normal 58 3 4 2 6 3 2" xfId="46585" xr:uid="{00000000-0005-0000-0000-00001C9E0000}"/>
    <cellStyle name="Normal 58 3 4 2 6 4" xfId="27515" xr:uid="{00000000-0005-0000-0000-00001D9E0000}"/>
    <cellStyle name="Normal 58 3 4 2 7" xfId="5835" xr:uid="{00000000-0005-0000-0000-00001E9E0000}"/>
    <cellStyle name="Normal 58 3 4 2 7 2" xfId="14662" xr:uid="{00000000-0005-0000-0000-00001F9E0000}"/>
    <cellStyle name="Normal 58 3 4 2 7 2 2" xfId="40217" xr:uid="{00000000-0005-0000-0000-0000209E0000}"/>
    <cellStyle name="Normal 58 3 4 2 7 3" xfId="24913" xr:uid="{00000000-0005-0000-0000-0000219E0000}"/>
    <cellStyle name="Normal 58 3 4 2 7 3 2" xfId="50466" xr:uid="{00000000-0005-0000-0000-0000229E0000}"/>
    <cellStyle name="Normal 58 3 4 2 7 4" xfId="31396" xr:uid="{00000000-0005-0000-0000-0000239E0000}"/>
    <cellStyle name="Normal 58 3 4 2 8" xfId="7279" xr:uid="{00000000-0005-0000-0000-0000249E0000}"/>
    <cellStyle name="Normal 58 3 4 2 8 2" xfId="20005" xr:uid="{00000000-0005-0000-0000-0000259E0000}"/>
    <cellStyle name="Normal 58 3 4 2 8 2 2" xfId="45558" xr:uid="{00000000-0005-0000-0000-0000269E0000}"/>
    <cellStyle name="Normal 58 3 4 2 8 3" xfId="32836" xr:uid="{00000000-0005-0000-0000-0000279E0000}"/>
    <cellStyle name="Normal 58 3 4 2 9" xfId="16025" xr:uid="{00000000-0005-0000-0000-0000289E0000}"/>
    <cellStyle name="Normal 58 3 4 2 9 2" xfId="41578" xr:uid="{00000000-0005-0000-0000-0000299E0000}"/>
    <cellStyle name="Normal 58 3 4 2_Degree data" xfId="4001" xr:uid="{00000000-0005-0000-0000-00002A9E0000}"/>
    <cellStyle name="Normal 58 3 4 3" xfId="354" xr:uid="{00000000-0005-0000-0000-00002B9E0000}"/>
    <cellStyle name="Normal 58 3 4 3 2" xfId="2840" xr:uid="{00000000-0005-0000-0000-00002C9E0000}"/>
    <cellStyle name="Normal 58 3 4 3 2 2" xfId="12128" xr:uid="{00000000-0005-0000-0000-00002D9E0000}"/>
    <cellStyle name="Normal 58 3 4 3 2 2 2" xfId="22201" xr:uid="{00000000-0005-0000-0000-00002E9E0000}"/>
    <cellStyle name="Normal 58 3 4 3 2 2 2 2" xfId="47754" xr:uid="{00000000-0005-0000-0000-00002F9E0000}"/>
    <cellStyle name="Normal 58 3 4 3 2 2 3" xfId="37683" xr:uid="{00000000-0005-0000-0000-0000309E0000}"/>
    <cellStyle name="Normal 58 3 4 3 2 3" xfId="8527" xr:uid="{00000000-0005-0000-0000-0000319E0000}"/>
    <cellStyle name="Normal 58 3 4 3 2 3 2" xfId="34084" xr:uid="{00000000-0005-0000-0000-0000329E0000}"/>
    <cellStyle name="Normal 58 3 4 3 2 4" xfId="17194" xr:uid="{00000000-0005-0000-0000-0000339E0000}"/>
    <cellStyle name="Normal 58 3 4 3 2 4 2" xfId="42747" xr:uid="{00000000-0005-0000-0000-0000349E0000}"/>
    <cellStyle name="Normal 58 3 4 3 2 5" xfId="28684" xr:uid="{00000000-0005-0000-0000-0000359E0000}"/>
    <cellStyle name="Normal 58 3 4 3 3" xfId="4708" xr:uid="{00000000-0005-0000-0000-0000369E0000}"/>
    <cellStyle name="Normal 58 3 4 3 3 2" xfId="13546" xr:uid="{00000000-0005-0000-0000-0000379E0000}"/>
    <cellStyle name="Normal 58 3 4 3 3 2 2" xfId="23797" xr:uid="{00000000-0005-0000-0000-0000389E0000}"/>
    <cellStyle name="Normal 58 3 4 3 3 2 2 2" xfId="49350" xr:uid="{00000000-0005-0000-0000-0000399E0000}"/>
    <cellStyle name="Normal 58 3 4 3 3 2 3" xfId="39101" xr:uid="{00000000-0005-0000-0000-00003A9E0000}"/>
    <cellStyle name="Normal 58 3 4 3 3 3" xfId="9967" xr:uid="{00000000-0005-0000-0000-00003B9E0000}"/>
    <cellStyle name="Normal 58 3 4 3 3 3 2" xfId="35524" xr:uid="{00000000-0005-0000-0000-00003C9E0000}"/>
    <cellStyle name="Normal 58 3 4 3 3 4" xfId="18790" xr:uid="{00000000-0005-0000-0000-00003D9E0000}"/>
    <cellStyle name="Normal 58 3 4 3 3 4 2" xfId="44343" xr:uid="{00000000-0005-0000-0000-00003E9E0000}"/>
    <cellStyle name="Normal 58 3 4 3 3 5" xfId="30280" xr:uid="{00000000-0005-0000-0000-00003F9E0000}"/>
    <cellStyle name="Normal 58 3 4 3 4" xfId="1949" xr:uid="{00000000-0005-0000-0000-0000409E0000}"/>
    <cellStyle name="Normal 58 3 4 3 4 2" xfId="11314" xr:uid="{00000000-0005-0000-0000-0000419E0000}"/>
    <cellStyle name="Normal 58 3 4 3 4 2 2" xfId="36869" xr:uid="{00000000-0005-0000-0000-0000429E0000}"/>
    <cellStyle name="Normal 58 3 4 3 4 3" xfId="21318" xr:uid="{00000000-0005-0000-0000-0000439E0000}"/>
    <cellStyle name="Normal 58 3 4 3 4 3 2" xfId="46871" xr:uid="{00000000-0005-0000-0000-0000449E0000}"/>
    <cellStyle name="Normal 58 3 4 3 4 4" xfId="27801" xr:uid="{00000000-0005-0000-0000-0000459E0000}"/>
    <cellStyle name="Normal 58 3 4 3 5" xfId="6164" xr:uid="{00000000-0005-0000-0000-0000469E0000}"/>
    <cellStyle name="Normal 58 3 4 3 5 2" xfId="14991" xr:uid="{00000000-0005-0000-0000-0000479E0000}"/>
    <cellStyle name="Normal 58 3 4 3 5 2 2" xfId="40546" xr:uid="{00000000-0005-0000-0000-0000489E0000}"/>
    <cellStyle name="Normal 58 3 4 3 5 3" xfId="25242" xr:uid="{00000000-0005-0000-0000-0000499E0000}"/>
    <cellStyle name="Normal 58 3 4 3 5 3 2" xfId="50795" xr:uid="{00000000-0005-0000-0000-00004A9E0000}"/>
    <cellStyle name="Normal 58 3 4 3 5 4" xfId="31725" xr:uid="{00000000-0005-0000-0000-00004B9E0000}"/>
    <cellStyle name="Normal 58 3 4 3 6" xfId="7609" xr:uid="{00000000-0005-0000-0000-00004C9E0000}"/>
    <cellStyle name="Normal 58 3 4 3 6 2" xfId="19800" xr:uid="{00000000-0005-0000-0000-00004D9E0000}"/>
    <cellStyle name="Normal 58 3 4 3 6 2 2" xfId="45353" xr:uid="{00000000-0005-0000-0000-00004E9E0000}"/>
    <cellStyle name="Normal 58 3 4 3 6 3" xfId="33166" xr:uid="{00000000-0005-0000-0000-00004F9E0000}"/>
    <cellStyle name="Normal 58 3 4 3 7" xfId="16311" xr:uid="{00000000-0005-0000-0000-0000509E0000}"/>
    <cellStyle name="Normal 58 3 4 3 7 2" xfId="41864" xr:uid="{00000000-0005-0000-0000-0000519E0000}"/>
    <cellStyle name="Normal 58 3 4 3 8" xfId="26283" xr:uid="{00000000-0005-0000-0000-0000529E0000}"/>
    <cellStyle name="Normal 58 3 4 4" xfId="894" xr:uid="{00000000-0005-0000-0000-0000539E0000}"/>
    <cellStyle name="Normal 58 3 4 4 2" xfId="3379" xr:uid="{00000000-0005-0000-0000-0000549E0000}"/>
    <cellStyle name="Normal 58 3 4 4 2 2" xfId="12521" xr:uid="{00000000-0005-0000-0000-0000559E0000}"/>
    <cellStyle name="Normal 58 3 4 4 2 2 2" xfId="22740" xr:uid="{00000000-0005-0000-0000-0000569E0000}"/>
    <cellStyle name="Normal 58 3 4 4 2 2 2 2" xfId="48293" xr:uid="{00000000-0005-0000-0000-0000579E0000}"/>
    <cellStyle name="Normal 58 3 4 4 2 2 3" xfId="38076" xr:uid="{00000000-0005-0000-0000-0000589E0000}"/>
    <cellStyle name="Normal 58 3 4 4 2 3" xfId="8943" xr:uid="{00000000-0005-0000-0000-0000599E0000}"/>
    <cellStyle name="Normal 58 3 4 4 2 3 2" xfId="34500" xr:uid="{00000000-0005-0000-0000-00005A9E0000}"/>
    <cellStyle name="Normal 58 3 4 4 2 4" xfId="17733" xr:uid="{00000000-0005-0000-0000-00005B9E0000}"/>
    <cellStyle name="Normal 58 3 4 4 2 4 2" xfId="43286" xr:uid="{00000000-0005-0000-0000-00005C9E0000}"/>
    <cellStyle name="Normal 58 3 4 4 2 5" xfId="29223" xr:uid="{00000000-0005-0000-0000-00005D9E0000}"/>
    <cellStyle name="Normal 58 3 4 4 3" xfId="5057" xr:uid="{00000000-0005-0000-0000-00005E9E0000}"/>
    <cellStyle name="Normal 58 3 4 4 3 2" xfId="13894" xr:uid="{00000000-0005-0000-0000-00005F9E0000}"/>
    <cellStyle name="Normal 58 3 4 4 3 2 2" xfId="24145" xr:uid="{00000000-0005-0000-0000-0000609E0000}"/>
    <cellStyle name="Normal 58 3 4 4 3 2 2 2" xfId="49698" xr:uid="{00000000-0005-0000-0000-0000619E0000}"/>
    <cellStyle name="Normal 58 3 4 4 3 2 3" xfId="39449" xr:uid="{00000000-0005-0000-0000-0000629E0000}"/>
    <cellStyle name="Normal 58 3 4 4 3 3" xfId="10315" xr:uid="{00000000-0005-0000-0000-0000639E0000}"/>
    <cellStyle name="Normal 58 3 4 4 3 3 2" xfId="35872" xr:uid="{00000000-0005-0000-0000-0000649E0000}"/>
    <cellStyle name="Normal 58 3 4 4 3 4" xfId="19138" xr:uid="{00000000-0005-0000-0000-0000659E0000}"/>
    <cellStyle name="Normal 58 3 4 4 3 4 2" xfId="44691" xr:uid="{00000000-0005-0000-0000-0000669E0000}"/>
    <cellStyle name="Normal 58 3 4 4 3 5" xfId="30628" xr:uid="{00000000-0005-0000-0000-0000679E0000}"/>
    <cellStyle name="Normal 58 3 4 4 4" xfId="2488" xr:uid="{00000000-0005-0000-0000-0000689E0000}"/>
    <cellStyle name="Normal 58 3 4 4 4 2" xfId="11853" xr:uid="{00000000-0005-0000-0000-0000699E0000}"/>
    <cellStyle name="Normal 58 3 4 4 4 2 2" xfId="37408" xr:uid="{00000000-0005-0000-0000-00006A9E0000}"/>
    <cellStyle name="Normal 58 3 4 4 4 3" xfId="21857" xr:uid="{00000000-0005-0000-0000-00006B9E0000}"/>
    <cellStyle name="Normal 58 3 4 4 4 3 2" xfId="47410" xr:uid="{00000000-0005-0000-0000-00006C9E0000}"/>
    <cellStyle name="Normal 58 3 4 4 4 4" xfId="28340" xr:uid="{00000000-0005-0000-0000-00006D9E0000}"/>
    <cellStyle name="Normal 58 3 4 4 5" xfId="6512" xr:uid="{00000000-0005-0000-0000-00006E9E0000}"/>
    <cellStyle name="Normal 58 3 4 4 5 2" xfId="15339" xr:uid="{00000000-0005-0000-0000-00006F9E0000}"/>
    <cellStyle name="Normal 58 3 4 4 5 2 2" xfId="40894" xr:uid="{00000000-0005-0000-0000-0000709E0000}"/>
    <cellStyle name="Normal 58 3 4 4 5 3" xfId="25590" xr:uid="{00000000-0005-0000-0000-0000719E0000}"/>
    <cellStyle name="Normal 58 3 4 4 5 3 2" xfId="51143" xr:uid="{00000000-0005-0000-0000-0000729E0000}"/>
    <cellStyle name="Normal 58 3 4 4 5 4" xfId="32073" xr:uid="{00000000-0005-0000-0000-0000739E0000}"/>
    <cellStyle name="Normal 58 3 4 4 6" xfId="7958" xr:uid="{00000000-0005-0000-0000-0000749E0000}"/>
    <cellStyle name="Normal 58 3 4 4 6 2" xfId="20339" xr:uid="{00000000-0005-0000-0000-0000759E0000}"/>
    <cellStyle name="Normal 58 3 4 4 6 2 2" xfId="45892" xr:uid="{00000000-0005-0000-0000-0000769E0000}"/>
    <cellStyle name="Normal 58 3 4 4 6 3" xfId="33515" xr:uid="{00000000-0005-0000-0000-0000779E0000}"/>
    <cellStyle name="Normal 58 3 4 4 7" xfId="16850" xr:uid="{00000000-0005-0000-0000-0000789E0000}"/>
    <cellStyle name="Normal 58 3 4 4 7 2" xfId="42403" xr:uid="{00000000-0005-0000-0000-0000799E0000}"/>
    <cellStyle name="Normal 58 3 4 4 8" xfId="26822" xr:uid="{00000000-0005-0000-0000-00007A9E0000}"/>
    <cellStyle name="Normal 58 3 4 5" xfId="1126" xr:uid="{00000000-0005-0000-0000-00007B9E0000}"/>
    <cellStyle name="Normal 58 3 4 5 2" xfId="3555" xr:uid="{00000000-0005-0000-0000-00007C9E0000}"/>
    <cellStyle name="Normal 58 3 4 5 2 2" xfId="12691" xr:uid="{00000000-0005-0000-0000-00007D9E0000}"/>
    <cellStyle name="Normal 58 3 4 5 2 2 2" xfId="22910" xr:uid="{00000000-0005-0000-0000-00007E9E0000}"/>
    <cellStyle name="Normal 58 3 4 5 2 2 2 2" xfId="48463" xr:uid="{00000000-0005-0000-0000-00007F9E0000}"/>
    <cellStyle name="Normal 58 3 4 5 2 2 3" xfId="38246" xr:uid="{00000000-0005-0000-0000-0000809E0000}"/>
    <cellStyle name="Normal 58 3 4 5 2 3" xfId="9112" xr:uid="{00000000-0005-0000-0000-0000819E0000}"/>
    <cellStyle name="Normal 58 3 4 5 2 3 2" xfId="34669" xr:uid="{00000000-0005-0000-0000-0000829E0000}"/>
    <cellStyle name="Normal 58 3 4 5 2 4" xfId="17903" xr:uid="{00000000-0005-0000-0000-0000839E0000}"/>
    <cellStyle name="Normal 58 3 4 5 2 4 2" xfId="43456" xr:uid="{00000000-0005-0000-0000-0000849E0000}"/>
    <cellStyle name="Normal 58 3 4 5 2 5" xfId="29393" xr:uid="{00000000-0005-0000-0000-0000859E0000}"/>
    <cellStyle name="Normal 58 3 4 5 3" xfId="5218" xr:uid="{00000000-0005-0000-0000-0000869E0000}"/>
    <cellStyle name="Normal 58 3 4 5 3 2" xfId="14055" xr:uid="{00000000-0005-0000-0000-0000879E0000}"/>
    <cellStyle name="Normal 58 3 4 5 3 2 2" xfId="24306" xr:uid="{00000000-0005-0000-0000-0000889E0000}"/>
    <cellStyle name="Normal 58 3 4 5 3 2 2 2" xfId="49859" xr:uid="{00000000-0005-0000-0000-0000899E0000}"/>
    <cellStyle name="Normal 58 3 4 5 3 2 3" xfId="39610" xr:uid="{00000000-0005-0000-0000-00008A9E0000}"/>
    <cellStyle name="Normal 58 3 4 5 3 3" xfId="10476" xr:uid="{00000000-0005-0000-0000-00008B9E0000}"/>
    <cellStyle name="Normal 58 3 4 5 3 3 2" xfId="36033" xr:uid="{00000000-0005-0000-0000-00008C9E0000}"/>
    <cellStyle name="Normal 58 3 4 5 3 4" xfId="19299" xr:uid="{00000000-0005-0000-0000-00008D9E0000}"/>
    <cellStyle name="Normal 58 3 4 5 3 4 2" xfId="44852" xr:uid="{00000000-0005-0000-0000-00008E9E0000}"/>
    <cellStyle name="Normal 58 3 4 5 3 5" xfId="30789" xr:uid="{00000000-0005-0000-0000-00008F9E0000}"/>
    <cellStyle name="Normal 58 3 4 5 4" xfId="1834" xr:uid="{00000000-0005-0000-0000-0000909E0000}"/>
    <cellStyle name="Normal 58 3 4 5 4 2" xfId="11202" xr:uid="{00000000-0005-0000-0000-0000919E0000}"/>
    <cellStyle name="Normal 58 3 4 5 4 2 2" xfId="36757" xr:uid="{00000000-0005-0000-0000-0000929E0000}"/>
    <cellStyle name="Normal 58 3 4 5 4 3" xfId="21206" xr:uid="{00000000-0005-0000-0000-0000939E0000}"/>
    <cellStyle name="Normal 58 3 4 5 4 3 2" xfId="46759" xr:uid="{00000000-0005-0000-0000-0000949E0000}"/>
    <cellStyle name="Normal 58 3 4 5 4 4" xfId="27689" xr:uid="{00000000-0005-0000-0000-0000959E0000}"/>
    <cellStyle name="Normal 58 3 4 5 5" xfId="6673" xr:uid="{00000000-0005-0000-0000-0000969E0000}"/>
    <cellStyle name="Normal 58 3 4 5 5 2" xfId="15500" xr:uid="{00000000-0005-0000-0000-0000979E0000}"/>
    <cellStyle name="Normal 58 3 4 5 5 2 2" xfId="41055" xr:uid="{00000000-0005-0000-0000-0000989E0000}"/>
    <cellStyle name="Normal 58 3 4 5 5 3" xfId="25751" xr:uid="{00000000-0005-0000-0000-0000999E0000}"/>
    <cellStyle name="Normal 58 3 4 5 5 3 2" xfId="51304" xr:uid="{00000000-0005-0000-0000-00009A9E0000}"/>
    <cellStyle name="Normal 58 3 4 5 5 4" xfId="32234" xr:uid="{00000000-0005-0000-0000-00009B9E0000}"/>
    <cellStyle name="Normal 58 3 4 5 6" xfId="8119" xr:uid="{00000000-0005-0000-0000-00009C9E0000}"/>
    <cellStyle name="Normal 58 3 4 5 6 2" xfId="20509" xr:uid="{00000000-0005-0000-0000-00009D9E0000}"/>
    <cellStyle name="Normal 58 3 4 5 6 2 2" xfId="46062" xr:uid="{00000000-0005-0000-0000-00009E9E0000}"/>
    <cellStyle name="Normal 58 3 4 5 6 3" xfId="33676" xr:uid="{00000000-0005-0000-0000-00009F9E0000}"/>
    <cellStyle name="Normal 58 3 4 5 7" xfId="16199" xr:uid="{00000000-0005-0000-0000-0000A09E0000}"/>
    <cellStyle name="Normal 58 3 4 5 7 2" xfId="41752" xr:uid="{00000000-0005-0000-0000-0000A19E0000}"/>
    <cellStyle name="Normal 58 3 4 5 8" xfId="26992" xr:uid="{00000000-0005-0000-0000-0000A29E0000}"/>
    <cellStyle name="Normal 58 3 4 6" xfId="2728" xr:uid="{00000000-0005-0000-0000-0000A39E0000}"/>
    <cellStyle name="Normal 58 3 4 6 2" xfId="12045" xr:uid="{00000000-0005-0000-0000-0000A49E0000}"/>
    <cellStyle name="Normal 58 3 4 6 2 2" xfId="22089" xr:uid="{00000000-0005-0000-0000-0000A59E0000}"/>
    <cellStyle name="Normal 58 3 4 6 2 2 2" xfId="47642" xr:uid="{00000000-0005-0000-0000-0000A69E0000}"/>
    <cellStyle name="Normal 58 3 4 6 2 3" xfId="37600" xr:uid="{00000000-0005-0000-0000-0000A79E0000}"/>
    <cellStyle name="Normal 58 3 4 6 3" xfId="8485" xr:uid="{00000000-0005-0000-0000-0000A89E0000}"/>
    <cellStyle name="Normal 58 3 4 6 3 2" xfId="34042" xr:uid="{00000000-0005-0000-0000-0000A99E0000}"/>
    <cellStyle name="Normal 58 3 4 6 4" xfId="17082" xr:uid="{00000000-0005-0000-0000-0000AA9E0000}"/>
    <cellStyle name="Normal 58 3 4 6 4 2" xfId="42635" xr:uid="{00000000-0005-0000-0000-0000AB9E0000}"/>
    <cellStyle name="Normal 58 3 4 6 5" xfId="28572" xr:uid="{00000000-0005-0000-0000-0000AC9E0000}"/>
    <cellStyle name="Normal 58 3 4 7" xfId="4174" xr:uid="{00000000-0005-0000-0000-0000AD9E0000}"/>
    <cellStyle name="Normal 58 3 4 7 2" xfId="13012" xr:uid="{00000000-0005-0000-0000-0000AE9E0000}"/>
    <cellStyle name="Normal 58 3 4 7 2 2" xfId="23263" xr:uid="{00000000-0005-0000-0000-0000AF9E0000}"/>
    <cellStyle name="Normal 58 3 4 7 2 2 2" xfId="48816" xr:uid="{00000000-0005-0000-0000-0000B09E0000}"/>
    <cellStyle name="Normal 58 3 4 7 2 3" xfId="38567" xr:uid="{00000000-0005-0000-0000-0000B19E0000}"/>
    <cellStyle name="Normal 58 3 4 7 3" xfId="9433" xr:uid="{00000000-0005-0000-0000-0000B29E0000}"/>
    <cellStyle name="Normal 58 3 4 7 3 2" xfId="34990" xr:uid="{00000000-0005-0000-0000-0000B39E0000}"/>
    <cellStyle name="Normal 58 3 4 7 4" xfId="18256" xr:uid="{00000000-0005-0000-0000-0000B49E0000}"/>
    <cellStyle name="Normal 58 3 4 7 4 2" xfId="43809" xr:uid="{00000000-0005-0000-0000-0000B59E0000}"/>
    <cellStyle name="Normal 58 3 4 7 5" xfId="29746" xr:uid="{00000000-0005-0000-0000-0000B69E0000}"/>
    <cellStyle name="Normal 58 3 4 8" xfId="1446" xr:uid="{00000000-0005-0000-0000-0000B79E0000}"/>
    <cellStyle name="Normal 58 3 4 8 2" xfId="10823" xr:uid="{00000000-0005-0000-0000-0000B89E0000}"/>
    <cellStyle name="Normal 58 3 4 8 2 2" xfId="36378" xr:uid="{00000000-0005-0000-0000-0000B99E0000}"/>
    <cellStyle name="Normal 58 3 4 8 3" xfId="20827" xr:uid="{00000000-0005-0000-0000-0000BA9E0000}"/>
    <cellStyle name="Normal 58 3 4 8 3 2" xfId="46380" xr:uid="{00000000-0005-0000-0000-0000BB9E0000}"/>
    <cellStyle name="Normal 58 3 4 8 4" xfId="27310" xr:uid="{00000000-0005-0000-0000-0000BC9E0000}"/>
    <cellStyle name="Normal 58 3 4 9" xfId="5630" xr:uid="{00000000-0005-0000-0000-0000BD9E0000}"/>
    <cellStyle name="Normal 58 3 4 9 2" xfId="14457" xr:uid="{00000000-0005-0000-0000-0000BE9E0000}"/>
    <cellStyle name="Normal 58 3 4 9 2 2" xfId="40012" xr:uid="{00000000-0005-0000-0000-0000BF9E0000}"/>
    <cellStyle name="Normal 58 3 4 9 3" xfId="24708" xr:uid="{00000000-0005-0000-0000-0000C09E0000}"/>
    <cellStyle name="Normal 58 3 4 9 3 2" xfId="50261" xr:uid="{00000000-0005-0000-0000-0000C19E0000}"/>
    <cellStyle name="Normal 58 3 4 9 4" xfId="31191" xr:uid="{00000000-0005-0000-0000-0000C29E0000}"/>
    <cellStyle name="Normal 58 3 4_Degree data" xfId="4000" xr:uid="{00000000-0005-0000-0000-0000C39E0000}"/>
    <cellStyle name="Normal 58 3 5" xfId="454" xr:uid="{00000000-0005-0000-0000-0000C49E0000}"/>
    <cellStyle name="Normal 58 3 5 10" xfId="26383" xr:uid="{00000000-0005-0000-0000-0000C59E0000}"/>
    <cellStyle name="Normal 58 3 5 2" xfId="896" xr:uid="{00000000-0005-0000-0000-0000C69E0000}"/>
    <cellStyle name="Normal 58 3 5 2 2" xfId="3381" xr:uid="{00000000-0005-0000-0000-0000C79E0000}"/>
    <cellStyle name="Normal 58 3 5 2 2 2" xfId="12523" xr:uid="{00000000-0005-0000-0000-0000C89E0000}"/>
    <cellStyle name="Normal 58 3 5 2 2 2 2" xfId="22742" xr:uid="{00000000-0005-0000-0000-0000C99E0000}"/>
    <cellStyle name="Normal 58 3 5 2 2 2 2 2" xfId="48295" xr:uid="{00000000-0005-0000-0000-0000CA9E0000}"/>
    <cellStyle name="Normal 58 3 5 2 2 2 3" xfId="38078" xr:uid="{00000000-0005-0000-0000-0000CB9E0000}"/>
    <cellStyle name="Normal 58 3 5 2 2 3" xfId="8945" xr:uid="{00000000-0005-0000-0000-0000CC9E0000}"/>
    <cellStyle name="Normal 58 3 5 2 2 3 2" xfId="34502" xr:uid="{00000000-0005-0000-0000-0000CD9E0000}"/>
    <cellStyle name="Normal 58 3 5 2 2 4" xfId="17735" xr:uid="{00000000-0005-0000-0000-0000CE9E0000}"/>
    <cellStyle name="Normal 58 3 5 2 2 4 2" xfId="43288" xr:uid="{00000000-0005-0000-0000-0000CF9E0000}"/>
    <cellStyle name="Normal 58 3 5 2 2 5" xfId="29225" xr:uid="{00000000-0005-0000-0000-0000D09E0000}"/>
    <cellStyle name="Normal 58 3 5 2 3" xfId="4710" xr:uid="{00000000-0005-0000-0000-0000D19E0000}"/>
    <cellStyle name="Normal 58 3 5 2 3 2" xfId="13548" xr:uid="{00000000-0005-0000-0000-0000D29E0000}"/>
    <cellStyle name="Normal 58 3 5 2 3 2 2" xfId="23799" xr:uid="{00000000-0005-0000-0000-0000D39E0000}"/>
    <cellStyle name="Normal 58 3 5 2 3 2 2 2" xfId="49352" xr:uid="{00000000-0005-0000-0000-0000D49E0000}"/>
    <cellStyle name="Normal 58 3 5 2 3 2 3" xfId="39103" xr:uid="{00000000-0005-0000-0000-0000D59E0000}"/>
    <cellStyle name="Normal 58 3 5 2 3 3" xfId="9969" xr:uid="{00000000-0005-0000-0000-0000D69E0000}"/>
    <cellStyle name="Normal 58 3 5 2 3 3 2" xfId="35526" xr:uid="{00000000-0005-0000-0000-0000D79E0000}"/>
    <cellStyle name="Normal 58 3 5 2 3 4" xfId="18792" xr:uid="{00000000-0005-0000-0000-0000D89E0000}"/>
    <cellStyle name="Normal 58 3 5 2 3 4 2" xfId="44345" xr:uid="{00000000-0005-0000-0000-0000D99E0000}"/>
    <cellStyle name="Normal 58 3 5 2 3 5" xfId="30282" xr:uid="{00000000-0005-0000-0000-0000DA9E0000}"/>
    <cellStyle name="Normal 58 3 5 2 4" xfId="2490" xr:uid="{00000000-0005-0000-0000-0000DB9E0000}"/>
    <cellStyle name="Normal 58 3 5 2 4 2" xfId="11855" xr:uid="{00000000-0005-0000-0000-0000DC9E0000}"/>
    <cellStyle name="Normal 58 3 5 2 4 2 2" xfId="37410" xr:uid="{00000000-0005-0000-0000-0000DD9E0000}"/>
    <cellStyle name="Normal 58 3 5 2 4 3" xfId="21859" xr:uid="{00000000-0005-0000-0000-0000DE9E0000}"/>
    <cellStyle name="Normal 58 3 5 2 4 3 2" xfId="47412" xr:uid="{00000000-0005-0000-0000-0000DF9E0000}"/>
    <cellStyle name="Normal 58 3 5 2 4 4" xfId="28342" xr:uid="{00000000-0005-0000-0000-0000E09E0000}"/>
    <cellStyle name="Normal 58 3 5 2 5" xfId="6166" xr:uid="{00000000-0005-0000-0000-0000E19E0000}"/>
    <cellStyle name="Normal 58 3 5 2 5 2" xfId="14993" xr:uid="{00000000-0005-0000-0000-0000E29E0000}"/>
    <cellStyle name="Normal 58 3 5 2 5 2 2" xfId="40548" xr:uid="{00000000-0005-0000-0000-0000E39E0000}"/>
    <cellStyle name="Normal 58 3 5 2 5 3" xfId="25244" xr:uid="{00000000-0005-0000-0000-0000E49E0000}"/>
    <cellStyle name="Normal 58 3 5 2 5 3 2" xfId="50797" xr:uid="{00000000-0005-0000-0000-0000E59E0000}"/>
    <cellStyle name="Normal 58 3 5 2 5 4" xfId="31727" xr:uid="{00000000-0005-0000-0000-0000E69E0000}"/>
    <cellStyle name="Normal 58 3 5 2 6" xfId="7611" xr:uid="{00000000-0005-0000-0000-0000E79E0000}"/>
    <cellStyle name="Normal 58 3 5 2 6 2" xfId="20341" xr:uid="{00000000-0005-0000-0000-0000E89E0000}"/>
    <cellStyle name="Normal 58 3 5 2 6 2 2" xfId="45894" xr:uid="{00000000-0005-0000-0000-0000E99E0000}"/>
    <cellStyle name="Normal 58 3 5 2 6 3" xfId="33168" xr:uid="{00000000-0005-0000-0000-0000EA9E0000}"/>
    <cellStyle name="Normal 58 3 5 2 7" xfId="16852" xr:uid="{00000000-0005-0000-0000-0000EB9E0000}"/>
    <cellStyle name="Normal 58 3 5 2 7 2" xfId="42405" xr:uid="{00000000-0005-0000-0000-0000EC9E0000}"/>
    <cellStyle name="Normal 58 3 5 2 8" xfId="26824" xr:uid="{00000000-0005-0000-0000-0000ED9E0000}"/>
    <cellStyle name="Normal 58 3 5 3" xfId="1226" xr:uid="{00000000-0005-0000-0000-0000EE9E0000}"/>
    <cellStyle name="Normal 58 3 5 3 2" xfId="3655" xr:uid="{00000000-0005-0000-0000-0000EF9E0000}"/>
    <cellStyle name="Normal 58 3 5 3 2 2" xfId="12791" xr:uid="{00000000-0005-0000-0000-0000F09E0000}"/>
    <cellStyle name="Normal 58 3 5 3 2 2 2" xfId="23010" xr:uid="{00000000-0005-0000-0000-0000F19E0000}"/>
    <cellStyle name="Normal 58 3 5 3 2 2 2 2" xfId="48563" xr:uid="{00000000-0005-0000-0000-0000F29E0000}"/>
    <cellStyle name="Normal 58 3 5 3 2 2 3" xfId="38346" xr:uid="{00000000-0005-0000-0000-0000F39E0000}"/>
    <cellStyle name="Normal 58 3 5 3 2 3" xfId="9212" xr:uid="{00000000-0005-0000-0000-0000F49E0000}"/>
    <cellStyle name="Normal 58 3 5 3 2 3 2" xfId="34769" xr:uid="{00000000-0005-0000-0000-0000F59E0000}"/>
    <cellStyle name="Normal 58 3 5 3 2 4" xfId="18003" xr:uid="{00000000-0005-0000-0000-0000F69E0000}"/>
    <cellStyle name="Normal 58 3 5 3 2 4 2" xfId="43556" xr:uid="{00000000-0005-0000-0000-0000F79E0000}"/>
    <cellStyle name="Normal 58 3 5 3 2 5" xfId="29493" xr:uid="{00000000-0005-0000-0000-0000F89E0000}"/>
    <cellStyle name="Normal 58 3 5 3 3" xfId="5059" xr:uid="{00000000-0005-0000-0000-0000F99E0000}"/>
    <cellStyle name="Normal 58 3 5 3 3 2" xfId="13896" xr:uid="{00000000-0005-0000-0000-0000FA9E0000}"/>
    <cellStyle name="Normal 58 3 5 3 3 2 2" xfId="24147" xr:uid="{00000000-0005-0000-0000-0000FB9E0000}"/>
    <cellStyle name="Normal 58 3 5 3 3 2 2 2" xfId="49700" xr:uid="{00000000-0005-0000-0000-0000FC9E0000}"/>
    <cellStyle name="Normal 58 3 5 3 3 2 3" xfId="39451" xr:uid="{00000000-0005-0000-0000-0000FD9E0000}"/>
    <cellStyle name="Normal 58 3 5 3 3 3" xfId="10317" xr:uid="{00000000-0005-0000-0000-0000FE9E0000}"/>
    <cellStyle name="Normal 58 3 5 3 3 3 2" xfId="35874" xr:uid="{00000000-0005-0000-0000-0000FF9E0000}"/>
    <cellStyle name="Normal 58 3 5 3 3 4" xfId="19140" xr:uid="{00000000-0005-0000-0000-0000009F0000}"/>
    <cellStyle name="Normal 58 3 5 3 3 4 2" xfId="44693" xr:uid="{00000000-0005-0000-0000-0000019F0000}"/>
    <cellStyle name="Normal 58 3 5 3 3 5" xfId="30630" xr:uid="{00000000-0005-0000-0000-0000029F0000}"/>
    <cellStyle name="Normal 58 3 5 3 4" xfId="2049" xr:uid="{00000000-0005-0000-0000-0000039F0000}"/>
    <cellStyle name="Normal 58 3 5 3 4 2" xfId="11414" xr:uid="{00000000-0005-0000-0000-0000049F0000}"/>
    <cellStyle name="Normal 58 3 5 3 4 2 2" xfId="36969" xr:uid="{00000000-0005-0000-0000-0000059F0000}"/>
    <cellStyle name="Normal 58 3 5 3 4 3" xfId="21418" xr:uid="{00000000-0005-0000-0000-0000069F0000}"/>
    <cellStyle name="Normal 58 3 5 3 4 3 2" xfId="46971" xr:uid="{00000000-0005-0000-0000-0000079F0000}"/>
    <cellStyle name="Normal 58 3 5 3 4 4" xfId="27901" xr:uid="{00000000-0005-0000-0000-0000089F0000}"/>
    <cellStyle name="Normal 58 3 5 3 5" xfId="6514" xr:uid="{00000000-0005-0000-0000-0000099F0000}"/>
    <cellStyle name="Normal 58 3 5 3 5 2" xfId="15341" xr:uid="{00000000-0005-0000-0000-00000A9F0000}"/>
    <cellStyle name="Normal 58 3 5 3 5 2 2" xfId="40896" xr:uid="{00000000-0005-0000-0000-00000B9F0000}"/>
    <cellStyle name="Normal 58 3 5 3 5 3" xfId="25592" xr:uid="{00000000-0005-0000-0000-00000C9F0000}"/>
    <cellStyle name="Normal 58 3 5 3 5 3 2" xfId="51145" xr:uid="{00000000-0005-0000-0000-00000D9F0000}"/>
    <cellStyle name="Normal 58 3 5 3 5 4" xfId="32075" xr:uid="{00000000-0005-0000-0000-00000E9F0000}"/>
    <cellStyle name="Normal 58 3 5 3 6" xfId="7960" xr:uid="{00000000-0005-0000-0000-00000F9F0000}"/>
    <cellStyle name="Normal 58 3 5 3 6 2" xfId="20609" xr:uid="{00000000-0005-0000-0000-0000109F0000}"/>
    <cellStyle name="Normal 58 3 5 3 6 2 2" xfId="46162" xr:uid="{00000000-0005-0000-0000-0000119F0000}"/>
    <cellStyle name="Normal 58 3 5 3 6 3" xfId="33517" xr:uid="{00000000-0005-0000-0000-0000129F0000}"/>
    <cellStyle name="Normal 58 3 5 3 7" xfId="16411" xr:uid="{00000000-0005-0000-0000-0000139F0000}"/>
    <cellStyle name="Normal 58 3 5 3 7 2" xfId="41964" xr:uid="{00000000-0005-0000-0000-0000149F0000}"/>
    <cellStyle name="Normal 58 3 5 3 8" xfId="27092" xr:uid="{00000000-0005-0000-0000-0000159F0000}"/>
    <cellStyle name="Normal 58 3 5 4" xfId="2940" xr:uid="{00000000-0005-0000-0000-0000169F0000}"/>
    <cellStyle name="Normal 58 3 5 4 2" xfId="5318" xr:uid="{00000000-0005-0000-0000-0000179F0000}"/>
    <cellStyle name="Normal 58 3 5 4 2 2" xfId="14155" xr:uid="{00000000-0005-0000-0000-0000189F0000}"/>
    <cellStyle name="Normal 58 3 5 4 2 2 2" xfId="24406" xr:uid="{00000000-0005-0000-0000-0000199F0000}"/>
    <cellStyle name="Normal 58 3 5 4 2 2 2 2" xfId="49959" xr:uid="{00000000-0005-0000-0000-00001A9F0000}"/>
    <cellStyle name="Normal 58 3 5 4 2 2 3" xfId="39710" xr:uid="{00000000-0005-0000-0000-00001B9F0000}"/>
    <cellStyle name="Normal 58 3 5 4 2 3" xfId="10576" xr:uid="{00000000-0005-0000-0000-00001C9F0000}"/>
    <cellStyle name="Normal 58 3 5 4 2 3 2" xfId="36133" xr:uid="{00000000-0005-0000-0000-00001D9F0000}"/>
    <cellStyle name="Normal 58 3 5 4 2 4" xfId="19399" xr:uid="{00000000-0005-0000-0000-00001E9F0000}"/>
    <cellStyle name="Normal 58 3 5 4 2 4 2" xfId="44952" xr:uid="{00000000-0005-0000-0000-00001F9F0000}"/>
    <cellStyle name="Normal 58 3 5 4 2 5" xfId="30889" xr:uid="{00000000-0005-0000-0000-0000209F0000}"/>
    <cellStyle name="Normal 58 3 5 4 3" xfId="6773" xr:uid="{00000000-0005-0000-0000-0000219F0000}"/>
    <cellStyle name="Normal 58 3 5 4 3 2" xfId="15600" xr:uid="{00000000-0005-0000-0000-0000229F0000}"/>
    <cellStyle name="Normal 58 3 5 4 3 2 2" xfId="41155" xr:uid="{00000000-0005-0000-0000-0000239F0000}"/>
    <cellStyle name="Normal 58 3 5 4 3 3" xfId="25851" xr:uid="{00000000-0005-0000-0000-0000249F0000}"/>
    <cellStyle name="Normal 58 3 5 4 3 3 2" xfId="51404" xr:uid="{00000000-0005-0000-0000-0000259F0000}"/>
    <cellStyle name="Normal 58 3 5 4 3 4" xfId="32334" xr:uid="{00000000-0005-0000-0000-0000269F0000}"/>
    <cellStyle name="Normal 58 3 5 4 4" xfId="8219" xr:uid="{00000000-0005-0000-0000-0000279F0000}"/>
    <cellStyle name="Normal 58 3 5 4 4 2" xfId="22301" xr:uid="{00000000-0005-0000-0000-0000289F0000}"/>
    <cellStyle name="Normal 58 3 5 4 4 2 2" xfId="47854" xr:uid="{00000000-0005-0000-0000-0000299F0000}"/>
    <cellStyle name="Normal 58 3 5 4 4 3" xfId="33776" xr:uid="{00000000-0005-0000-0000-00002A9F0000}"/>
    <cellStyle name="Normal 58 3 5 4 5" xfId="17294" xr:uid="{00000000-0005-0000-0000-00002B9F0000}"/>
    <cellStyle name="Normal 58 3 5 4 5 2" xfId="42847" xr:uid="{00000000-0005-0000-0000-00002C9F0000}"/>
    <cellStyle name="Normal 58 3 5 4 6" xfId="28784" xr:uid="{00000000-0005-0000-0000-00002D9F0000}"/>
    <cellStyle name="Normal 58 3 5 5" xfId="4274" xr:uid="{00000000-0005-0000-0000-00002E9F0000}"/>
    <cellStyle name="Normal 58 3 5 5 2" xfId="13112" xr:uid="{00000000-0005-0000-0000-00002F9F0000}"/>
    <cellStyle name="Normal 58 3 5 5 2 2" xfId="23363" xr:uid="{00000000-0005-0000-0000-0000309F0000}"/>
    <cellStyle name="Normal 58 3 5 5 2 2 2" xfId="48916" xr:uid="{00000000-0005-0000-0000-0000319F0000}"/>
    <cellStyle name="Normal 58 3 5 5 2 3" xfId="38667" xr:uid="{00000000-0005-0000-0000-0000329F0000}"/>
    <cellStyle name="Normal 58 3 5 5 3" xfId="9533" xr:uid="{00000000-0005-0000-0000-0000339F0000}"/>
    <cellStyle name="Normal 58 3 5 5 3 2" xfId="35090" xr:uid="{00000000-0005-0000-0000-0000349F0000}"/>
    <cellStyle name="Normal 58 3 5 5 4" xfId="18356" xr:uid="{00000000-0005-0000-0000-0000359F0000}"/>
    <cellStyle name="Normal 58 3 5 5 4 2" xfId="43909" xr:uid="{00000000-0005-0000-0000-0000369F0000}"/>
    <cellStyle name="Normal 58 3 5 5 5" xfId="29846" xr:uid="{00000000-0005-0000-0000-0000379F0000}"/>
    <cellStyle name="Normal 58 3 5 6" xfId="1546" xr:uid="{00000000-0005-0000-0000-0000389F0000}"/>
    <cellStyle name="Normal 58 3 5 6 2" xfId="10923" xr:uid="{00000000-0005-0000-0000-0000399F0000}"/>
    <cellStyle name="Normal 58 3 5 6 2 2" xfId="36478" xr:uid="{00000000-0005-0000-0000-00003A9F0000}"/>
    <cellStyle name="Normal 58 3 5 6 3" xfId="20927" xr:uid="{00000000-0005-0000-0000-00003B9F0000}"/>
    <cellStyle name="Normal 58 3 5 6 3 2" xfId="46480" xr:uid="{00000000-0005-0000-0000-00003C9F0000}"/>
    <cellStyle name="Normal 58 3 5 6 4" xfId="27410" xr:uid="{00000000-0005-0000-0000-00003D9F0000}"/>
    <cellStyle name="Normal 58 3 5 7" xfId="5730" xr:uid="{00000000-0005-0000-0000-00003E9F0000}"/>
    <cellStyle name="Normal 58 3 5 7 2" xfId="14557" xr:uid="{00000000-0005-0000-0000-00003F9F0000}"/>
    <cellStyle name="Normal 58 3 5 7 2 2" xfId="40112" xr:uid="{00000000-0005-0000-0000-0000409F0000}"/>
    <cellStyle name="Normal 58 3 5 7 3" xfId="24808" xr:uid="{00000000-0005-0000-0000-0000419F0000}"/>
    <cellStyle name="Normal 58 3 5 7 3 2" xfId="50361" xr:uid="{00000000-0005-0000-0000-0000429F0000}"/>
    <cellStyle name="Normal 58 3 5 7 4" xfId="31291" xr:uid="{00000000-0005-0000-0000-0000439F0000}"/>
    <cellStyle name="Normal 58 3 5 8" xfId="7174" xr:uid="{00000000-0005-0000-0000-0000449F0000}"/>
    <cellStyle name="Normal 58 3 5 8 2" xfId="19900" xr:uid="{00000000-0005-0000-0000-0000459F0000}"/>
    <cellStyle name="Normal 58 3 5 8 2 2" xfId="45453" xr:uid="{00000000-0005-0000-0000-0000469F0000}"/>
    <cellStyle name="Normal 58 3 5 8 3" xfId="32731" xr:uid="{00000000-0005-0000-0000-0000479F0000}"/>
    <cellStyle name="Normal 58 3 5 9" xfId="15920" xr:uid="{00000000-0005-0000-0000-0000489F0000}"/>
    <cellStyle name="Normal 58 3 5 9 2" xfId="41473" xr:uid="{00000000-0005-0000-0000-0000499F0000}"/>
    <cellStyle name="Normal 58 3 5_Degree data" xfId="4002" xr:uid="{00000000-0005-0000-0000-00004A9F0000}"/>
    <cellStyle name="Normal 58 3 6" xfId="302" xr:uid="{00000000-0005-0000-0000-00004B9F0000}"/>
    <cellStyle name="Normal 58 3 6 10" xfId="26231" xr:uid="{00000000-0005-0000-0000-00004C9F0000}"/>
    <cellStyle name="Normal 58 3 6 2" xfId="897" xr:uid="{00000000-0005-0000-0000-00004D9F0000}"/>
    <cellStyle name="Normal 58 3 6 2 2" xfId="3382" xr:uid="{00000000-0005-0000-0000-00004E9F0000}"/>
    <cellStyle name="Normal 58 3 6 2 2 2" xfId="12524" xr:uid="{00000000-0005-0000-0000-00004F9F0000}"/>
    <cellStyle name="Normal 58 3 6 2 2 2 2" xfId="22743" xr:uid="{00000000-0005-0000-0000-0000509F0000}"/>
    <cellStyle name="Normal 58 3 6 2 2 2 2 2" xfId="48296" xr:uid="{00000000-0005-0000-0000-0000519F0000}"/>
    <cellStyle name="Normal 58 3 6 2 2 2 3" xfId="38079" xr:uid="{00000000-0005-0000-0000-0000529F0000}"/>
    <cellStyle name="Normal 58 3 6 2 2 3" xfId="8946" xr:uid="{00000000-0005-0000-0000-0000539F0000}"/>
    <cellStyle name="Normal 58 3 6 2 2 3 2" xfId="34503" xr:uid="{00000000-0005-0000-0000-0000549F0000}"/>
    <cellStyle name="Normal 58 3 6 2 2 4" xfId="17736" xr:uid="{00000000-0005-0000-0000-0000559F0000}"/>
    <cellStyle name="Normal 58 3 6 2 2 4 2" xfId="43289" xr:uid="{00000000-0005-0000-0000-0000569F0000}"/>
    <cellStyle name="Normal 58 3 6 2 2 5" xfId="29226" xr:uid="{00000000-0005-0000-0000-0000579F0000}"/>
    <cellStyle name="Normal 58 3 6 2 3" xfId="4711" xr:uid="{00000000-0005-0000-0000-0000589F0000}"/>
    <cellStyle name="Normal 58 3 6 2 3 2" xfId="13549" xr:uid="{00000000-0005-0000-0000-0000599F0000}"/>
    <cellStyle name="Normal 58 3 6 2 3 2 2" xfId="23800" xr:uid="{00000000-0005-0000-0000-00005A9F0000}"/>
    <cellStyle name="Normal 58 3 6 2 3 2 2 2" xfId="49353" xr:uid="{00000000-0005-0000-0000-00005B9F0000}"/>
    <cellStyle name="Normal 58 3 6 2 3 2 3" xfId="39104" xr:uid="{00000000-0005-0000-0000-00005C9F0000}"/>
    <cellStyle name="Normal 58 3 6 2 3 3" xfId="9970" xr:uid="{00000000-0005-0000-0000-00005D9F0000}"/>
    <cellStyle name="Normal 58 3 6 2 3 3 2" xfId="35527" xr:uid="{00000000-0005-0000-0000-00005E9F0000}"/>
    <cellStyle name="Normal 58 3 6 2 3 4" xfId="18793" xr:uid="{00000000-0005-0000-0000-00005F9F0000}"/>
    <cellStyle name="Normal 58 3 6 2 3 4 2" xfId="44346" xr:uid="{00000000-0005-0000-0000-0000609F0000}"/>
    <cellStyle name="Normal 58 3 6 2 3 5" xfId="30283" xr:uid="{00000000-0005-0000-0000-0000619F0000}"/>
    <cellStyle name="Normal 58 3 6 2 4" xfId="2491" xr:uid="{00000000-0005-0000-0000-0000629F0000}"/>
    <cellStyle name="Normal 58 3 6 2 4 2" xfId="11856" xr:uid="{00000000-0005-0000-0000-0000639F0000}"/>
    <cellStyle name="Normal 58 3 6 2 4 2 2" xfId="37411" xr:uid="{00000000-0005-0000-0000-0000649F0000}"/>
    <cellStyle name="Normal 58 3 6 2 4 3" xfId="21860" xr:uid="{00000000-0005-0000-0000-0000659F0000}"/>
    <cellStyle name="Normal 58 3 6 2 4 3 2" xfId="47413" xr:uid="{00000000-0005-0000-0000-0000669F0000}"/>
    <cellStyle name="Normal 58 3 6 2 4 4" xfId="28343" xr:uid="{00000000-0005-0000-0000-0000679F0000}"/>
    <cellStyle name="Normal 58 3 6 2 5" xfId="6167" xr:uid="{00000000-0005-0000-0000-0000689F0000}"/>
    <cellStyle name="Normal 58 3 6 2 5 2" xfId="14994" xr:uid="{00000000-0005-0000-0000-0000699F0000}"/>
    <cellStyle name="Normal 58 3 6 2 5 2 2" xfId="40549" xr:uid="{00000000-0005-0000-0000-00006A9F0000}"/>
    <cellStyle name="Normal 58 3 6 2 5 3" xfId="25245" xr:uid="{00000000-0005-0000-0000-00006B9F0000}"/>
    <cellStyle name="Normal 58 3 6 2 5 3 2" xfId="50798" xr:uid="{00000000-0005-0000-0000-00006C9F0000}"/>
    <cellStyle name="Normal 58 3 6 2 5 4" xfId="31728" xr:uid="{00000000-0005-0000-0000-00006D9F0000}"/>
    <cellStyle name="Normal 58 3 6 2 6" xfId="7612" xr:uid="{00000000-0005-0000-0000-00006E9F0000}"/>
    <cellStyle name="Normal 58 3 6 2 6 2" xfId="20342" xr:uid="{00000000-0005-0000-0000-00006F9F0000}"/>
    <cellStyle name="Normal 58 3 6 2 6 2 2" xfId="45895" xr:uid="{00000000-0005-0000-0000-0000709F0000}"/>
    <cellStyle name="Normal 58 3 6 2 6 3" xfId="33169" xr:uid="{00000000-0005-0000-0000-0000719F0000}"/>
    <cellStyle name="Normal 58 3 6 2 7" xfId="16853" xr:uid="{00000000-0005-0000-0000-0000729F0000}"/>
    <cellStyle name="Normal 58 3 6 2 7 2" xfId="42406" xr:uid="{00000000-0005-0000-0000-0000739F0000}"/>
    <cellStyle name="Normal 58 3 6 2 8" xfId="26825" xr:uid="{00000000-0005-0000-0000-0000749F0000}"/>
    <cellStyle name="Normal 58 3 6 3" xfId="1074" xr:uid="{00000000-0005-0000-0000-0000759F0000}"/>
    <cellStyle name="Normal 58 3 6 3 2" xfId="3503" xr:uid="{00000000-0005-0000-0000-0000769F0000}"/>
    <cellStyle name="Normal 58 3 6 3 2 2" xfId="12639" xr:uid="{00000000-0005-0000-0000-0000779F0000}"/>
    <cellStyle name="Normal 58 3 6 3 2 2 2" xfId="22858" xr:uid="{00000000-0005-0000-0000-0000789F0000}"/>
    <cellStyle name="Normal 58 3 6 3 2 2 2 2" xfId="48411" xr:uid="{00000000-0005-0000-0000-0000799F0000}"/>
    <cellStyle name="Normal 58 3 6 3 2 2 3" xfId="38194" xr:uid="{00000000-0005-0000-0000-00007A9F0000}"/>
    <cellStyle name="Normal 58 3 6 3 2 3" xfId="9061" xr:uid="{00000000-0005-0000-0000-00007B9F0000}"/>
    <cellStyle name="Normal 58 3 6 3 2 3 2" xfId="34618" xr:uid="{00000000-0005-0000-0000-00007C9F0000}"/>
    <cellStyle name="Normal 58 3 6 3 2 4" xfId="17851" xr:uid="{00000000-0005-0000-0000-00007D9F0000}"/>
    <cellStyle name="Normal 58 3 6 3 2 4 2" xfId="43404" xr:uid="{00000000-0005-0000-0000-00007E9F0000}"/>
    <cellStyle name="Normal 58 3 6 3 2 5" xfId="29341" xr:uid="{00000000-0005-0000-0000-00007F9F0000}"/>
    <cellStyle name="Normal 58 3 6 3 3" xfId="5060" xr:uid="{00000000-0005-0000-0000-0000809F0000}"/>
    <cellStyle name="Normal 58 3 6 3 3 2" xfId="13897" xr:uid="{00000000-0005-0000-0000-0000819F0000}"/>
    <cellStyle name="Normal 58 3 6 3 3 2 2" xfId="24148" xr:uid="{00000000-0005-0000-0000-0000829F0000}"/>
    <cellStyle name="Normal 58 3 6 3 3 2 2 2" xfId="49701" xr:uid="{00000000-0005-0000-0000-0000839F0000}"/>
    <cellStyle name="Normal 58 3 6 3 3 2 3" xfId="39452" xr:uid="{00000000-0005-0000-0000-0000849F0000}"/>
    <cellStyle name="Normal 58 3 6 3 3 3" xfId="10318" xr:uid="{00000000-0005-0000-0000-0000859F0000}"/>
    <cellStyle name="Normal 58 3 6 3 3 3 2" xfId="35875" xr:uid="{00000000-0005-0000-0000-0000869F0000}"/>
    <cellStyle name="Normal 58 3 6 3 3 4" xfId="19141" xr:uid="{00000000-0005-0000-0000-0000879F0000}"/>
    <cellStyle name="Normal 58 3 6 3 3 4 2" xfId="44694" xr:uid="{00000000-0005-0000-0000-0000889F0000}"/>
    <cellStyle name="Normal 58 3 6 3 3 5" xfId="30631" xr:uid="{00000000-0005-0000-0000-0000899F0000}"/>
    <cellStyle name="Normal 58 3 6 3 4" xfId="2595" xr:uid="{00000000-0005-0000-0000-00008A9F0000}"/>
    <cellStyle name="Normal 58 3 6 3 4 2" xfId="11959" xr:uid="{00000000-0005-0000-0000-00008B9F0000}"/>
    <cellStyle name="Normal 58 3 6 3 4 2 2" xfId="37514" xr:uid="{00000000-0005-0000-0000-00008C9F0000}"/>
    <cellStyle name="Normal 58 3 6 3 4 3" xfId="21963" xr:uid="{00000000-0005-0000-0000-00008D9F0000}"/>
    <cellStyle name="Normal 58 3 6 3 4 3 2" xfId="47516" xr:uid="{00000000-0005-0000-0000-00008E9F0000}"/>
    <cellStyle name="Normal 58 3 6 3 4 4" xfId="28446" xr:uid="{00000000-0005-0000-0000-00008F9F0000}"/>
    <cellStyle name="Normal 58 3 6 3 5" xfId="6515" xr:uid="{00000000-0005-0000-0000-0000909F0000}"/>
    <cellStyle name="Normal 58 3 6 3 5 2" xfId="15342" xr:uid="{00000000-0005-0000-0000-0000919F0000}"/>
    <cellStyle name="Normal 58 3 6 3 5 2 2" xfId="40897" xr:uid="{00000000-0005-0000-0000-0000929F0000}"/>
    <cellStyle name="Normal 58 3 6 3 5 3" xfId="25593" xr:uid="{00000000-0005-0000-0000-0000939F0000}"/>
    <cellStyle name="Normal 58 3 6 3 5 3 2" xfId="51146" xr:uid="{00000000-0005-0000-0000-0000949F0000}"/>
    <cellStyle name="Normal 58 3 6 3 5 4" xfId="32076" xr:uid="{00000000-0005-0000-0000-0000959F0000}"/>
    <cellStyle name="Normal 58 3 6 3 6" xfId="7961" xr:uid="{00000000-0005-0000-0000-0000969F0000}"/>
    <cellStyle name="Normal 58 3 6 3 6 2" xfId="20457" xr:uid="{00000000-0005-0000-0000-0000979F0000}"/>
    <cellStyle name="Normal 58 3 6 3 6 2 2" xfId="46010" xr:uid="{00000000-0005-0000-0000-0000989F0000}"/>
    <cellStyle name="Normal 58 3 6 3 6 3" xfId="33518" xr:uid="{00000000-0005-0000-0000-0000999F0000}"/>
    <cellStyle name="Normal 58 3 6 3 7" xfId="16956" xr:uid="{00000000-0005-0000-0000-00009A9F0000}"/>
    <cellStyle name="Normal 58 3 6 3 7 2" xfId="42509" xr:uid="{00000000-0005-0000-0000-00009B9F0000}"/>
    <cellStyle name="Normal 58 3 6 3 8" xfId="26940" xr:uid="{00000000-0005-0000-0000-00009C9F0000}"/>
    <cellStyle name="Normal 58 3 6 4" xfId="2788" xr:uid="{00000000-0005-0000-0000-00009D9F0000}"/>
    <cellStyle name="Normal 58 3 6 4 2" xfId="5166" xr:uid="{00000000-0005-0000-0000-00009E9F0000}"/>
    <cellStyle name="Normal 58 3 6 4 2 2" xfId="14003" xr:uid="{00000000-0005-0000-0000-00009F9F0000}"/>
    <cellStyle name="Normal 58 3 6 4 2 2 2" xfId="24254" xr:uid="{00000000-0005-0000-0000-0000A09F0000}"/>
    <cellStyle name="Normal 58 3 6 4 2 2 2 2" xfId="49807" xr:uid="{00000000-0005-0000-0000-0000A19F0000}"/>
    <cellStyle name="Normal 58 3 6 4 2 2 3" xfId="39558" xr:uid="{00000000-0005-0000-0000-0000A29F0000}"/>
    <cellStyle name="Normal 58 3 6 4 2 3" xfId="10424" xr:uid="{00000000-0005-0000-0000-0000A39F0000}"/>
    <cellStyle name="Normal 58 3 6 4 2 3 2" xfId="35981" xr:uid="{00000000-0005-0000-0000-0000A49F0000}"/>
    <cellStyle name="Normal 58 3 6 4 2 4" xfId="19247" xr:uid="{00000000-0005-0000-0000-0000A59F0000}"/>
    <cellStyle name="Normal 58 3 6 4 2 4 2" xfId="44800" xr:uid="{00000000-0005-0000-0000-0000A69F0000}"/>
    <cellStyle name="Normal 58 3 6 4 2 5" xfId="30737" xr:uid="{00000000-0005-0000-0000-0000A79F0000}"/>
    <cellStyle name="Normal 58 3 6 4 3" xfId="6621" xr:uid="{00000000-0005-0000-0000-0000A89F0000}"/>
    <cellStyle name="Normal 58 3 6 4 3 2" xfId="15448" xr:uid="{00000000-0005-0000-0000-0000A99F0000}"/>
    <cellStyle name="Normal 58 3 6 4 3 2 2" xfId="41003" xr:uid="{00000000-0005-0000-0000-0000AA9F0000}"/>
    <cellStyle name="Normal 58 3 6 4 3 3" xfId="25699" xr:uid="{00000000-0005-0000-0000-0000AB9F0000}"/>
    <cellStyle name="Normal 58 3 6 4 3 3 2" xfId="51252" xr:uid="{00000000-0005-0000-0000-0000AC9F0000}"/>
    <cellStyle name="Normal 58 3 6 4 3 4" xfId="32182" xr:uid="{00000000-0005-0000-0000-0000AD9F0000}"/>
    <cellStyle name="Normal 58 3 6 4 4" xfId="8067" xr:uid="{00000000-0005-0000-0000-0000AE9F0000}"/>
    <cellStyle name="Normal 58 3 6 4 4 2" xfId="22149" xr:uid="{00000000-0005-0000-0000-0000AF9F0000}"/>
    <cellStyle name="Normal 58 3 6 4 4 2 2" xfId="47702" xr:uid="{00000000-0005-0000-0000-0000B09F0000}"/>
    <cellStyle name="Normal 58 3 6 4 4 3" xfId="33624" xr:uid="{00000000-0005-0000-0000-0000B19F0000}"/>
    <cellStyle name="Normal 58 3 6 4 5" xfId="17142" xr:uid="{00000000-0005-0000-0000-0000B29F0000}"/>
    <cellStyle name="Normal 58 3 6 4 5 2" xfId="42695" xr:uid="{00000000-0005-0000-0000-0000B39F0000}"/>
    <cellStyle name="Normal 58 3 6 4 6" xfId="28632" xr:uid="{00000000-0005-0000-0000-0000B49F0000}"/>
    <cellStyle name="Normal 58 3 6 5" xfId="4120" xr:uid="{00000000-0005-0000-0000-0000B59F0000}"/>
    <cellStyle name="Normal 58 3 6 5 2" xfId="12958" xr:uid="{00000000-0005-0000-0000-0000B69F0000}"/>
    <cellStyle name="Normal 58 3 6 5 2 2" xfId="23209" xr:uid="{00000000-0005-0000-0000-0000B79F0000}"/>
    <cellStyle name="Normal 58 3 6 5 2 2 2" xfId="48762" xr:uid="{00000000-0005-0000-0000-0000B89F0000}"/>
    <cellStyle name="Normal 58 3 6 5 2 3" xfId="38513" xr:uid="{00000000-0005-0000-0000-0000B99F0000}"/>
    <cellStyle name="Normal 58 3 6 5 3" xfId="9379" xr:uid="{00000000-0005-0000-0000-0000BA9F0000}"/>
    <cellStyle name="Normal 58 3 6 5 3 2" xfId="34936" xr:uid="{00000000-0005-0000-0000-0000BB9F0000}"/>
    <cellStyle name="Normal 58 3 6 5 4" xfId="18202" xr:uid="{00000000-0005-0000-0000-0000BC9F0000}"/>
    <cellStyle name="Normal 58 3 6 5 4 2" xfId="43755" xr:uid="{00000000-0005-0000-0000-0000BD9F0000}"/>
    <cellStyle name="Normal 58 3 6 5 5" xfId="29692" xr:uid="{00000000-0005-0000-0000-0000BE9F0000}"/>
    <cellStyle name="Normal 58 3 6 6" xfId="1897" xr:uid="{00000000-0005-0000-0000-0000BF9F0000}"/>
    <cellStyle name="Normal 58 3 6 6 2" xfId="11262" xr:uid="{00000000-0005-0000-0000-0000C09F0000}"/>
    <cellStyle name="Normal 58 3 6 6 2 2" xfId="36817" xr:uid="{00000000-0005-0000-0000-0000C19F0000}"/>
    <cellStyle name="Normal 58 3 6 6 3" xfId="21266" xr:uid="{00000000-0005-0000-0000-0000C29F0000}"/>
    <cellStyle name="Normal 58 3 6 6 3 2" xfId="46819" xr:uid="{00000000-0005-0000-0000-0000C39F0000}"/>
    <cellStyle name="Normal 58 3 6 6 4" xfId="27749" xr:uid="{00000000-0005-0000-0000-0000C49F0000}"/>
    <cellStyle name="Normal 58 3 6 7" xfId="5578" xr:uid="{00000000-0005-0000-0000-0000C59F0000}"/>
    <cellStyle name="Normal 58 3 6 7 2" xfId="14405" xr:uid="{00000000-0005-0000-0000-0000C69F0000}"/>
    <cellStyle name="Normal 58 3 6 7 2 2" xfId="39960" xr:uid="{00000000-0005-0000-0000-0000C79F0000}"/>
    <cellStyle name="Normal 58 3 6 7 3" xfId="24656" xr:uid="{00000000-0005-0000-0000-0000C89F0000}"/>
    <cellStyle name="Normal 58 3 6 7 3 2" xfId="50209" xr:uid="{00000000-0005-0000-0000-0000C99F0000}"/>
    <cellStyle name="Normal 58 3 6 7 4" xfId="31139" xr:uid="{00000000-0005-0000-0000-0000CA9F0000}"/>
    <cellStyle name="Normal 58 3 6 8" xfId="7022" xr:uid="{00000000-0005-0000-0000-0000CB9F0000}"/>
    <cellStyle name="Normal 58 3 6 8 2" xfId="19748" xr:uid="{00000000-0005-0000-0000-0000CC9F0000}"/>
    <cellStyle name="Normal 58 3 6 8 2 2" xfId="45301" xr:uid="{00000000-0005-0000-0000-0000CD9F0000}"/>
    <cellStyle name="Normal 58 3 6 8 3" xfId="32579" xr:uid="{00000000-0005-0000-0000-0000CE9F0000}"/>
    <cellStyle name="Normal 58 3 6 9" xfId="16259" xr:uid="{00000000-0005-0000-0000-0000CF9F0000}"/>
    <cellStyle name="Normal 58 3 6 9 2" xfId="41812" xr:uid="{00000000-0005-0000-0000-0000D09F0000}"/>
    <cellStyle name="Normal 58 3 6_Degree data" xfId="4003" xr:uid="{00000000-0005-0000-0000-0000D19F0000}"/>
    <cellStyle name="Normal 58 3 7" xfId="886" xr:uid="{00000000-0005-0000-0000-0000D29F0000}"/>
    <cellStyle name="Normal 58 3 7 2" xfId="3371" xr:uid="{00000000-0005-0000-0000-0000D39F0000}"/>
    <cellStyle name="Normal 58 3 7 2 2" xfId="12513" xr:uid="{00000000-0005-0000-0000-0000D49F0000}"/>
    <cellStyle name="Normal 58 3 7 2 2 2" xfId="22732" xr:uid="{00000000-0005-0000-0000-0000D59F0000}"/>
    <cellStyle name="Normal 58 3 7 2 2 2 2" xfId="48285" xr:uid="{00000000-0005-0000-0000-0000D69F0000}"/>
    <cellStyle name="Normal 58 3 7 2 2 3" xfId="38068" xr:uid="{00000000-0005-0000-0000-0000D79F0000}"/>
    <cellStyle name="Normal 58 3 7 2 3" xfId="8935" xr:uid="{00000000-0005-0000-0000-0000D89F0000}"/>
    <cellStyle name="Normal 58 3 7 2 3 2" xfId="34492" xr:uid="{00000000-0005-0000-0000-0000D99F0000}"/>
    <cellStyle name="Normal 58 3 7 2 4" xfId="17725" xr:uid="{00000000-0005-0000-0000-0000DA9F0000}"/>
    <cellStyle name="Normal 58 3 7 2 4 2" xfId="43278" xr:uid="{00000000-0005-0000-0000-0000DB9F0000}"/>
    <cellStyle name="Normal 58 3 7 2 5" xfId="29215" xr:uid="{00000000-0005-0000-0000-0000DC9F0000}"/>
    <cellStyle name="Normal 58 3 7 3" xfId="4700" xr:uid="{00000000-0005-0000-0000-0000DD9F0000}"/>
    <cellStyle name="Normal 58 3 7 3 2" xfId="13538" xr:uid="{00000000-0005-0000-0000-0000DE9F0000}"/>
    <cellStyle name="Normal 58 3 7 3 2 2" xfId="23789" xr:uid="{00000000-0005-0000-0000-0000DF9F0000}"/>
    <cellStyle name="Normal 58 3 7 3 2 2 2" xfId="49342" xr:uid="{00000000-0005-0000-0000-0000E09F0000}"/>
    <cellStyle name="Normal 58 3 7 3 2 3" xfId="39093" xr:uid="{00000000-0005-0000-0000-0000E19F0000}"/>
    <cellStyle name="Normal 58 3 7 3 3" xfId="9959" xr:uid="{00000000-0005-0000-0000-0000E29F0000}"/>
    <cellStyle name="Normal 58 3 7 3 3 2" xfId="35516" xr:uid="{00000000-0005-0000-0000-0000E39F0000}"/>
    <cellStyle name="Normal 58 3 7 3 4" xfId="18782" xr:uid="{00000000-0005-0000-0000-0000E49F0000}"/>
    <cellStyle name="Normal 58 3 7 3 4 2" xfId="44335" xr:uid="{00000000-0005-0000-0000-0000E59F0000}"/>
    <cellStyle name="Normal 58 3 7 3 5" xfId="30272" xr:uid="{00000000-0005-0000-0000-0000E69F0000}"/>
    <cellStyle name="Normal 58 3 7 4" xfId="2480" xr:uid="{00000000-0005-0000-0000-0000E79F0000}"/>
    <cellStyle name="Normal 58 3 7 4 2" xfId="11845" xr:uid="{00000000-0005-0000-0000-0000E89F0000}"/>
    <cellStyle name="Normal 58 3 7 4 2 2" xfId="37400" xr:uid="{00000000-0005-0000-0000-0000E99F0000}"/>
    <cellStyle name="Normal 58 3 7 4 3" xfId="21849" xr:uid="{00000000-0005-0000-0000-0000EA9F0000}"/>
    <cellStyle name="Normal 58 3 7 4 3 2" xfId="47402" xr:uid="{00000000-0005-0000-0000-0000EB9F0000}"/>
    <cellStyle name="Normal 58 3 7 4 4" xfId="28332" xr:uid="{00000000-0005-0000-0000-0000EC9F0000}"/>
    <cellStyle name="Normal 58 3 7 5" xfId="6156" xr:uid="{00000000-0005-0000-0000-0000ED9F0000}"/>
    <cellStyle name="Normal 58 3 7 5 2" xfId="14983" xr:uid="{00000000-0005-0000-0000-0000EE9F0000}"/>
    <cellStyle name="Normal 58 3 7 5 2 2" xfId="40538" xr:uid="{00000000-0005-0000-0000-0000EF9F0000}"/>
    <cellStyle name="Normal 58 3 7 5 3" xfId="25234" xr:uid="{00000000-0005-0000-0000-0000F09F0000}"/>
    <cellStyle name="Normal 58 3 7 5 3 2" xfId="50787" xr:uid="{00000000-0005-0000-0000-0000F19F0000}"/>
    <cellStyle name="Normal 58 3 7 5 4" xfId="31717" xr:uid="{00000000-0005-0000-0000-0000F29F0000}"/>
    <cellStyle name="Normal 58 3 7 6" xfId="7601" xr:uid="{00000000-0005-0000-0000-0000F39F0000}"/>
    <cellStyle name="Normal 58 3 7 6 2" xfId="20331" xr:uid="{00000000-0005-0000-0000-0000F49F0000}"/>
    <cellStyle name="Normal 58 3 7 6 2 2" xfId="45884" xr:uid="{00000000-0005-0000-0000-0000F59F0000}"/>
    <cellStyle name="Normal 58 3 7 6 3" xfId="33158" xr:uid="{00000000-0005-0000-0000-0000F69F0000}"/>
    <cellStyle name="Normal 58 3 7 7" xfId="16842" xr:uid="{00000000-0005-0000-0000-0000F79F0000}"/>
    <cellStyle name="Normal 58 3 7 7 2" xfId="42395" xr:uid="{00000000-0005-0000-0000-0000F89F0000}"/>
    <cellStyle name="Normal 58 3 7 8" xfId="26814" xr:uid="{00000000-0005-0000-0000-0000F99F0000}"/>
    <cellStyle name="Normal 58 3 8" xfId="1054" xr:uid="{00000000-0005-0000-0000-0000FA9F0000}"/>
    <cellStyle name="Normal 58 3 8 2" xfId="3483" xr:uid="{00000000-0005-0000-0000-0000FB9F0000}"/>
    <cellStyle name="Normal 58 3 8 2 2" xfId="12619" xr:uid="{00000000-0005-0000-0000-0000FC9F0000}"/>
    <cellStyle name="Normal 58 3 8 2 2 2" xfId="22838" xr:uid="{00000000-0005-0000-0000-0000FD9F0000}"/>
    <cellStyle name="Normal 58 3 8 2 2 2 2" xfId="48391" xr:uid="{00000000-0005-0000-0000-0000FE9F0000}"/>
    <cellStyle name="Normal 58 3 8 2 2 3" xfId="38174" xr:uid="{00000000-0005-0000-0000-0000FF9F0000}"/>
    <cellStyle name="Normal 58 3 8 2 3" xfId="9041" xr:uid="{00000000-0005-0000-0000-000000A00000}"/>
    <cellStyle name="Normal 58 3 8 2 3 2" xfId="34598" xr:uid="{00000000-0005-0000-0000-000001A00000}"/>
    <cellStyle name="Normal 58 3 8 2 4" xfId="17831" xr:uid="{00000000-0005-0000-0000-000002A00000}"/>
    <cellStyle name="Normal 58 3 8 2 4 2" xfId="43384" xr:uid="{00000000-0005-0000-0000-000003A00000}"/>
    <cellStyle name="Normal 58 3 8 2 5" xfId="29321" xr:uid="{00000000-0005-0000-0000-000004A00000}"/>
    <cellStyle name="Normal 58 3 8 3" xfId="5049" xr:uid="{00000000-0005-0000-0000-000005A00000}"/>
    <cellStyle name="Normal 58 3 8 3 2" xfId="13886" xr:uid="{00000000-0005-0000-0000-000006A00000}"/>
    <cellStyle name="Normal 58 3 8 3 2 2" xfId="24137" xr:uid="{00000000-0005-0000-0000-000007A00000}"/>
    <cellStyle name="Normal 58 3 8 3 2 2 2" xfId="49690" xr:uid="{00000000-0005-0000-0000-000008A00000}"/>
    <cellStyle name="Normal 58 3 8 3 2 3" xfId="39441" xr:uid="{00000000-0005-0000-0000-000009A00000}"/>
    <cellStyle name="Normal 58 3 8 3 3" xfId="10307" xr:uid="{00000000-0005-0000-0000-00000AA00000}"/>
    <cellStyle name="Normal 58 3 8 3 3 2" xfId="35864" xr:uid="{00000000-0005-0000-0000-00000BA00000}"/>
    <cellStyle name="Normal 58 3 8 3 4" xfId="19130" xr:uid="{00000000-0005-0000-0000-00000CA00000}"/>
    <cellStyle name="Normal 58 3 8 3 4 2" xfId="44683" xr:uid="{00000000-0005-0000-0000-00000DA00000}"/>
    <cellStyle name="Normal 58 3 8 3 5" xfId="30620" xr:uid="{00000000-0005-0000-0000-00000EA00000}"/>
    <cellStyle name="Normal 58 3 8 4" xfId="1722" xr:uid="{00000000-0005-0000-0000-00000FA00000}"/>
    <cellStyle name="Normal 58 3 8 4 2" xfId="11096" xr:uid="{00000000-0005-0000-0000-000010A00000}"/>
    <cellStyle name="Normal 58 3 8 4 2 2" xfId="36651" xr:uid="{00000000-0005-0000-0000-000011A00000}"/>
    <cellStyle name="Normal 58 3 8 4 3" xfId="21100" xr:uid="{00000000-0005-0000-0000-000012A00000}"/>
    <cellStyle name="Normal 58 3 8 4 3 2" xfId="46653" xr:uid="{00000000-0005-0000-0000-000013A00000}"/>
    <cellStyle name="Normal 58 3 8 4 4" xfId="27583" xr:uid="{00000000-0005-0000-0000-000014A00000}"/>
    <cellStyle name="Normal 58 3 8 5" xfId="6504" xr:uid="{00000000-0005-0000-0000-000015A00000}"/>
    <cellStyle name="Normal 58 3 8 5 2" xfId="15331" xr:uid="{00000000-0005-0000-0000-000016A00000}"/>
    <cellStyle name="Normal 58 3 8 5 2 2" xfId="40886" xr:uid="{00000000-0005-0000-0000-000017A00000}"/>
    <cellStyle name="Normal 58 3 8 5 3" xfId="25582" xr:uid="{00000000-0005-0000-0000-000018A00000}"/>
    <cellStyle name="Normal 58 3 8 5 3 2" xfId="51135" xr:uid="{00000000-0005-0000-0000-000019A00000}"/>
    <cellStyle name="Normal 58 3 8 5 4" xfId="32065" xr:uid="{00000000-0005-0000-0000-00001AA00000}"/>
    <cellStyle name="Normal 58 3 8 6" xfId="7950" xr:uid="{00000000-0005-0000-0000-00001BA00000}"/>
    <cellStyle name="Normal 58 3 8 6 2" xfId="20437" xr:uid="{00000000-0005-0000-0000-00001CA00000}"/>
    <cellStyle name="Normal 58 3 8 6 2 2" xfId="45990" xr:uid="{00000000-0005-0000-0000-00001DA00000}"/>
    <cellStyle name="Normal 58 3 8 6 3" xfId="33507" xr:uid="{00000000-0005-0000-0000-00001EA00000}"/>
    <cellStyle name="Normal 58 3 8 7" xfId="16093" xr:uid="{00000000-0005-0000-0000-00001FA00000}"/>
    <cellStyle name="Normal 58 3 8 7 2" xfId="41646" xr:uid="{00000000-0005-0000-0000-000020A00000}"/>
    <cellStyle name="Normal 58 3 8 8" xfId="26920" xr:uid="{00000000-0005-0000-0000-000021A00000}"/>
    <cellStyle name="Normal 58 3 9" xfId="2620" xr:uid="{00000000-0005-0000-0000-000022A00000}"/>
    <cellStyle name="Normal 58 3 9 2" xfId="5146" xr:uid="{00000000-0005-0000-0000-000023A00000}"/>
    <cellStyle name="Normal 58 3 9 2 2" xfId="13983" xr:uid="{00000000-0005-0000-0000-000024A00000}"/>
    <cellStyle name="Normal 58 3 9 2 2 2" xfId="24234" xr:uid="{00000000-0005-0000-0000-000025A00000}"/>
    <cellStyle name="Normal 58 3 9 2 2 2 2" xfId="49787" xr:uid="{00000000-0005-0000-0000-000026A00000}"/>
    <cellStyle name="Normal 58 3 9 2 2 3" xfId="39538" xr:uid="{00000000-0005-0000-0000-000027A00000}"/>
    <cellStyle name="Normal 58 3 9 2 3" xfId="10404" xr:uid="{00000000-0005-0000-0000-000028A00000}"/>
    <cellStyle name="Normal 58 3 9 2 3 2" xfId="35961" xr:uid="{00000000-0005-0000-0000-000029A00000}"/>
    <cellStyle name="Normal 58 3 9 2 4" xfId="19227" xr:uid="{00000000-0005-0000-0000-00002AA00000}"/>
    <cellStyle name="Normal 58 3 9 2 4 2" xfId="44780" xr:uid="{00000000-0005-0000-0000-00002BA00000}"/>
    <cellStyle name="Normal 58 3 9 2 5" xfId="30717" xr:uid="{00000000-0005-0000-0000-00002CA00000}"/>
    <cellStyle name="Normal 58 3 9 3" xfId="6601" xr:uid="{00000000-0005-0000-0000-00002DA00000}"/>
    <cellStyle name="Normal 58 3 9 3 2" xfId="15428" xr:uid="{00000000-0005-0000-0000-00002EA00000}"/>
    <cellStyle name="Normal 58 3 9 3 2 2" xfId="40983" xr:uid="{00000000-0005-0000-0000-00002FA00000}"/>
    <cellStyle name="Normal 58 3 9 3 3" xfId="25679" xr:uid="{00000000-0005-0000-0000-000030A00000}"/>
    <cellStyle name="Normal 58 3 9 3 3 2" xfId="51232" xr:uid="{00000000-0005-0000-0000-000031A00000}"/>
    <cellStyle name="Normal 58 3 9 3 4" xfId="32162" xr:uid="{00000000-0005-0000-0000-000032A00000}"/>
    <cellStyle name="Normal 58 3 9 4" xfId="8047" xr:uid="{00000000-0005-0000-0000-000033A00000}"/>
    <cellStyle name="Normal 58 3 9 4 2" xfId="21983" xr:uid="{00000000-0005-0000-0000-000034A00000}"/>
    <cellStyle name="Normal 58 3 9 4 2 2" xfId="47536" xr:uid="{00000000-0005-0000-0000-000035A00000}"/>
    <cellStyle name="Normal 58 3 9 4 3" xfId="33604" xr:uid="{00000000-0005-0000-0000-000036A00000}"/>
    <cellStyle name="Normal 58 3 9 5" xfId="16976" xr:uid="{00000000-0005-0000-0000-000037A00000}"/>
    <cellStyle name="Normal 58 3 9 5 2" xfId="42529" xr:uid="{00000000-0005-0000-0000-000038A00000}"/>
    <cellStyle name="Normal 58 3 9 6" xfId="28466" xr:uid="{00000000-0005-0000-0000-000039A00000}"/>
    <cellStyle name="Normal 58 3_Degree data" xfId="3992" xr:uid="{00000000-0005-0000-0000-00003AA00000}"/>
    <cellStyle name="Normal 58 4" xfId="127" xr:uid="{00000000-0005-0000-0000-00003BA00000}"/>
    <cellStyle name="Normal 58 4 10" xfId="4095" xr:uid="{00000000-0005-0000-0000-00003CA00000}"/>
    <cellStyle name="Normal 58 4 10 2" xfId="5553" xr:uid="{00000000-0005-0000-0000-00003DA00000}"/>
    <cellStyle name="Normal 58 4 10 2 2" xfId="14380" xr:uid="{00000000-0005-0000-0000-00003EA00000}"/>
    <cellStyle name="Normal 58 4 10 2 2 2" xfId="39935" xr:uid="{00000000-0005-0000-0000-00003FA00000}"/>
    <cellStyle name="Normal 58 4 10 2 3" xfId="24631" xr:uid="{00000000-0005-0000-0000-000040A00000}"/>
    <cellStyle name="Normal 58 4 10 2 3 2" xfId="50184" xr:uid="{00000000-0005-0000-0000-000041A00000}"/>
    <cellStyle name="Normal 58 4 10 2 4" xfId="31114" xr:uid="{00000000-0005-0000-0000-000042A00000}"/>
    <cellStyle name="Normal 58 4 10 3" xfId="6997" xr:uid="{00000000-0005-0000-0000-000043A00000}"/>
    <cellStyle name="Normal 58 4 10 3 2" xfId="23184" xr:uid="{00000000-0005-0000-0000-000044A00000}"/>
    <cellStyle name="Normal 58 4 10 3 2 2" xfId="48737" xr:uid="{00000000-0005-0000-0000-000045A00000}"/>
    <cellStyle name="Normal 58 4 10 3 3" xfId="32554" xr:uid="{00000000-0005-0000-0000-000046A00000}"/>
    <cellStyle name="Normal 58 4 10 4" xfId="18177" xr:uid="{00000000-0005-0000-0000-000047A00000}"/>
    <cellStyle name="Normal 58 4 10 4 2" xfId="43730" xr:uid="{00000000-0005-0000-0000-000048A00000}"/>
    <cellStyle name="Normal 58 4 10 5" xfId="29667" xr:uid="{00000000-0005-0000-0000-000049A00000}"/>
    <cellStyle name="Normal 58 4 11" xfId="1412" xr:uid="{00000000-0005-0000-0000-00004AA00000}"/>
    <cellStyle name="Normal 58 4 11 2" xfId="10789" xr:uid="{00000000-0005-0000-0000-00004BA00000}"/>
    <cellStyle name="Normal 58 4 11 2 2" xfId="36344" xr:uid="{00000000-0005-0000-0000-00004CA00000}"/>
    <cellStyle name="Normal 58 4 11 3" xfId="20793" xr:uid="{00000000-0005-0000-0000-00004DA00000}"/>
    <cellStyle name="Normal 58 4 11 3 2" xfId="46346" xr:uid="{00000000-0005-0000-0000-00004EA00000}"/>
    <cellStyle name="Normal 58 4 11 4" xfId="27276" xr:uid="{00000000-0005-0000-0000-00004FA00000}"/>
    <cellStyle name="Normal 58 4 12" xfId="5523" xr:uid="{00000000-0005-0000-0000-000050A00000}"/>
    <cellStyle name="Normal 58 4 12 2" xfId="14350" xr:uid="{00000000-0005-0000-0000-000051A00000}"/>
    <cellStyle name="Normal 58 4 12 2 2" xfId="39905" xr:uid="{00000000-0005-0000-0000-000052A00000}"/>
    <cellStyle name="Normal 58 4 12 3" xfId="24601" xr:uid="{00000000-0005-0000-0000-000053A00000}"/>
    <cellStyle name="Normal 58 4 12 3 2" xfId="50154" xr:uid="{00000000-0005-0000-0000-000054A00000}"/>
    <cellStyle name="Normal 58 4 12 4" xfId="31084" xr:uid="{00000000-0005-0000-0000-000055A00000}"/>
    <cellStyle name="Normal 58 4 13" xfId="6964" xr:uid="{00000000-0005-0000-0000-000056A00000}"/>
    <cellStyle name="Normal 58 4 13 2" xfId="19594" xr:uid="{00000000-0005-0000-0000-000057A00000}"/>
    <cellStyle name="Normal 58 4 13 2 2" xfId="45147" xr:uid="{00000000-0005-0000-0000-000058A00000}"/>
    <cellStyle name="Normal 58 4 13 3" xfId="32522" xr:uid="{00000000-0005-0000-0000-000059A00000}"/>
    <cellStyle name="Normal 58 4 14" xfId="15786" xr:uid="{00000000-0005-0000-0000-00005AA00000}"/>
    <cellStyle name="Normal 58 4 14 2" xfId="41339" xr:uid="{00000000-0005-0000-0000-00005BA00000}"/>
    <cellStyle name="Normal 58 4 15" xfId="26077" xr:uid="{00000000-0005-0000-0000-00005CA00000}"/>
    <cellStyle name="Normal 58 4 2" xfId="144" xr:uid="{00000000-0005-0000-0000-00005DA00000}"/>
    <cellStyle name="Normal 58 4 2 10" xfId="5655" xr:uid="{00000000-0005-0000-0000-00005EA00000}"/>
    <cellStyle name="Normal 58 4 2 10 2" xfId="14482" xr:uid="{00000000-0005-0000-0000-00005FA00000}"/>
    <cellStyle name="Normal 58 4 2 10 2 2" xfId="40037" xr:uid="{00000000-0005-0000-0000-000060A00000}"/>
    <cellStyle name="Normal 58 4 2 10 3" xfId="24733" xr:uid="{00000000-0005-0000-0000-000061A00000}"/>
    <cellStyle name="Normal 58 4 2 10 3 2" xfId="50286" xr:uid="{00000000-0005-0000-0000-000062A00000}"/>
    <cellStyle name="Normal 58 4 2 10 4" xfId="31216" xr:uid="{00000000-0005-0000-0000-000063A00000}"/>
    <cellStyle name="Normal 58 4 2 11" xfId="7099" xr:uid="{00000000-0005-0000-0000-000064A00000}"/>
    <cellStyle name="Normal 58 4 2 11 2" xfId="19608" xr:uid="{00000000-0005-0000-0000-000065A00000}"/>
    <cellStyle name="Normal 58 4 2 11 2 2" xfId="45161" xr:uid="{00000000-0005-0000-0000-000066A00000}"/>
    <cellStyle name="Normal 58 4 2 11 3" xfId="32656" xr:uid="{00000000-0005-0000-0000-000067A00000}"/>
    <cellStyle name="Normal 58 4 2 12" xfId="15845" xr:uid="{00000000-0005-0000-0000-000068A00000}"/>
    <cellStyle name="Normal 58 4 2 12 2" xfId="41398" xr:uid="{00000000-0005-0000-0000-000069A00000}"/>
    <cellStyle name="Normal 58 4 2 13" xfId="26091" xr:uid="{00000000-0005-0000-0000-00006AA00000}"/>
    <cellStyle name="Normal 58 4 2 2" xfId="260" xr:uid="{00000000-0005-0000-0000-00006BA00000}"/>
    <cellStyle name="Normal 58 4 2 2 10" xfId="16049" xr:uid="{00000000-0005-0000-0000-00006CA00000}"/>
    <cellStyle name="Normal 58 4 2 2 10 2" xfId="41602" xr:uid="{00000000-0005-0000-0000-00006DA00000}"/>
    <cellStyle name="Normal 58 4 2 2 11" xfId="26195" xr:uid="{00000000-0005-0000-0000-00006EA00000}"/>
    <cellStyle name="Normal 58 4 2 2 2" xfId="583" xr:uid="{00000000-0005-0000-0000-00006FA00000}"/>
    <cellStyle name="Normal 58 4 2 2 2 2" xfId="3069" xr:uid="{00000000-0005-0000-0000-000070A00000}"/>
    <cellStyle name="Normal 58 4 2 2 2 2 2" xfId="12220" xr:uid="{00000000-0005-0000-0000-000071A00000}"/>
    <cellStyle name="Normal 58 4 2 2 2 2 2 2" xfId="22430" xr:uid="{00000000-0005-0000-0000-000072A00000}"/>
    <cellStyle name="Normal 58 4 2 2 2 2 2 2 2" xfId="47983" xr:uid="{00000000-0005-0000-0000-000073A00000}"/>
    <cellStyle name="Normal 58 4 2 2 2 2 2 3" xfId="37775" xr:uid="{00000000-0005-0000-0000-000074A00000}"/>
    <cellStyle name="Normal 58 4 2 2 2 2 3" xfId="8642" xr:uid="{00000000-0005-0000-0000-000075A00000}"/>
    <cellStyle name="Normal 58 4 2 2 2 2 3 2" xfId="34199" xr:uid="{00000000-0005-0000-0000-000076A00000}"/>
    <cellStyle name="Normal 58 4 2 2 2 2 4" xfId="17423" xr:uid="{00000000-0005-0000-0000-000077A00000}"/>
    <cellStyle name="Normal 58 4 2 2 2 2 4 2" xfId="42976" xr:uid="{00000000-0005-0000-0000-000078A00000}"/>
    <cellStyle name="Normal 58 4 2 2 2 2 5" xfId="28913" xr:uid="{00000000-0005-0000-0000-000079A00000}"/>
    <cellStyle name="Normal 58 4 2 2 2 3" xfId="4714" xr:uid="{00000000-0005-0000-0000-00007AA00000}"/>
    <cellStyle name="Normal 58 4 2 2 2 3 2" xfId="13552" xr:uid="{00000000-0005-0000-0000-00007BA00000}"/>
    <cellStyle name="Normal 58 4 2 2 2 3 2 2" xfId="23803" xr:uid="{00000000-0005-0000-0000-00007CA00000}"/>
    <cellStyle name="Normal 58 4 2 2 2 3 2 2 2" xfId="49356" xr:uid="{00000000-0005-0000-0000-00007DA00000}"/>
    <cellStyle name="Normal 58 4 2 2 2 3 2 3" xfId="39107" xr:uid="{00000000-0005-0000-0000-00007EA00000}"/>
    <cellStyle name="Normal 58 4 2 2 2 3 3" xfId="9973" xr:uid="{00000000-0005-0000-0000-00007FA00000}"/>
    <cellStyle name="Normal 58 4 2 2 2 3 3 2" xfId="35530" xr:uid="{00000000-0005-0000-0000-000080A00000}"/>
    <cellStyle name="Normal 58 4 2 2 2 3 4" xfId="18796" xr:uid="{00000000-0005-0000-0000-000081A00000}"/>
    <cellStyle name="Normal 58 4 2 2 2 3 4 2" xfId="44349" xr:uid="{00000000-0005-0000-0000-000082A00000}"/>
    <cellStyle name="Normal 58 4 2 2 2 3 5" xfId="30286" xr:uid="{00000000-0005-0000-0000-000083A00000}"/>
    <cellStyle name="Normal 58 4 2 2 2 4" xfId="2178" xr:uid="{00000000-0005-0000-0000-000084A00000}"/>
    <cellStyle name="Normal 58 4 2 2 2 4 2" xfId="11543" xr:uid="{00000000-0005-0000-0000-000085A00000}"/>
    <cellStyle name="Normal 58 4 2 2 2 4 2 2" xfId="37098" xr:uid="{00000000-0005-0000-0000-000086A00000}"/>
    <cellStyle name="Normal 58 4 2 2 2 4 3" xfId="21547" xr:uid="{00000000-0005-0000-0000-000087A00000}"/>
    <cellStyle name="Normal 58 4 2 2 2 4 3 2" xfId="47100" xr:uid="{00000000-0005-0000-0000-000088A00000}"/>
    <cellStyle name="Normal 58 4 2 2 2 4 4" xfId="28030" xr:uid="{00000000-0005-0000-0000-000089A00000}"/>
    <cellStyle name="Normal 58 4 2 2 2 5" xfId="6170" xr:uid="{00000000-0005-0000-0000-00008AA00000}"/>
    <cellStyle name="Normal 58 4 2 2 2 5 2" xfId="14997" xr:uid="{00000000-0005-0000-0000-00008BA00000}"/>
    <cellStyle name="Normal 58 4 2 2 2 5 2 2" xfId="40552" xr:uid="{00000000-0005-0000-0000-00008CA00000}"/>
    <cellStyle name="Normal 58 4 2 2 2 5 3" xfId="25248" xr:uid="{00000000-0005-0000-0000-00008DA00000}"/>
    <cellStyle name="Normal 58 4 2 2 2 5 3 2" xfId="50801" xr:uid="{00000000-0005-0000-0000-00008EA00000}"/>
    <cellStyle name="Normal 58 4 2 2 2 5 4" xfId="31731" xr:uid="{00000000-0005-0000-0000-00008FA00000}"/>
    <cellStyle name="Normal 58 4 2 2 2 6" xfId="7615" xr:uid="{00000000-0005-0000-0000-000090A00000}"/>
    <cellStyle name="Normal 58 4 2 2 2 6 2" xfId="20029" xr:uid="{00000000-0005-0000-0000-000091A00000}"/>
    <cellStyle name="Normal 58 4 2 2 2 6 2 2" xfId="45582" xr:uid="{00000000-0005-0000-0000-000092A00000}"/>
    <cellStyle name="Normal 58 4 2 2 2 6 3" xfId="33172" xr:uid="{00000000-0005-0000-0000-000093A00000}"/>
    <cellStyle name="Normal 58 4 2 2 2 7" xfId="16540" xr:uid="{00000000-0005-0000-0000-000094A00000}"/>
    <cellStyle name="Normal 58 4 2 2 2 7 2" xfId="42093" xr:uid="{00000000-0005-0000-0000-000095A00000}"/>
    <cellStyle name="Normal 58 4 2 2 2 8" xfId="26512" xr:uid="{00000000-0005-0000-0000-000096A00000}"/>
    <cellStyle name="Normal 58 4 2 2 3" xfId="900" xr:uid="{00000000-0005-0000-0000-000097A00000}"/>
    <cellStyle name="Normal 58 4 2 2 3 2" xfId="3385" xr:uid="{00000000-0005-0000-0000-000098A00000}"/>
    <cellStyle name="Normal 58 4 2 2 3 2 2" xfId="12527" xr:uid="{00000000-0005-0000-0000-000099A00000}"/>
    <cellStyle name="Normal 58 4 2 2 3 2 2 2" xfId="22746" xr:uid="{00000000-0005-0000-0000-00009AA00000}"/>
    <cellStyle name="Normal 58 4 2 2 3 2 2 2 2" xfId="48299" xr:uid="{00000000-0005-0000-0000-00009BA00000}"/>
    <cellStyle name="Normal 58 4 2 2 3 2 2 3" xfId="38082" xr:uid="{00000000-0005-0000-0000-00009CA00000}"/>
    <cellStyle name="Normal 58 4 2 2 3 2 3" xfId="8949" xr:uid="{00000000-0005-0000-0000-00009DA00000}"/>
    <cellStyle name="Normal 58 4 2 2 3 2 3 2" xfId="34506" xr:uid="{00000000-0005-0000-0000-00009EA00000}"/>
    <cellStyle name="Normal 58 4 2 2 3 2 4" xfId="17739" xr:uid="{00000000-0005-0000-0000-00009FA00000}"/>
    <cellStyle name="Normal 58 4 2 2 3 2 4 2" xfId="43292" xr:uid="{00000000-0005-0000-0000-0000A0A00000}"/>
    <cellStyle name="Normal 58 4 2 2 3 2 5" xfId="29229" xr:uid="{00000000-0005-0000-0000-0000A1A00000}"/>
    <cellStyle name="Normal 58 4 2 2 3 3" xfId="5063" xr:uid="{00000000-0005-0000-0000-0000A2A00000}"/>
    <cellStyle name="Normal 58 4 2 2 3 3 2" xfId="13900" xr:uid="{00000000-0005-0000-0000-0000A3A00000}"/>
    <cellStyle name="Normal 58 4 2 2 3 3 2 2" xfId="24151" xr:uid="{00000000-0005-0000-0000-0000A4A00000}"/>
    <cellStyle name="Normal 58 4 2 2 3 3 2 2 2" xfId="49704" xr:uid="{00000000-0005-0000-0000-0000A5A00000}"/>
    <cellStyle name="Normal 58 4 2 2 3 3 2 3" xfId="39455" xr:uid="{00000000-0005-0000-0000-0000A6A00000}"/>
    <cellStyle name="Normal 58 4 2 2 3 3 3" xfId="10321" xr:uid="{00000000-0005-0000-0000-0000A7A00000}"/>
    <cellStyle name="Normal 58 4 2 2 3 3 3 2" xfId="35878" xr:uid="{00000000-0005-0000-0000-0000A8A00000}"/>
    <cellStyle name="Normal 58 4 2 2 3 3 4" xfId="19144" xr:uid="{00000000-0005-0000-0000-0000A9A00000}"/>
    <cellStyle name="Normal 58 4 2 2 3 3 4 2" xfId="44697" xr:uid="{00000000-0005-0000-0000-0000AAA00000}"/>
    <cellStyle name="Normal 58 4 2 2 3 3 5" xfId="30634" xr:uid="{00000000-0005-0000-0000-0000ABA00000}"/>
    <cellStyle name="Normal 58 4 2 2 3 4" xfId="2494" xr:uid="{00000000-0005-0000-0000-0000ACA00000}"/>
    <cellStyle name="Normal 58 4 2 2 3 4 2" xfId="11859" xr:uid="{00000000-0005-0000-0000-0000ADA00000}"/>
    <cellStyle name="Normal 58 4 2 2 3 4 2 2" xfId="37414" xr:uid="{00000000-0005-0000-0000-0000AEA00000}"/>
    <cellStyle name="Normal 58 4 2 2 3 4 3" xfId="21863" xr:uid="{00000000-0005-0000-0000-0000AFA00000}"/>
    <cellStyle name="Normal 58 4 2 2 3 4 3 2" xfId="47416" xr:uid="{00000000-0005-0000-0000-0000B0A00000}"/>
    <cellStyle name="Normal 58 4 2 2 3 4 4" xfId="28346" xr:uid="{00000000-0005-0000-0000-0000B1A00000}"/>
    <cellStyle name="Normal 58 4 2 2 3 5" xfId="6518" xr:uid="{00000000-0005-0000-0000-0000B2A00000}"/>
    <cellStyle name="Normal 58 4 2 2 3 5 2" xfId="15345" xr:uid="{00000000-0005-0000-0000-0000B3A00000}"/>
    <cellStyle name="Normal 58 4 2 2 3 5 2 2" xfId="40900" xr:uid="{00000000-0005-0000-0000-0000B4A00000}"/>
    <cellStyle name="Normal 58 4 2 2 3 5 3" xfId="25596" xr:uid="{00000000-0005-0000-0000-0000B5A00000}"/>
    <cellStyle name="Normal 58 4 2 2 3 5 3 2" xfId="51149" xr:uid="{00000000-0005-0000-0000-0000B6A00000}"/>
    <cellStyle name="Normal 58 4 2 2 3 5 4" xfId="32079" xr:uid="{00000000-0005-0000-0000-0000B7A00000}"/>
    <cellStyle name="Normal 58 4 2 2 3 6" xfId="7964" xr:uid="{00000000-0005-0000-0000-0000B8A00000}"/>
    <cellStyle name="Normal 58 4 2 2 3 6 2" xfId="20345" xr:uid="{00000000-0005-0000-0000-0000B9A00000}"/>
    <cellStyle name="Normal 58 4 2 2 3 6 2 2" xfId="45898" xr:uid="{00000000-0005-0000-0000-0000BAA00000}"/>
    <cellStyle name="Normal 58 4 2 2 3 6 3" xfId="33521" xr:uid="{00000000-0005-0000-0000-0000BBA00000}"/>
    <cellStyle name="Normal 58 4 2 2 3 7" xfId="16856" xr:uid="{00000000-0005-0000-0000-0000BCA00000}"/>
    <cellStyle name="Normal 58 4 2 2 3 7 2" xfId="42409" xr:uid="{00000000-0005-0000-0000-0000BDA00000}"/>
    <cellStyle name="Normal 58 4 2 2 3 8" xfId="26828" xr:uid="{00000000-0005-0000-0000-0000BEA00000}"/>
    <cellStyle name="Normal 58 4 2 2 4" xfId="1355" xr:uid="{00000000-0005-0000-0000-0000BFA00000}"/>
    <cellStyle name="Normal 58 4 2 2 4 2" xfId="3784" xr:uid="{00000000-0005-0000-0000-0000C0A00000}"/>
    <cellStyle name="Normal 58 4 2 2 4 2 2" xfId="12920" xr:uid="{00000000-0005-0000-0000-0000C1A00000}"/>
    <cellStyle name="Normal 58 4 2 2 4 2 2 2" xfId="23139" xr:uid="{00000000-0005-0000-0000-0000C2A00000}"/>
    <cellStyle name="Normal 58 4 2 2 4 2 2 2 2" xfId="48692" xr:uid="{00000000-0005-0000-0000-0000C3A00000}"/>
    <cellStyle name="Normal 58 4 2 2 4 2 2 3" xfId="38475" xr:uid="{00000000-0005-0000-0000-0000C4A00000}"/>
    <cellStyle name="Normal 58 4 2 2 4 2 3" xfId="9341" xr:uid="{00000000-0005-0000-0000-0000C5A00000}"/>
    <cellStyle name="Normal 58 4 2 2 4 2 3 2" xfId="34898" xr:uid="{00000000-0005-0000-0000-0000C6A00000}"/>
    <cellStyle name="Normal 58 4 2 2 4 2 4" xfId="18132" xr:uid="{00000000-0005-0000-0000-0000C7A00000}"/>
    <cellStyle name="Normal 58 4 2 2 4 2 4 2" xfId="43685" xr:uid="{00000000-0005-0000-0000-0000C8A00000}"/>
    <cellStyle name="Normal 58 4 2 2 4 2 5" xfId="29622" xr:uid="{00000000-0005-0000-0000-0000C9A00000}"/>
    <cellStyle name="Normal 58 4 2 2 4 3" xfId="5447" xr:uid="{00000000-0005-0000-0000-0000CAA00000}"/>
    <cellStyle name="Normal 58 4 2 2 4 3 2" xfId="14284" xr:uid="{00000000-0005-0000-0000-0000CBA00000}"/>
    <cellStyle name="Normal 58 4 2 2 4 3 2 2" xfId="24535" xr:uid="{00000000-0005-0000-0000-0000CCA00000}"/>
    <cellStyle name="Normal 58 4 2 2 4 3 2 2 2" xfId="50088" xr:uid="{00000000-0005-0000-0000-0000CDA00000}"/>
    <cellStyle name="Normal 58 4 2 2 4 3 2 3" xfId="39839" xr:uid="{00000000-0005-0000-0000-0000CEA00000}"/>
    <cellStyle name="Normal 58 4 2 2 4 3 3" xfId="10705" xr:uid="{00000000-0005-0000-0000-0000CFA00000}"/>
    <cellStyle name="Normal 58 4 2 2 4 3 3 2" xfId="36262" xr:uid="{00000000-0005-0000-0000-0000D0A00000}"/>
    <cellStyle name="Normal 58 4 2 2 4 3 4" xfId="19528" xr:uid="{00000000-0005-0000-0000-0000D1A00000}"/>
    <cellStyle name="Normal 58 4 2 2 4 3 4 2" xfId="45081" xr:uid="{00000000-0005-0000-0000-0000D2A00000}"/>
    <cellStyle name="Normal 58 4 2 2 4 3 5" xfId="31018" xr:uid="{00000000-0005-0000-0000-0000D3A00000}"/>
    <cellStyle name="Normal 58 4 2 2 4 4" xfId="1858" xr:uid="{00000000-0005-0000-0000-0000D4A00000}"/>
    <cellStyle name="Normal 58 4 2 2 4 4 2" xfId="11226" xr:uid="{00000000-0005-0000-0000-0000D5A00000}"/>
    <cellStyle name="Normal 58 4 2 2 4 4 2 2" xfId="36781" xr:uid="{00000000-0005-0000-0000-0000D6A00000}"/>
    <cellStyle name="Normal 58 4 2 2 4 4 3" xfId="21230" xr:uid="{00000000-0005-0000-0000-0000D7A00000}"/>
    <cellStyle name="Normal 58 4 2 2 4 4 3 2" xfId="46783" xr:uid="{00000000-0005-0000-0000-0000D8A00000}"/>
    <cellStyle name="Normal 58 4 2 2 4 4 4" xfId="27713" xr:uid="{00000000-0005-0000-0000-0000D9A00000}"/>
    <cellStyle name="Normal 58 4 2 2 4 5" xfId="6902" xr:uid="{00000000-0005-0000-0000-0000DAA00000}"/>
    <cellStyle name="Normal 58 4 2 2 4 5 2" xfId="15729" xr:uid="{00000000-0005-0000-0000-0000DBA00000}"/>
    <cellStyle name="Normal 58 4 2 2 4 5 2 2" xfId="41284" xr:uid="{00000000-0005-0000-0000-0000DCA00000}"/>
    <cellStyle name="Normal 58 4 2 2 4 5 3" xfId="25980" xr:uid="{00000000-0005-0000-0000-0000DDA00000}"/>
    <cellStyle name="Normal 58 4 2 2 4 5 3 2" xfId="51533" xr:uid="{00000000-0005-0000-0000-0000DEA00000}"/>
    <cellStyle name="Normal 58 4 2 2 4 5 4" xfId="32463" xr:uid="{00000000-0005-0000-0000-0000DFA00000}"/>
    <cellStyle name="Normal 58 4 2 2 4 6" xfId="8348" xr:uid="{00000000-0005-0000-0000-0000E0A00000}"/>
    <cellStyle name="Normal 58 4 2 2 4 6 2" xfId="20738" xr:uid="{00000000-0005-0000-0000-0000E1A00000}"/>
    <cellStyle name="Normal 58 4 2 2 4 6 2 2" xfId="46291" xr:uid="{00000000-0005-0000-0000-0000E2A00000}"/>
    <cellStyle name="Normal 58 4 2 2 4 6 3" xfId="33905" xr:uid="{00000000-0005-0000-0000-0000E3A00000}"/>
    <cellStyle name="Normal 58 4 2 2 4 7" xfId="16223" xr:uid="{00000000-0005-0000-0000-0000E4A00000}"/>
    <cellStyle name="Normal 58 4 2 2 4 7 2" xfId="41776" xr:uid="{00000000-0005-0000-0000-0000E5A00000}"/>
    <cellStyle name="Normal 58 4 2 2 4 8" xfId="27221" xr:uid="{00000000-0005-0000-0000-0000E6A00000}"/>
    <cellStyle name="Normal 58 4 2 2 5" xfId="2752" xr:uid="{00000000-0005-0000-0000-0000E7A00000}"/>
    <cellStyle name="Normal 58 4 2 2 5 2" xfId="12069" xr:uid="{00000000-0005-0000-0000-0000E8A00000}"/>
    <cellStyle name="Normal 58 4 2 2 5 2 2" xfId="22113" xr:uid="{00000000-0005-0000-0000-0000E9A00000}"/>
    <cellStyle name="Normal 58 4 2 2 5 2 2 2" xfId="47666" xr:uid="{00000000-0005-0000-0000-0000EAA00000}"/>
    <cellStyle name="Normal 58 4 2 2 5 2 3" xfId="37624" xr:uid="{00000000-0005-0000-0000-0000EBA00000}"/>
    <cellStyle name="Normal 58 4 2 2 5 3" xfId="8397" xr:uid="{00000000-0005-0000-0000-0000ECA00000}"/>
    <cellStyle name="Normal 58 4 2 2 5 3 2" xfId="33954" xr:uid="{00000000-0005-0000-0000-0000EDA00000}"/>
    <cellStyle name="Normal 58 4 2 2 5 4" xfId="17106" xr:uid="{00000000-0005-0000-0000-0000EEA00000}"/>
    <cellStyle name="Normal 58 4 2 2 5 4 2" xfId="42659" xr:uid="{00000000-0005-0000-0000-0000EFA00000}"/>
    <cellStyle name="Normal 58 4 2 2 5 5" xfId="28596" xr:uid="{00000000-0005-0000-0000-0000F0A00000}"/>
    <cellStyle name="Normal 58 4 2 2 6" xfId="4403" xr:uid="{00000000-0005-0000-0000-0000F1A00000}"/>
    <cellStyle name="Normal 58 4 2 2 6 2" xfId="13241" xr:uid="{00000000-0005-0000-0000-0000F2A00000}"/>
    <cellStyle name="Normal 58 4 2 2 6 2 2" xfId="23492" xr:uid="{00000000-0005-0000-0000-0000F3A00000}"/>
    <cellStyle name="Normal 58 4 2 2 6 2 2 2" xfId="49045" xr:uid="{00000000-0005-0000-0000-0000F4A00000}"/>
    <cellStyle name="Normal 58 4 2 2 6 2 3" xfId="38796" xr:uid="{00000000-0005-0000-0000-0000F5A00000}"/>
    <cellStyle name="Normal 58 4 2 2 6 3" xfId="9662" xr:uid="{00000000-0005-0000-0000-0000F6A00000}"/>
    <cellStyle name="Normal 58 4 2 2 6 3 2" xfId="35219" xr:uid="{00000000-0005-0000-0000-0000F7A00000}"/>
    <cellStyle name="Normal 58 4 2 2 6 4" xfId="18485" xr:uid="{00000000-0005-0000-0000-0000F8A00000}"/>
    <cellStyle name="Normal 58 4 2 2 6 4 2" xfId="44038" xr:uid="{00000000-0005-0000-0000-0000F9A00000}"/>
    <cellStyle name="Normal 58 4 2 2 6 5" xfId="29975" xr:uid="{00000000-0005-0000-0000-0000FAA00000}"/>
    <cellStyle name="Normal 58 4 2 2 7" xfId="1675" xr:uid="{00000000-0005-0000-0000-0000FBA00000}"/>
    <cellStyle name="Normal 58 4 2 2 7 2" xfId="11052" xr:uid="{00000000-0005-0000-0000-0000FCA00000}"/>
    <cellStyle name="Normal 58 4 2 2 7 2 2" xfId="36607" xr:uid="{00000000-0005-0000-0000-0000FDA00000}"/>
    <cellStyle name="Normal 58 4 2 2 7 3" xfId="21056" xr:uid="{00000000-0005-0000-0000-0000FEA00000}"/>
    <cellStyle name="Normal 58 4 2 2 7 3 2" xfId="46609" xr:uid="{00000000-0005-0000-0000-0000FFA00000}"/>
    <cellStyle name="Normal 58 4 2 2 7 4" xfId="27539" xr:uid="{00000000-0005-0000-0000-000000A10000}"/>
    <cellStyle name="Normal 58 4 2 2 8" xfId="5859" xr:uid="{00000000-0005-0000-0000-000001A10000}"/>
    <cellStyle name="Normal 58 4 2 2 8 2" xfId="14686" xr:uid="{00000000-0005-0000-0000-000002A10000}"/>
    <cellStyle name="Normal 58 4 2 2 8 2 2" xfId="40241" xr:uid="{00000000-0005-0000-0000-000003A10000}"/>
    <cellStyle name="Normal 58 4 2 2 8 3" xfId="24937" xr:uid="{00000000-0005-0000-0000-000004A10000}"/>
    <cellStyle name="Normal 58 4 2 2 8 3 2" xfId="50490" xr:uid="{00000000-0005-0000-0000-000005A10000}"/>
    <cellStyle name="Normal 58 4 2 2 8 4" xfId="31420" xr:uid="{00000000-0005-0000-0000-000006A10000}"/>
    <cellStyle name="Normal 58 4 2 2 9" xfId="7303" xr:uid="{00000000-0005-0000-0000-000007A10000}"/>
    <cellStyle name="Normal 58 4 2 2 9 2" xfId="19712" xr:uid="{00000000-0005-0000-0000-000008A10000}"/>
    <cellStyle name="Normal 58 4 2 2 9 2 2" xfId="45265" xr:uid="{00000000-0005-0000-0000-000009A10000}"/>
    <cellStyle name="Normal 58 4 2 2 9 3" xfId="32860" xr:uid="{00000000-0005-0000-0000-00000AA10000}"/>
    <cellStyle name="Normal 58 4 2 2_Degree data" xfId="4006" xr:uid="{00000000-0005-0000-0000-00000BA10000}"/>
    <cellStyle name="Normal 58 4 2 3" xfId="479" xr:uid="{00000000-0005-0000-0000-00000CA10000}"/>
    <cellStyle name="Normal 58 4 2 3 10" xfId="26408" xr:uid="{00000000-0005-0000-0000-00000DA10000}"/>
    <cellStyle name="Normal 58 4 2 3 2" xfId="901" xr:uid="{00000000-0005-0000-0000-00000EA10000}"/>
    <cellStyle name="Normal 58 4 2 3 2 2" xfId="3386" xr:uid="{00000000-0005-0000-0000-00000FA10000}"/>
    <cellStyle name="Normal 58 4 2 3 2 2 2" xfId="12528" xr:uid="{00000000-0005-0000-0000-000010A10000}"/>
    <cellStyle name="Normal 58 4 2 3 2 2 2 2" xfId="22747" xr:uid="{00000000-0005-0000-0000-000011A10000}"/>
    <cellStyle name="Normal 58 4 2 3 2 2 2 2 2" xfId="48300" xr:uid="{00000000-0005-0000-0000-000012A10000}"/>
    <cellStyle name="Normal 58 4 2 3 2 2 2 3" xfId="38083" xr:uid="{00000000-0005-0000-0000-000013A10000}"/>
    <cellStyle name="Normal 58 4 2 3 2 2 3" xfId="8950" xr:uid="{00000000-0005-0000-0000-000014A10000}"/>
    <cellStyle name="Normal 58 4 2 3 2 2 3 2" xfId="34507" xr:uid="{00000000-0005-0000-0000-000015A10000}"/>
    <cellStyle name="Normal 58 4 2 3 2 2 4" xfId="17740" xr:uid="{00000000-0005-0000-0000-000016A10000}"/>
    <cellStyle name="Normal 58 4 2 3 2 2 4 2" xfId="43293" xr:uid="{00000000-0005-0000-0000-000017A10000}"/>
    <cellStyle name="Normal 58 4 2 3 2 2 5" xfId="29230" xr:uid="{00000000-0005-0000-0000-000018A10000}"/>
    <cellStyle name="Normal 58 4 2 3 2 3" xfId="4715" xr:uid="{00000000-0005-0000-0000-000019A10000}"/>
    <cellStyle name="Normal 58 4 2 3 2 3 2" xfId="13553" xr:uid="{00000000-0005-0000-0000-00001AA10000}"/>
    <cellStyle name="Normal 58 4 2 3 2 3 2 2" xfId="23804" xr:uid="{00000000-0005-0000-0000-00001BA10000}"/>
    <cellStyle name="Normal 58 4 2 3 2 3 2 2 2" xfId="49357" xr:uid="{00000000-0005-0000-0000-00001CA10000}"/>
    <cellStyle name="Normal 58 4 2 3 2 3 2 3" xfId="39108" xr:uid="{00000000-0005-0000-0000-00001DA10000}"/>
    <cellStyle name="Normal 58 4 2 3 2 3 3" xfId="9974" xr:uid="{00000000-0005-0000-0000-00001EA10000}"/>
    <cellStyle name="Normal 58 4 2 3 2 3 3 2" xfId="35531" xr:uid="{00000000-0005-0000-0000-00001FA10000}"/>
    <cellStyle name="Normal 58 4 2 3 2 3 4" xfId="18797" xr:uid="{00000000-0005-0000-0000-000020A10000}"/>
    <cellStyle name="Normal 58 4 2 3 2 3 4 2" xfId="44350" xr:uid="{00000000-0005-0000-0000-000021A10000}"/>
    <cellStyle name="Normal 58 4 2 3 2 3 5" xfId="30287" xr:uid="{00000000-0005-0000-0000-000022A10000}"/>
    <cellStyle name="Normal 58 4 2 3 2 4" xfId="2495" xr:uid="{00000000-0005-0000-0000-000023A10000}"/>
    <cellStyle name="Normal 58 4 2 3 2 4 2" xfId="11860" xr:uid="{00000000-0005-0000-0000-000024A10000}"/>
    <cellStyle name="Normal 58 4 2 3 2 4 2 2" xfId="37415" xr:uid="{00000000-0005-0000-0000-000025A10000}"/>
    <cellStyle name="Normal 58 4 2 3 2 4 3" xfId="21864" xr:uid="{00000000-0005-0000-0000-000026A10000}"/>
    <cellStyle name="Normal 58 4 2 3 2 4 3 2" xfId="47417" xr:uid="{00000000-0005-0000-0000-000027A10000}"/>
    <cellStyle name="Normal 58 4 2 3 2 4 4" xfId="28347" xr:uid="{00000000-0005-0000-0000-000028A10000}"/>
    <cellStyle name="Normal 58 4 2 3 2 5" xfId="6171" xr:uid="{00000000-0005-0000-0000-000029A10000}"/>
    <cellStyle name="Normal 58 4 2 3 2 5 2" xfId="14998" xr:uid="{00000000-0005-0000-0000-00002AA10000}"/>
    <cellStyle name="Normal 58 4 2 3 2 5 2 2" xfId="40553" xr:uid="{00000000-0005-0000-0000-00002BA10000}"/>
    <cellStyle name="Normal 58 4 2 3 2 5 3" xfId="25249" xr:uid="{00000000-0005-0000-0000-00002CA10000}"/>
    <cellStyle name="Normal 58 4 2 3 2 5 3 2" xfId="50802" xr:uid="{00000000-0005-0000-0000-00002DA10000}"/>
    <cellStyle name="Normal 58 4 2 3 2 5 4" xfId="31732" xr:uid="{00000000-0005-0000-0000-00002EA10000}"/>
    <cellStyle name="Normal 58 4 2 3 2 6" xfId="7616" xr:uid="{00000000-0005-0000-0000-00002FA10000}"/>
    <cellStyle name="Normal 58 4 2 3 2 6 2" xfId="20346" xr:uid="{00000000-0005-0000-0000-000030A10000}"/>
    <cellStyle name="Normal 58 4 2 3 2 6 2 2" xfId="45899" xr:uid="{00000000-0005-0000-0000-000031A10000}"/>
    <cellStyle name="Normal 58 4 2 3 2 6 3" xfId="33173" xr:uid="{00000000-0005-0000-0000-000032A10000}"/>
    <cellStyle name="Normal 58 4 2 3 2 7" xfId="16857" xr:uid="{00000000-0005-0000-0000-000033A10000}"/>
    <cellStyle name="Normal 58 4 2 3 2 7 2" xfId="42410" xr:uid="{00000000-0005-0000-0000-000034A10000}"/>
    <cellStyle name="Normal 58 4 2 3 2 8" xfId="26829" xr:uid="{00000000-0005-0000-0000-000035A10000}"/>
    <cellStyle name="Normal 58 4 2 3 3" xfId="1251" xr:uid="{00000000-0005-0000-0000-000036A10000}"/>
    <cellStyle name="Normal 58 4 2 3 3 2" xfId="3680" xr:uid="{00000000-0005-0000-0000-000037A10000}"/>
    <cellStyle name="Normal 58 4 2 3 3 2 2" xfId="12816" xr:uid="{00000000-0005-0000-0000-000038A10000}"/>
    <cellStyle name="Normal 58 4 2 3 3 2 2 2" xfId="23035" xr:uid="{00000000-0005-0000-0000-000039A10000}"/>
    <cellStyle name="Normal 58 4 2 3 3 2 2 2 2" xfId="48588" xr:uid="{00000000-0005-0000-0000-00003AA10000}"/>
    <cellStyle name="Normal 58 4 2 3 3 2 2 3" xfId="38371" xr:uid="{00000000-0005-0000-0000-00003BA10000}"/>
    <cellStyle name="Normal 58 4 2 3 3 2 3" xfId="9237" xr:uid="{00000000-0005-0000-0000-00003CA10000}"/>
    <cellStyle name="Normal 58 4 2 3 3 2 3 2" xfId="34794" xr:uid="{00000000-0005-0000-0000-00003DA10000}"/>
    <cellStyle name="Normal 58 4 2 3 3 2 4" xfId="18028" xr:uid="{00000000-0005-0000-0000-00003EA10000}"/>
    <cellStyle name="Normal 58 4 2 3 3 2 4 2" xfId="43581" xr:uid="{00000000-0005-0000-0000-00003FA10000}"/>
    <cellStyle name="Normal 58 4 2 3 3 2 5" xfId="29518" xr:uid="{00000000-0005-0000-0000-000040A10000}"/>
    <cellStyle name="Normal 58 4 2 3 3 3" xfId="5064" xr:uid="{00000000-0005-0000-0000-000041A10000}"/>
    <cellStyle name="Normal 58 4 2 3 3 3 2" xfId="13901" xr:uid="{00000000-0005-0000-0000-000042A10000}"/>
    <cellStyle name="Normal 58 4 2 3 3 3 2 2" xfId="24152" xr:uid="{00000000-0005-0000-0000-000043A10000}"/>
    <cellStyle name="Normal 58 4 2 3 3 3 2 2 2" xfId="49705" xr:uid="{00000000-0005-0000-0000-000044A10000}"/>
    <cellStyle name="Normal 58 4 2 3 3 3 2 3" xfId="39456" xr:uid="{00000000-0005-0000-0000-000045A10000}"/>
    <cellStyle name="Normal 58 4 2 3 3 3 3" xfId="10322" xr:uid="{00000000-0005-0000-0000-000046A10000}"/>
    <cellStyle name="Normal 58 4 2 3 3 3 3 2" xfId="35879" xr:uid="{00000000-0005-0000-0000-000047A10000}"/>
    <cellStyle name="Normal 58 4 2 3 3 3 4" xfId="19145" xr:uid="{00000000-0005-0000-0000-000048A10000}"/>
    <cellStyle name="Normal 58 4 2 3 3 3 4 2" xfId="44698" xr:uid="{00000000-0005-0000-0000-000049A10000}"/>
    <cellStyle name="Normal 58 4 2 3 3 3 5" xfId="30635" xr:uid="{00000000-0005-0000-0000-00004AA10000}"/>
    <cellStyle name="Normal 58 4 2 3 3 4" xfId="2074" xr:uid="{00000000-0005-0000-0000-00004BA10000}"/>
    <cellStyle name="Normal 58 4 2 3 3 4 2" xfId="11439" xr:uid="{00000000-0005-0000-0000-00004CA10000}"/>
    <cellStyle name="Normal 58 4 2 3 3 4 2 2" xfId="36994" xr:uid="{00000000-0005-0000-0000-00004DA10000}"/>
    <cellStyle name="Normal 58 4 2 3 3 4 3" xfId="21443" xr:uid="{00000000-0005-0000-0000-00004EA10000}"/>
    <cellStyle name="Normal 58 4 2 3 3 4 3 2" xfId="46996" xr:uid="{00000000-0005-0000-0000-00004FA10000}"/>
    <cellStyle name="Normal 58 4 2 3 3 4 4" xfId="27926" xr:uid="{00000000-0005-0000-0000-000050A10000}"/>
    <cellStyle name="Normal 58 4 2 3 3 5" xfId="6519" xr:uid="{00000000-0005-0000-0000-000051A10000}"/>
    <cellStyle name="Normal 58 4 2 3 3 5 2" xfId="15346" xr:uid="{00000000-0005-0000-0000-000052A10000}"/>
    <cellStyle name="Normal 58 4 2 3 3 5 2 2" xfId="40901" xr:uid="{00000000-0005-0000-0000-000053A10000}"/>
    <cellStyle name="Normal 58 4 2 3 3 5 3" xfId="25597" xr:uid="{00000000-0005-0000-0000-000054A10000}"/>
    <cellStyle name="Normal 58 4 2 3 3 5 3 2" xfId="51150" xr:uid="{00000000-0005-0000-0000-000055A10000}"/>
    <cellStyle name="Normal 58 4 2 3 3 5 4" xfId="32080" xr:uid="{00000000-0005-0000-0000-000056A10000}"/>
    <cellStyle name="Normal 58 4 2 3 3 6" xfId="7965" xr:uid="{00000000-0005-0000-0000-000057A10000}"/>
    <cellStyle name="Normal 58 4 2 3 3 6 2" xfId="20634" xr:uid="{00000000-0005-0000-0000-000058A10000}"/>
    <cellStyle name="Normal 58 4 2 3 3 6 2 2" xfId="46187" xr:uid="{00000000-0005-0000-0000-000059A10000}"/>
    <cellStyle name="Normal 58 4 2 3 3 6 3" xfId="33522" xr:uid="{00000000-0005-0000-0000-00005AA10000}"/>
    <cellStyle name="Normal 58 4 2 3 3 7" xfId="16436" xr:uid="{00000000-0005-0000-0000-00005BA10000}"/>
    <cellStyle name="Normal 58 4 2 3 3 7 2" xfId="41989" xr:uid="{00000000-0005-0000-0000-00005CA10000}"/>
    <cellStyle name="Normal 58 4 2 3 3 8" xfId="27117" xr:uid="{00000000-0005-0000-0000-00005DA10000}"/>
    <cellStyle name="Normal 58 4 2 3 4" xfId="2965" xr:uid="{00000000-0005-0000-0000-00005EA10000}"/>
    <cellStyle name="Normal 58 4 2 3 4 2" xfId="5343" xr:uid="{00000000-0005-0000-0000-00005FA10000}"/>
    <cellStyle name="Normal 58 4 2 3 4 2 2" xfId="14180" xr:uid="{00000000-0005-0000-0000-000060A10000}"/>
    <cellStyle name="Normal 58 4 2 3 4 2 2 2" xfId="24431" xr:uid="{00000000-0005-0000-0000-000061A10000}"/>
    <cellStyle name="Normal 58 4 2 3 4 2 2 2 2" xfId="49984" xr:uid="{00000000-0005-0000-0000-000062A10000}"/>
    <cellStyle name="Normal 58 4 2 3 4 2 2 3" xfId="39735" xr:uid="{00000000-0005-0000-0000-000063A10000}"/>
    <cellStyle name="Normal 58 4 2 3 4 2 3" xfId="10601" xr:uid="{00000000-0005-0000-0000-000064A10000}"/>
    <cellStyle name="Normal 58 4 2 3 4 2 3 2" xfId="36158" xr:uid="{00000000-0005-0000-0000-000065A10000}"/>
    <cellStyle name="Normal 58 4 2 3 4 2 4" xfId="19424" xr:uid="{00000000-0005-0000-0000-000066A10000}"/>
    <cellStyle name="Normal 58 4 2 3 4 2 4 2" xfId="44977" xr:uid="{00000000-0005-0000-0000-000067A10000}"/>
    <cellStyle name="Normal 58 4 2 3 4 2 5" xfId="30914" xr:uid="{00000000-0005-0000-0000-000068A10000}"/>
    <cellStyle name="Normal 58 4 2 3 4 3" xfId="6798" xr:uid="{00000000-0005-0000-0000-000069A10000}"/>
    <cellStyle name="Normal 58 4 2 3 4 3 2" xfId="15625" xr:uid="{00000000-0005-0000-0000-00006AA10000}"/>
    <cellStyle name="Normal 58 4 2 3 4 3 2 2" xfId="41180" xr:uid="{00000000-0005-0000-0000-00006BA10000}"/>
    <cellStyle name="Normal 58 4 2 3 4 3 3" xfId="25876" xr:uid="{00000000-0005-0000-0000-00006CA10000}"/>
    <cellStyle name="Normal 58 4 2 3 4 3 3 2" xfId="51429" xr:uid="{00000000-0005-0000-0000-00006DA10000}"/>
    <cellStyle name="Normal 58 4 2 3 4 3 4" xfId="32359" xr:uid="{00000000-0005-0000-0000-00006EA10000}"/>
    <cellStyle name="Normal 58 4 2 3 4 4" xfId="8244" xr:uid="{00000000-0005-0000-0000-00006FA10000}"/>
    <cellStyle name="Normal 58 4 2 3 4 4 2" xfId="22326" xr:uid="{00000000-0005-0000-0000-000070A10000}"/>
    <cellStyle name="Normal 58 4 2 3 4 4 2 2" xfId="47879" xr:uid="{00000000-0005-0000-0000-000071A10000}"/>
    <cellStyle name="Normal 58 4 2 3 4 4 3" xfId="33801" xr:uid="{00000000-0005-0000-0000-000072A10000}"/>
    <cellStyle name="Normal 58 4 2 3 4 5" xfId="17319" xr:uid="{00000000-0005-0000-0000-000073A10000}"/>
    <cellStyle name="Normal 58 4 2 3 4 5 2" xfId="42872" xr:uid="{00000000-0005-0000-0000-000074A10000}"/>
    <cellStyle name="Normal 58 4 2 3 4 6" xfId="28809" xr:uid="{00000000-0005-0000-0000-000075A10000}"/>
    <cellStyle name="Normal 58 4 2 3 5" xfId="4299" xr:uid="{00000000-0005-0000-0000-000076A10000}"/>
    <cellStyle name="Normal 58 4 2 3 5 2" xfId="13137" xr:uid="{00000000-0005-0000-0000-000077A10000}"/>
    <cellStyle name="Normal 58 4 2 3 5 2 2" xfId="23388" xr:uid="{00000000-0005-0000-0000-000078A10000}"/>
    <cellStyle name="Normal 58 4 2 3 5 2 2 2" xfId="48941" xr:uid="{00000000-0005-0000-0000-000079A10000}"/>
    <cellStyle name="Normal 58 4 2 3 5 2 3" xfId="38692" xr:uid="{00000000-0005-0000-0000-00007AA10000}"/>
    <cellStyle name="Normal 58 4 2 3 5 3" xfId="9558" xr:uid="{00000000-0005-0000-0000-00007BA10000}"/>
    <cellStyle name="Normal 58 4 2 3 5 3 2" xfId="35115" xr:uid="{00000000-0005-0000-0000-00007CA10000}"/>
    <cellStyle name="Normal 58 4 2 3 5 4" xfId="18381" xr:uid="{00000000-0005-0000-0000-00007DA10000}"/>
    <cellStyle name="Normal 58 4 2 3 5 4 2" xfId="43934" xr:uid="{00000000-0005-0000-0000-00007EA10000}"/>
    <cellStyle name="Normal 58 4 2 3 5 5" xfId="29871" xr:uid="{00000000-0005-0000-0000-00007FA10000}"/>
    <cellStyle name="Normal 58 4 2 3 6" xfId="1571" xr:uid="{00000000-0005-0000-0000-000080A10000}"/>
    <cellStyle name="Normal 58 4 2 3 6 2" xfId="10948" xr:uid="{00000000-0005-0000-0000-000081A10000}"/>
    <cellStyle name="Normal 58 4 2 3 6 2 2" xfId="36503" xr:uid="{00000000-0005-0000-0000-000082A10000}"/>
    <cellStyle name="Normal 58 4 2 3 6 3" xfId="20952" xr:uid="{00000000-0005-0000-0000-000083A10000}"/>
    <cellStyle name="Normal 58 4 2 3 6 3 2" xfId="46505" xr:uid="{00000000-0005-0000-0000-000084A10000}"/>
    <cellStyle name="Normal 58 4 2 3 6 4" xfId="27435" xr:uid="{00000000-0005-0000-0000-000085A10000}"/>
    <cellStyle name="Normal 58 4 2 3 7" xfId="5755" xr:uid="{00000000-0005-0000-0000-000086A10000}"/>
    <cellStyle name="Normal 58 4 2 3 7 2" xfId="14582" xr:uid="{00000000-0005-0000-0000-000087A10000}"/>
    <cellStyle name="Normal 58 4 2 3 7 2 2" xfId="40137" xr:uid="{00000000-0005-0000-0000-000088A10000}"/>
    <cellStyle name="Normal 58 4 2 3 7 3" xfId="24833" xr:uid="{00000000-0005-0000-0000-000089A10000}"/>
    <cellStyle name="Normal 58 4 2 3 7 3 2" xfId="50386" xr:uid="{00000000-0005-0000-0000-00008AA10000}"/>
    <cellStyle name="Normal 58 4 2 3 7 4" xfId="31316" xr:uid="{00000000-0005-0000-0000-00008BA10000}"/>
    <cellStyle name="Normal 58 4 2 3 8" xfId="7199" xr:uid="{00000000-0005-0000-0000-00008CA10000}"/>
    <cellStyle name="Normal 58 4 2 3 8 2" xfId="19925" xr:uid="{00000000-0005-0000-0000-00008DA10000}"/>
    <cellStyle name="Normal 58 4 2 3 8 2 2" xfId="45478" xr:uid="{00000000-0005-0000-0000-00008EA10000}"/>
    <cellStyle name="Normal 58 4 2 3 8 3" xfId="32756" xr:uid="{00000000-0005-0000-0000-00008FA10000}"/>
    <cellStyle name="Normal 58 4 2 3 9" xfId="15945" xr:uid="{00000000-0005-0000-0000-000090A10000}"/>
    <cellStyle name="Normal 58 4 2 3 9 2" xfId="41498" xr:uid="{00000000-0005-0000-0000-000091A10000}"/>
    <cellStyle name="Normal 58 4 2 3_Degree data" xfId="4007" xr:uid="{00000000-0005-0000-0000-000092A10000}"/>
    <cellStyle name="Normal 58 4 2 4" xfId="379" xr:uid="{00000000-0005-0000-0000-000093A10000}"/>
    <cellStyle name="Normal 58 4 2 4 2" xfId="2865" xr:uid="{00000000-0005-0000-0000-000094A10000}"/>
    <cellStyle name="Normal 58 4 2 4 2 2" xfId="12153" xr:uid="{00000000-0005-0000-0000-000095A10000}"/>
    <cellStyle name="Normal 58 4 2 4 2 2 2" xfId="22226" xr:uid="{00000000-0005-0000-0000-000096A10000}"/>
    <cellStyle name="Normal 58 4 2 4 2 2 2 2" xfId="47779" xr:uid="{00000000-0005-0000-0000-000097A10000}"/>
    <cellStyle name="Normal 58 4 2 4 2 2 3" xfId="37708" xr:uid="{00000000-0005-0000-0000-000098A10000}"/>
    <cellStyle name="Normal 58 4 2 4 2 3" xfId="8606" xr:uid="{00000000-0005-0000-0000-000099A10000}"/>
    <cellStyle name="Normal 58 4 2 4 2 3 2" xfId="34163" xr:uid="{00000000-0005-0000-0000-00009AA10000}"/>
    <cellStyle name="Normal 58 4 2 4 2 4" xfId="17219" xr:uid="{00000000-0005-0000-0000-00009BA10000}"/>
    <cellStyle name="Normal 58 4 2 4 2 4 2" xfId="42772" xr:uid="{00000000-0005-0000-0000-00009CA10000}"/>
    <cellStyle name="Normal 58 4 2 4 2 5" xfId="28709" xr:uid="{00000000-0005-0000-0000-00009DA10000}"/>
    <cellStyle name="Normal 58 4 2 4 3" xfId="4713" xr:uid="{00000000-0005-0000-0000-00009EA10000}"/>
    <cellStyle name="Normal 58 4 2 4 3 2" xfId="13551" xr:uid="{00000000-0005-0000-0000-00009FA10000}"/>
    <cellStyle name="Normal 58 4 2 4 3 2 2" xfId="23802" xr:uid="{00000000-0005-0000-0000-0000A0A10000}"/>
    <cellStyle name="Normal 58 4 2 4 3 2 2 2" xfId="49355" xr:uid="{00000000-0005-0000-0000-0000A1A10000}"/>
    <cellStyle name="Normal 58 4 2 4 3 2 3" xfId="39106" xr:uid="{00000000-0005-0000-0000-0000A2A10000}"/>
    <cellStyle name="Normal 58 4 2 4 3 3" xfId="9972" xr:uid="{00000000-0005-0000-0000-0000A3A10000}"/>
    <cellStyle name="Normal 58 4 2 4 3 3 2" xfId="35529" xr:uid="{00000000-0005-0000-0000-0000A4A10000}"/>
    <cellStyle name="Normal 58 4 2 4 3 4" xfId="18795" xr:uid="{00000000-0005-0000-0000-0000A5A10000}"/>
    <cellStyle name="Normal 58 4 2 4 3 4 2" xfId="44348" xr:uid="{00000000-0005-0000-0000-0000A6A10000}"/>
    <cellStyle name="Normal 58 4 2 4 3 5" xfId="30285" xr:uid="{00000000-0005-0000-0000-0000A7A10000}"/>
    <cellStyle name="Normal 58 4 2 4 4" xfId="1974" xr:uid="{00000000-0005-0000-0000-0000A8A10000}"/>
    <cellStyle name="Normal 58 4 2 4 4 2" xfId="11339" xr:uid="{00000000-0005-0000-0000-0000A9A10000}"/>
    <cellStyle name="Normal 58 4 2 4 4 2 2" xfId="36894" xr:uid="{00000000-0005-0000-0000-0000AAA10000}"/>
    <cellStyle name="Normal 58 4 2 4 4 3" xfId="21343" xr:uid="{00000000-0005-0000-0000-0000ABA10000}"/>
    <cellStyle name="Normal 58 4 2 4 4 3 2" xfId="46896" xr:uid="{00000000-0005-0000-0000-0000ACA10000}"/>
    <cellStyle name="Normal 58 4 2 4 4 4" xfId="27826" xr:uid="{00000000-0005-0000-0000-0000ADA10000}"/>
    <cellStyle name="Normal 58 4 2 4 5" xfId="6169" xr:uid="{00000000-0005-0000-0000-0000AEA10000}"/>
    <cellStyle name="Normal 58 4 2 4 5 2" xfId="14996" xr:uid="{00000000-0005-0000-0000-0000AFA10000}"/>
    <cellStyle name="Normal 58 4 2 4 5 2 2" xfId="40551" xr:uid="{00000000-0005-0000-0000-0000B0A10000}"/>
    <cellStyle name="Normal 58 4 2 4 5 3" xfId="25247" xr:uid="{00000000-0005-0000-0000-0000B1A10000}"/>
    <cellStyle name="Normal 58 4 2 4 5 3 2" xfId="50800" xr:uid="{00000000-0005-0000-0000-0000B2A10000}"/>
    <cellStyle name="Normal 58 4 2 4 5 4" xfId="31730" xr:uid="{00000000-0005-0000-0000-0000B3A10000}"/>
    <cellStyle name="Normal 58 4 2 4 6" xfId="7614" xr:uid="{00000000-0005-0000-0000-0000B4A10000}"/>
    <cellStyle name="Normal 58 4 2 4 6 2" xfId="19825" xr:uid="{00000000-0005-0000-0000-0000B5A10000}"/>
    <cellStyle name="Normal 58 4 2 4 6 2 2" xfId="45378" xr:uid="{00000000-0005-0000-0000-0000B6A10000}"/>
    <cellStyle name="Normal 58 4 2 4 6 3" xfId="33171" xr:uid="{00000000-0005-0000-0000-0000B7A10000}"/>
    <cellStyle name="Normal 58 4 2 4 7" xfId="16336" xr:uid="{00000000-0005-0000-0000-0000B8A10000}"/>
    <cellStyle name="Normal 58 4 2 4 7 2" xfId="41889" xr:uid="{00000000-0005-0000-0000-0000B9A10000}"/>
    <cellStyle name="Normal 58 4 2 4 8" xfId="26308" xr:uid="{00000000-0005-0000-0000-0000BAA10000}"/>
    <cellStyle name="Normal 58 4 2 5" xfId="899" xr:uid="{00000000-0005-0000-0000-0000BBA10000}"/>
    <cellStyle name="Normal 58 4 2 5 2" xfId="3384" xr:uid="{00000000-0005-0000-0000-0000BCA10000}"/>
    <cellStyle name="Normal 58 4 2 5 2 2" xfId="12526" xr:uid="{00000000-0005-0000-0000-0000BDA10000}"/>
    <cellStyle name="Normal 58 4 2 5 2 2 2" xfId="22745" xr:uid="{00000000-0005-0000-0000-0000BEA10000}"/>
    <cellStyle name="Normal 58 4 2 5 2 2 2 2" xfId="48298" xr:uid="{00000000-0005-0000-0000-0000BFA10000}"/>
    <cellStyle name="Normal 58 4 2 5 2 2 3" xfId="38081" xr:uid="{00000000-0005-0000-0000-0000C0A10000}"/>
    <cellStyle name="Normal 58 4 2 5 2 3" xfId="8948" xr:uid="{00000000-0005-0000-0000-0000C1A10000}"/>
    <cellStyle name="Normal 58 4 2 5 2 3 2" xfId="34505" xr:uid="{00000000-0005-0000-0000-0000C2A10000}"/>
    <cellStyle name="Normal 58 4 2 5 2 4" xfId="17738" xr:uid="{00000000-0005-0000-0000-0000C3A10000}"/>
    <cellStyle name="Normal 58 4 2 5 2 4 2" xfId="43291" xr:uid="{00000000-0005-0000-0000-0000C4A10000}"/>
    <cellStyle name="Normal 58 4 2 5 2 5" xfId="29228" xr:uid="{00000000-0005-0000-0000-0000C5A10000}"/>
    <cellStyle name="Normal 58 4 2 5 3" xfId="5062" xr:uid="{00000000-0005-0000-0000-0000C6A10000}"/>
    <cellStyle name="Normal 58 4 2 5 3 2" xfId="13899" xr:uid="{00000000-0005-0000-0000-0000C7A10000}"/>
    <cellStyle name="Normal 58 4 2 5 3 2 2" xfId="24150" xr:uid="{00000000-0005-0000-0000-0000C8A10000}"/>
    <cellStyle name="Normal 58 4 2 5 3 2 2 2" xfId="49703" xr:uid="{00000000-0005-0000-0000-0000C9A10000}"/>
    <cellStyle name="Normal 58 4 2 5 3 2 3" xfId="39454" xr:uid="{00000000-0005-0000-0000-0000CAA10000}"/>
    <cellStyle name="Normal 58 4 2 5 3 3" xfId="10320" xr:uid="{00000000-0005-0000-0000-0000CBA10000}"/>
    <cellStyle name="Normal 58 4 2 5 3 3 2" xfId="35877" xr:uid="{00000000-0005-0000-0000-0000CCA10000}"/>
    <cellStyle name="Normal 58 4 2 5 3 4" xfId="19143" xr:uid="{00000000-0005-0000-0000-0000CDA10000}"/>
    <cellStyle name="Normal 58 4 2 5 3 4 2" xfId="44696" xr:uid="{00000000-0005-0000-0000-0000CEA10000}"/>
    <cellStyle name="Normal 58 4 2 5 3 5" xfId="30633" xr:uid="{00000000-0005-0000-0000-0000CFA10000}"/>
    <cellStyle name="Normal 58 4 2 5 4" xfId="2493" xr:uid="{00000000-0005-0000-0000-0000D0A10000}"/>
    <cellStyle name="Normal 58 4 2 5 4 2" xfId="11858" xr:uid="{00000000-0005-0000-0000-0000D1A10000}"/>
    <cellStyle name="Normal 58 4 2 5 4 2 2" xfId="37413" xr:uid="{00000000-0005-0000-0000-0000D2A10000}"/>
    <cellStyle name="Normal 58 4 2 5 4 3" xfId="21862" xr:uid="{00000000-0005-0000-0000-0000D3A10000}"/>
    <cellStyle name="Normal 58 4 2 5 4 3 2" xfId="47415" xr:uid="{00000000-0005-0000-0000-0000D4A10000}"/>
    <cellStyle name="Normal 58 4 2 5 4 4" xfId="28345" xr:uid="{00000000-0005-0000-0000-0000D5A10000}"/>
    <cellStyle name="Normal 58 4 2 5 5" xfId="6517" xr:uid="{00000000-0005-0000-0000-0000D6A10000}"/>
    <cellStyle name="Normal 58 4 2 5 5 2" xfId="15344" xr:uid="{00000000-0005-0000-0000-0000D7A10000}"/>
    <cellStyle name="Normal 58 4 2 5 5 2 2" xfId="40899" xr:uid="{00000000-0005-0000-0000-0000D8A10000}"/>
    <cellStyle name="Normal 58 4 2 5 5 3" xfId="25595" xr:uid="{00000000-0005-0000-0000-0000D9A10000}"/>
    <cellStyle name="Normal 58 4 2 5 5 3 2" xfId="51148" xr:uid="{00000000-0005-0000-0000-0000DAA10000}"/>
    <cellStyle name="Normal 58 4 2 5 5 4" xfId="32078" xr:uid="{00000000-0005-0000-0000-0000DBA10000}"/>
    <cellStyle name="Normal 58 4 2 5 6" xfId="7963" xr:uid="{00000000-0005-0000-0000-0000DCA10000}"/>
    <cellStyle name="Normal 58 4 2 5 6 2" xfId="20344" xr:uid="{00000000-0005-0000-0000-0000DDA10000}"/>
    <cellStyle name="Normal 58 4 2 5 6 2 2" xfId="45897" xr:uid="{00000000-0005-0000-0000-0000DEA10000}"/>
    <cellStyle name="Normal 58 4 2 5 6 3" xfId="33520" xr:uid="{00000000-0005-0000-0000-0000DFA10000}"/>
    <cellStyle name="Normal 58 4 2 5 7" xfId="16855" xr:uid="{00000000-0005-0000-0000-0000E0A10000}"/>
    <cellStyle name="Normal 58 4 2 5 7 2" xfId="42408" xr:uid="{00000000-0005-0000-0000-0000E1A10000}"/>
    <cellStyle name="Normal 58 4 2 5 8" xfId="26827" xr:uid="{00000000-0005-0000-0000-0000E2A10000}"/>
    <cellStyle name="Normal 58 4 2 6" xfId="1151" xr:uid="{00000000-0005-0000-0000-0000E3A10000}"/>
    <cellStyle name="Normal 58 4 2 6 2" xfId="3580" xr:uid="{00000000-0005-0000-0000-0000E4A10000}"/>
    <cellStyle name="Normal 58 4 2 6 2 2" xfId="12716" xr:uid="{00000000-0005-0000-0000-0000E5A10000}"/>
    <cellStyle name="Normal 58 4 2 6 2 2 2" xfId="22935" xr:uid="{00000000-0005-0000-0000-0000E6A10000}"/>
    <cellStyle name="Normal 58 4 2 6 2 2 2 2" xfId="48488" xr:uid="{00000000-0005-0000-0000-0000E7A10000}"/>
    <cellStyle name="Normal 58 4 2 6 2 2 3" xfId="38271" xr:uid="{00000000-0005-0000-0000-0000E8A10000}"/>
    <cellStyle name="Normal 58 4 2 6 2 3" xfId="9137" xr:uid="{00000000-0005-0000-0000-0000E9A10000}"/>
    <cellStyle name="Normal 58 4 2 6 2 3 2" xfId="34694" xr:uid="{00000000-0005-0000-0000-0000EAA10000}"/>
    <cellStyle name="Normal 58 4 2 6 2 4" xfId="17928" xr:uid="{00000000-0005-0000-0000-0000EBA10000}"/>
    <cellStyle name="Normal 58 4 2 6 2 4 2" xfId="43481" xr:uid="{00000000-0005-0000-0000-0000ECA10000}"/>
    <cellStyle name="Normal 58 4 2 6 2 5" xfId="29418" xr:uid="{00000000-0005-0000-0000-0000EDA10000}"/>
    <cellStyle name="Normal 58 4 2 6 3" xfId="5243" xr:uid="{00000000-0005-0000-0000-0000EEA10000}"/>
    <cellStyle name="Normal 58 4 2 6 3 2" xfId="14080" xr:uid="{00000000-0005-0000-0000-0000EFA10000}"/>
    <cellStyle name="Normal 58 4 2 6 3 2 2" xfId="24331" xr:uid="{00000000-0005-0000-0000-0000F0A10000}"/>
    <cellStyle name="Normal 58 4 2 6 3 2 2 2" xfId="49884" xr:uid="{00000000-0005-0000-0000-0000F1A10000}"/>
    <cellStyle name="Normal 58 4 2 6 3 2 3" xfId="39635" xr:uid="{00000000-0005-0000-0000-0000F2A10000}"/>
    <cellStyle name="Normal 58 4 2 6 3 3" xfId="10501" xr:uid="{00000000-0005-0000-0000-0000F3A10000}"/>
    <cellStyle name="Normal 58 4 2 6 3 3 2" xfId="36058" xr:uid="{00000000-0005-0000-0000-0000F4A10000}"/>
    <cellStyle name="Normal 58 4 2 6 3 4" xfId="19324" xr:uid="{00000000-0005-0000-0000-0000F5A10000}"/>
    <cellStyle name="Normal 58 4 2 6 3 4 2" xfId="44877" xr:uid="{00000000-0005-0000-0000-0000F6A10000}"/>
    <cellStyle name="Normal 58 4 2 6 3 5" xfId="30814" xr:uid="{00000000-0005-0000-0000-0000F7A10000}"/>
    <cellStyle name="Normal 58 4 2 6 4" xfId="1750" xr:uid="{00000000-0005-0000-0000-0000F8A10000}"/>
    <cellStyle name="Normal 58 4 2 6 4 2" xfId="11121" xr:uid="{00000000-0005-0000-0000-0000F9A10000}"/>
    <cellStyle name="Normal 58 4 2 6 4 2 2" xfId="36676" xr:uid="{00000000-0005-0000-0000-0000FAA10000}"/>
    <cellStyle name="Normal 58 4 2 6 4 3" xfId="21125" xr:uid="{00000000-0005-0000-0000-0000FBA10000}"/>
    <cellStyle name="Normal 58 4 2 6 4 3 2" xfId="46678" xr:uid="{00000000-0005-0000-0000-0000FCA10000}"/>
    <cellStyle name="Normal 58 4 2 6 4 4" xfId="27608" xr:uid="{00000000-0005-0000-0000-0000FDA10000}"/>
    <cellStyle name="Normal 58 4 2 6 5" xfId="6698" xr:uid="{00000000-0005-0000-0000-0000FEA10000}"/>
    <cellStyle name="Normal 58 4 2 6 5 2" xfId="15525" xr:uid="{00000000-0005-0000-0000-0000FFA10000}"/>
    <cellStyle name="Normal 58 4 2 6 5 2 2" xfId="41080" xr:uid="{00000000-0005-0000-0000-000000A20000}"/>
    <cellStyle name="Normal 58 4 2 6 5 3" xfId="25776" xr:uid="{00000000-0005-0000-0000-000001A20000}"/>
    <cellStyle name="Normal 58 4 2 6 5 3 2" xfId="51329" xr:uid="{00000000-0005-0000-0000-000002A20000}"/>
    <cellStyle name="Normal 58 4 2 6 5 4" xfId="32259" xr:uid="{00000000-0005-0000-0000-000003A20000}"/>
    <cellStyle name="Normal 58 4 2 6 6" xfId="8144" xr:uid="{00000000-0005-0000-0000-000004A20000}"/>
    <cellStyle name="Normal 58 4 2 6 6 2" xfId="20534" xr:uid="{00000000-0005-0000-0000-000005A20000}"/>
    <cellStyle name="Normal 58 4 2 6 6 2 2" xfId="46087" xr:uid="{00000000-0005-0000-0000-000006A20000}"/>
    <cellStyle name="Normal 58 4 2 6 6 3" xfId="33701" xr:uid="{00000000-0005-0000-0000-000007A20000}"/>
    <cellStyle name="Normal 58 4 2 6 7" xfId="16118" xr:uid="{00000000-0005-0000-0000-000008A20000}"/>
    <cellStyle name="Normal 58 4 2 6 7 2" xfId="41671" xr:uid="{00000000-0005-0000-0000-000009A20000}"/>
    <cellStyle name="Normal 58 4 2 6 8" xfId="27017" xr:uid="{00000000-0005-0000-0000-00000AA20000}"/>
    <cellStyle name="Normal 58 4 2 7" xfId="2648" xr:uid="{00000000-0005-0000-0000-00000BA20000}"/>
    <cellStyle name="Normal 58 4 2 7 2" xfId="11970" xr:uid="{00000000-0005-0000-0000-00000CA20000}"/>
    <cellStyle name="Normal 58 4 2 7 2 2" xfId="22009" xr:uid="{00000000-0005-0000-0000-00000DA20000}"/>
    <cellStyle name="Normal 58 4 2 7 2 2 2" xfId="47562" xr:uid="{00000000-0005-0000-0000-00000EA20000}"/>
    <cellStyle name="Normal 58 4 2 7 2 3" xfId="37525" xr:uid="{00000000-0005-0000-0000-00000FA20000}"/>
    <cellStyle name="Normal 58 4 2 7 3" xfId="8611" xr:uid="{00000000-0005-0000-0000-000010A20000}"/>
    <cellStyle name="Normal 58 4 2 7 3 2" xfId="34168" xr:uid="{00000000-0005-0000-0000-000011A20000}"/>
    <cellStyle name="Normal 58 4 2 7 4" xfId="17002" xr:uid="{00000000-0005-0000-0000-000012A20000}"/>
    <cellStyle name="Normal 58 4 2 7 4 2" xfId="42555" xr:uid="{00000000-0005-0000-0000-000013A20000}"/>
    <cellStyle name="Normal 58 4 2 7 5" xfId="28492" xr:uid="{00000000-0005-0000-0000-000014A20000}"/>
    <cellStyle name="Normal 58 4 2 8" xfId="4199" xr:uid="{00000000-0005-0000-0000-000015A20000}"/>
    <cellStyle name="Normal 58 4 2 8 2" xfId="13037" xr:uid="{00000000-0005-0000-0000-000016A20000}"/>
    <cellStyle name="Normal 58 4 2 8 2 2" xfId="23288" xr:uid="{00000000-0005-0000-0000-000017A20000}"/>
    <cellStyle name="Normal 58 4 2 8 2 2 2" xfId="48841" xr:uid="{00000000-0005-0000-0000-000018A20000}"/>
    <cellStyle name="Normal 58 4 2 8 2 3" xfId="38592" xr:uid="{00000000-0005-0000-0000-000019A20000}"/>
    <cellStyle name="Normal 58 4 2 8 3" xfId="9458" xr:uid="{00000000-0005-0000-0000-00001AA20000}"/>
    <cellStyle name="Normal 58 4 2 8 3 2" xfId="35015" xr:uid="{00000000-0005-0000-0000-00001BA20000}"/>
    <cellStyle name="Normal 58 4 2 8 4" xfId="18281" xr:uid="{00000000-0005-0000-0000-00001CA20000}"/>
    <cellStyle name="Normal 58 4 2 8 4 2" xfId="43834" xr:uid="{00000000-0005-0000-0000-00001DA20000}"/>
    <cellStyle name="Normal 58 4 2 8 5" xfId="29771" xr:uid="{00000000-0005-0000-0000-00001EA20000}"/>
    <cellStyle name="Normal 58 4 2 9" xfId="1471" xr:uid="{00000000-0005-0000-0000-00001FA20000}"/>
    <cellStyle name="Normal 58 4 2 9 2" xfId="10848" xr:uid="{00000000-0005-0000-0000-000020A20000}"/>
    <cellStyle name="Normal 58 4 2 9 2 2" xfId="36403" xr:uid="{00000000-0005-0000-0000-000021A20000}"/>
    <cellStyle name="Normal 58 4 2 9 3" xfId="20852" xr:uid="{00000000-0005-0000-0000-000022A20000}"/>
    <cellStyle name="Normal 58 4 2 9 3 2" xfId="46405" xr:uid="{00000000-0005-0000-0000-000023A20000}"/>
    <cellStyle name="Normal 58 4 2 9 4" xfId="27335" xr:uid="{00000000-0005-0000-0000-000024A20000}"/>
    <cellStyle name="Normal 58 4 2_Degree data" xfId="4005" xr:uid="{00000000-0005-0000-0000-000025A20000}"/>
    <cellStyle name="Normal 58 4 3" xfId="194" xr:uid="{00000000-0005-0000-0000-000026A20000}"/>
    <cellStyle name="Normal 58 4 3 10" xfId="7142" xr:uid="{00000000-0005-0000-0000-000027A20000}"/>
    <cellStyle name="Normal 58 4 3 10 2" xfId="19651" xr:uid="{00000000-0005-0000-0000-000028A20000}"/>
    <cellStyle name="Normal 58 4 3 10 2 2" xfId="45204" xr:uid="{00000000-0005-0000-0000-000029A20000}"/>
    <cellStyle name="Normal 58 4 3 10 3" xfId="32699" xr:uid="{00000000-0005-0000-0000-00002AA20000}"/>
    <cellStyle name="Normal 58 4 3 11" xfId="15888" xr:uid="{00000000-0005-0000-0000-00002BA20000}"/>
    <cellStyle name="Normal 58 4 3 11 2" xfId="41441" xr:uid="{00000000-0005-0000-0000-00002CA20000}"/>
    <cellStyle name="Normal 58 4 3 12" xfId="26134" xr:uid="{00000000-0005-0000-0000-00002DA20000}"/>
    <cellStyle name="Normal 58 4 3 2" xfId="522" xr:uid="{00000000-0005-0000-0000-00002EA20000}"/>
    <cellStyle name="Normal 58 4 3 2 10" xfId="26451" xr:uid="{00000000-0005-0000-0000-00002FA20000}"/>
    <cellStyle name="Normal 58 4 3 2 2" xfId="903" xr:uid="{00000000-0005-0000-0000-000030A20000}"/>
    <cellStyle name="Normal 58 4 3 2 2 2" xfId="3388" xr:uid="{00000000-0005-0000-0000-000031A20000}"/>
    <cellStyle name="Normal 58 4 3 2 2 2 2" xfId="12530" xr:uid="{00000000-0005-0000-0000-000032A20000}"/>
    <cellStyle name="Normal 58 4 3 2 2 2 2 2" xfId="22749" xr:uid="{00000000-0005-0000-0000-000033A20000}"/>
    <cellStyle name="Normal 58 4 3 2 2 2 2 2 2" xfId="48302" xr:uid="{00000000-0005-0000-0000-000034A20000}"/>
    <cellStyle name="Normal 58 4 3 2 2 2 2 3" xfId="38085" xr:uid="{00000000-0005-0000-0000-000035A20000}"/>
    <cellStyle name="Normal 58 4 3 2 2 2 3" xfId="8952" xr:uid="{00000000-0005-0000-0000-000036A20000}"/>
    <cellStyle name="Normal 58 4 3 2 2 2 3 2" xfId="34509" xr:uid="{00000000-0005-0000-0000-000037A20000}"/>
    <cellStyle name="Normal 58 4 3 2 2 2 4" xfId="17742" xr:uid="{00000000-0005-0000-0000-000038A20000}"/>
    <cellStyle name="Normal 58 4 3 2 2 2 4 2" xfId="43295" xr:uid="{00000000-0005-0000-0000-000039A20000}"/>
    <cellStyle name="Normal 58 4 3 2 2 2 5" xfId="29232" xr:uid="{00000000-0005-0000-0000-00003AA20000}"/>
    <cellStyle name="Normal 58 4 3 2 2 3" xfId="4717" xr:uid="{00000000-0005-0000-0000-00003BA20000}"/>
    <cellStyle name="Normal 58 4 3 2 2 3 2" xfId="13555" xr:uid="{00000000-0005-0000-0000-00003CA20000}"/>
    <cellStyle name="Normal 58 4 3 2 2 3 2 2" xfId="23806" xr:uid="{00000000-0005-0000-0000-00003DA20000}"/>
    <cellStyle name="Normal 58 4 3 2 2 3 2 2 2" xfId="49359" xr:uid="{00000000-0005-0000-0000-00003EA20000}"/>
    <cellStyle name="Normal 58 4 3 2 2 3 2 3" xfId="39110" xr:uid="{00000000-0005-0000-0000-00003FA20000}"/>
    <cellStyle name="Normal 58 4 3 2 2 3 3" xfId="9976" xr:uid="{00000000-0005-0000-0000-000040A20000}"/>
    <cellStyle name="Normal 58 4 3 2 2 3 3 2" xfId="35533" xr:uid="{00000000-0005-0000-0000-000041A20000}"/>
    <cellStyle name="Normal 58 4 3 2 2 3 4" xfId="18799" xr:uid="{00000000-0005-0000-0000-000042A20000}"/>
    <cellStyle name="Normal 58 4 3 2 2 3 4 2" xfId="44352" xr:uid="{00000000-0005-0000-0000-000043A20000}"/>
    <cellStyle name="Normal 58 4 3 2 2 3 5" xfId="30289" xr:uid="{00000000-0005-0000-0000-000044A20000}"/>
    <cellStyle name="Normal 58 4 3 2 2 4" xfId="2497" xr:uid="{00000000-0005-0000-0000-000045A20000}"/>
    <cellStyle name="Normal 58 4 3 2 2 4 2" xfId="11862" xr:uid="{00000000-0005-0000-0000-000046A20000}"/>
    <cellStyle name="Normal 58 4 3 2 2 4 2 2" xfId="37417" xr:uid="{00000000-0005-0000-0000-000047A20000}"/>
    <cellStyle name="Normal 58 4 3 2 2 4 3" xfId="21866" xr:uid="{00000000-0005-0000-0000-000048A20000}"/>
    <cellStyle name="Normal 58 4 3 2 2 4 3 2" xfId="47419" xr:uid="{00000000-0005-0000-0000-000049A20000}"/>
    <cellStyle name="Normal 58 4 3 2 2 4 4" xfId="28349" xr:uid="{00000000-0005-0000-0000-00004AA20000}"/>
    <cellStyle name="Normal 58 4 3 2 2 5" xfId="6173" xr:uid="{00000000-0005-0000-0000-00004BA20000}"/>
    <cellStyle name="Normal 58 4 3 2 2 5 2" xfId="15000" xr:uid="{00000000-0005-0000-0000-00004CA20000}"/>
    <cellStyle name="Normal 58 4 3 2 2 5 2 2" xfId="40555" xr:uid="{00000000-0005-0000-0000-00004DA20000}"/>
    <cellStyle name="Normal 58 4 3 2 2 5 3" xfId="25251" xr:uid="{00000000-0005-0000-0000-00004EA20000}"/>
    <cellStyle name="Normal 58 4 3 2 2 5 3 2" xfId="50804" xr:uid="{00000000-0005-0000-0000-00004FA20000}"/>
    <cellStyle name="Normal 58 4 3 2 2 5 4" xfId="31734" xr:uid="{00000000-0005-0000-0000-000050A20000}"/>
    <cellStyle name="Normal 58 4 3 2 2 6" xfId="7618" xr:uid="{00000000-0005-0000-0000-000051A20000}"/>
    <cellStyle name="Normal 58 4 3 2 2 6 2" xfId="20348" xr:uid="{00000000-0005-0000-0000-000052A20000}"/>
    <cellStyle name="Normal 58 4 3 2 2 6 2 2" xfId="45901" xr:uid="{00000000-0005-0000-0000-000053A20000}"/>
    <cellStyle name="Normal 58 4 3 2 2 6 3" xfId="33175" xr:uid="{00000000-0005-0000-0000-000054A20000}"/>
    <cellStyle name="Normal 58 4 3 2 2 7" xfId="16859" xr:uid="{00000000-0005-0000-0000-000055A20000}"/>
    <cellStyle name="Normal 58 4 3 2 2 7 2" xfId="42412" xr:uid="{00000000-0005-0000-0000-000056A20000}"/>
    <cellStyle name="Normal 58 4 3 2 2 8" xfId="26831" xr:uid="{00000000-0005-0000-0000-000057A20000}"/>
    <cellStyle name="Normal 58 4 3 2 3" xfId="1294" xr:uid="{00000000-0005-0000-0000-000058A20000}"/>
    <cellStyle name="Normal 58 4 3 2 3 2" xfId="3723" xr:uid="{00000000-0005-0000-0000-000059A20000}"/>
    <cellStyle name="Normal 58 4 3 2 3 2 2" xfId="12859" xr:uid="{00000000-0005-0000-0000-00005AA20000}"/>
    <cellStyle name="Normal 58 4 3 2 3 2 2 2" xfId="23078" xr:uid="{00000000-0005-0000-0000-00005BA20000}"/>
    <cellStyle name="Normal 58 4 3 2 3 2 2 2 2" xfId="48631" xr:uid="{00000000-0005-0000-0000-00005CA20000}"/>
    <cellStyle name="Normal 58 4 3 2 3 2 2 3" xfId="38414" xr:uid="{00000000-0005-0000-0000-00005DA20000}"/>
    <cellStyle name="Normal 58 4 3 2 3 2 3" xfId="9280" xr:uid="{00000000-0005-0000-0000-00005EA20000}"/>
    <cellStyle name="Normal 58 4 3 2 3 2 3 2" xfId="34837" xr:uid="{00000000-0005-0000-0000-00005FA20000}"/>
    <cellStyle name="Normal 58 4 3 2 3 2 4" xfId="18071" xr:uid="{00000000-0005-0000-0000-000060A20000}"/>
    <cellStyle name="Normal 58 4 3 2 3 2 4 2" xfId="43624" xr:uid="{00000000-0005-0000-0000-000061A20000}"/>
    <cellStyle name="Normal 58 4 3 2 3 2 5" xfId="29561" xr:uid="{00000000-0005-0000-0000-000062A20000}"/>
    <cellStyle name="Normal 58 4 3 2 3 3" xfId="5066" xr:uid="{00000000-0005-0000-0000-000063A20000}"/>
    <cellStyle name="Normal 58 4 3 2 3 3 2" xfId="13903" xr:uid="{00000000-0005-0000-0000-000064A20000}"/>
    <cellStyle name="Normal 58 4 3 2 3 3 2 2" xfId="24154" xr:uid="{00000000-0005-0000-0000-000065A20000}"/>
    <cellStyle name="Normal 58 4 3 2 3 3 2 2 2" xfId="49707" xr:uid="{00000000-0005-0000-0000-000066A20000}"/>
    <cellStyle name="Normal 58 4 3 2 3 3 2 3" xfId="39458" xr:uid="{00000000-0005-0000-0000-000067A20000}"/>
    <cellStyle name="Normal 58 4 3 2 3 3 3" xfId="10324" xr:uid="{00000000-0005-0000-0000-000068A20000}"/>
    <cellStyle name="Normal 58 4 3 2 3 3 3 2" xfId="35881" xr:uid="{00000000-0005-0000-0000-000069A20000}"/>
    <cellStyle name="Normal 58 4 3 2 3 3 4" xfId="19147" xr:uid="{00000000-0005-0000-0000-00006AA20000}"/>
    <cellStyle name="Normal 58 4 3 2 3 3 4 2" xfId="44700" xr:uid="{00000000-0005-0000-0000-00006BA20000}"/>
    <cellStyle name="Normal 58 4 3 2 3 3 5" xfId="30637" xr:uid="{00000000-0005-0000-0000-00006CA20000}"/>
    <cellStyle name="Normal 58 4 3 2 3 4" xfId="2117" xr:uid="{00000000-0005-0000-0000-00006DA20000}"/>
    <cellStyle name="Normal 58 4 3 2 3 4 2" xfId="11482" xr:uid="{00000000-0005-0000-0000-00006EA20000}"/>
    <cellStyle name="Normal 58 4 3 2 3 4 2 2" xfId="37037" xr:uid="{00000000-0005-0000-0000-00006FA20000}"/>
    <cellStyle name="Normal 58 4 3 2 3 4 3" xfId="21486" xr:uid="{00000000-0005-0000-0000-000070A20000}"/>
    <cellStyle name="Normal 58 4 3 2 3 4 3 2" xfId="47039" xr:uid="{00000000-0005-0000-0000-000071A20000}"/>
    <cellStyle name="Normal 58 4 3 2 3 4 4" xfId="27969" xr:uid="{00000000-0005-0000-0000-000072A20000}"/>
    <cellStyle name="Normal 58 4 3 2 3 5" xfId="6521" xr:uid="{00000000-0005-0000-0000-000073A20000}"/>
    <cellStyle name="Normal 58 4 3 2 3 5 2" xfId="15348" xr:uid="{00000000-0005-0000-0000-000074A20000}"/>
    <cellStyle name="Normal 58 4 3 2 3 5 2 2" xfId="40903" xr:uid="{00000000-0005-0000-0000-000075A20000}"/>
    <cellStyle name="Normal 58 4 3 2 3 5 3" xfId="25599" xr:uid="{00000000-0005-0000-0000-000076A20000}"/>
    <cellStyle name="Normal 58 4 3 2 3 5 3 2" xfId="51152" xr:uid="{00000000-0005-0000-0000-000077A20000}"/>
    <cellStyle name="Normal 58 4 3 2 3 5 4" xfId="32082" xr:uid="{00000000-0005-0000-0000-000078A20000}"/>
    <cellStyle name="Normal 58 4 3 2 3 6" xfId="7967" xr:uid="{00000000-0005-0000-0000-000079A20000}"/>
    <cellStyle name="Normal 58 4 3 2 3 6 2" xfId="20677" xr:uid="{00000000-0005-0000-0000-00007AA20000}"/>
    <cellStyle name="Normal 58 4 3 2 3 6 2 2" xfId="46230" xr:uid="{00000000-0005-0000-0000-00007BA20000}"/>
    <cellStyle name="Normal 58 4 3 2 3 6 3" xfId="33524" xr:uid="{00000000-0005-0000-0000-00007CA20000}"/>
    <cellStyle name="Normal 58 4 3 2 3 7" xfId="16479" xr:uid="{00000000-0005-0000-0000-00007DA20000}"/>
    <cellStyle name="Normal 58 4 3 2 3 7 2" xfId="42032" xr:uid="{00000000-0005-0000-0000-00007EA20000}"/>
    <cellStyle name="Normal 58 4 3 2 3 8" xfId="27160" xr:uid="{00000000-0005-0000-0000-00007FA20000}"/>
    <cellStyle name="Normal 58 4 3 2 4" xfId="3008" xr:uid="{00000000-0005-0000-0000-000080A20000}"/>
    <cellStyle name="Normal 58 4 3 2 4 2" xfId="5386" xr:uid="{00000000-0005-0000-0000-000081A20000}"/>
    <cellStyle name="Normal 58 4 3 2 4 2 2" xfId="14223" xr:uid="{00000000-0005-0000-0000-000082A20000}"/>
    <cellStyle name="Normal 58 4 3 2 4 2 2 2" xfId="24474" xr:uid="{00000000-0005-0000-0000-000083A20000}"/>
    <cellStyle name="Normal 58 4 3 2 4 2 2 2 2" xfId="50027" xr:uid="{00000000-0005-0000-0000-000084A20000}"/>
    <cellStyle name="Normal 58 4 3 2 4 2 2 3" xfId="39778" xr:uid="{00000000-0005-0000-0000-000085A20000}"/>
    <cellStyle name="Normal 58 4 3 2 4 2 3" xfId="10644" xr:uid="{00000000-0005-0000-0000-000086A20000}"/>
    <cellStyle name="Normal 58 4 3 2 4 2 3 2" xfId="36201" xr:uid="{00000000-0005-0000-0000-000087A20000}"/>
    <cellStyle name="Normal 58 4 3 2 4 2 4" xfId="19467" xr:uid="{00000000-0005-0000-0000-000088A20000}"/>
    <cellStyle name="Normal 58 4 3 2 4 2 4 2" xfId="45020" xr:uid="{00000000-0005-0000-0000-000089A20000}"/>
    <cellStyle name="Normal 58 4 3 2 4 2 5" xfId="30957" xr:uid="{00000000-0005-0000-0000-00008AA20000}"/>
    <cellStyle name="Normal 58 4 3 2 4 3" xfId="6841" xr:uid="{00000000-0005-0000-0000-00008BA20000}"/>
    <cellStyle name="Normal 58 4 3 2 4 3 2" xfId="15668" xr:uid="{00000000-0005-0000-0000-00008CA20000}"/>
    <cellStyle name="Normal 58 4 3 2 4 3 2 2" xfId="41223" xr:uid="{00000000-0005-0000-0000-00008DA20000}"/>
    <cellStyle name="Normal 58 4 3 2 4 3 3" xfId="25919" xr:uid="{00000000-0005-0000-0000-00008EA20000}"/>
    <cellStyle name="Normal 58 4 3 2 4 3 3 2" xfId="51472" xr:uid="{00000000-0005-0000-0000-00008FA20000}"/>
    <cellStyle name="Normal 58 4 3 2 4 3 4" xfId="32402" xr:uid="{00000000-0005-0000-0000-000090A20000}"/>
    <cellStyle name="Normal 58 4 3 2 4 4" xfId="8287" xr:uid="{00000000-0005-0000-0000-000091A20000}"/>
    <cellStyle name="Normal 58 4 3 2 4 4 2" xfId="22369" xr:uid="{00000000-0005-0000-0000-000092A20000}"/>
    <cellStyle name="Normal 58 4 3 2 4 4 2 2" xfId="47922" xr:uid="{00000000-0005-0000-0000-000093A20000}"/>
    <cellStyle name="Normal 58 4 3 2 4 4 3" xfId="33844" xr:uid="{00000000-0005-0000-0000-000094A20000}"/>
    <cellStyle name="Normal 58 4 3 2 4 5" xfId="17362" xr:uid="{00000000-0005-0000-0000-000095A20000}"/>
    <cellStyle name="Normal 58 4 3 2 4 5 2" xfId="42915" xr:uid="{00000000-0005-0000-0000-000096A20000}"/>
    <cellStyle name="Normal 58 4 3 2 4 6" xfId="28852" xr:uid="{00000000-0005-0000-0000-000097A20000}"/>
    <cellStyle name="Normal 58 4 3 2 5" xfId="4342" xr:uid="{00000000-0005-0000-0000-000098A20000}"/>
    <cellStyle name="Normal 58 4 3 2 5 2" xfId="13180" xr:uid="{00000000-0005-0000-0000-000099A20000}"/>
    <cellStyle name="Normal 58 4 3 2 5 2 2" xfId="23431" xr:uid="{00000000-0005-0000-0000-00009AA20000}"/>
    <cellStyle name="Normal 58 4 3 2 5 2 2 2" xfId="48984" xr:uid="{00000000-0005-0000-0000-00009BA20000}"/>
    <cellStyle name="Normal 58 4 3 2 5 2 3" xfId="38735" xr:uid="{00000000-0005-0000-0000-00009CA20000}"/>
    <cellStyle name="Normal 58 4 3 2 5 3" xfId="9601" xr:uid="{00000000-0005-0000-0000-00009DA20000}"/>
    <cellStyle name="Normal 58 4 3 2 5 3 2" xfId="35158" xr:uid="{00000000-0005-0000-0000-00009EA20000}"/>
    <cellStyle name="Normal 58 4 3 2 5 4" xfId="18424" xr:uid="{00000000-0005-0000-0000-00009FA20000}"/>
    <cellStyle name="Normal 58 4 3 2 5 4 2" xfId="43977" xr:uid="{00000000-0005-0000-0000-0000A0A20000}"/>
    <cellStyle name="Normal 58 4 3 2 5 5" xfId="29914" xr:uid="{00000000-0005-0000-0000-0000A1A20000}"/>
    <cellStyle name="Normal 58 4 3 2 6" xfId="1614" xr:uid="{00000000-0005-0000-0000-0000A2A20000}"/>
    <cellStyle name="Normal 58 4 3 2 6 2" xfId="10991" xr:uid="{00000000-0005-0000-0000-0000A3A20000}"/>
    <cellStyle name="Normal 58 4 3 2 6 2 2" xfId="36546" xr:uid="{00000000-0005-0000-0000-0000A4A20000}"/>
    <cellStyle name="Normal 58 4 3 2 6 3" xfId="20995" xr:uid="{00000000-0005-0000-0000-0000A5A20000}"/>
    <cellStyle name="Normal 58 4 3 2 6 3 2" xfId="46548" xr:uid="{00000000-0005-0000-0000-0000A6A20000}"/>
    <cellStyle name="Normal 58 4 3 2 6 4" xfId="27478" xr:uid="{00000000-0005-0000-0000-0000A7A20000}"/>
    <cellStyle name="Normal 58 4 3 2 7" xfId="5798" xr:uid="{00000000-0005-0000-0000-0000A8A20000}"/>
    <cellStyle name="Normal 58 4 3 2 7 2" xfId="14625" xr:uid="{00000000-0005-0000-0000-0000A9A20000}"/>
    <cellStyle name="Normal 58 4 3 2 7 2 2" xfId="40180" xr:uid="{00000000-0005-0000-0000-0000AAA20000}"/>
    <cellStyle name="Normal 58 4 3 2 7 3" xfId="24876" xr:uid="{00000000-0005-0000-0000-0000ABA20000}"/>
    <cellStyle name="Normal 58 4 3 2 7 3 2" xfId="50429" xr:uid="{00000000-0005-0000-0000-0000ACA20000}"/>
    <cellStyle name="Normal 58 4 3 2 7 4" xfId="31359" xr:uid="{00000000-0005-0000-0000-0000ADA20000}"/>
    <cellStyle name="Normal 58 4 3 2 8" xfId="7242" xr:uid="{00000000-0005-0000-0000-0000AEA20000}"/>
    <cellStyle name="Normal 58 4 3 2 8 2" xfId="19968" xr:uid="{00000000-0005-0000-0000-0000AFA20000}"/>
    <cellStyle name="Normal 58 4 3 2 8 2 2" xfId="45521" xr:uid="{00000000-0005-0000-0000-0000B0A20000}"/>
    <cellStyle name="Normal 58 4 3 2 8 3" xfId="32799" xr:uid="{00000000-0005-0000-0000-0000B1A20000}"/>
    <cellStyle name="Normal 58 4 3 2 9" xfId="15988" xr:uid="{00000000-0005-0000-0000-0000B2A20000}"/>
    <cellStyle name="Normal 58 4 3 2 9 2" xfId="41541" xr:uid="{00000000-0005-0000-0000-0000B3A20000}"/>
    <cellStyle name="Normal 58 4 3 2_Degree data" xfId="4009" xr:uid="{00000000-0005-0000-0000-0000B4A20000}"/>
    <cellStyle name="Normal 58 4 3 3" xfId="422" xr:uid="{00000000-0005-0000-0000-0000B5A20000}"/>
    <cellStyle name="Normal 58 4 3 3 2" xfId="2908" xr:uid="{00000000-0005-0000-0000-0000B6A20000}"/>
    <cellStyle name="Normal 58 4 3 3 2 2" xfId="12196" xr:uid="{00000000-0005-0000-0000-0000B7A20000}"/>
    <cellStyle name="Normal 58 4 3 3 2 2 2" xfId="22269" xr:uid="{00000000-0005-0000-0000-0000B8A20000}"/>
    <cellStyle name="Normal 58 4 3 3 2 2 2 2" xfId="47822" xr:uid="{00000000-0005-0000-0000-0000B9A20000}"/>
    <cellStyle name="Normal 58 4 3 3 2 2 3" xfId="37751" xr:uid="{00000000-0005-0000-0000-0000BAA20000}"/>
    <cellStyle name="Normal 58 4 3 3 2 3" xfId="8509" xr:uid="{00000000-0005-0000-0000-0000BBA20000}"/>
    <cellStyle name="Normal 58 4 3 3 2 3 2" xfId="34066" xr:uid="{00000000-0005-0000-0000-0000BCA20000}"/>
    <cellStyle name="Normal 58 4 3 3 2 4" xfId="17262" xr:uid="{00000000-0005-0000-0000-0000BDA20000}"/>
    <cellStyle name="Normal 58 4 3 3 2 4 2" xfId="42815" xr:uid="{00000000-0005-0000-0000-0000BEA20000}"/>
    <cellStyle name="Normal 58 4 3 3 2 5" xfId="28752" xr:uid="{00000000-0005-0000-0000-0000BFA20000}"/>
    <cellStyle name="Normal 58 4 3 3 3" xfId="4716" xr:uid="{00000000-0005-0000-0000-0000C0A20000}"/>
    <cellStyle name="Normal 58 4 3 3 3 2" xfId="13554" xr:uid="{00000000-0005-0000-0000-0000C1A20000}"/>
    <cellStyle name="Normal 58 4 3 3 3 2 2" xfId="23805" xr:uid="{00000000-0005-0000-0000-0000C2A20000}"/>
    <cellStyle name="Normal 58 4 3 3 3 2 2 2" xfId="49358" xr:uid="{00000000-0005-0000-0000-0000C3A20000}"/>
    <cellStyle name="Normal 58 4 3 3 3 2 3" xfId="39109" xr:uid="{00000000-0005-0000-0000-0000C4A20000}"/>
    <cellStyle name="Normal 58 4 3 3 3 3" xfId="9975" xr:uid="{00000000-0005-0000-0000-0000C5A20000}"/>
    <cellStyle name="Normal 58 4 3 3 3 3 2" xfId="35532" xr:uid="{00000000-0005-0000-0000-0000C6A20000}"/>
    <cellStyle name="Normal 58 4 3 3 3 4" xfId="18798" xr:uid="{00000000-0005-0000-0000-0000C7A20000}"/>
    <cellStyle name="Normal 58 4 3 3 3 4 2" xfId="44351" xr:uid="{00000000-0005-0000-0000-0000C8A20000}"/>
    <cellStyle name="Normal 58 4 3 3 3 5" xfId="30288" xr:uid="{00000000-0005-0000-0000-0000C9A20000}"/>
    <cellStyle name="Normal 58 4 3 3 4" xfId="2017" xr:uid="{00000000-0005-0000-0000-0000CAA20000}"/>
    <cellStyle name="Normal 58 4 3 3 4 2" xfId="11382" xr:uid="{00000000-0005-0000-0000-0000CBA20000}"/>
    <cellStyle name="Normal 58 4 3 3 4 2 2" xfId="36937" xr:uid="{00000000-0005-0000-0000-0000CCA20000}"/>
    <cellStyle name="Normal 58 4 3 3 4 3" xfId="21386" xr:uid="{00000000-0005-0000-0000-0000CDA20000}"/>
    <cellStyle name="Normal 58 4 3 3 4 3 2" xfId="46939" xr:uid="{00000000-0005-0000-0000-0000CEA20000}"/>
    <cellStyle name="Normal 58 4 3 3 4 4" xfId="27869" xr:uid="{00000000-0005-0000-0000-0000CFA20000}"/>
    <cellStyle name="Normal 58 4 3 3 5" xfId="6172" xr:uid="{00000000-0005-0000-0000-0000D0A20000}"/>
    <cellStyle name="Normal 58 4 3 3 5 2" xfId="14999" xr:uid="{00000000-0005-0000-0000-0000D1A20000}"/>
    <cellStyle name="Normal 58 4 3 3 5 2 2" xfId="40554" xr:uid="{00000000-0005-0000-0000-0000D2A20000}"/>
    <cellStyle name="Normal 58 4 3 3 5 3" xfId="25250" xr:uid="{00000000-0005-0000-0000-0000D3A20000}"/>
    <cellStyle name="Normal 58 4 3 3 5 3 2" xfId="50803" xr:uid="{00000000-0005-0000-0000-0000D4A20000}"/>
    <cellStyle name="Normal 58 4 3 3 5 4" xfId="31733" xr:uid="{00000000-0005-0000-0000-0000D5A20000}"/>
    <cellStyle name="Normal 58 4 3 3 6" xfId="7617" xr:uid="{00000000-0005-0000-0000-0000D6A20000}"/>
    <cellStyle name="Normal 58 4 3 3 6 2" xfId="19868" xr:uid="{00000000-0005-0000-0000-0000D7A20000}"/>
    <cellStyle name="Normal 58 4 3 3 6 2 2" xfId="45421" xr:uid="{00000000-0005-0000-0000-0000D8A20000}"/>
    <cellStyle name="Normal 58 4 3 3 6 3" xfId="33174" xr:uid="{00000000-0005-0000-0000-0000D9A20000}"/>
    <cellStyle name="Normal 58 4 3 3 7" xfId="16379" xr:uid="{00000000-0005-0000-0000-0000DAA20000}"/>
    <cellStyle name="Normal 58 4 3 3 7 2" xfId="41932" xr:uid="{00000000-0005-0000-0000-0000DBA20000}"/>
    <cellStyle name="Normal 58 4 3 3 8" xfId="26351" xr:uid="{00000000-0005-0000-0000-0000DCA20000}"/>
    <cellStyle name="Normal 58 4 3 4" xfId="902" xr:uid="{00000000-0005-0000-0000-0000DDA20000}"/>
    <cellStyle name="Normal 58 4 3 4 2" xfId="3387" xr:uid="{00000000-0005-0000-0000-0000DEA20000}"/>
    <cellStyle name="Normal 58 4 3 4 2 2" xfId="12529" xr:uid="{00000000-0005-0000-0000-0000DFA20000}"/>
    <cellStyle name="Normal 58 4 3 4 2 2 2" xfId="22748" xr:uid="{00000000-0005-0000-0000-0000E0A20000}"/>
    <cellStyle name="Normal 58 4 3 4 2 2 2 2" xfId="48301" xr:uid="{00000000-0005-0000-0000-0000E1A20000}"/>
    <cellStyle name="Normal 58 4 3 4 2 2 3" xfId="38084" xr:uid="{00000000-0005-0000-0000-0000E2A20000}"/>
    <cellStyle name="Normal 58 4 3 4 2 3" xfId="8951" xr:uid="{00000000-0005-0000-0000-0000E3A20000}"/>
    <cellStyle name="Normal 58 4 3 4 2 3 2" xfId="34508" xr:uid="{00000000-0005-0000-0000-0000E4A20000}"/>
    <cellStyle name="Normal 58 4 3 4 2 4" xfId="17741" xr:uid="{00000000-0005-0000-0000-0000E5A20000}"/>
    <cellStyle name="Normal 58 4 3 4 2 4 2" xfId="43294" xr:uid="{00000000-0005-0000-0000-0000E6A20000}"/>
    <cellStyle name="Normal 58 4 3 4 2 5" xfId="29231" xr:uid="{00000000-0005-0000-0000-0000E7A20000}"/>
    <cellStyle name="Normal 58 4 3 4 3" xfId="5065" xr:uid="{00000000-0005-0000-0000-0000E8A20000}"/>
    <cellStyle name="Normal 58 4 3 4 3 2" xfId="13902" xr:uid="{00000000-0005-0000-0000-0000E9A20000}"/>
    <cellStyle name="Normal 58 4 3 4 3 2 2" xfId="24153" xr:uid="{00000000-0005-0000-0000-0000EAA20000}"/>
    <cellStyle name="Normal 58 4 3 4 3 2 2 2" xfId="49706" xr:uid="{00000000-0005-0000-0000-0000EBA20000}"/>
    <cellStyle name="Normal 58 4 3 4 3 2 3" xfId="39457" xr:uid="{00000000-0005-0000-0000-0000ECA20000}"/>
    <cellStyle name="Normal 58 4 3 4 3 3" xfId="10323" xr:uid="{00000000-0005-0000-0000-0000EDA20000}"/>
    <cellStyle name="Normal 58 4 3 4 3 3 2" xfId="35880" xr:uid="{00000000-0005-0000-0000-0000EEA20000}"/>
    <cellStyle name="Normal 58 4 3 4 3 4" xfId="19146" xr:uid="{00000000-0005-0000-0000-0000EFA20000}"/>
    <cellStyle name="Normal 58 4 3 4 3 4 2" xfId="44699" xr:uid="{00000000-0005-0000-0000-0000F0A20000}"/>
    <cellStyle name="Normal 58 4 3 4 3 5" xfId="30636" xr:uid="{00000000-0005-0000-0000-0000F1A20000}"/>
    <cellStyle name="Normal 58 4 3 4 4" xfId="2496" xr:uid="{00000000-0005-0000-0000-0000F2A20000}"/>
    <cellStyle name="Normal 58 4 3 4 4 2" xfId="11861" xr:uid="{00000000-0005-0000-0000-0000F3A20000}"/>
    <cellStyle name="Normal 58 4 3 4 4 2 2" xfId="37416" xr:uid="{00000000-0005-0000-0000-0000F4A20000}"/>
    <cellStyle name="Normal 58 4 3 4 4 3" xfId="21865" xr:uid="{00000000-0005-0000-0000-0000F5A20000}"/>
    <cellStyle name="Normal 58 4 3 4 4 3 2" xfId="47418" xr:uid="{00000000-0005-0000-0000-0000F6A20000}"/>
    <cellStyle name="Normal 58 4 3 4 4 4" xfId="28348" xr:uid="{00000000-0005-0000-0000-0000F7A20000}"/>
    <cellStyle name="Normal 58 4 3 4 5" xfId="6520" xr:uid="{00000000-0005-0000-0000-0000F8A20000}"/>
    <cellStyle name="Normal 58 4 3 4 5 2" xfId="15347" xr:uid="{00000000-0005-0000-0000-0000F9A20000}"/>
    <cellStyle name="Normal 58 4 3 4 5 2 2" xfId="40902" xr:uid="{00000000-0005-0000-0000-0000FAA20000}"/>
    <cellStyle name="Normal 58 4 3 4 5 3" xfId="25598" xr:uid="{00000000-0005-0000-0000-0000FBA20000}"/>
    <cellStyle name="Normal 58 4 3 4 5 3 2" xfId="51151" xr:uid="{00000000-0005-0000-0000-0000FCA20000}"/>
    <cellStyle name="Normal 58 4 3 4 5 4" xfId="32081" xr:uid="{00000000-0005-0000-0000-0000FDA20000}"/>
    <cellStyle name="Normal 58 4 3 4 6" xfId="7966" xr:uid="{00000000-0005-0000-0000-0000FEA20000}"/>
    <cellStyle name="Normal 58 4 3 4 6 2" xfId="20347" xr:uid="{00000000-0005-0000-0000-0000FFA20000}"/>
    <cellStyle name="Normal 58 4 3 4 6 2 2" xfId="45900" xr:uid="{00000000-0005-0000-0000-000000A30000}"/>
    <cellStyle name="Normal 58 4 3 4 6 3" xfId="33523" xr:uid="{00000000-0005-0000-0000-000001A30000}"/>
    <cellStyle name="Normal 58 4 3 4 7" xfId="16858" xr:uid="{00000000-0005-0000-0000-000002A30000}"/>
    <cellStyle name="Normal 58 4 3 4 7 2" xfId="42411" xr:uid="{00000000-0005-0000-0000-000003A30000}"/>
    <cellStyle name="Normal 58 4 3 4 8" xfId="26830" xr:uid="{00000000-0005-0000-0000-000004A30000}"/>
    <cellStyle name="Normal 58 4 3 5" xfId="1194" xr:uid="{00000000-0005-0000-0000-000005A30000}"/>
    <cellStyle name="Normal 58 4 3 5 2" xfId="3623" xr:uid="{00000000-0005-0000-0000-000006A30000}"/>
    <cellStyle name="Normal 58 4 3 5 2 2" xfId="12759" xr:uid="{00000000-0005-0000-0000-000007A30000}"/>
    <cellStyle name="Normal 58 4 3 5 2 2 2" xfId="22978" xr:uid="{00000000-0005-0000-0000-000008A30000}"/>
    <cellStyle name="Normal 58 4 3 5 2 2 2 2" xfId="48531" xr:uid="{00000000-0005-0000-0000-000009A30000}"/>
    <cellStyle name="Normal 58 4 3 5 2 2 3" xfId="38314" xr:uid="{00000000-0005-0000-0000-00000AA30000}"/>
    <cellStyle name="Normal 58 4 3 5 2 3" xfId="9180" xr:uid="{00000000-0005-0000-0000-00000BA30000}"/>
    <cellStyle name="Normal 58 4 3 5 2 3 2" xfId="34737" xr:uid="{00000000-0005-0000-0000-00000CA30000}"/>
    <cellStyle name="Normal 58 4 3 5 2 4" xfId="17971" xr:uid="{00000000-0005-0000-0000-00000DA30000}"/>
    <cellStyle name="Normal 58 4 3 5 2 4 2" xfId="43524" xr:uid="{00000000-0005-0000-0000-00000EA30000}"/>
    <cellStyle name="Normal 58 4 3 5 2 5" xfId="29461" xr:uid="{00000000-0005-0000-0000-00000FA30000}"/>
    <cellStyle name="Normal 58 4 3 5 3" xfId="5286" xr:uid="{00000000-0005-0000-0000-000010A30000}"/>
    <cellStyle name="Normal 58 4 3 5 3 2" xfId="14123" xr:uid="{00000000-0005-0000-0000-000011A30000}"/>
    <cellStyle name="Normal 58 4 3 5 3 2 2" xfId="24374" xr:uid="{00000000-0005-0000-0000-000012A30000}"/>
    <cellStyle name="Normal 58 4 3 5 3 2 2 2" xfId="49927" xr:uid="{00000000-0005-0000-0000-000013A30000}"/>
    <cellStyle name="Normal 58 4 3 5 3 2 3" xfId="39678" xr:uid="{00000000-0005-0000-0000-000014A30000}"/>
    <cellStyle name="Normal 58 4 3 5 3 3" xfId="10544" xr:uid="{00000000-0005-0000-0000-000015A30000}"/>
    <cellStyle name="Normal 58 4 3 5 3 3 2" xfId="36101" xr:uid="{00000000-0005-0000-0000-000016A30000}"/>
    <cellStyle name="Normal 58 4 3 5 3 4" xfId="19367" xr:uid="{00000000-0005-0000-0000-000017A30000}"/>
    <cellStyle name="Normal 58 4 3 5 3 4 2" xfId="44920" xr:uid="{00000000-0005-0000-0000-000018A30000}"/>
    <cellStyle name="Normal 58 4 3 5 3 5" xfId="30857" xr:uid="{00000000-0005-0000-0000-000019A30000}"/>
    <cellStyle name="Normal 58 4 3 5 4" xfId="1796" xr:uid="{00000000-0005-0000-0000-00001AA30000}"/>
    <cellStyle name="Normal 58 4 3 5 4 2" xfId="11165" xr:uid="{00000000-0005-0000-0000-00001BA30000}"/>
    <cellStyle name="Normal 58 4 3 5 4 2 2" xfId="36720" xr:uid="{00000000-0005-0000-0000-00001CA30000}"/>
    <cellStyle name="Normal 58 4 3 5 4 3" xfId="21169" xr:uid="{00000000-0005-0000-0000-00001DA30000}"/>
    <cellStyle name="Normal 58 4 3 5 4 3 2" xfId="46722" xr:uid="{00000000-0005-0000-0000-00001EA30000}"/>
    <cellStyle name="Normal 58 4 3 5 4 4" xfId="27652" xr:uid="{00000000-0005-0000-0000-00001FA30000}"/>
    <cellStyle name="Normal 58 4 3 5 5" xfId="6741" xr:uid="{00000000-0005-0000-0000-000020A30000}"/>
    <cellStyle name="Normal 58 4 3 5 5 2" xfId="15568" xr:uid="{00000000-0005-0000-0000-000021A30000}"/>
    <cellStyle name="Normal 58 4 3 5 5 2 2" xfId="41123" xr:uid="{00000000-0005-0000-0000-000022A30000}"/>
    <cellStyle name="Normal 58 4 3 5 5 3" xfId="25819" xr:uid="{00000000-0005-0000-0000-000023A30000}"/>
    <cellStyle name="Normal 58 4 3 5 5 3 2" xfId="51372" xr:uid="{00000000-0005-0000-0000-000024A30000}"/>
    <cellStyle name="Normal 58 4 3 5 5 4" xfId="32302" xr:uid="{00000000-0005-0000-0000-000025A30000}"/>
    <cellStyle name="Normal 58 4 3 5 6" xfId="8187" xr:uid="{00000000-0005-0000-0000-000026A30000}"/>
    <cellStyle name="Normal 58 4 3 5 6 2" xfId="20577" xr:uid="{00000000-0005-0000-0000-000027A30000}"/>
    <cellStyle name="Normal 58 4 3 5 6 2 2" xfId="46130" xr:uid="{00000000-0005-0000-0000-000028A30000}"/>
    <cellStyle name="Normal 58 4 3 5 6 3" xfId="33744" xr:uid="{00000000-0005-0000-0000-000029A30000}"/>
    <cellStyle name="Normal 58 4 3 5 7" xfId="16162" xr:uid="{00000000-0005-0000-0000-00002AA30000}"/>
    <cellStyle name="Normal 58 4 3 5 7 2" xfId="41715" xr:uid="{00000000-0005-0000-0000-00002BA30000}"/>
    <cellStyle name="Normal 58 4 3 5 8" xfId="27060" xr:uid="{00000000-0005-0000-0000-00002CA30000}"/>
    <cellStyle name="Normal 58 4 3 6" xfId="2691" xr:uid="{00000000-0005-0000-0000-00002DA30000}"/>
    <cellStyle name="Normal 58 4 3 6 2" xfId="12008" xr:uid="{00000000-0005-0000-0000-00002EA30000}"/>
    <cellStyle name="Normal 58 4 3 6 2 2" xfId="22052" xr:uid="{00000000-0005-0000-0000-00002FA30000}"/>
    <cellStyle name="Normal 58 4 3 6 2 2 2" xfId="47605" xr:uid="{00000000-0005-0000-0000-000030A30000}"/>
    <cellStyle name="Normal 58 4 3 6 2 3" xfId="37563" xr:uid="{00000000-0005-0000-0000-000031A30000}"/>
    <cellStyle name="Normal 58 4 3 6 3" xfId="8400" xr:uid="{00000000-0005-0000-0000-000032A30000}"/>
    <cellStyle name="Normal 58 4 3 6 3 2" xfId="33957" xr:uid="{00000000-0005-0000-0000-000033A30000}"/>
    <cellStyle name="Normal 58 4 3 6 4" xfId="17045" xr:uid="{00000000-0005-0000-0000-000034A30000}"/>
    <cellStyle name="Normal 58 4 3 6 4 2" xfId="42598" xr:uid="{00000000-0005-0000-0000-000035A30000}"/>
    <cellStyle name="Normal 58 4 3 6 5" xfId="28535" xr:uid="{00000000-0005-0000-0000-000036A30000}"/>
    <cellStyle name="Normal 58 4 3 7" xfId="4242" xr:uid="{00000000-0005-0000-0000-000037A30000}"/>
    <cellStyle name="Normal 58 4 3 7 2" xfId="13080" xr:uid="{00000000-0005-0000-0000-000038A30000}"/>
    <cellStyle name="Normal 58 4 3 7 2 2" xfId="23331" xr:uid="{00000000-0005-0000-0000-000039A30000}"/>
    <cellStyle name="Normal 58 4 3 7 2 2 2" xfId="48884" xr:uid="{00000000-0005-0000-0000-00003AA30000}"/>
    <cellStyle name="Normal 58 4 3 7 2 3" xfId="38635" xr:uid="{00000000-0005-0000-0000-00003BA30000}"/>
    <cellStyle name="Normal 58 4 3 7 3" xfId="9501" xr:uid="{00000000-0005-0000-0000-00003CA30000}"/>
    <cellStyle name="Normal 58 4 3 7 3 2" xfId="35058" xr:uid="{00000000-0005-0000-0000-00003DA30000}"/>
    <cellStyle name="Normal 58 4 3 7 4" xfId="18324" xr:uid="{00000000-0005-0000-0000-00003EA30000}"/>
    <cellStyle name="Normal 58 4 3 7 4 2" xfId="43877" xr:uid="{00000000-0005-0000-0000-00003FA30000}"/>
    <cellStyle name="Normal 58 4 3 7 5" xfId="29814" xr:uid="{00000000-0005-0000-0000-000040A30000}"/>
    <cellStyle name="Normal 58 4 3 8" xfId="1514" xr:uid="{00000000-0005-0000-0000-000041A30000}"/>
    <cellStyle name="Normal 58 4 3 8 2" xfId="10891" xr:uid="{00000000-0005-0000-0000-000042A30000}"/>
    <cellStyle name="Normal 58 4 3 8 2 2" xfId="36446" xr:uid="{00000000-0005-0000-0000-000043A30000}"/>
    <cellStyle name="Normal 58 4 3 8 3" xfId="20895" xr:uid="{00000000-0005-0000-0000-000044A30000}"/>
    <cellStyle name="Normal 58 4 3 8 3 2" xfId="46448" xr:uid="{00000000-0005-0000-0000-000045A30000}"/>
    <cellStyle name="Normal 58 4 3 8 4" xfId="27378" xr:uid="{00000000-0005-0000-0000-000046A30000}"/>
    <cellStyle name="Normal 58 4 3 9" xfId="5698" xr:uid="{00000000-0005-0000-0000-000047A30000}"/>
    <cellStyle name="Normal 58 4 3 9 2" xfId="14525" xr:uid="{00000000-0005-0000-0000-000048A30000}"/>
    <cellStyle name="Normal 58 4 3 9 2 2" xfId="40080" xr:uid="{00000000-0005-0000-0000-000049A30000}"/>
    <cellStyle name="Normal 58 4 3 9 3" xfId="24776" xr:uid="{00000000-0005-0000-0000-00004AA30000}"/>
    <cellStyle name="Normal 58 4 3 9 3 2" xfId="50329" xr:uid="{00000000-0005-0000-0000-00004BA30000}"/>
    <cellStyle name="Normal 58 4 3 9 4" xfId="31259" xr:uid="{00000000-0005-0000-0000-00004CA30000}"/>
    <cellStyle name="Normal 58 4 3_Degree data" xfId="4008" xr:uid="{00000000-0005-0000-0000-00004DA30000}"/>
    <cellStyle name="Normal 58 4 4" xfId="247" xr:uid="{00000000-0005-0000-0000-00004EA30000}"/>
    <cellStyle name="Normal 58 4 4 10" xfId="7085" xr:uid="{00000000-0005-0000-0000-00004FA30000}"/>
    <cellStyle name="Normal 58 4 4 10 2" xfId="19699" xr:uid="{00000000-0005-0000-0000-000050A30000}"/>
    <cellStyle name="Normal 58 4 4 10 2 2" xfId="45252" xr:uid="{00000000-0005-0000-0000-000051A30000}"/>
    <cellStyle name="Normal 58 4 4 10 3" xfId="32642" xr:uid="{00000000-0005-0000-0000-000052A30000}"/>
    <cellStyle name="Normal 58 4 4 11" xfId="15831" xr:uid="{00000000-0005-0000-0000-000053A30000}"/>
    <cellStyle name="Normal 58 4 4 11 2" xfId="41384" xr:uid="{00000000-0005-0000-0000-000054A30000}"/>
    <cellStyle name="Normal 58 4 4 12" xfId="26182" xr:uid="{00000000-0005-0000-0000-000055A30000}"/>
    <cellStyle name="Normal 58 4 4 2" xfId="570" xr:uid="{00000000-0005-0000-0000-000056A30000}"/>
    <cellStyle name="Normal 58 4 4 2 10" xfId="26499" xr:uid="{00000000-0005-0000-0000-000057A30000}"/>
    <cellStyle name="Normal 58 4 4 2 2" xfId="905" xr:uid="{00000000-0005-0000-0000-000058A30000}"/>
    <cellStyle name="Normal 58 4 4 2 2 2" xfId="3390" xr:uid="{00000000-0005-0000-0000-000059A30000}"/>
    <cellStyle name="Normal 58 4 4 2 2 2 2" xfId="12532" xr:uid="{00000000-0005-0000-0000-00005AA30000}"/>
    <cellStyle name="Normal 58 4 4 2 2 2 2 2" xfId="22751" xr:uid="{00000000-0005-0000-0000-00005BA30000}"/>
    <cellStyle name="Normal 58 4 4 2 2 2 2 2 2" xfId="48304" xr:uid="{00000000-0005-0000-0000-00005CA30000}"/>
    <cellStyle name="Normal 58 4 4 2 2 2 2 3" xfId="38087" xr:uid="{00000000-0005-0000-0000-00005DA30000}"/>
    <cellStyle name="Normal 58 4 4 2 2 2 3" xfId="8954" xr:uid="{00000000-0005-0000-0000-00005EA30000}"/>
    <cellStyle name="Normal 58 4 4 2 2 2 3 2" xfId="34511" xr:uid="{00000000-0005-0000-0000-00005FA30000}"/>
    <cellStyle name="Normal 58 4 4 2 2 2 4" xfId="17744" xr:uid="{00000000-0005-0000-0000-000060A30000}"/>
    <cellStyle name="Normal 58 4 4 2 2 2 4 2" xfId="43297" xr:uid="{00000000-0005-0000-0000-000061A30000}"/>
    <cellStyle name="Normal 58 4 4 2 2 2 5" xfId="29234" xr:uid="{00000000-0005-0000-0000-000062A30000}"/>
    <cellStyle name="Normal 58 4 4 2 2 3" xfId="4719" xr:uid="{00000000-0005-0000-0000-000063A30000}"/>
    <cellStyle name="Normal 58 4 4 2 2 3 2" xfId="13557" xr:uid="{00000000-0005-0000-0000-000064A30000}"/>
    <cellStyle name="Normal 58 4 4 2 2 3 2 2" xfId="23808" xr:uid="{00000000-0005-0000-0000-000065A30000}"/>
    <cellStyle name="Normal 58 4 4 2 2 3 2 2 2" xfId="49361" xr:uid="{00000000-0005-0000-0000-000066A30000}"/>
    <cellStyle name="Normal 58 4 4 2 2 3 2 3" xfId="39112" xr:uid="{00000000-0005-0000-0000-000067A30000}"/>
    <cellStyle name="Normal 58 4 4 2 2 3 3" xfId="9978" xr:uid="{00000000-0005-0000-0000-000068A30000}"/>
    <cellStyle name="Normal 58 4 4 2 2 3 3 2" xfId="35535" xr:uid="{00000000-0005-0000-0000-000069A30000}"/>
    <cellStyle name="Normal 58 4 4 2 2 3 4" xfId="18801" xr:uid="{00000000-0005-0000-0000-00006AA30000}"/>
    <cellStyle name="Normal 58 4 4 2 2 3 4 2" xfId="44354" xr:uid="{00000000-0005-0000-0000-00006BA30000}"/>
    <cellStyle name="Normal 58 4 4 2 2 3 5" xfId="30291" xr:uid="{00000000-0005-0000-0000-00006CA30000}"/>
    <cellStyle name="Normal 58 4 4 2 2 4" xfId="2499" xr:uid="{00000000-0005-0000-0000-00006DA30000}"/>
    <cellStyle name="Normal 58 4 4 2 2 4 2" xfId="11864" xr:uid="{00000000-0005-0000-0000-00006EA30000}"/>
    <cellStyle name="Normal 58 4 4 2 2 4 2 2" xfId="37419" xr:uid="{00000000-0005-0000-0000-00006FA30000}"/>
    <cellStyle name="Normal 58 4 4 2 2 4 3" xfId="21868" xr:uid="{00000000-0005-0000-0000-000070A30000}"/>
    <cellStyle name="Normal 58 4 4 2 2 4 3 2" xfId="47421" xr:uid="{00000000-0005-0000-0000-000071A30000}"/>
    <cellStyle name="Normal 58 4 4 2 2 4 4" xfId="28351" xr:uid="{00000000-0005-0000-0000-000072A30000}"/>
    <cellStyle name="Normal 58 4 4 2 2 5" xfId="6175" xr:uid="{00000000-0005-0000-0000-000073A30000}"/>
    <cellStyle name="Normal 58 4 4 2 2 5 2" xfId="15002" xr:uid="{00000000-0005-0000-0000-000074A30000}"/>
    <cellStyle name="Normal 58 4 4 2 2 5 2 2" xfId="40557" xr:uid="{00000000-0005-0000-0000-000075A30000}"/>
    <cellStyle name="Normal 58 4 4 2 2 5 3" xfId="25253" xr:uid="{00000000-0005-0000-0000-000076A30000}"/>
    <cellStyle name="Normal 58 4 4 2 2 5 3 2" xfId="50806" xr:uid="{00000000-0005-0000-0000-000077A30000}"/>
    <cellStyle name="Normal 58 4 4 2 2 5 4" xfId="31736" xr:uid="{00000000-0005-0000-0000-000078A30000}"/>
    <cellStyle name="Normal 58 4 4 2 2 6" xfId="7620" xr:uid="{00000000-0005-0000-0000-000079A30000}"/>
    <cellStyle name="Normal 58 4 4 2 2 6 2" xfId="20350" xr:uid="{00000000-0005-0000-0000-00007AA30000}"/>
    <cellStyle name="Normal 58 4 4 2 2 6 2 2" xfId="45903" xr:uid="{00000000-0005-0000-0000-00007BA30000}"/>
    <cellStyle name="Normal 58 4 4 2 2 6 3" xfId="33177" xr:uid="{00000000-0005-0000-0000-00007CA30000}"/>
    <cellStyle name="Normal 58 4 4 2 2 7" xfId="16861" xr:uid="{00000000-0005-0000-0000-00007DA30000}"/>
    <cellStyle name="Normal 58 4 4 2 2 7 2" xfId="42414" xr:uid="{00000000-0005-0000-0000-00007EA30000}"/>
    <cellStyle name="Normal 58 4 4 2 2 8" xfId="26833" xr:uid="{00000000-0005-0000-0000-00007FA30000}"/>
    <cellStyle name="Normal 58 4 4 2 3" xfId="1342" xr:uid="{00000000-0005-0000-0000-000080A30000}"/>
    <cellStyle name="Normal 58 4 4 2 3 2" xfId="3771" xr:uid="{00000000-0005-0000-0000-000081A30000}"/>
    <cellStyle name="Normal 58 4 4 2 3 2 2" xfId="12907" xr:uid="{00000000-0005-0000-0000-000082A30000}"/>
    <cellStyle name="Normal 58 4 4 2 3 2 2 2" xfId="23126" xr:uid="{00000000-0005-0000-0000-000083A30000}"/>
    <cellStyle name="Normal 58 4 4 2 3 2 2 2 2" xfId="48679" xr:uid="{00000000-0005-0000-0000-000084A30000}"/>
    <cellStyle name="Normal 58 4 4 2 3 2 2 3" xfId="38462" xr:uid="{00000000-0005-0000-0000-000085A30000}"/>
    <cellStyle name="Normal 58 4 4 2 3 2 3" xfId="9328" xr:uid="{00000000-0005-0000-0000-000086A30000}"/>
    <cellStyle name="Normal 58 4 4 2 3 2 3 2" xfId="34885" xr:uid="{00000000-0005-0000-0000-000087A30000}"/>
    <cellStyle name="Normal 58 4 4 2 3 2 4" xfId="18119" xr:uid="{00000000-0005-0000-0000-000088A30000}"/>
    <cellStyle name="Normal 58 4 4 2 3 2 4 2" xfId="43672" xr:uid="{00000000-0005-0000-0000-000089A30000}"/>
    <cellStyle name="Normal 58 4 4 2 3 2 5" xfId="29609" xr:uid="{00000000-0005-0000-0000-00008AA30000}"/>
    <cellStyle name="Normal 58 4 4 2 3 3" xfId="5068" xr:uid="{00000000-0005-0000-0000-00008BA30000}"/>
    <cellStyle name="Normal 58 4 4 2 3 3 2" xfId="13905" xr:uid="{00000000-0005-0000-0000-00008CA30000}"/>
    <cellStyle name="Normal 58 4 4 2 3 3 2 2" xfId="24156" xr:uid="{00000000-0005-0000-0000-00008DA30000}"/>
    <cellStyle name="Normal 58 4 4 2 3 3 2 2 2" xfId="49709" xr:uid="{00000000-0005-0000-0000-00008EA30000}"/>
    <cellStyle name="Normal 58 4 4 2 3 3 2 3" xfId="39460" xr:uid="{00000000-0005-0000-0000-00008FA30000}"/>
    <cellStyle name="Normal 58 4 4 2 3 3 3" xfId="10326" xr:uid="{00000000-0005-0000-0000-000090A30000}"/>
    <cellStyle name="Normal 58 4 4 2 3 3 3 2" xfId="35883" xr:uid="{00000000-0005-0000-0000-000091A30000}"/>
    <cellStyle name="Normal 58 4 4 2 3 3 4" xfId="19149" xr:uid="{00000000-0005-0000-0000-000092A30000}"/>
    <cellStyle name="Normal 58 4 4 2 3 3 4 2" xfId="44702" xr:uid="{00000000-0005-0000-0000-000093A30000}"/>
    <cellStyle name="Normal 58 4 4 2 3 3 5" xfId="30639" xr:uid="{00000000-0005-0000-0000-000094A30000}"/>
    <cellStyle name="Normal 58 4 4 2 3 4" xfId="2165" xr:uid="{00000000-0005-0000-0000-000095A30000}"/>
    <cellStyle name="Normal 58 4 4 2 3 4 2" xfId="11530" xr:uid="{00000000-0005-0000-0000-000096A30000}"/>
    <cellStyle name="Normal 58 4 4 2 3 4 2 2" xfId="37085" xr:uid="{00000000-0005-0000-0000-000097A30000}"/>
    <cellStyle name="Normal 58 4 4 2 3 4 3" xfId="21534" xr:uid="{00000000-0005-0000-0000-000098A30000}"/>
    <cellStyle name="Normal 58 4 4 2 3 4 3 2" xfId="47087" xr:uid="{00000000-0005-0000-0000-000099A30000}"/>
    <cellStyle name="Normal 58 4 4 2 3 4 4" xfId="28017" xr:uid="{00000000-0005-0000-0000-00009AA30000}"/>
    <cellStyle name="Normal 58 4 4 2 3 5" xfId="6523" xr:uid="{00000000-0005-0000-0000-00009BA30000}"/>
    <cellStyle name="Normal 58 4 4 2 3 5 2" xfId="15350" xr:uid="{00000000-0005-0000-0000-00009CA30000}"/>
    <cellStyle name="Normal 58 4 4 2 3 5 2 2" xfId="40905" xr:uid="{00000000-0005-0000-0000-00009DA30000}"/>
    <cellStyle name="Normal 58 4 4 2 3 5 3" xfId="25601" xr:uid="{00000000-0005-0000-0000-00009EA30000}"/>
    <cellStyle name="Normal 58 4 4 2 3 5 3 2" xfId="51154" xr:uid="{00000000-0005-0000-0000-00009FA30000}"/>
    <cellStyle name="Normal 58 4 4 2 3 5 4" xfId="32084" xr:uid="{00000000-0005-0000-0000-0000A0A30000}"/>
    <cellStyle name="Normal 58 4 4 2 3 6" xfId="7969" xr:uid="{00000000-0005-0000-0000-0000A1A30000}"/>
    <cellStyle name="Normal 58 4 4 2 3 6 2" xfId="20725" xr:uid="{00000000-0005-0000-0000-0000A2A30000}"/>
    <cellStyle name="Normal 58 4 4 2 3 6 2 2" xfId="46278" xr:uid="{00000000-0005-0000-0000-0000A3A30000}"/>
    <cellStyle name="Normal 58 4 4 2 3 6 3" xfId="33526" xr:uid="{00000000-0005-0000-0000-0000A4A30000}"/>
    <cellStyle name="Normal 58 4 4 2 3 7" xfId="16527" xr:uid="{00000000-0005-0000-0000-0000A5A30000}"/>
    <cellStyle name="Normal 58 4 4 2 3 7 2" xfId="42080" xr:uid="{00000000-0005-0000-0000-0000A6A30000}"/>
    <cellStyle name="Normal 58 4 4 2 3 8" xfId="27208" xr:uid="{00000000-0005-0000-0000-0000A7A30000}"/>
    <cellStyle name="Normal 58 4 4 2 4" xfId="3056" xr:uid="{00000000-0005-0000-0000-0000A8A30000}"/>
    <cellStyle name="Normal 58 4 4 2 4 2" xfId="5434" xr:uid="{00000000-0005-0000-0000-0000A9A30000}"/>
    <cellStyle name="Normal 58 4 4 2 4 2 2" xfId="14271" xr:uid="{00000000-0005-0000-0000-0000AAA30000}"/>
    <cellStyle name="Normal 58 4 4 2 4 2 2 2" xfId="24522" xr:uid="{00000000-0005-0000-0000-0000ABA30000}"/>
    <cellStyle name="Normal 58 4 4 2 4 2 2 2 2" xfId="50075" xr:uid="{00000000-0005-0000-0000-0000ACA30000}"/>
    <cellStyle name="Normal 58 4 4 2 4 2 2 3" xfId="39826" xr:uid="{00000000-0005-0000-0000-0000ADA30000}"/>
    <cellStyle name="Normal 58 4 4 2 4 2 3" xfId="10692" xr:uid="{00000000-0005-0000-0000-0000AEA30000}"/>
    <cellStyle name="Normal 58 4 4 2 4 2 3 2" xfId="36249" xr:uid="{00000000-0005-0000-0000-0000AFA30000}"/>
    <cellStyle name="Normal 58 4 4 2 4 2 4" xfId="19515" xr:uid="{00000000-0005-0000-0000-0000B0A30000}"/>
    <cellStyle name="Normal 58 4 4 2 4 2 4 2" xfId="45068" xr:uid="{00000000-0005-0000-0000-0000B1A30000}"/>
    <cellStyle name="Normal 58 4 4 2 4 2 5" xfId="31005" xr:uid="{00000000-0005-0000-0000-0000B2A30000}"/>
    <cellStyle name="Normal 58 4 4 2 4 3" xfId="6889" xr:uid="{00000000-0005-0000-0000-0000B3A30000}"/>
    <cellStyle name="Normal 58 4 4 2 4 3 2" xfId="15716" xr:uid="{00000000-0005-0000-0000-0000B4A30000}"/>
    <cellStyle name="Normal 58 4 4 2 4 3 2 2" xfId="41271" xr:uid="{00000000-0005-0000-0000-0000B5A30000}"/>
    <cellStyle name="Normal 58 4 4 2 4 3 3" xfId="25967" xr:uid="{00000000-0005-0000-0000-0000B6A30000}"/>
    <cellStyle name="Normal 58 4 4 2 4 3 3 2" xfId="51520" xr:uid="{00000000-0005-0000-0000-0000B7A30000}"/>
    <cellStyle name="Normal 58 4 4 2 4 3 4" xfId="32450" xr:uid="{00000000-0005-0000-0000-0000B8A30000}"/>
    <cellStyle name="Normal 58 4 4 2 4 4" xfId="8335" xr:uid="{00000000-0005-0000-0000-0000B9A30000}"/>
    <cellStyle name="Normal 58 4 4 2 4 4 2" xfId="22417" xr:uid="{00000000-0005-0000-0000-0000BAA30000}"/>
    <cellStyle name="Normal 58 4 4 2 4 4 2 2" xfId="47970" xr:uid="{00000000-0005-0000-0000-0000BBA30000}"/>
    <cellStyle name="Normal 58 4 4 2 4 4 3" xfId="33892" xr:uid="{00000000-0005-0000-0000-0000BCA30000}"/>
    <cellStyle name="Normal 58 4 4 2 4 5" xfId="17410" xr:uid="{00000000-0005-0000-0000-0000BDA30000}"/>
    <cellStyle name="Normal 58 4 4 2 4 5 2" xfId="42963" xr:uid="{00000000-0005-0000-0000-0000BEA30000}"/>
    <cellStyle name="Normal 58 4 4 2 4 6" xfId="28900" xr:uid="{00000000-0005-0000-0000-0000BFA30000}"/>
    <cellStyle name="Normal 58 4 4 2 5" xfId="4390" xr:uid="{00000000-0005-0000-0000-0000C0A30000}"/>
    <cellStyle name="Normal 58 4 4 2 5 2" xfId="13228" xr:uid="{00000000-0005-0000-0000-0000C1A30000}"/>
    <cellStyle name="Normal 58 4 4 2 5 2 2" xfId="23479" xr:uid="{00000000-0005-0000-0000-0000C2A30000}"/>
    <cellStyle name="Normal 58 4 4 2 5 2 2 2" xfId="49032" xr:uid="{00000000-0005-0000-0000-0000C3A30000}"/>
    <cellStyle name="Normal 58 4 4 2 5 2 3" xfId="38783" xr:uid="{00000000-0005-0000-0000-0000C4A30000}"/>
    <cellStyle name="Normal 58 4 4 2 5 3" xfId="9649" xr:uid="{00000000-0005-0000-0000-0000C5A30000}"/>
    <cellStyle name="Normal 58 4 4 2 5 3 2" xfId="35206" xr:uid="{00000000-0005-0000-0000-0000C6A30000}"/>
    <cellStyle name="Normal 58 4 4 2 5 4" xfId="18472" xr:uid="{00000000-0005-0000-0000-0000C7A30000}"/>
    <cellStyle name="Normal 58 4 4 2 5 4 2" xfId="44025" xr:uid="{00000000-0005-0000-0000-0000C8A30000}"/>
    <cellStyle name="Normal 58 4 4 2 5 5" xfId="29962" xr:uid="{00000000-0005-0000-0000-0000C9A30000}"/>
    <cellStyle name="Normal 58 4 4 2 6" xfId="1662" xr:uid="{00000000-0005-0000-0000-0000CAA30000}"/>
    <cellStyle name="Normal 58 4 4 2 6 2" xfId="11039" xr:uid="{00000000-0005-0000-0000-0000CBA30000}"/>
    <cellStyle name="Normal 58 4 4 2 6 2 2" xfId="36594" xr:uid="{00000000-0005-0000-0000-0000CCA30000}"/>
    <cellStyle name="Normal 58 4 4 2 6 3" xfId="21043" xr:uid="{00000000-0005-0000-0000-0000CDA30000}"/>
    <cellStyle name="Normal 58 4 4 2 6 3 2" xfId="46596" xr:uid="{00000000-0005-0000-0000-0000CEA30000}"/>
    <cellStyle name="Normal 58 4 4 2 6 4" xfId="27526" xr:uid="{00000000-0005-0000-0000-0000CFA30000}"/>
    <cellStyle name="Normal 58 4 4 2 7" xfId="5846" xr:uid="{00000000-0005-0000-0000-0000D0A30000}"/>
    <cellStyle name="Normal 58 4 4 2 7 2" xfId="14673" xr:uid="{00000000-0005-0000-0000-0000D1A30000}"/>
    <cellStyle name="Normal 58 4 4 2 7 2 2" xfId="40228" xr:uid="{00000000-0005-0000-0000-0000D2A30000}"/>
    <cellStyle name="Normal 58 4 4 2 7 3" xfId="24924" xr:uid="{00000000-0005-0000-0000-0000D3A30000}"/>
    <cellStyle name="Normal 58 4 4 2 7 3 2" xfId="50477" xr:uid="{00000000-0005-0000-0000-0000D4A30000}"/>
    <cellStyle name="Normal 58 4 4 2 7 4" xfId="31407" xr:uid="{00000000-0005-0000-0000-0000D5A30000}"/>
    <cellStyle name="Normal 58 4 4 2 8" xfId="7290" xr:uid="{00000000-0005-0000-0000-0000D6A30000}"/>
    <cellStyle name="Normal 58 4 4 2 8 2" xfId="20016" xr:uid="{00000000-0005-0000-0000-0000D7A30000}"/>
    <cellStyle name="Normal 58 4 4 2 8 2 2" xfId="45569" xr:uid="{00000000-0005-0000-0000-0000D8A30000}"/>
    <cellStyle name="Normal 58 4 4 2 8 3" xfId="32847" xr:uid="{00000000-0005-0000-0000-0000D9A30000}"/>
    <cellStyle name="Normal 58 4 4 2 9" xfId="16036" xr:uid="{00000000-0005-0000-0000-0000DAA30000}"/>
    <cellStyle name="Normal 58 4 4 2 9 2" xfId="41589" xr:uid="{00000000-0005-0000-0000-0000DBA30000}"/>
    <cellStyle name="Normal 58 4 4 2_Degree data" xfId="4011" xr:uid="{00000000-0005-0000-0000-0000DCA30000}"/>
    <cellStyle name="Normal 58 4 4 3" xfId="365" xr:uid="{00000000-0005-0000-0000-0000DDA30000}"/>
    <cellStyle name="Normal 58 4 4 3 2" xfId="2851" xr:uid="{00000000-0005-0000-0000-0000DEA30000}"/>
    <cellStyle name="Normal 58 4 4 3 2 2" xfId="12139" xr:uid="{00000000-0005-0000-0000-0000DFA30000}"/>
    <cellStyle name="Normal 58 4 4 3 2 2 2" xfId="22212" xr:uid="{00000000-0005-0000-0000-0000E0A30000}"/>
    <cellStyle name="Normal 58 4 4 3 2 2 2 2" xfId="47765" xr:uid="{00000000-0005-0000-0000-0000E1A30000}"/>
    <cellStyle name="Normal 58 4 4 3 2 2 3" xfId="37694" xr:uid="{00000000-0005-0000-0000-0000E2A30000}"/>
    <cellStyle name="Normal 58 4 4 3 2 3" xfId="8463" xr:uid="{00000000-0005-0000-0000-0000E3A30000}"/>
    <cellStyle name="Normal 58 4 4 3 2 3 2" xfId="34020" xr:uid="{00000000-0005-0000-0000-0000E4A30000}"/>
    <cellStyle name="Normal 58 4 4 3 2 4" xfId="17205" xr:uid="{00000000-0005-0000-0000-0000E5A30000}"/>
    <cellStyle name="Normal 58 4 4 3 2 4 2" xfId="42758" xr:uid="{00000000-0005-0000-0000-0000E6A30000}"/>
    <cellStyle name="Normal 58 4 4 3 2 5" xfId="28695" xr:uid="{00000000-0005-0000-0000-0000E7A30000}"/>
    <cellStyle name="Normal 58 4 4 3 3" xfId="4718" xr:uid="{00000000-0005-0000-0000-0000E8A30000}"/>
    <cellStyle name="Normal 58 4 4 3 3 2" xfId="13556" xr:uid="{00000000-0005-0000-0000-0000E9A30000}"/>
    <cellStyle name="Normal 58 4 4 3 3 2 2" xfId="23807" xr:uid="{00000000-0005-0000-0000-0000EAA30000}"/>
    <cellStyle name="Normal 58 4 4 3 3 2 2 2" xfId="49360" xr:uid="{00000000-0005-0000-0000-0000EBA30000}"/>
    <cellStyle name="Normal 58 4 4 3 3 2 3" xfId="39111" xr:uid="{00000000-0005-0000-0000-0000ECA30000}"/>
    <cellStyle name="Normal 58 4 4 3 3 3" xfId="9977" xr:uid="{00000000-0005-0000-0000-0000EDA30000}"/>
    <cellStyle name="Normal 58 4 4 3 3 3 2" xfId="35534" xr:uid="{00000000-0005-0000-0000-0000EEA30000}"/>
    <cellStyle name="Normal 58 4 4 3 3 4" xfId="18800" xr:uid="{00000000-0005-0000-0000-0000EFA30000}"/>
    <cellStyle name="Normal 58 4 4 3 3 4 2" xfId="44353" xr:uid="{00000000-0005-0000-0000-0000F0A30000}"/>
    <cellStyle name="Normal 58 4 4 3 3 5" xfId="30290" xr:uid="{00000000-0005-0000-0000-0000F1A30000}"/>
    <cellStyle name="Normal 58 4 4 3 4" xfId="1960" xr:uid="{00000000-0005-0000-0000-0000F2A30000}"/>
    <cellStyle name="Normal 58 4 4 3 4 2" xfId="11325" xr:uid="{00000000-0005-0000-0000-0000F3A30000}"/>
    <cellStyle name="Normal 58 4 4 3 4 2 2" xfId="36880" xr:uid="{00000000-0005-0000-0000-0000F4A30000}"/>
    <cellStyle name="Normal 58 4 4 3 4 3" xfId="21329" xr:uid="{00000000-0005-0000-0000-0000F5A30000}"/>
    <cellStyle name="Normal 58 4 4 3 4 3 2" xfId="46882" xr:uid="{00000000-0005-0000-0000-0000F6A30000}"/>
    <cellStyle name="Normal 58 4 4 3 4 4" xfId="27812" xr:uid="{00000000-0005-0000-0000-0000F7A30000}"/>
    <cellStyle name="Normal 58 4 4 3 5" xfId="6174" xr:uid="{00000000-0005-0000-0000-0000F8A30000}"/>
    <cellStyle name="Normal 58 4 4 3 5 2" xfId="15001" xr:uid="{00000000-0005-0000-0000-0000F9A30000}"/>
    <cellStyle name="Normal 58 4 4 3 5 2 2" xfId="40556" xr:uid="{00000000-0005-0000-0000-0000FAA30000}"/>
    <cellStyle name="Normal 58 4 4 3 5 3" xfId="25252" xr:uid="{00000000-0005-0000-0000-0000FBA30000}"/>
    <cellStyle name="Normal 58 4 4 3 5 3 2" xfId="50805" xr:uid="{00000000-0005-0000-0000-0000FCA30000}"/>
    <cellStyle name="Normal 58 4 4 3 5 4" xfId="31735" xr:uid="{00000000-0005-0000-0000-0000FDA30000}"/>
    <cellStyle name="Normal 58 4 4 3 6" xfId="7619" xr:uid="{00000000-0005-0000-0000-0000FEA30000}"/>
    <cellStyle name="Normal 58 4 4 3 6 2" xfId="19811" xr:uid="{00000000-0005-0000-0000-0000FFA30000}"/>
    <cellStyle name="Normal 58 4 4 3 6 2 2" xfId="45364" xr:uid="{00000000-0005-0000-0000-000000A40000}"/>
    <cellStyle name="Normal 58 4 4 3 6 3" xfId="33176" xr:uid="{00000000-0005-0000-0000-000001A40000}"/>
    <cellStyle name="Normal 58 4 4 3 7" xfId="16322" xr:uid="{00000000-0005-0000-0000-000002A40000}"/>
    <cellStyle name="Normal 58 4 4 3 7 2" xfId="41875" xr:uid="{00000000-0005-0000-0000-000003A40000}"/>
    <cellStyle name="Normal 58 4 4 3 8" xfId="26294" xr:uid="{00000000-0005-0000-0000-000004A40000}"/>
    <cellStyle name="Normal 58 4 4 4" xfId="904" xr:uid="{00000000-0005-0000-0000-000005A40000}"/>
    <cellStyle name="Normal 58 4 4 4 2" xfId="3389" xr:uid="{00000000-0005-0000-0000-000006A40000}"/>
    <cellStyle name="Normal 58 4 4 4 2 2" xfId="12531" xr:uid="{00000000-0005-0000-0000-000007A40000}"/>
    <cellStyle name="Normal 58 4 4 4 2 2 2" xfId="22750" xr:uid="{00000000-0005-0000-0000-000008A40000}"/>
    <cellStyle name="Normal 58 4 4 4 2 2 2 2" xfId="48303" xr:uid="{00000000-0005-0000-0000-000009A40000}"/>
    <cellStyle name="Normal 58 4 4 4 2 2 3" xfId="38086" xr:uid="{00000000-0005-0000-0000-00000AA40000}"/>
    <cellStyle name="Normal 58 4 4 4 2 3" xfId="8953" xr:uid="{00000000-0005-0000-0000-00000BA40000}"/>
    <cellStyle name="Normal 58 4 4 4 2 3 2" xfId="34510" xr:uid="{00000000-0005-0000-0000-00000CA40000}"/>
    <cellStyle name="Normal 58 4 4 4 2 4" xfId="17743" xr:uid="{00000000-0005-0000-0000-00000DA40000}"/>
    <cellStyle name="Normal 58 4 4 4 2 4 2" xfId="43296" xr:uid="{00000000-0005-0000-0000-00000EA40000}"/>
    <cellStyle name="Normal 58 4 4 4 2 5" xfId="29233" xr:uid="{00000000-0005-0000-0000-00000FA40000}"/>
    <cellStyle name="Normal 58 4 4 4 3" xfId="5067" xr:uid="{00000000-0005-0000-0000-000010A40000}"/>
    <cellStyle name="Normal 58 4 4 4 3 2" xfId="13904" xr:uid="{00000000-0005-0000-0000-000011A40000}"/>
    <cellStyle name="Normal 58 4 4 4 3 2 2" xfId="24155" xr:uid="{00000000-0005-0000-0000-000012A40000}"/>
    <cellStyle name="Normal 58 4 4 4 3 2 2 2" xfId="49708" xr:uid="{00000000-0005-0000-0000-000013A40000}"/>
    <cellStyle name="Normal 58 4 4 4 3 2 3" xfId="39459" xr:uid="{00000000-0005-0000-0000-000014A40000}"/>
    <cellStyle name="Normal 58 4 4 4 3 3" xfId="10325" xr:uid="{00000000-0005-0000-0000-000015A40000}"/>
    <cellStyle name="Normal 58 4 4 4 3 3 2" xfId="35882" xr:uid="{00000000-0005-0000-0000-000016A40000}"/>
    <cellStyle name="Normal 58 4 4 4 3 4" xfId="19148" xr:uid="{00000000-0005-0000-0000-000017A40000}"/>
    <cellStyle name="Normal 58 4 4 4 3 4 2" xfId="44701" xr:uid="{00000000-0005-0000-0000-000018A40000}"/>
    <cellStyle name="Normal 58 4 4 4 3 5" xfId="30638" xr:uid="{00000000-0005-0000-0000-000019A40000}"/>
    <cellStyle name="Normal 58 4 4 4 4" xfId="2498" xr:uid="{00000000-0005-0000-0000-00001AA40000}"/>
    <cellStyle name="Normal 58 4 4 4 4 2" xfId="11863" xr:uid="{00000000-0005-0000-0000-00001BA40000}"/>
    <cellStyle name="Normal 58 4 4 4 4 2 2" xfId="37418" xr:uid="{00000000-0005-0000-0000-00001CA40000}"/>
    <cellStyle name="Normal 58 4 4 4 4 3" xfId="21867" xr:uid="{00000000-0005-0000-0000-00001DA40000}"/>
    <cellStyle name="Normal 58 4 4 4 4 3 2" xfId="47420" xr:uid="{00000000-0005-0000-0000-00001EA40000}"/>
    <cellStyle name="Normal 58 4 4 4 4 4" xfId="28350" xr:uid="{00000000-0005-0000-0000-00001FA40000}"/>
    <cellStyle name="Normal 58 4 4 4 5" xfId="6522" xr:uid="{00000000-0005-0000-0000-000020A40000}"/>
    <cellStyle name="Normal 58 4 4 4 5 2" xfId="15349" xr:uid="{00000000-0005-0000-0000-000021A40000}"/>
    <cellStyle name="Normal 58 4 4 4 5 2 2" xfId="40904" xr:uid="{00000000-0005-0000-0000-000022A40000}"/>
    <cellStyle name="Normal 58 4 4 4 5 3" xfId="25600" xr:uid="{00000000-0005-0000-0000-000023A40000}"/>
    <cellStyle name="Normal 58 4 4 4 5 3 2" xfId="51153" xr:uid="{00000000-0005-0000-0000-000024A40000}"/>
    <cellStyle name="Normal 58 4 4 4 5 4" xfId="32083" xr:uid="{00000000-0005-0000-0000-000025A40000}"/>
    <cellStyle name="Normal 58 4 4 4 6" xfId="7968" xr:uid="{00000000-0005-0000-0000-000026A40000}"/>
    <cellStyle name="Normal 58 4 4 4 6 2" xfId="20349" xr:uid="{00000000-0005-0000-0000-000027A40000}"/>
    <cellStyle name="Normal 58 4 4 4 6 2 2" xfId="45902" xr:uid="{00000000-0005-0000-0000-000028A40000}"/>
    <cellStyle name="Normal 58 4 4 4 6 3" xfId="33525" xr:uid="{00000000-0005-0000-0000-000029A40000}"/>
    <cellStyle name="Normal 58 4 4 4 7" xfId="16860" xr:uid="{00000000-0005-0000-0000-00002AA40000}"/>
    <cellStyle name="Normal 58 4 4 4 7 2" xfId="42413" xr:uid="{00000000-0005-0000-0000-00002BA40000}"/>
    <cellStyle name="Normal 58 4 4 4 8" xfId="26832" xr:uid="{00000000-0005-0000-0000-00002CA40000}"/>
    <cellStyle name="Normal 58 4 4 5" xfId="1137" xr:uid="{00000000-0005-0000-0000-00002DA40000}"/>
    <cellStyle name="Normal 58 4 4 5 2" xfId="3566" xr:uid="{00000000-0005-0000-0000-00002EA40000}"/>
    <cellStyle name="Normal 58 4 4 5 2 2" xfId="12702" xr:uid="{00000000-0005-0000-0000-00002FA40000}"/>
    <cellStyle name="Normal 58 4 4 5 2 2 2" xfId="22921" xr:uid="{00000000-0005-0000-0000-000030A40000}"/>
    <cellStyle name="Normal 58 4 4 5 2 2 2 2" xfId="48474" xr:uid="{00000000-0005-0000-0000-000031A40000}"/>
    <cellStyle name="Normal 58 4 4 5 2 2 3" xfId="38257" xr:uid="{00000000-0005-0000-0000-000032A40000}"/>
    <cellStyle name="Normal 58 4 4 5 2 3" xfId="9123" xr:uid="{00000000-0005-0000-0000-000033A40000}"/>
    <cellStyle name="Normal 58 4 4 5 2 3 2" xfId="34680" xr:uid="{00000000-0005-0000-0000-000034A40000}"/>
    <cellStyle name="Normal 58 4 4 5 2 4" xfId="17914" xr:uid="{00000000-0005-0000-0000-000035A40000}"/>
    <cellStyle name="Normal 58 4 4 5 2 4 2" xfId="43467" xr:uid="{00000000-0005-0000-0000-000036A40000}"/>
    <cellStyle name="Normal 58 4 4 5 2 5" xfId="29404" xr:uid="{00000000-0005-0000-0000-000037A40000}"/>
    <cellStyle name="Normal 58 4 4 5 3" xfId="5229" xr:uid="{00000000-0005-0000-0000-000038A40000}"/>
    <cellStyle name="Normal 58 4 4 5 3 2" xfId="14066" xr:uid="{00000000-0005-0000-0000-000039A40000}"/>
    <cellStyle name="Normal 58 4 4 5 3 2 2" xfId="24317" xr:uid="{00000000-0005-0000-0000-00003AA40000}"/>
    <cellStyle name="Normal 58 4 4 5 3 2 2 2" xfId="49870" xr:uid="{00000000-0005-0000-0000-00003BA40000}"/>
    <cellStyle name="Normal 58 4 4 5 3 2 3" xfId="39621" xr:uid="{00000000-0005-0000-0000-00003CA40000}"/>
    <cellStyle name="Normal 58 4 4 5 3 3" xfId="10487" xr:uid="{00000000-0005-0000-0000-00003DA40000}"/>
    <cellStyle name="Normal 58 4 4 5 3 3 2" xfId="36044" xr:uid="{00000000-0005-0000-0000-00003EA40000}"/>
    <cellStyle name="Normal 58 4 4 5 3 4" xfId="19310" xr:uid="{00000000-0005-0000-0000-00003FA40000}"/>
    <cellStyle name="Normal 58 4 4 5 3 4 2" xfId="44863" xr:uid="{00000000-0005-0000-0000-000040A40000}"/>
    <cellStyle name="Normal 58 4 4 5 3 5" xfId="30800" xr:uid="{00000000-0005-0000-0000-000041A40000}"/>
    <cellStyle name="Normal 58 4 4 5 4" xfId="1845" xr:uid="{00000000-0005-0000-0000-000042A40000}"/>
    <cellStyle name="Normal 58 4 4 5 4 2" xfId="11213" xr:uid="{00000000-0005-0000-0000-000043A40000}"/>
    <cellStyle name="Normal 58 4 4 5 4 2 2" xfId="36768" xr:uid="{00000000-0005-0000-0000-000044A40000}"/>
    <cellStyle name="Normal 58 4 4 5 4 3" xfId="21217" xr:uid="{00000000-0005-0000-0000-000045A40000}"/>
    <cellStyle name="Normal 58 4 4 5 4 3 2" xfId="46770" xr:uid="{00000000-0005-0000-0000-000046A40000}"/>
    <cellStyle name="Normal 58 4 4 5 4 4" xfId="27700" xr:uid="{00000000-0005-0000-0000-000047A40000}"/>
    <cellStyle name="Normal 58 4 4 5 5" xfId="6684" xr:uid="{00000000-0005-0000-0000-000048A40000}"/>
    <cellStyle name="Normal 58 4 4 5 5 2" xfId="15511" xr:uid="{00000000-0005-0000-0000-000049A40000}"/>
    <cellStyle name="Normal 58 4 4 5 5 2 2" xfId="41066" xr:uid="{00000000-0005-0000-0000-00004AA40000}"/>
    <cellStyle name="Normal 58 4 4 5 5 3" xfId="25762" xr:uid="{00000000-0005-0000-0000-00004BA40000}"/>
    <cellStyle name="Normal 58 4 4 5 5 3 2" xfId="51315" xr:uid="{00000000-0005-0000-0000-00004CA40000}"/>
    <cellStyle name="Normal 58 4 4 5 5 4" xfId="32245" xr:uid="{00000000-0005-0000-0000-00004DA40000}"/>
    <cellStyle name="Normal 58 4 4 5 6" xfId="8130" xr:uid="{00000000-0005-0000-0000-00004EA40000}"/>
    <cellStyle name="Normal 58 4 4 5 6 2" xfId="20520" xr:uid="{00000000-0005-0000-0000-00004FA40000}"/>
    <cellStyle name="Normal 58 4 4 5 6 2 2" xfId="46073" xr:uid="{00000000-0005-0000-0000-000050A40000}"/>
    <cellStyle name="Normal 58 4 4 5 6 3" xfId="33687" xr:uid="{00000000-0005-0000-0000-000051A40000}"/>
    <cellStyle name="Normal 58 4 4 5 7" xfId="16210" xr:uid="{00000000-0005-0000-0000-000052A40000}"/>
    <cellStyle name="Normal 58 4 4 5 7 2" xfId="41763" xr:uid="{00000000-0005-0000-0000-000053A40000}"/>
    <cellStyle name="Normal 58 4 4 5 8" xfId="27003" xr:uid="{00000000-0005-0000-0000-000054A40000}"/>
    <cellStyle name="Normal 58 4 4 6" xfId="2739" xr:uid="{00000000-0005-0000-0000-000055A40000}"/>
    <cellStyle name="Normal 58 4 4 6 2" xfId="12056" xr:uid="{00000000-0005-0000-0000-000056A40000}"/>
    <cellStyle name="Normal 58 4 4 6 2 2" xfId="22100" xr:uid="{00000000-0005-0000-0000-000057A40000}"/>
    <cellStyle name="Normal 58 4 4 6 2 2 2" xfId="47653" xr:uid="{00000000-0005-0000-0000-000058A40000}"/>
    <cellStyle name="Normal 58 4 4 6 2 3" xfId="37611" xr:uid="{00000000-0005-0000-0000-000059A40000}"/>
    <cellStyle name="Normal 58 4 4 6 3" xfId="8484" xr:uid="{00000000-0005-0000-0000-00005AA40000}"/>
    <cellStyle name="Normal 58 4 4 6 3 2" xfId="34041" xr:uid="{00000000-0005-0000-0000-00005BA40000}"/>
    <cellStyle name="Normal 58 4 4 6 4" xfId="17093" xr:uid="{00000000-0005-0000-0000-00005CA40000}"/>
    <cellStyle name="Normal 58 4 4 6 4 2" xfId="42646" xr:uid="{00000000-0005-0000-0000-00005DA40000}"/>
    <cellStyle name="Normal 58 4 4 6 5" xfId="28583" xr:uid="{00000000-0005-0000-0000-00005EA40000}"/>
    <cellStyle name="Normal 58 4 4 7" xfId="4185" xr:uid="{00000000-0005-0000-0000-00005FA40000}"/>
    <cellStyle name="Normal 58 4 4 7 2" xfId="13023" xr:uid="{00000000-0005-0000-0000-000060A40000}"/>
    <cellStyle name="Normal 58 4 4 7 2 2" xfId="23274" xr:uid="{00000000-0005-0000-0000-000061A40000}"/>
    <cellStyle name="Normal 58 4 4 7 2 2 2" xfId="48827" xr:uid="{00000000-0005-0000-0000-000062A40000}"/>
    <cellStyle name="Normal 58 4 4 7 2 3" xfId="38578" xr:uid="{00000000-0005-0000-0000-000063A40000}"/>
    <cellStyle name="Normal 58 4 4 7 3" xfId="9444" xr:uid="{00000000-0005-0000-0000-000064A40000}"/>
    <cellStyle name="Normal 58 4 4 7 3 2" xfId="35001" xr:uid="{00000000-0005-0000-0000-000065A40000}"/>
    <cellStyle name="Normal 58 4 4 7 4" xfId="18267" xr:uid="{00000000-0005-0000-0000-000066A40000}"/>
    <cellStyle name="Normal 58 4 4 7 4 2" xfId="43820" xr:uid="{00000000-0005-0000-0000-000067A40000}"/>
    <cellStyle name="Normal 58 4 4 7 5" xfId="29757" xr:uid="{00000000-0005-0000-0000-000068A40000}"/>
    <cellStyle name="Normal 58 4 4 8" xfId="1457" xr:uid="{00000000-0005-0000-0000-000069A40000}"/>
    <cellStyle name="Normal 58 4 4 8 2" xfId="10834" xr:uid="{00000000-0005-0000-0000-00006AA40000}"/>
    <cellStyle name="Normal 58 4 4 8 2 2" xfId="36389" xr:uid="{00000000-0005-0000-0000-00006BA40000}"/>
    <cellStyle name="Normal 58 4 4 8 3" xfId="20838" xr:uid="{00000000-0005-0000-0000-00006CA40000}"/>
    <cellStyle name="Normal 58 4 4 8 3 2" xfId="46391" xr:uid="{00000000-0005-0000-0000-00006DA40000}"/>
    <cellStyle name="Normal 58 4 4 8 4" xfId="27321" xr:uid="{00000000-0005-0000-0000-00006EA40000}"/>
    <cellStyle name="Normal 58 4 4 9" xfId="5641" xr:uid="{00000000-0005-0000-0000-00006FA40000}"/>
    <cellStyle name="Normal 58 4 4 9 2" xfId="14468" xr:uid="{00000000-0005-0000-0000-000070A40000}"/>
    <cellStyle name="Normal 58 4 4 9 2 2" xfId="40023" xr:uid="{00000000-0005-0000-0000-000071A40000}"/>
    <cellStyle name="Normal 58 4 4 9 3" xfId="24719" xr:uid="{00000000-0005-0000-0000-000072A40000}"/>
    <cellStyle name="Normal 58 4 4 9 3 2" xfId="50272" xr:uid="{00000000-0005-0000-0000-000073A40000}"/>
    <cellStyle name="Normal 58 4 4 9 4" xfId="31202" xr:uid="{00000000-0005-0000-0000-000074A40000}"/>
    <cellStyle name="Normal 58 4 4_Degree data" xfId="4010" xr:uid="{00000000-0005-0000-0000-000075A40000}"/>
    <cellStyle name="Normal 58 4 5" xfId="465" xr:uid="{00000000-0005-0000-0000-000076A40000}"/>
    <cellStyle name="Normal 58 4 5 10" xfId="26394" xr:uid="{00000000-0005-0000-0000-000077A40000}"/>
    <cellStyle name="Normal 58 4 5 2" xfId="906" xr:uid="{00000000-0005-0000-0000-000078A40000}"/>
    <cellStyle name="Normal 58 4 5 2 2" xfId="3391" xr:uid="{00000000-0005-0000-0000-000079A40000}"/>
    <cellStyle name="Normal 58 4 5 2 2 2" xfId="12533" xr:uid="{00000000-0005-0000-0000-00007AA40000}"/>
    <cellStyle name="Normal 58 4 5 2 2 2 2" xfId="22752" xr:uid="{00000000-0005-0000-0000-00007BA40000}"/>
    <cellStyle name="Normal 58 4 5 2 2 2 2 2" xfId="48305" xr:uid="{00000000-0005-0000-0000-00007CA40000}"/>
    <cellStyle name="Normal 58 4 5 2 2 2 3" xfId="38088" xr:uid="{00000000-0005-0000-0000-00007DA40000}"/>
    <cellStyle name="Normal 58 4 5 2 2 3" xfId="8955" xr:uid="{00000000-0005-0000-0000-00007EA40000}"/>
    <cellStyle name="Normal 58 4 5 2 2 3 2" xfId="34512" xr:uid="{00000000-0005-0000-0000-00007FA40000}"/>
    <cellStyle name="Normal 58 4 5 2 2 4" xfId="17745" xr:uid="{00000000-0005-0000-0000-000080A40000}"/>
    <cellStyle name="Normal 58 4 5 2 2 4 2" xfId="43298" xr:uid="{00000000-0005-0000-0000-000081A40000}"/>
    <cellStyle name="Normal 58 4 5 2 2 5" xfId="29235" xr:uid="{00000000-0005-0000-0000-000082A40000}"/>
    <cellStyle name="Normal 58 4 5 2 3" xfId="4720" xr:uid="{00000000-0005-0000-0000-000083A40000}"/>
    <cellStyle name="Normal 58 4 5 2 3 2" xfId="13558" xr:uid="{00000000-0005-0000-0000-000084A40000}"/>
    <cellStyle name="Normal 58 4 5 2 3 2 2" xfId="23809" xr:uid="{00000000-0005-0000-0000-000085A40000}"/>
    <cellStyle name="Normal 58 4 5 2 3 2 2 2" xfId="49362" xr:uid="{00000000-0005-0000-0000-000086A40000}"/>
    <cellStyle name="Normal 58 4 5 2 3 2 3" xfId="39113" xr:uid="{00000000-0005-0000-0000-000087A40000}"/>
    <cellStyle name="Normal 58 4 5 2 3 3" xfId="9979" xr:uid="{00000000-0005-0000-0000-000088A40000}"/>
    <cellStyle name="Normal 58 4 5 2 3 3 2" xfId="35536" xr:uid="{00000000-0005-0000-0000-000089A40000}"/>
    <cellStyle name="Normal 58 4 5 2 3 4" xfId="18802" xr:uid="{00000000-0005-0000-0000-00008AA40000}"/>
    <cellStyle name="Normal 58 4 5 2 3 4 2" xfId="44355" xr:uid="{00000000-0005-0000-0000-00008BA40000}"/>
    <cellStyle name="Normal 58 4 5 2 3 5" xfId="30292" xr:uid="{00000000-0005-0000-0000-00008CA40000}"/>
    <cellStyle name="Normal 58 4 5 2 4" xfId="2500" xr:uid="{00000000-0005-0000-0000-00008DA40000}"/>
    <cellStyle name="Normal 58 4 5 2 4 2" xfId="11865" xr:uid="{00000000-0005-0000-0000-00008EA40000}"/>
    <cellStyle name="Normal 58 4 5 2 4 2 2" xfId="37420" xr:uid="{00000000-0005-0000-0000-00008FA40000}"/>
    <cellStyle name="Normal 58 4 5 2 4 3" xfId="21869" xr:uid="{00000000-0005-0000-0000-000090A40000}"/>
    <cellStyle name="Normal 58 4 5 2 4 3 2" xfId="47422" xr:uid="{00000000-0005-0000-0000-000091A40000}"/>
    <cellStyle name="Normal 58 4 5 2 4 4" xfId="28352" xr:uid="{00000000-0005-0000-0000-000092A40000}"/>
    <cellStyle name="Normal 58 4 5 2 5" xfId="6176" xr:uid="{00000000-0005-0000-0000-000093A40000}"/>
    <cellStyle name="Normal 58 4 5 2 5 2" xfId="15003" xr:uid="{00000000-0005-0000-0000-000094A40000}"/>
    <cellStyle name="Normal 58 4 5 2 5 2 2" xfId="40558" xr:uid="{00000000-0005-0000-0000-000095A40000}"/>
    <cellStyle name="Normal 58 4 5 2 5 3" xfId="25254" xr:uid="{00000000-0005-0000-0000-000096A40000}"/>
    <cellStyle name="Normal 58 4 5 2 5 3 2" xfId="50807" xr:uid="{00000000-0005-0000-0000-000097A40000}"/>
    <cellStyle name="Normal 58 4 5 2 5 4" xfId="31737" xr:uid="{00000000-0005-0000-0000-000098A40000}"/>
    <cellStyle name="Normal 58 4 5 2 6" xfId="7621" xr:uid="{00000000-0005-0000-0000-000099A40000}"/>
    <cellStyle name="Normal 58 4 5 2 6 2" xfId="20351" xr:uid="{00000000-0005-0000-0000-00009AA40000}"/>
    <cellStyle name="Normal 58 4 5 2 6 2 2" xfId="45904" xr:uid="{00000000-0005-0000-0000-00009BA40000}"/>
    <cellStyle name="Normal 58 4 5 2 6 3" xfId="33178" xr:uid="{00000000-0005-0000-0000-00009CA40000}"/>
    <cellStyle name="Normal 58 4 5 2 7" xfId="16862" xr:uid="{00000000-0005-0000-0000-00009DA40000}"/>
    <cellStyle name="Normal 58 4 5 2 7 2" xfId="42415" xr:uid="{00000000-0005-0000-0000-00009EA40000}"/>
    <cellStyle name="Normal 58 4 5 2 8" xfId="26834" xr:uid="{00000000-0005-0000-0000-00009FA40000}"/>
    <cellStyle name="Normal 58 4 5 3" xfId="1237" xr:uid="{00000000-0005-0000-0000-0000A0A40000}"/>
    <cellStyle name="Normal 58 4 5 3 2" xfId="3666" xr:uid="{00000000-0005-0000-0000-0000A1A40000}"/>
    <cellStyle name="Normal 58 4 5 3 2 2" xfId="12802" xr:uid="{00000000-0005-0000-0000-0000A2A40000}"/>
    <cellStyle name="Normal 58 4 5 3 2 2 2" xfId="23021" xr:uid="{00000000-0005-0000-0000-0000A3A40000}"/>
    <cellStyle name="Normal 58 4 5 3 2 2 2 2" xfId="48574" xr:uid="{00000000-0005-0000-0000-0000A4A40000}"/>
    <cellStyle name="Normal 58 4 5 3 2 2 3" xfId="38357" xr:uid="{00000000-0005-0000-0000-0000A5A40000}"/>
    <cellStyle name="Normal 58 4 5 3 2 3" xfId="9223" xr:uid="{00000000-0005-0000-0000-0000A6A40000}"/>
    <cellStyle name="Normal 58 4 5 3 2 3 2" xfId="34780" xr:uid="{00000000-0005-0000-0000-0000A7A40000}"/>
    <cellStyle name="Normal 58 4 5 3 2 4" xfId="18014" xr:uid="{00000000-0005-0000-0000-0000A8A40000}"/>
    <cellStyle name="Normal 58 4 5 3 2 4 2" xfId="43567" xr:uid="{00000000-0005-0000-0000-0000A9A40000}"/>
    <cellStyle name="Normal 58 4 5 3 2 5" xfId="29504" xr:uid="{00000000-0005-0000-0000-0000AAA40000}"/>
    <cellStyle name="Normal 58 4 5 3 3" xfId="5069" xr:uid="{00000000-0005-0000-0000-0000ABA40000}"/>
    <cellStyle name="Normal 58 4 5 3 3 2" xfId="13906" xr:uid="{00000000-0005-0000-0000-0000ACA40000}"/>
    <cellStyle name="Normal 58 4 5 3 3 2 2" xfId="24157" xr:uid="{00000000-0005-0000-0000-0000ADA40000}"/>
    <cellStyle name="Normal 58 4 5 3 3 2 2 2" xfId="49710" xr:uid="{00000000-0005-0000-0000-0000AEA40000}"/>
    <cellStyle name="Normal 58 4 5 3 3 2 3" xfId="39461" xr:uid="{00000000-0005-0000-0000-0000AFA40000}"/>
    <cellStyle name="Normal 58 4 5 3 3 3" xfId="10327" xr:uid="{00000000-0005-0000-0000-0000B0A40000}"/>
    <cellStyle name="Normal 58 4 5 3 3 3 2" xfId="35884" xr:uid="{00000000-0005-0000-0000-0000B1A40000}"/>
    <cellStyle name="Normal 58 4 5 3 3 4" xfId="19150" xr:uid="{00000000-0005-0000-0000-0000B2A40000}"/>
    <cellStyle name="Normal 58 4 5 3 3 4 2" xfId="44703" xr:uid="{00000000-0005-0000-0000-0000B3A40000}"/>
    <cellStyle name="Normal 58 4 5 3 3 5" xfId="30640" xr:uid="{00000000-0005-0000-0000-0000B4A40000}"/>
    <cellStyle name="Normal 58 4 5 3 4" xfId="2060" xr:uid="{00000000-0005-0000-0000-0000B5A40000}"/>
    <cellStyle name="Normal 58 4 5 3 4 2" xfId="11425" xr:uid="{00000000-0005-0000-0000-0000B6A40000}"/>
    <cellStyle name="Normal 58 4 5 3 4 2 2" xfId="36980" xr:uid="{00000000-0005-0000-0000-0000B7A40000}"/>
    <cellStyle name="Normal 58 4 5 3 4 3" xfId="21429" xr:uid="{00000000-0005-0000-0000-0000B8A40000}"/>
    <cellStyle name="Normal 58 4 5 3 4 3 2" xfId="46982" xr:uid="{00000000-0005-0000-0000-0000B9A40000}"/>
    <cellStyle name="Normal 58 4 5 3 4 4" xfId="27912" xr:uid="{00000000-0005-0000-0000-0000BAA40000}"/>
    <cellStyle name="Normal 58 4 5 3 5" xfId="6524" xr:uid="{00000000-0005-0000-0000-0000BBA40000}"/>
    <cellStyle name="Normal 58 4 5 3 5 2" xfId="15351" xr:uid="{00000000-0005-0000-0000-0000BCA40000}"/>
    <cellStyle name="Normal 58 4 5 3 5 2 2" xfId="40906" xr:uid="{00000000-0005-0000-0000-0000BDA40000}"/>
    <cellStyle name="Normal 58 4 5 3 5 3" xfId="25602" xr:uid="{00000000-0005-0000-0000-0000BEA40000}"/>
    <cellStyle name="Normal 58 4 5 3 5 3 2" xfId="51155" xr:uid="{00000000-0005-0000-0000-0000BFA40000}"/>
    <cellStyle name="Normal 58 4 5 3 5 4" xfId="32085" xr:uid="{00000000-0005-0000-0000-0000C0A40000}"/>
    <cellStyle name="Normal 58 4 5 3 6" xfId="7970" xr:uid="{00000000-0005-0000-0000-0000C1A40000}"/>
    <cellStyle name="Normal 58 4 5 3 6 2" xfId="20620" xr:uid="{00000000-0005-0000-0000-0000C2A40000}"/>
    <cellStyle name="Normal 58 4 5 3 6 2 2" xfId="46173" xr:uid="{00000000-0005-0000-0000-0000C3A40000}"/>
    <cellStyle name="Normal 58 4 5 3 6 3" xfId="33527" xr:uid="{00000000-0005-0000-0000-0000C4A40000}"/>
    <cellStyle name="Normal 58 4 5 3 7" xfId="16422" xr:uid="{00000000-0005-0000-0000-0000C5A40000}"/>
    <cellStyle name="Normal 58 4 5 3 7 2" xfId="41975" xr:uid="{00000000-0005-0000-0000-0000C6A40000}"/>
    <cellStyle name="Normal 58 4 5 3 8" xfId="27103" xr:uid="{00000000-0005-0000-0000-0000C7A40000}"/>
    <cellStyle name="Normal 58 4 5 4" xfId="2951" xr:uid="{00000000-0005-0000-0000-0000C8A40000}"/>
    <cellStyle name="Normal 58 4 5 4 2" xfId="5329" xr:uid="{00000000-0005-0000-0000-0000C9A40000}"/>
    <cellStyle name="Normal 58 4 5 4 2 2" xfId="14166" xr:uid="{00000000-0005-0000-0000-0000CAA40000}"/>
    <cellStyle name="Normal 58 4 5 4 2 2 2" xfId="24417" xr:uid="{00000000-0005-0000-0000-0000CBA40000}"/>
    <cellStyle name="Normal 58 4 5 4 2 2 2 2" xfId="49970" xr:uid="{00000000-0005-0000-0000-0000CCA40000}"/>
    <cellStyle name="Normal 58 4 5 4 2 2 3" xfId="39721" xr:uid="{00000000-0005-0000-0000-0000CDA40000}"/>
    <cellStyle name="Normal 58 4 5 4 2 3" xfId="10587" xr:uid="{00000000-0005-0000-0000-0000CEA40000}"/>
    <cellStyle name="Normal 58 4 5 4 2 3 2" xfId="36144" xr:uid="{00000000-0005-0000-0000-0000CFA40000}"/>
    <cellStyle name="Normal 58 4 5 4 2 4" xfId="19410" xr:uid="{00000000-0005-0000-0000-0000D0A40000}"/>
    <cellStyle name="Normal 58 4 5 4 2 4 2" xfId="44963" xr:uid="{00000000-0005-0000-0000-0000D1A40000}"/>
    <cellStyle name="Normal 58 4 5 4 2 5" xfId="30900" xr:uid="{00000000-0005-0000-0000-0000D2A40000}"/>
    <cellStyle name="Normal 58 4 5 4 3" xfId="6784" xr:uid="{00000000-0005-0000-0000-0000D3A40000}"/>
    <cellStyle name="Normal 58 4 5 4 3 2" xfId="15611" xr:uid="{00000000-0005-0000-0000-0000D4A40000}"/>
    <cellStyle name="Normal 58 4 5 4 3 2 2" xfId="41166" xr:uid="{00000000-0005-0000-0000-0000D5A40000}"/>
    <cellStyle name="Normal 58 4 5 4 3 3" xfId="25862" xr:uid="{00000000-0005-0000-0000-0000D6A40000}"/>
    <cellStyle name="Normal 58 4 5 4 3 3 2" xfId="51415" xr:uid="{00000000-0005-0000-0000-0000D7A40000}"/>
    <cellStyle name="Normal 58 4 5 4 3 4" xfId="32345" xr:uid="{00000000-0005-0000-0000-0000D8A40000}"/>
    <cellStyle name="Normal 58 4 5 4 4" xfId="8230" xr:uid="{00000000-0005-0000-0000-0000D9A40000}"/>
    <cellStyle name="Normal 58 4 5 4 4 2" xfId="22312" xr:uid="{00000000-0005-0000-0000-0000DAA40000}"/>
    <cellStyle name="Normal 58 4 5 4 4 2 2" xfId="47865" xr:uid="{00000000-0005-0000-0000-0000DBA40000}"/>
    <cellStyle name="Normal 58 4 5 4 4 3" xfId="33787" xr:uid="{00000000-0005-0000-0000-0000DCA40000}"/>
    <cellStyle name="Normal 58 4 5 4 5" xfId="17305" xr:uid="{00000000-0005-0000-0000-0000DDA40000}"/>
    <cellStyle name="Normal 58 4 5 4 5 2" xfId="42858" xr:uid="{00000000-0005-0000-0000-0000DEA40000}"/>
    <cellStyle name="Normal 58 4 5 4 6" xfId="28795" xr:uid="{00000000-0005-0000-0000-0000DFA40000}"/>
    <cellStyle name="Normal 58 4 5 5" xfId="4285" xr:uid="{00000000-0005-0000-0000-0000E0A40000}"/>
    <cellStyle name="Normal 58 4 5 5 2" xfId="13123" xr:uid="{00000000-0005-0000-0000-0000E1A40000}"/>
    <cellStyle name="Normal 58 4 5 5 2 2" xfId="23374" xr:uid="{00000000-0005-0000-0000-0000E2A40000}"/>
    <cellStyle name="Normal 58 4 5 5 2 2 2" xfId="48927" xr:uid="{00000000-0005-0000-0000-0000E3A40000}"/>
    <cellStyle name="Normal 58 4 5 5 2 3" xfId="38678" xr:uid="{00000000-0005-0000-0000-0000E4A40000}"/>
    <cellStyle name="Normal 58 4 5 5 3" xfId="9544" xr:uid="{00000000-0005-0000-0000-0000E5A40000}"/>
    <cellStyle name="Normal 58 4 5 5 3 2" xfId="35101" xr:uid="{00000000-0005-0000-0000-0000E6A40000}"/>
    <cellStyle name="Normal 58 4 5 5 4" xfId="18367" xr:uid="{00000000-0005-0000-0000-0000E7A40000}"/>
    <cellStyle name="Normal 58 4 5 5 4 2" xfId="43920" xr:uid="{00000000-0005-0000-0000-0000E8A40000}"/>
    <cellStyle name="Normal 58 4 5 5 5" xfId="29857" xr:uid="{00000000-0005-0000-0000-0000E9A40000}"/>
    <cellStyle name="Normal 58 4 5 6" xfId="1557" xr:uid="{00000000-0005-0000-0000-0000EAA40000}"/>
    <cellStyle name="Normal 58 4 5 6 2" xfId="10934" xr:uid="{00000000-0005-0000-0000-0000EBA40000}"/>
    <cellStyle name="Normal 58 4 5 6 2 2" xfId="36489" xr:uid="{00000000-0005-0000-0000-0000ECA40000}"/>
    <cellStyle name="Normal 58 4 5 6 3" xfId="20938" xr:uid="{00000000-0005-0000-0000-0000EDA40000}"/>
    <cellStyle name="Normal 58 4 5 6 3 2" xfId="46491" xr:uid="{00000000-0005-0000-0000-0000EEA40000}"/>
    <cellStyle name="Normal 58 4 5 6 4" xfId="27421" xr:uid="{00000000-0005-0000-0000-0000EFA40000}"/>
    <cellStyle name="Normal 58 4 5 7" xfId="5741" xr:uid="{00000000-0005-0000-0000-0000F0A40000}"/>
    <cellStyle name="Normal 58 4 5 7 2" xfId="14568" xr:uid="{00000000-0005-0000-0000-0000F1A40000}"/>
    <cellStyle name="Normal 58 4 5 7 2 2" xfId="40123" xr:uid="{00000000-0005-0000-0000-0000F2A40000}"/>
    <cellStyle name="Normal 58 4 5 7 3" xfId="24819" xr:uid="{00000000-0005-0000-0000-0000F3A40000}"/>
    <cellStyle name="Normal 58 4 5 7 3 2" xfId="50372" xr:uid="{00000000-0005-0000-0000-0000F4A40000}"/>
    <cellStyle name="Normal 58 4 5 7 4" xfId="31302" xr:uid="{00000000-0005-0000-0000-0000F5A40000}"/>
    <cellStyle name="Normal 58 4 5 8" xfId="7185" xr:uid="{00000000-0005-0000-0000-0000F6A40000}"/>
    <cellStyle name="Normal 58 4 5 8 2" xfId="19911" xr:uid="{00000000-0005-0000-0000-0000F7A40000}"/>
    <cellStyle name="Normal 58 4 5 8 2 2" xfId="45464" xr:uid="{00000000-0005-0000-0000-0000F8A40000}"/>
    <cellStyle name="Normal 58 4 5 8 3" xfId="32742" xr:uid="{00000000-0005-0000-0000-0000F9A40000}"/>
    <cellStyle name="Normal 58 4 5 9" xfId="15931" xr:uid="{00000000-0005-0000-0000-0000FAA40000}"/>
    <cellStyle name="Normal 58 4 5 9 2" xfId="41484" xr:uid="{00000000-0005-0000-0000-0000FBA40000}"/>
    <cellStyle name="Normal 58 4 5_Degree data" xfId="4012" xr:uid="{00000000-0005-0000-0000-0000FCA40000}"/>
    <cellStyle name="Normal 58 4 6" xfId="320" xr:uid="{00000000-0005-0000-0000-0000FDA40000}"/>
    <cellStyle name="Normal 58 4 6 10" xfId="26249" xr:uid="{00000000-0005-0000-0000-0000FEA40000}"/>
    <cellStyle name="Normal 58 4 6 2" xfId="907" xr:uid="{00000000-0005-0000-0000-0000FFA40000}"/>
    <cellStyle name="Normal 58 4 6 2 2" xfId="3392" xr:uid="{00000000-0005-0000-0000-000000A50000}"/>
    <cellStyle name="Normal 58 4 6 2 2 2" xfId="12534" xr:uid="{00000000-0005-0000-0000-000001A50000}"/>
    <cellStyle name="Normal 58 4 6 2 2 2 2" xfId="22753" xr:uid="{00000000-0005-0000-0000-000002A50000}"/>
    <cellStyle name="Normal 58 4 6 2 2 2 2 2" xfId="48306" xr:uid="{00000000-0005-0000-0000-000003A50000}"/>
    <cellStyle name="Normal 58 4 6 2 2 2 3" xfId="38089" xr:uid="{00000000-0005-0000-0000-000004A50000}"/>
    <cellStyle name="Normal 58 4 6 2 2 3" xfId="8956" xr:uid="{00000000-0005-0000-0000-000005A50000}"/>
    <cellStyle name="Normal 58 4 6 2 2 3 2" xfId="34513" xr:uid="{00000000-0005-0000-0000-000006A50000}"/>
    <cellStyle name="Normal 58 4 6 2 2 4" xfId="17746" xr:uid="{00000000-0005-0000-0000-000007A50000}"/>
    <cellStyle name="Normal 58 4 6 2 2 4 2" xfId="43299" xr:uid="{00000000-0005-0000-0000-000008A50000}"/>
    <cellStyle name="Normal 58 4 6 2 2 5" xfId="29236" xr:uid="{00000000-0005-0000-0000-000009A50000}"/>
    <cellStyle name="Normal 58 4 6 2 3" xfId="4721" xr:uid="{00000000-0005-0000-0000-00000AA50000}"/>
    <cellStyle name="Normal 58 4 6 2 3 2" xfId="13559" xr:uid="{00000000-0005-0000-0000-00000BA50000}"/>
    <cellStyle name="Normal 58 4 6 2 3 2 2" xfId="23810" xr:uid="{00000000-0005-0000-0000-00000CA50000}"/>
    <cellStyle name="Normal 58 4 6 2 3 2 2 2" xfId="49363" xr:uid="{00000000-0005-0000-0000-00000DA50000}"/>
    <cellStyle name="Normal 58 4 6 2 3 2 3" xfId="39114" xr:uid="{00000000-0005-0000-0000-00000EA50000}"/>
    <cellStyle name="Normal 58 4 6 2 3 3" xfId="9980" xr:uid="{00000000-0005-0000-0000-00000FA50000}"/>
    <cellStyle name="Normal 58 4 6 2 3 3 2" xfId="35537" xr:uid="{00000000-0005-0000-0000-000010A50000}"/>
    <cellStyle name="Normal 58 4 6 2 3 4" xfId="18803" xr:uid="{00000000-0005-0000-0000-000011A50000}"/>
    <cellStyle name="Normal 58 4 6 2 3 4 2" xfId="44356" xr:uid="{00000000-0005-0000-0000-000012A50000}"/>
    <cellStyle name="Normal 58 4 6 2 3 5" xfId="30293" xr:uid="{00000000-0005-0000-0000-000013A50000}"/>
    <cellStyle name="Normal 58 4 6 2 4" xfId="2501" xr:uid="{00000000-0005-0000-0000-000014A50000}"/>
    <cellStyle name="Normal 58 4 6 2 4 2" xfId="11866" xr:uid="{00000000-0005-0000-0000-000015A50000}"/>
    <cellStyle name="Normal 58 4 6 2 4 2 2" xfId="37421" xr:uid="{00000000-0005-0000-0000-000016A50000}"/>
    <cellStyle name="Normal 58 4 6 2 4 3" xfId="21870" xr:uid="{00000000-0005-0000-0000-000017A50000}"/>
    <cellStyle name="Normal 58 4 6 2 4 3 2" xfId="47423" xr:uid="{00000000-0005-0000-0000-000018A50000}"/>
    <cellStyle name="Normal 58 4 6 2 4 4" xfId="28353" xr:uid="{00000000-0005-0000-0000-000019A50000}"/>
    <cellStyle name="Normal 58 4 6 2 5" xfId="6177" xr:uid="{00000000-0005-0000-0000-00001AA50000}"/>
    <cellStyle name="Normal 58 4 6 2 5 2" xfId="15004" xr:uid="{00000000-0005-0000-0000-00001BA50000}"/>
    <cellStyle name="Normal 58 4 6 2 5 2 2" xfId="40559" xr:uid="{00000000-0005-0000-0000-00001CA50000}"/>
    <cellStyle name="Normal 58 4 6 2 5 3" xfId="25255" xr:uid="{00000000-0005-0000-0000-00001DA50000}"/>
    <cellStyle name="Normal 58 4 6 2 5 3 2" xfId="50808" xr:uid="{00000000-0005-0000-0000-00001EA50000}"/>
    <cellStyle name="Normal 58 4 6 2 5 4" xfId="31738" xr:uid="{00000000-0005-0000-0000-00001FA50000}"/>
    <cellStyle name="Normal 58 4 6 2 6" xfId="7622" xr:uid="{00000000-0005-0000-0000-000020A50000}"/>
    <cellStyle name="Normal 58 4 6 2 6 2" xfId="20352" xr:uid="{00000000-0005-0000-0000-000021A50000}"/>
    <cellStyle name="Normal 58 4 6 2 6 2 2" xfId="45905" xr:uid="{00000000-0005-0000-0000-000022A50000}"/>
    <cellStyle name="Normal 58 4 6 2 6 3" xfId="33179" xr:uid="{00000000-0005-0000-0000-000023A50000}"/>
    <cellStyle name="Normal 58 4 6 2 7" xfId="16863" xr:uid="{00000000-0005-0000-0000-000024A50000}"/>
    <cellStyle name="Normal 58 4 6 2 7 2" xfId="42416" xr:uid="{00000000-0005-0000-0000-000025A50000}"/>
    <cellStyle name="Normal 58 4 6 2 8" xfId="26835" xr:uid="{00000000-0005-0000-0000-000026A50000}"/>
    <cellStyle name="Normal 58 4 6 3" xfId="1092" xr:uid="{00000000-0005-0000-0000-000027A50000}"/>
    <cellStyle name="Normal 58 4 6 3 2" xfId="3521" xr:uid="{00000000-0005-0000-0000-000028A50000}"/>
    <cellStyle name="Normal 58 4 6 3 2 2" xfId="12657" xr:uid="{00000000-0005-0000-0000-000029A50000}"/>
    <cellStyle name="Normal 58 4 6 3 2 2 2" xfId="22876" xr:uid="{00000000-0005-0000-0000-00002AA50000}"/>
    <cellStyle name="Normal 58 4 6 3 2 2 2 2" xfId="48429" xr:uid="{00000000-0005-0000-0000-00002BA50000}"/>
    <cellStyle name="Normal 58 4 6 3 2 2 3" xfId="38212" xr:uid="{00000000-0005-0000-0000-00002CA50000}"/>
    <cellStyle name="Normal 58 4 6 3 2 3" xfId="9079" xr:uid="{00000000-0005-0000-0000-00002DA50000}"/>
    <cellStyle name="Normal 58 4 6 3 2 3 2" xfId="34636" xr:uid="{00000000-0005-0000-0000-00002EA50000}"/>
    <cellStyle name="Normal 58 4 6 3 2 4" xfId="17869" xr:uid="{00000000-0005-0000-0000-00002FA50000}"/>
    <cellStyle name="Normal 58 4 6 3 2 4 2" xfId="43422" xr:uid="{00000000-0005-0000-0000-000030A50000}"/>
    <cellStyle name="Normal 58 4 6 3 2 5" xfId="29359" xr:uid="{00000000-0005-0000-0000-000031A50000}"/>
    <cellStyle name="Normal 58 4 6 3 3" xfId="5070" xr:uid="{00000000-0005-0000-0000-000032A50000}"/>
    <cellStyle name="Normal 58 4 6 3 3 2" xfId="13907" xr:uid="{00000000-0005-0000-0000-000033A50000}"/>
    <cellStyle name="Normal 58 4 6 3 3 2 2" xfId="24158" xr:uid="{00000000-0005-0000-0000-000034A50000}"/>
    <cellStyle name="Normal 58 4 6 3 3 2 2 2" xfId="49711" xr:uid="{00000000-0005-0000-0000-000035A50000}"/>
    <cellStyle name="Normal 58 4 6 3 3 2 3" xfId="39462" xr:uid="{00000000-0005-0000-0000-000036A50000}"/>
    <cellStyle name="Normal 58 4 6 3 3 3" xfId="10328" xr:uid="{00000000-0005-0000-0000-000037A50000}"/>
    <cellStyle name="Normal 58 4 6 3 3 3 2" xfId="35885" xr:uid="{00000000-0005-0000-0000-000038A50000}"/>
    <cellStyle name="Normal 58 4 6 3 3 4" xfId="19151" xr:uid="{00000000-0005-0000-0000-000039A50000}"/>
    <cellStyle name="Normal 58 4 6 3 3 4 2" xfId="44704" xr:uid="{00000000-0005-0000-0000-00003AA50000}"/>
    <cellStyle name="Normal 58 4 6 3 3 5" xfId="30641" xr:uid="{00000000-0005-0000-0000-00003BA50000}"/>
    <cellStyle name="Normal 58 4 6 3 4" xfId="2596" xr:uid="{00000000-0005-0000-0000-00003CA50000}"/>
    <cellStyle name="Normal 58 4 6 3 4 2" xfId="11960" xr:uid="{00000000-0005-0000-0000-00003DA50000}"/>
    <cellStyle name="Normal 58 4 6 3 4 2 2" xfId="37515" xr:uid="{00000000-0005-0000-0000-00003EA50000}"/>
    <cellStyle name="Normal 58 4 6 3 4 3" xfId="21964" xr:uid="{00000000-0005-0000-0000-00003FA50000}"/>
    <cellStyle name="Normal 58 4 6 3 4 3 2" xfId="47517" xr:uid="{00000000-0005-0000-0000-000040A50000}"/>
    <cellStyle name="Normal 58 4 6 3 4 4" xfId="28447" xr:uid="{00000000-0005-0000-0000-000041A50000}"/>
    <cellStyle name="Normal 58 4 6 3 5" xfId="6525" xr:uid="{00000000-0005-0000-0000-000042A50000}"/>
    <cellStyle name="Normal 58 4 6 3 5 2" xfId="15352" xr:uid="{00000000-0005-0000-0000-000043A50000}"/>
    <cellStyle name="Normal 58 4 6 3 5 2 2" xfId="40907" xr:uid="{00000000-0005-0000-0000-000044A50000}"/>
    <cellStyle name="Normal 58 4 6 3 5 3" xfId="25603" xr:uid="{00000000-0005-0000-0000-000045A50000}"/>
    <cellStyle name="Normal 58 4 6 3 5 3 2" xfId="51156" xr:uid="{00000000-0005-0000-0000-000046A50000}"/>
    <cellStyle name="Normal 58 4 6 3 5 4" xfId="32086" xr:uid="{00000000-0005-0000-0000-000047A50000}"/>
    <cellStyle name="Normal 58 4 6 3 6" xfId="7971" xr:uid="{00000000-0005-0000-0000-000048A50000}"/>
    <cellStyle name="Normal 58 4 6 3 6 2" xfId="20475" xr:uid="{00000000-0005-0000-0000-000049A50000}"/>
    <cellStyle name="Normal 58 4 6 3 6 2 2" xfId="46028" xr:uid="{00000000-0005-0000-0000-00004AA50000}"/>
    <cellStyle name="Normal 58 4 6 3 6 3" xfId="33528" xr:uid="{00000000-0005-0000-0000-00004BA50000}"/>
    <cellStyle name="Normal 58 4 6 3 7" xfId="16957" xr:uid="{00000000-0005-0000-0000-00004CA50000}"/>
    <cellStyle name="Normal 58 4 6 3 7 2" xfId="42510" xr:uid="{00000000-0005-0000-0000-00004DA50000}"/>
    <cellStyle name="Normal 58 4 6 3 8" xfId="26958" xr:uid="{00000000-0005-0000-0000-00004EA50000}"/>
    <cellStyle name="Normal 58 4 6 4" xfId="2806" xr:uid="{00000000-0005-0000-0000-00004FA50000}"/>
    <cellStyle name="Normal 58 4 6 4 2" xfId="5184" xr:uid="{00000000-0005-0000-0000-000050A50000}"/>
    <cellStyle name="Normal 58 4 6 4 2 2" xfId="14021" xr:uid="{00000000-0005-0000-0000-000051A50000}"/>
    <cellStyle name="Normal 58 4 6 4 2 2 2" xfId="24272" xr:uid="{00000000-0005-0000-0000-000052A50000}"/>
    <cellStyle name="Normal 58 4 6 4 2 2 2 2" xfId="49825" xr:uid="{00000000-0005-0000-0000-000053A50000}"/>
    <cellStyle name="Normal 58 4 6 4 2 2 3" xfId="39576" xr:uid="{00000000-0005-0000-0000-000054A50000}"/>
    <cellStyle name="Normal 58 4 6 4 2 3" xfId="10442" xr:uid="{00000000-0005-0000-0000-000055A50000}"/>
    <cellStyle name="Normal 58 4 6 4 2 3 2" xfId="35999" xr:uid="{00000000-0005-0000-0000-000056A50000}"/>
    <cellStyle name="Normal 58 4 6 4 2 4" xfId="19265" xr:uid="{00000000-0005-0000-0000-000057A50000}"/>
    <cellStyle name="Normal 58 4 6 4 2 4 2" xfId="44818" xr:uid="{00000000-0005-0000-0000-000058A50000}"/>
    <cellStyle name="Normal 58 4 6 4 2 5" xfId="30755" xr:uid="{00000000-0005-0000-0000-000059A50000}"/>
    <cellStyle name="Normal 58 4 6 4 3" xfId="6639" xr:uid="{00000000-0005-0000-0000-00005AA50000}"/>
    <cellStyle name="Normal 58 4 6 4 3 2" xfId="15466" xr:uid="{00000000-0005-0000-0000-00005BA50000}"/>
    <cellStyle name="Normal 58 4 6 4 3 2 2" xfId="41021" xr:uid="{00000000-0005-0000-0000-00005CA50000}"/>
    <cellStyle name="Normal 58 4 6 4 3 3" xfId="25717" xr:uid="{00000000-0005-0000-0000-00005DA50000}"/>
    <cellStyle name="Normal 58 4 6 4 3 3 2" xfId="51270" xr:uid="{00000000-0005-0000-0000-00005EA50000}"/>
    <cellStyle name="Normal 58 4 6 4 3 4" xfId="32200" xr:uid="{00000000-0005-0000-0000-00005FA50000}"/>
    <cellStyle name="Normal 58 4 6 4 4" xfId="8085" xr:uid="{00000000-0005-0000-0000-000060A50000}"/>
    <cellStyle name="Normal 58 4 6 4 4 2" xfId="22167" xr:uid="{00000000-0005-0000-0000-000061A50000}"/>
    <cellStyle name="Normal 58 4 6 4 4 2 2" xfId="47720" xr:uid="{00000000-0005-0000-0000-000062A50000}"/>
    <cellStyle name="Normal 58 4 6 4 4 3" xfId="33642" xr:uid="{00000000-0005-0000-0000-000063A50000}"/>
    <cellStyle name="Normal 58 4 6 4 5" xfId="17160" xr:uid="{00000000-0005-0000-0000-000064A50000}"/>
    <cellStyle name="Normal 58 4 6 4 5 2" xfId="42713" xr:uid="{00000000-0005-0000-0000-000065A50000}"/>
    <cellStyle name="Normal 58 4 6 4 6" xfId="28650" xr:uid="{00000000-0005-0000-0000-000066A50000}"/>
    <cellStyle name="Normal 58 4 6 5" xfId="4138" xr:uid="{00000000-0005-0000-0000-000067A50000}"/>
    <cellStyle name="Normal 58 4 6 5 2" xfId="12976" xr:uid="{00000000-0005-0000-0000-000068A50000}"/>
    <cellStyle name="Normal 58 4 6 5 2 2" xfId="23227" xr:uid="{00000000-0005-0000-0000-000069A50000}"/>
    <cellStyle name="Normal 58 4 6 5 2 2 2" xfId="48780" xr:uid="{00000000-0005-0000-0000-00006AA50000}"/>
    <cellStyle name="Normal 58 4 6 5 2 3" xfId="38531" xr:uid="{00000000-0005-0000-0000-00006BA50000}"/>
    <cellStyle name="Normal 58 4 6 5 3" xfId="9397" xr:uid="{00000000-0005-0000-0000-00006CA50000}"/>
    <cellStyle name="Normal 58 4 6 5 3 2" xfId="34954" xr:uid="{00000000-0005-0000-0000-00006DA50000}"/>
    <cellStyle name="Normal 58 4 6 5 4" xfId="18220" xr:uid="{00000000-0005-0000-0000-00006EA50000}"/>
    <cellStyle name="Normal 58 4 6 5 4 2" xfId="43773" xr:uid="{00000000-0005-0000-0000-00006FA50000}"/>
    <cellStyle name="Normal 58 4 6 5 5" xfId="29710" xr:uid="{00000000-0005-0000-0000-000070A50000}"/>
    <cellStyle name="Normal 58 4 6 6" xfId="1915" xr:uid="{00000000-0005-0000-0000-000071A50000}"/>
    <cellStyle name="Normal 58 4 6 6 2" xfId="11280" xr:uid="{00000000-0005-0000-0000-000072A50000}"/>
    <cellStyle name="Normal 58 4 6 6 2 2" xfId="36835" xr:uid="{00000000-0005-0000-0000-000073A50000}"/>
    <cellStyle name="Normal 58 4 6 6 3" xfId="21284" xr:uid="{00000000-0005-0000-0000-000074A50000}"/>
    <cellStyle name="Normal 58 4 6 6 3 2" xfId="46837" xr:uid="{00000000-0005-0000-0000-000075A50000}"/>
    <cellStyle name="Normal 58 4 6 6 4" xfId="27767" xr:uid="{00000000-0005-0000-0000-000076A50000}"/>
    <cellStyle name="Normal 58 4 6 7" xfId="5596" xr:uid="{00000000-0005-0000-0000-000077A50000}"/>
    <cellStyle name="Normal 58 4 6 7 2" xfId="14423" xr:uid="{00000000-0005-0000-0000-000078A50000}"/>
    <cellStyle name="Normal 58 4 6 7 2 2" xfId="39978" xr:uid="{00000000-0005-0000-0000-000079A50000}"/>
    <cellStyle name="Normal 58 4 6 7 3" xfId="24674" xr:uid="{00000000-0005-0000-0000-00007AA50000}"/>
    <cellStyle name="Normal 58 4 6 7 3 2" xfId="50227" xr:uid="{00000000-0005-0000-0000-00007BA50000}"/>
    <cellStyle name="Normal 58 4 6 7 4" xfId="31157" xr:uid="{00000000-0005-0000-0000-00007CA50000}"/>
    <cellStyle name="Normal 58 4 6 8" xfId="7040" xr:uid="{00000000-0005-0000-0000-00007DA50000}"/>
    <cellStyle name="Normal 58 4 6 8 2" xfId="19766" xr:uid="{00000000-0005-0000-0000-00007EA50000}"/>
    <cellStyle name="Normal 58 4 6 8 2 2" xfId="45319" xr:uid="{00000000-0005-0000-0000-00007FA50000}"/>
    <cellStyle name="Normal 58 4 6 8 3" xfId="32597" xr:uid="{00000000-0005-0000-0000-000080A50000}"/>
    <cellStyle name="Normal 58 4 6 9" xfId="16277" xr:uid="{00000000-0005-0000-0000-000081A50000}"/>
    <cellStyle name="Normal 58 4 6 9 2" xfId="41830" xr:uid="{00000000-0005-0000-0000-000082A50000}"/>
    <cellStyle name="Normal 58 4 6_Degree data" xfId="4013" xr:uid="{00000000-0005-0000-0000-000083A50000}"/>
    <cellStyle name="Normal 58 4 7" xfId="898" xr:uid="{00000000-0005-0000-0000-000084A50000}"/>
    <cellStyle name="Normal 58 4 7 2" xfId="3383" xr:uid="{00000000-0005-0000-0000-000085A50000}"/>
    <cellStyle name="Normal 58 4 7 2 2" xfId="12525" xr:uid="{00000000-0005-0000-0000-000086A50000}"/>
    <cellStyle name="Normal 58 4 7 2 2 2" xfId="22744" xr:uid="{00000000-0005-0000-0000-000087A50000}"/>
    <cellStyle name="Normal 58 4 7 2 2 2 2" xfId="48297" xr:uid="{00000000-0005-0000-0000-000088A50000}"/>
    <cellStyle name="Normal 58 4 7 2 2 3" xfId="38080" xr:uid="{00000000-0005-0000-0000-000089A50000}"/>
    <cellStyle name="Normal 58 4 7 2 3" xfId="8947" xr:uid="{00000000-0005-0000-0000-00008AA50000}"/>
    <cellStyle name="Normal 58 4 7 2 3 2" xfId="34504" xr:uid="{00000000-0005-0000-0000-00008BA50000}"/>
    <cellStyle name="Normal 58 4 7 2 4" xfId="17737" xr:uid="{00000000-0005-0000-0000-00008CA50000}"/>
    <cellStyle name="Normal 58 4 7 2 4 2" xfId="43290" xr:uid="{00000000-0005-0000-0000-00008DA50000}"/>
    <cellStyle name="Normal 58 4 7 2 5" xfId="29227" xr:uid="{00000000-0005-0000-0000-00008EA50000}"/>
    <cellStyle name="Normal 58 4 7 3" xfId="4712" xr:uid="{00000000-0005-0000-0000-00008FA50000}"/>
    <cellStyle name="Normal 58 4 7 3 2" xfId="13550" xr:uid="{00000000-0005-0000-0000-000090A50000}"/>
    <cellStyle name="Normal 58 4 7 3 2 2" xfId="23801" xr:uid="{00000000-0005-0000-0000-000091A50000}"/>
    <cellStyle name="Normal 58 4 7 3 2 2 2" xfId="49354" xr:uid="{00000000-0005-0000-0000-000092A50000}"/>
    <cellStyle name="Normal 58 4 7 3 2 3" xfId="39105" xr:uid="{00000000-0005-0000-0000-000093A50000}"/>
    <cellStyle name="Normal 58 4 7 3 3" xfId="9971" xr:uid="{00000000-0005-0000-0000-000094A50000}"/>
    <cellStyle name="Normal 58 4 7 3 3 2" xfId="35528" xr:uid="{00000000-0005-0000-0000-000095A50000}"/>
    <cellStyle name="Normal 58 4 7 3 4" xfId="18794" xr:uid="{00000000-0005-0000-0000-000096A50000}"/>
    <cellStyle name="Normal 58 4 7 3 4 2" xfId="44347" xr:uid="{00000000-0005-0000-0000-000097A50000}"/>
    <cellStyle name="Normal 58 4 7 3 5" xfId="30284" xr:uid="{00000000-0005-0000-0000-000098A50000}"/>
    <cellStyle name="Normal 58 4 7 4" xfId="2492" xr:uid="{00000000-0005-0000-0000-000099A50000}"/>
    <cellStyle name="Normal 58 4 7 4 2" xfId="11857" xr:uid="{00000000-0005-0000-0000-00009AA50000}"/>
    <cellStyle name="Normal 58 4 7 4 2 2" xfId="37412" xr:uid="{00000000-0005-0000-0000-00009BA50000}"/>
    <cellStyle name="Normal 58 4 7 4 3" xfId="21861" xr:uid="{00000000-0005-0000-0000-00009CA50000}"/>
    <cellStyle name="Normal 58 4 7 4 3 2" xfId="47414" xr:uid="{00000000-0005-0000-0000-00009DA50000}"/>
    <cellStyle name="Normal 58 4 7 4 4" xfId="28344" xr:uid="{00000000-0005-0000-0000-00009EA50000}"/>
    <cellStyle name="Normal 58 4 7 5" xfId="6168" xr:uid="{00000000-0005-0000-0000-00009FA50000}"/>
    <cellStyle name="Normal 58 4 7 5 2" xfId="14995" xr:uid="{00000000-0005-0000-0000-0000A0A50000}"/>
    <cellStyle name="Normal 58 4 7 5 2 2" xfId="40550" xr:uid="{00000000-0005-0000-0000-0000A1A50000}"/>
    <cellStyle name="Normal 58 4 7 5 3" xfId="25246" xr:uid="{00000000-0005-0000-0000-0000A2A50000}"/>
    <cellStyle name="Normal 58 4 7 5 3 2" xfId="50799" xr:uid="{00000000-0005-0000-0000-0000A3A50000}"/>
    <cellStyle name="Normal 58 4 7 5 4" xfId="31729" xr:uid="{00000000-0005-0000-0000-0000A4A50000}"/>
    <cellStyle name="Normal 58 4 7 6" xfId="7613" xr:uid="{00000000-0005-0000-0000-0000A5A50000}"/>
    <cellStyle name="Normal 58 4 7 6 2" xfId="20343" xr:uid="{00000000-0005-0000-0000-0000A6A50000}"/>
    <cellStyle name="Normal 58 4 7 6 2 2" xfId="45896" xr:uid="{00000000-0005-0000-0000-0000A7A50000}"/>
    <cellStyle name="Normal 58 4 7 6 3" xfId="33170" xr:uid="{00000000-0005-0000-0000-0000A8A50000}"/>
    <cellStyle name="Normal 58 4 7 7" xfId="16854" xr:uid="{00000000-0005-0000-0000-0000A9A50000}"/>
    <cellStyle name="Normal 58 4 7 7 2" xfId="42407" xr:uid="{00000000-0005-0000-0000-0000AAA50000}"/>
    <cellStyle name="Normal 58 4 7 8" xfId="26826" xr:uid="{00000000-0005-0000-0000-0000ABA50000}"/>
    <cellStyle name="Normal 58 4 8" xfId="1049" xr:uid="{00000000-0005-0000-0000-0000ACA50000}"/>
    <cellStyle name="Normal 58 4 8 2" xfId="3478" xr:uid="{00000000-0005-0000-0000-0000ADA50000}"/>
    <cellStyle name="Normal 58 4 8 2 2" xfId="12614" xr:uid="{00000000-0005-0000-0000-0000AEA50000}"/>
    <cellStyle name="Normal 58 4 8 2 2 2" xfId="22833" xr:uid="{00000000-0005-0000-0000-0000AFA50000}"/>
    <cellStyle name="Normal 58 4 8 2 2 2 2" xfId="48386" xr:uid="{00000000-0005-0000-0000-0000B0A50000}"/>
    <cellStyle name="Normal 58 4 8 2 2 3" xfId="38169" xr:uid="{00000000-0005-0000-0000-0000B1A50000}"/>
    <cellStyle name="Normal 58 4 8 2 3" xfId="9036" xr:uid="{00000000-0005-0000-0000-0000B2A50000}"/>
    <cellStyle name="Normal 58 4 8 2 3 2" xfId="34593" xr:uid="{00000000-0005-0000-0000-0000B3A50000}"/>
    <cellStyle name="Normal 58 4 8 2 4" xfId="17826" xr:uid="{00000000-0005-0000-0000-0000B4A50000}"/>
    <cellStyle name="Normal 58 4 8 2 4 2" xfId="43379" xr:uid="{00000000-0005-0000-0000-0000B5A50000}"/>
    <cellStyle name="Normal 58 4 8 2 5" xfId="29316" xr:uid="{00000000-0005-0000-0000-0000B6A50000}"/>
    <cellStyle name="Normal 58 4 8 3" xfId="5061" xr:uid="{00000000-0005-0000-0000-0000B7A50000}"/>
    <cellStyle name="Normal 58 4 8 3 2" xfId="13898" xr:uid="{00000000-0005-0000-0000-0000B8A50000}"/>
    <cellStyle name="Normal 58 4 8 3 2 2" xfId="24149" xr:uid="{00000000-0005-0000-0000-0000B9A50000}"/>
    <cellStyle name="Normal 58 4 8 3 2 2 2" xfId="49702" xr:uid="{00000000-0005-0000-0000-0000BAA50000}"/>
    <cellStyle name="Normal 58 4 8 3 2 3" xfId="39453" xr:uid="{00000000-0005-0000-0000-0000BBA50000}"/>
    <cellStyle name="Normal 58 4 8 3 3" xfId="10319" xr:uid="{00000000-0005-0000-0000-0000BCA50000}"/>
    <cellStyle name="Normal 58 4 8 3 3 2" xfId="35876" xr:uid="{00000000-0005-0000-0000-0000BDA50000}"/>
    <cellStyle name="Normal 58 4 8 3 4" xfId="19142" xr:uid="{00000000-0005-0000-0000-0000BEA50000}"/>
    <cellStyle name="Normal 58 4 8 3 4 2" xfId="44695" xr:uid="{00000000-0005-0000-0000-0000BFA50000}"/>
    <cellStyle name="Normal 58 4 8 3 5" xfId="30632" xr:uid="{00000000-0005-0000-0000-0000C0A50000}"/>
    <cellStyle name="Normal 58 4 8 4" xfId="1733" xr:uid="{00000000-0005-0000-0000-0000C1A50000}"/>
    <cellStyle name="Normal 58 4 8 4 2" xfId="11107" xr:uid="{00000000-0005-0000-0000-0000C2A50000}"/>
    <cellStyle name="Normal 58 4 8 4 2 2" xfId="36662" xr:uid="{00000000-0005-0000-0000-0000C3A50000}"/>
    <cellStyle name="Normal 58 4 8 4 3" xfId="21111" xr:uid="{00000000-0005-0000-0000-0000C4A50000}"/>
    <cellStyle name="Normal 58 4 8 4 3 2" xfId="46664" xr:uid="{00000000-0005-0000-0000-0000C5A50000}"/>
    <cellStyle name="Normal 58 4 8 4 4" xfId="27594" xr:uid="{00000000-0005-0000-0000-0000C6A50000}"/>
    <cellStyle name="Normal 58 4 8 5" xfId="6516" xr:uid="{00000000-0005-0000-0000-0000C7A50000}"/>
    <cellStyle name="Normal 58 4 8 5 2" xfId="15343" xr:uid="{00000000-0005-0000-0000-0000C8A50000}"/>
    <cellStyle name="Normal 58 4 8 5 2 2" xfId="40898" xr:uid="{00000000-0005-0000-0000-0000C9A50000}"/>
    <cellStyle name="Normal 58 4 8 5 3" xfId="25594" xr:uid="{00000000-0005-0000-0000-0000CAA50000}"/>
    <cellStyle name="Normal 58 4 8 5 3 2" xfId="51147" xr:uid="{00000000-0005-0000-0000-0000CBA50000}"/>
    <cellStyle name="Normal 58 4 8 5 4" xfId="32077" xr:uid="{00000000-0005-0000-0000-0000CCA50000}"/>
    <cellStyle name="Normal 58 4 8 6" xfId="7962" xr:uid="{00000000-0005-0000-0000-0000CDA50000}"/>
    <cellStyle name="Normal 58 4 8 6 2" xfId="20432" xr:uid="{00000000-0005-0000-0000-0000CEA50000}"/>
    <cellStyle name="Normal 58 4 8 6 2 2" xfId="45985" xr:uid="{00000000-0005-0000-0000-0000CFA50000}"/>
    <cellStyle name="Normal 58 4 8 6 3" xfId="33519" xr:uid="{00000000-0005-0000-0000-0000D0A50000}"/>
    <cellStyle name="Normal 58 4 8 7" xfId="16104" xr:uid="{00000000-0005-0000-0000-0000D1A50000}"/>
    <cellStyle name="Normal 58 4 8 7 2" xfId="41657" xr:uid="{00000000-0005-0000-0000-0000D2A50000}"/>
    <cellStyle name="Normal 58 4 8 8" xfId="26915" xr:uid="{00000000-0005-0000-0000-0000D3A50000}"/>
    <cellStyle name="Normal 58 4 9" xfId="2633" xr:uid="{00000000-0005-0000-0000-0000D4A50000}"/>
    <cellStyle name="Normal 58 4 9 2" xfId="5141" xr:uid="{00000000-0005-0000-0000-0000D5A50000}"/>
    <cellStyle name="Normal 58 4 9 2 2" xfId="13978" xr:uid="{00000000-0005-0000-0000-0000D6A50000}"/>
    <cellStyle name="Normal 58 4 9 2 2 2" xfId="24229" xr:uid="{00000000-0005-0000-0000-0000D7A50000}"/>
    <cellStyle name="Normal 58 4 9 2 2 2 2" xfId="49782" xr:uid="{00000000-0005-0000-0000-0000D8A50000}"/>
    <cellStyle name="Normal 58 4 9 2 2 3" xfId="39533" xr:uid="{00000000-0005-0000-0000-0000D9A50000}"/>
    <cellStyle name="Normal 58 4 9 2 3" xfId="10399" xr:uid="{00000000-0005-0000-0000-0000DAA50000}"/>
    <cellStyle name="Normal 58 4 9 2 3 2" xfId="35956" xr:uid="{00000000-0005-0000-0000-0000DBA50000}"/>
    <cellStyle name="Normal 58 4 9 2 4" xfId="19222" xr:uid="{00000000-0005-0000-0000-0000DCA50000}"/>
    <cellStyle name="Normal 58 4 9 2 4 2" xfId="44775" xr:uid="{00000000-0005-0000-0000-0000DDA50000}"/>
    <cellStyle name="Normal 58 4 9 2 5" xfId="30712" xr:uid="{00000000-0005-0000-0000-0000DEA50000}"/>
    <cellStyle name="Normal 58 4 9 3" xfId="6596" xr:uid="{00000000-0005-0000-0000-0000DFA50000}"/>
    <cellStyle name="Normal 58 4 9 3 2" xfId="15423" xr:uid="{00000000-0005-0000-0000-0000E0A50000}"/>
    <cellStyle name="Normal 58 4 9 3 2 2" xfId="40978" xr:uid="{00000000-0005-0000-0000-0000E1A50000}"/>
    <cellStyle name="Normal 58 4 9 3 3" xfId="25674" xr:uid="{00000000-0005-0000-0000-0000E2A50000}"/>
    <cellStyle name="Normal 58 4 9 3 3 2" xfId="51227" xr:uid="{00000000-0005-0000-0000-0000E3A50000}"/>
    <cellStyle name="Normal 58 4 9 3 4" xfId="32157" xr:uid="{00000000-0005-0000-0000-0000E4A50000}"/>
    <cellStyle name="Normal 58 4 9 4" xfId="8042" xr:uid="{00000000-0005-0000-0000-0000E5A50000}"/>
    <cellStyle name="Normal 58 4 9 4 2" xfId="21995" xr:uid="{00000000-0005-0000-0000-0000E6A50000}"/>
    <cellStyle name="Normal 58 4 9 4 2 2" xfId="47548" xr:uid="{00000000-0005-0000-0000-0000E7A50000}"/>
    <cellStyle name="Normal 58 4 9 4 3" xfId="33599" xr:uid="{00000000-0005-0000-0000-0000E8A50000}"/>
    <cellStyle name="Normal 58 4 9 5" xfId="16988" xr:uid="{00000000-0005-0000-0000-0000E9A50000}"/>
    <cellStyle name="Normal 58 4 9 5 2" xfId="42541" xr:uid="{00000000-0005-0000-0000-0000EAA50000}"/>
    <cellStyle name="Normal 58 4 9 6" xfId="28478" xr:uid="{00000000-0005-0000-0000-0000EBA50000}"/>
    <cellStyle name="Normal 58 4_Degree data" xfId="4004" xr:uid="{00000000-0005-0000-0000-0000ECA50000}"/>
    <cellStyle name="Normal 58 5" xfId="162" xr:uid="{00000000-0005-0000-0000-0000EDA50000}"/>
    <cellStyle name="Normal 58 5 10" xfId="1427" xr:uid="{00000000-0005-0000-0000-0000EEA50000}"/>
    <cellStyle name="Normal 58 5 10 2" xfId="10804" xr:uid="{00000000-0005-0000-0000-0000EFA50000}"/>
    <cellStyle name="Normal 58 5 10 2 2" xfId="36359" xr:uid="{00000000-0005-0000-0000-0000F0A50000}"/>
    <cellStyle name="Normal 58 5 10 3" xfId="20808" xr:uid="{00000000-0005-0000-0000-0000F1A50000}"/>
    <cellStyle name="Normal 58 5 10 3 2" xfId="46361" xr:uid="{00000000-0005-0000-0000-0000F2A50000}"/>
    <cellStyle name="Normal 58 5 10 4" xfId="27291" xr:uid="{00000000-0005-0000-0000-0000F3A50000}"/>
    <cellStyle name="Normal 58 5 11" xfId="5536" xr:uid="{00000000-0005-0000-0000-0000F4A50000}"/>
    <cellStyle name="Normal 58 5 11 2" xfId="14363" xr:uid="{00000000-0005-0000-0000-0000F5A50000}"/>
    <cellStyle name="Normal 58 5 11 2 2" xfId="39918" xr:uid="{00000000-0005-0000-0000-0000F6A50000}"/>
    <cellStyle name="Normal 58 5 11 3" xfId="24614" xr:uid="{00000000-0005-0000-0000-0000F7A50000}"/>
    <cellStyle name="Normal 58 5 11 3 2" xfId="50167" xr:uid="{00000000-0005-0000-0000-0000F8A50000}"/>
    <cellStyle name="Normal 58 5 11 4" xfId="31097" xr:uid="{00000000-0005-0000-0000-0000F9A50000}"/>
    <cellStyle name="Normal 58 5 12" xfId="6980" xr:uid="{00000000-0005-0000-0000-0000FAA50000}"/>
    <cellStyle name="Normal 58 5 12 2" xfId="19621" xr:uid="{00000000-0005-0000-0000-0000FBA50000}"/>
    <cellStyle name="Normal 58 5 12 2 2" xfId="45174" xr:uid="{00000000-0005-0000-0000-0000FCA50000}"/>
    <cellStyle name="Normal 58 5 12 3" xfId="32537" xr:uid="{00000000-0005-0000-0000-0000FDA50000}"/>
    <cellStyle name="Normal 58 5 13" xfId="15801" xr:uid="{00000000-0005-0000-0000-0000FEA50000}"/>
    <cellStyle name="Normal 58 5 13 2" xfId="41354" xr:uid="{00000000-0005-0000-0000-0000FFA50000}"/>
    <cellStyle name="Normal 58 5 14" xfId="26104" xr:uid="{00000000-0005-0000-0000-000000A60000}"/>
    <cellStyle name="Normal 58 5 2" xfId="209" xr:uid="{00000000-0005-0000-0000-000001A60000}"/>
    <cellStyle name="Normal 58 5 2 10" xfId="7155" xr:uid="{00000000-0005-0000-0000-000002A60000}"/>
    <cellStyle name="Normal 58 5 2 10 2" xfId="19664" xr:uid="{00000000-0005-0000-0000-000003A60000}"/>
    <cellStyle name="Normal 58 5 2 10 2 2" xfId="45217" xr:uid="{00000000-0005-0000-0000-000004A60000}"/>
    <cellStyle name="Normal 58 5 2 10 3" xfId="32712" xr:uid="{00000000-0005-0000-0000-000005A60000}"/>
    <cellStyle name="Normal 58 5 2 11" xfId="15901" xr:uid="{00000000-0005-0000-0000-000006A60000}"/>
    <cellStyle name="Normal 58 5 2 11 2" xfId="41454" xr:uid="{00000000-0005-0000-0000-000007A60000}"/>
    <cellStyle name="Normal 58 5 2 12" xfId="26147" xr:uid="{00000000-0005-0000-0000-000008A60000}"/>
    <cellStyle name="Normal 58 5 2 2" xfId="535" xr:uid="{00000000-0005-0000-0000-000009A60000}"/>
    <cellStyle name="Normal 58 5 2 2 10" xfId="26464" xr:uid="{00000000-0005-0000-0000-00000AA60000}"/>
    <cellStyle name="Normal 58 5 2 2 2" xfId="910" xr:uid="{00000000-0005-0000-0000-00000BA60000}"/>
    <cellStyle name="Normal 58 5 2 2 2 2" xfId="3395" xr:uid="{00000000-0005-0000-0000-00000CA60000}"/>
    <cellStyle name="Normal 58 5 2 2 2 2 2" xfId="12537" xr:uid="{00000000-0005-0000-0000-00000DA60000}"/>
    <cellStyle name="Normal 58 5 2 2 2 2 2 2" xfId="22756" xr:uid="{00000000-0005-0000-0000-00000EA60000}"/>
    <cellStyle name="Normal 58 5 2 2 2 2 2 2 2" xfId="48309" xr:uid="{00000000-0005-0000-0000-00000FA60000}"/>
    <cellStyle name="Normal 58 5 2 2 2 2 2 3" xfId="38092" xr:uid="{00000000-0005-0000-0000-000010A60000}"/>
    <cellStyle name="Normal 58 5 2 2 2 2 3" xfId="8959" xr:uid="{00000000-0005-0000-0000-000011A60000}"/>
    <cellStyle name="Normal 58 5 2 2 2 2 3 2" xfId="34516" xr:uid="{00000000-0005-0000-0000-000012A60000}"/>
    <cellStyle name="Normal 58 5 2 2 2 2 4" xfId="17749" xr:uid="{00000000-0005-0000-0000-000013A60000}"/>
    <cellStyle name="Normal 58 5 2 2 2 2 4 2" xfId="43302" xr:uid="{00000000-0005-0000-0000-000014A60000}"/>
    <cellStyle name="Normal 58 5 2 2 2 2 5" xfId="29239" xr:uid="{00000000-0005-0000-0000-000015A60000}"/>
    <cellStyle name="Normal 58 5 2 2 2 3" xfId="4724" xr:uid="{00000000-0005-0000-0000-000016A60000}"/>
    <cellStyle name="Normal 58 5 2 2 2 3 2" xfId="13562" xr:uid="{00000000-0005-0000-0000-000017A60000}"/>
    <cellStyle name="Normal 58 5 2 2 2 3 2 2" xfId="23813" xr:uid="{00000000-0005-0000-0000-000018A60000}"/>
    <cellStyle name="Normal 58 5 2 2 2 3 2 2 2" xfId="49366" xr:uid="{00000000-0005-0000-0000-000019A60000}"/>
    <cellStyle name="Normal 58 5 2 2 2 3 2 3" xfId="39117" xr:uid="{00000000-0005-0000-0000-00001AA60000}"/>
    <cellStyle name="Normal 58 5 2 2 2 3 3" xfId="9983" xr:uid="{00000000-0005-0000-0000-00001BA60000}"/>
    <cellStyle name="Normal 58 5 2 2 2 3 3 2" xfId="35540" xr:uid="{00000000-0005-0000-0000-00001CA60000}"/>
    <cellStyle name="Normal 58 5 2 2 2 3 4" xfId="18806" xr:uid="{00000000-0005-0000-0000-00001DA60000}"/>
    <cellStyle name="Normal 58 5 2 2 2 3 4 2" xfId="44359" xr:uid="{00000000-0005-0000-0000-00001EA60000}"/>
    <cellStyle name="Normal 58 5 2 2 2 3 5" xfId="30296" xr:uid="{00000000-0005-0000-0000-00001FA60000}"/>
    <cellStyle name="Normal 58 5 2 2 2 4" xfId="2504" xr:uid="{00000000-0005-0000-0000-000020A60000}"/>
    <cellStyle name="Normal 58 5 2 2 2 4 2" xfId="11869" xr:uid="{00000000-0005-0000-0000-000021A60000}"/>
    <cellStyle name="Normal 58 5 2 2 2 4 2 2" xfId="37424" xr:uid="{00000000-0005-0000-0000-000022A60000}"/>
    <cellStyle name="Normal 58 5 2 2 2 4 3" xfId="21873" xr:uid="{00000000-0005-0000-0000-000023A60000}"/>
    <cellStyle name="Normal 58 5 2 2 2 4 3 2" xfId="47426" xr:uid="{00000000-0005-0000-0000-000024A60000}"/>
    <cellStyle name="Normal 58 5 2 2 2 4 4" xfId="28356" xr:uid="{00000000-0005-0000-0000-000025A60000}"/>
    <cellStyle name="Normal 58 5 2 2 2 5" xfId="6180" xr:uid="{00000000-0005-0000-0000-000026A60000}"/>
    <cellStyle name="Normal 58 5 2 2 2 5 2" xfId="15007" xr:uid="{00000000-0005-0000-0000-000027A60000}"/>
    <cellStyle name="Normal 58 5 2 2 2 5 2 2" xfId="40562" xr:uid="{00000000-0005-0000-0000-000028A60000}"/>
    <cellStyle name="Normal 58 5 2 2 2 5 3" xfId="25258" xr:uid="{00000000-0005-0000-0000-000029A60000}"/>
    <cellStyle name="Normal 58 5 2 2 2 5 3 2" xfId="50811" xr:uid="{00000000-0005-0000-0000-00002AA60000}"/>
    <cellStyle name="Normal 58 5 2 2 2 5 4" xfId="31741" xr:uid="{00000000-0005-0000-0000-00002BA60000}"/>
    <cellStyle name="Normal 58 5 2 2 2 6" xfId="7625" xr:uid="{00000000-0005-0000-0000-00002CA60000}"/>
    <cellStyle name="Normal 58 5 2 2 2 6 2" xfId="20355" xr:uid="{00000000-0005-0000-0000-00002DA60000}"/>
    <cellStyle name="Normal 58 5 2 2 2 6 2 2" xfId="45908" xr:uid="{00000000-0005-0000-0000-00002EA60000}"/>
    <cellStyle name="Normal 58 5 2 2 2 6 3" xfId="33182" xr:uid="{00000000-0005-0000-0000-00002FA60000}"/>
    <cellStyle name="Normal 58 5 2 2 2 7" xfId="16866" xr:uid="{00000000-0005-0000-0000-000030A60000}"/>
    <cellStyle name="Normal 58 5 2 2 2 7 2" xfId="42419" xr:uid="{00000000-0005-0000-0000-000031A60000}"/>
    <cellStyle name="Normal 58 5 2 2 2 8" xfId="26838" xr:uid="{00000000-0005-0000-0000-000032A60000}"/>
    <cellStyle name="Normal 58 5 2 2 3" xfId="1307" xr:uid="{00000000-0005-0000-0000-000033A60000}"/>
    <cellStyle name="Normal 58 5 2 2 3 2" xfId="3736" xr:uid="{00000000-0005-0000-0000-000034A60000}"/>
    <cellStyle name="Normal 58 5 2 2 3 2 2" xfId="12872" xr:uid="{00000000-0005-0000-0000-000035A60000}"/>
    <cellStyle name="Normal 58 5 2 2 3 2 2 2" xfId="23091" xr:uid="{00000000-0005-0000-0000-000036A60000}"/>
    <cellStyle name="Normal 58 5 2 2 3 2 2 2 2" xfId="48644" xr:uid="{00000000-0005-0000-0000-000037A60000}"/>
    <cellStyle name="Normal 58 5 2 2 3 2 2 3" xfId="38427" xr:uid="{00000000-0005-0000-0000-000038A60000}"/>
    <cellStyle name="Normal 58 5 2 2 3 2 3" xfId="9293" xr:uid="{00000000-0005-0000-0000-000039A60000}"/>
    <cellStyle name="Normal 58 5 2 2 3 2 3 2" xfId="34850" xr:uid="{00000000-0005-0000-0000-00003AA60000}"/>
    <cellStyle name="Normal 58 5 2 2 3 2 4" xfId="18084" xr:uid="{00000000-0005-0000-0000-00003BA60000}"/>
    <cellStyle name="Normal 58 5 2 2 3 2 4 2" xfId="43637" xr:uid="{00000000-0005-0000-0000-00003CA60000}"/>
    <cellStyle name="Normal 58 5 2 2 3 2 5" xfId="29574" xr:uid="{00000000-0005-0000-0000-00003DA60000}"/>
    <cellStyle name="Normal 58 5 2 2 3 3" xfId="5073" xr:uid="{00000000-0005-0000-0000-00003EA60000}"/>
    <cellStyle name="Normal 58 5 2 2 3 3 2" xfId="13910" xr:uid="{00000000-0005-0000-0000-00003FA60000}"/>
    <cellStyle name="Normal 58 5 2 2 3 3 2 2" xfId="24161" xr:uid="{00000000-0005-0000-0000-000040A60000}"/>
    <cellStyle name="Normal 58 5 2 2 3 3 2 2 2" xfId="49714" xr:uid="{00000000-0005-0000-0000-000041A60000}"/>
    <cellStyle name="Normal 58 5 2 2 3 3 2 3" xfId="39465" xr:uid="{00000000-0005-0000-0000-000042A60000}"/>
    <cellStyle name="Normal 58 5 2 2 3 3 3" xfId="10331" xr:uid="{00000000-0005-0000-0000-000043A60000}"/>
    <cellStyle name="Normal 58 5 2 2 3 3 3 2" xfId="35888" xr:uid="{00000000-0005-0000-0000-000044A60000}"/>
    <cellStyle name="Normal 58 5 2 2 3 3 4" xfId="19154" xr:uid="{00000000-0005-0000-0000-000045A60000}"/>
    <cellStyle name="Normal 58 5 2 2 3 3 4 2" xfId="44707" xr:uid="{00000000-0005-0000-0000-000046A60000}"/>
    <cellStyle name="Normal 58 5 2 2 3 3 5" xfId="30644" xr:uid="{00000000-0005-0000-0000-000047A60000}"/>
    <cellStyle name="Normal 58 5 2 2 3 4" xfId="2130" xr:uid="{00000000-0005-0000-0000-000048A60000}"/>
    <cellStyle name="Normal 58 5 2 2 3 4 2" xfId="11495" xr:uid="{00000000-0005-0000-0000-000049A60000}"/>
    <cellStyle name="Normal 58 5 2 2 3 4 2 2" xfId="37050" xr:uid="{00000000-0005-0000-0000-00004AA60000}"/>
    <cellStyle name="Normal 58 5 2 2 3 4 3" xfId="21499" xr:uid="{00000000-0005-0000-0000-00004BA60000}"/>
    <cellStyle name="Normal 58 5 2 2 3 4 3 2" xfId="47052" xr:uid="{00000000-0005-0000-0000-00004CA60000}"/>
    <cellStyle name="Normal 58 5 2 2 3 4 4" xfId="27982" xr:uid="{00000000-0005-0000-0000-00004DA60000}"/>
    <cellStyle name="Normal 58 5 2 2 3 5" xfId="6528" xr:uid="{00000000-0005-0000-0000-00004EA60000}"/>
    <cellStyle name="Normal 58 5 2 2 3 5 2" xfId="15355" xr:uid="{00000000-0005-0000-0000-00004FA60000}"/>
    <cellStyle name="Normal 58 5 2 2 3 5 2 2" xfId="40910" xr:uid="{00000000-0005-0000-0000-000050A60000}"/>
    <cellStyle name="Normal 58 5 2 2 3 5 3" xfId="25606" xr:uid="{00000000-0005-0000-0000-000051A60000}"/>
    <cellStyle name="Normal 58 5 2 2 3 5 3 2" xfId="51159" xr:uid="{00000000-0005-0000-0000-000052A60000}"/>
    <cellStyle name="Normal 58 5 2 2 3 5 4" xfId="32089" xr:uid="{00000000-0005-0000-0000-000053A60000}"/>
    <cellStyle name="Normal 58 5 2 2 3 6" xfId="7974" xr:uid="{00000000-0005-0000-0000-000054A60000}"/>
    <cellStyle name="Normal 58 5 2 2 3 6 2" xfId="20690" xr:uid="{00000000-0005-0000-0000-000055A60000}"/>
    <cellStyle name="Normal 58 5 2 2 3 6 2 2" xfId="46243" xr:uid="{00000000-0005-0000-0000-000056A60000}"/>
    <cellStyle name="Normal 58 5 2 2 3 6 3" xfId="33531" xr:uid="{00000000-0005-0000-0000-000057A60000}"/>
    <cellStyle name="Normal 58 5 2 2 3 7" xfId="16492" xr:uid="{00000000-0005-0000-0000-000058A60000}"/>
    <cellStyle name="Normal 58 5 2 2 3 7 2" xfId="42045" xr:uid="{00000000-0005-0000-0000-000059A60000}"/>
    <cellStyle name="Normal 58 5 2 2 3 8" xfId="27173" xr:uid="{00000000-0005-0000-0000-00005AA60000}"/>
    <cellStyle name="Normal 58 5 2 2 4" xfId="3021" xr:uid="{00000000-0005-0000-0000-00005BA60000}"/>
    <cellStyle name="Normal 58 5 2 2 4 2" xfId="5399" xr:uid="{00000000-0005-0000-0000-00005CA60000}"/>
    <cellStyle name="Normal 58 5 2 2 4 2 2" xfId="14236" xr:uid="{00000000-0005-0000-0000-00005DA60000}"/>
    <cellStyle name="Normal 58 5 2 2 4 2 2 2" xfId="24487" xr:uid="{00000000-0005-0000-0000-00005EA60000}"/>
    <cellStyle name="Normal 58 5 2 2 4 2 2 2 2" xfId="50040" xr:uid="{00000000-0005-0000-0000-00005FA60000}"/>
    <cellStyle name="Normal 58 5 2 2 4 2 2 3" xfId="39791" xr:uid="{00000000-0005-0000-0000-000060A60000}"/>
    <cellStyle name="Normal 58 5 2 2 4 2 3" xfId="10657" xr:uid="{00000000-0005-0000-0000-000061A60000}"/>
    <cellStyle name="Normal 58 5 2 2 4 2 3 2" xfId="36214" xr:uid="{00000000-0005-0000-0000-000062A60000}"/>
    <cellStyle name="Normal 58 5 2 2 4 2 4" xfId="19480" xr:uid="{00000000-0005-0000-0000-000063A60000}"/>
    <cellStyle name="Normal 58 5 2 2 4 2 4 2" xfId="45033" xr:uid="{00000000-0005-0000-0000-000064A60000}"/>
    <cellStyle name="Normal 58 5 2 2 4 2 5" xfId="30970" xr:uid="{00000000-0005-0000-0000-000065A60000}"/>
    <cellStyle name="Normal 58 5 2 2 4 3" xfId="6854" xr:uid="{00000000-0005-0000-0000-000066A60000}"/>
    <cellStyle name="Normal 58 5 2 2 4 3 2" xfId="15681" xr:uid="{00000000-0005-0000-0000-000067A60000}"/>
    <cellStyle name="Normal 58 5 2 2 4 3 2 2" xfId="41236" xr:uid="{00000000-0005-0000-0000-000068A60000}"/>
    <cellStyle name="Normal 58 5 2 2 4 3 3" xfId="25932" xr:uid="{00000000-0005-0000-0000-000069A60000}"/>
    <cellStyle name="Normal 58 5 2 2 4 3 3 2" xfId="51485" xr:uid="{00000000-0005-0000-0000-00006AA60000}"/>
    <cellStyle name="Normal 58 5 2 2 4 3 4" xfId="32415" xr:uid="{00000000-0005-0000-0000-00006BA60000}"/>
    <cellStyle name="Normal 58 5 2 2 4 4" xfId="8300" xr:uid="{00000000-0005-0000-0000-00006CA60000}"/>
    <cellStyle name="Normal 58 5 2 2 4 4 2" xfId="22382" xr:uid="{00000000-0005-0000-0000-00006DA60000}"/>
    <cellStyle name="Normal 58 5 2 2 4 4 2 2" xfId="47935" xr:uid="{00000000-0005-0000-0000-00006EA60000}"/>
    <cellStyle name="Normal 58 5 2 2 4 4 3" xfId="33857" xr:uid="{00000000-0005-0000-0000-00006FA60000}"/>
    <cellStyle name="Normal 58 5 2 2 4 5" xfId="17375" xr:uid="{00000000-0005-0000-0000-000070A60000}"/>
    <cellStyle name="Normal 58 5 2 2 4 5 2" xfId="42928" xr:uid="{00000000-0005-0000-0000-000071A60000}"/>
    <cellStyle name="Normal 58 5 2 2 4 6" xfId="28865" xr:uid="{00000000-0005-0000-0000-000072A60000}"/>
    <cellStyle name="Normal 58 5 2 2 5" xfId="4355" xr:uid="{00000000-0005-0000-0000-000073A60000}"/>
    <cellStyle name="Normal 58 5 2 2 5 2" xfId="13193" xr:uid="{00000000-0005-0000-0000-000074A60000}"/>
    <cellStyle name="Normal 58 5 2 2 5 2 2" xfId="23444" xr:uid="{00000000-0005-0000-0000-000075A60000}"/>
    <cellStyle name="Normal 58 5 2 2 5 2 2 2" xfId="48997" xr:uid="{00000000-0005-0000-0000-000076A60000}"/>
    <cellStyle name="Normal 58 5 2 2 5 2 3" xfId="38748" xr:uid="{00000000-0005-0000-0000-000077A60000}"/>
    <cellStyle name="Normal 58 5 2 2 5 3" xfId="9614" xr:uid="{00000000-0005-0000-0000-000078A60000}"/>
    <cellStyle name="Normal 58 5 2 2 5 3 2" xfId="35171" xr:uid="{00000000-0005-0000-0000-000079A60000}"/>
    <cellStyle name="Normal 58 5 2 2 5 4" xfId="18437" xr:uid="{00000000-0005-0000-0000-00007AA60000}"/>
    <cellStyle name="Normal 58 5 2 2 5 4 2" xfId="43990" xr:uid="{00000000-0005-0000-0000-00007BA60000}"/>
    <cellStyle name="Normal 58 5 2 2 5 5" xfId="29927" xr:uid="{00000000-0005-0000-0000-00007CA60000}"/>
    <cellStyle name="Normal 58 5 2 2 6" xfId="1627" xr:uid="{00000000-0005-0000-0000-00007DA60000}"/>
    <cellStyle name="Normal 58 5 2 2 6 2" xfId="11004" xr:uid="{00000000-0005-0000-0000-00007EA60000}"/>
    <cellStyle name="Normal 58 5 2 2 6 2 2" xfId="36559" xr:uid="{00000000-0005-0000-0000-00007FA60000}"/>
    <cellStyle name="Normal 58 5 2 2 6 3" xfId="21008" xr:uid="{00000000-0005-0000-0000-000080A60000}"/>
    <cellStyle name="Normal 58 5 2 2 6 3 2" xfId="46561" xr:uid="{00000000-0005-0000-0000-000081A60000}"/>
    <cellStyle name="Normal 58 5 2 2 6 4" xfId="27491" xr:uid="{00000000-0005-0000-0000-000082A60000}"/>
    <cellStyle name="Normal 58 5 2 2 7" xfId="5811" xr:uid="{00000000-0005-0000-0000-000083A60000}"/>
    <cellStyle name="Normal 58 5 2 2 7 2" xfId="14638" xr:uid="{00000000-0005-0000-0000-000084A60000}"/>
    <cellStyle name="Normal 58 5 2 2 7 2 2" xfId="40193" xr:uid="{00000000-0005-0000-0000-000085A60000}"/>
    <cellStyle name="Normal 58 5 2 2 7 3" xfId="24889" xr:uid="{00000000-0005-0000-0000-000086A60000}"/>
    <cellStyle name="Normal 58 5 2 2 7 3 2" xfId="50442" xr:uid="{00000000-0005-0000-0000-000087A60000}"/>
    <cellStyle name="Normal 58 5 2 2 7 4" xfId="31372" xr:uid="{00000000-0005-0000-0000-000088A60000}"/>
    <cellStyle name="Normal 58 5 2 2 8" xfId="7255" xr:uid="{00000000-0005-0000-0000-000089A60000}"/>
    <cellStyle name="Normal 58 5 2 2 8 2" xfId="19981" xr:uid="{00000000-0005-0000-0000-00008AA60000}"/>
    <cellStyle name="Normal 58 5 2 2 8 2 2" xfId="45534" xr:uid="{00000000-0005-0000-0000-00008BA60000}"/>
    <cellStyle name="Normal 58 5 2 2 8 3" xfId="32812" xr:uid="{00000000-0005-0000-0000-00008CA60000}"/>
    <cellStyle name="Normal 58 5 2 2 9" xfId="16001" xr:uid="{00000000-0005-0000-0000-00008DA60000}"/>
    <cellStyle name="Normal 58 5 2 2 9 2" xfId="41554" xr:uid="{00000000-0005-0000-0000-00008EA60000}"/>
    <cellStyle name="Normal 58 5 2 2_Degree data" xfId="4016" xr:uid="{00000000-0005-0000-0000-00008FA60000}"/>
    <cellStyle name="Normal 58 5 2 3" xfId="435" xr:uid="{00000000-0005-0000-0000-000090A60000}"/>
    <cellStyle name="Normal 58 5 2 3 2" xfId="2921" xr:uid="{00000000-0005-0000-0000-000091A60000}"/>
    <cellStyle name="Normal 58 5 2 3 2 2" xfId="12209" xr:uid="{00000000-0005-0000-0000-000092A60000}"/>
    <cellStyle name="Normal 58 5 2 3 2 2 2" xfId="22282" xr:uid="{00000000-0005-0000-0000-000093A60000}"/>
    <cellStyle name="Normal 58 5 2 3 2 2 2 2" xfId="47835" xr:uid="{00000000-0005-0000-0000-000094A60000}"/>
    <cellStyle name="Normal 58 5 2 3 2 2 3" xfId="37764" xr:uid="{00000000-0005-0000-0000-000095A60000}"/>
    <cellStyle name="Normal 58 5 2 3 2 3" xfId="8446" xr:uid="{00000000-0005-0000-0000-000096A60000}"/>
    <cellStyle name="Normal 58 5 2 3 2 3 2" xfId="34003" xr:uid="{00000000-0005-0000-0000-000097A60000}"/>
    <cellStyle name="Normal 58 5 2 3 2 4" xfId="17275" xr:uid="{00000000-0005-0000-0000-000098A60000}"/>
    <cellStyle name="Normal 58 5 2 3 2 4 2" xfId="42828" xr:uid="{00000000-0005-0000-0000-000099A60000}"/>
    <cellStyle name="Normal 58 5 2 3 2 5" xfId="28765" xr:uid="{00000000-0005-0000-0000-00009AA60000}"/>
    <cellStyle name="Normal 58 5 2 3 3" xfId="4723" xr:uid="{00000000-0005-0000-0000-00009BA60000}"/>
    <cellStyle name="Normal 58 5 2 3 3 2" xfId="13561" xr:uid="{00000000-0005-0000-0000-00009CA60000}"/>
    <cellStyle name="Normal 58 5 2 3 3 2 2" xfId="23812" xr:uid="{00000000-0005-0000-0000-00009DA60000}"/>
    <cellStyle name="Normal 58 5 2 3 3 2 2 2" xfId="49365" xr:uid="{00000000-0005-0000-0000-00009EA60000}"/>
    <cellStyle name="Normal 58 5 2 3 3 2 3" xfId="39116" xr:uid="{00000000-0005-0000-0000-00009FA60000}"/>
    <cellStyle name="Normal 58 5 2 3 3 3" xfId="9982" xr:uid="{00000000-0005-0000-0000-0000A0A60000}"/>
    <cellStyle name="Normal 58 5 2 3 3 3 2" xfId="35539" xr:uid="{00000000-0005-0000-0000-0000A1A60000}"/>
    <cellStyle name="Normal 58 5 2 3 3 4" xfId="18805" xr:uid="{00000000-0005-0000-0000-0000A2A60000}"/>
    <cellStyle name="Normal 58 5 2 3 3 4 2" xfId="44358" xr:uid="{00000000-0005-0000-0000-0000A3A60000}"/>
    <cellStyle name="Normal 58 5 2 3 3 5" xfId="30295" xr:uid="{00000000-0005-0000-0000-0000A4A60000}"/>
    <cellStyle name="Normal 58 5 2 3 4" xfId="2030" xr:uid="{00000000-0005-0000-0000-0000A5A60000}"/>
    <cellStyle name="Normal 58 5 2 3 4 2" xfId="11395" xr:uid="{00000000-0005-0000-0000-0000A6A60000}"/>
    <cellStyle name="Normal 58 5 2 3 4 2 2" xfId="36950" xr:uid="{00000000-0005-0000-0000-0000A7A60000}"/>
    <cellStyle name="Normal 58 5 2 3 4 3" xfId="21399" xr:uid="{00000000-0005-0000-0000-0000A8A60000}"/>
    <cellStyle name="Normal 58 5 2 3 4 3 2" xfId="46952" xr:uid="{00000000-0005-0000-0000-0000A9A60000}"/>
    <cellStyle name="Normal 58 5 2 3 4 4" xfId="27882" xr:uid="{00000000-0005-0000-0000-0000AAA60000}"/>
    <cellStyle name="Normal 58 5 2 3 5" xfId="6179" xr:uid="{00000000-0005-0000-0000-0000ABA60000}"/>
    <cellStyle name="Normal 58 5 2 3 5 2" xfId="15006" xr:uid="{00000000-0005-0000-0000-0000ACA60000}"/>
    <cellStyle name="Normal 58 5 2 3 5 2 2" xfId="40561" xr:uid="{00000000-0005-0000-0000-0000ADA60000}"/>
    <cellStyle name="Normal 58 5 2 3 5 3" xfId="25257" xr:uid="{00000000-0005-0000-0000-0000AEA60000}"/>
    <cellStyle name="Normal 58 5 2 3 5 3 2" xfId="50810" xr:uid="{00000000-0005-0000-0000-0000AFA60000}"/>
    <cellStyle name="Normal 58 5 2 3 5 4" xfId="31740" xr:uid="{00000000-0005-0000-0000-0000B0A60000}"/>
    <cellStyle name="Normal 58 5 2 3 6" xfId="7624" xr:uid="{00000000-0005-0000-0000-0000B1A60000}"/>
    <cellStyle name="Normal 58 5 2 3 6 2" xfId="19881" xr:uid="{00000000-0005-0000-0000-0000B2A60000}"/>
    <cellStyle name="Normal 58 5 2 3 6 2 2" xfId="45434" xr:uid="{00000000-0005-0000-0000-0000B3A60000}"/>
    <cellStyle name="Normal 58 5 2 3 6 3" xfId="33181" xr:uid="{00000000-0005-0000-0000-0000B4A60000}"/>
    <cellStyle name="Normal 58 5 2 3 7" xfId="16392" xr:uid="{00000000-0005-0000-0000-0000B5A60000}"/>
    <cellStyle name="Normal 58 5 2 3 7 2" xfId="41945" xr:uid="{00000000-0005-0000-0000-0000B6A60000}"/>
    <cellStyle name="Normal 58 5 2 3 8" xfId="26364" xr:uid="{00000000-0005-0000-0000-0000B7A60000}"/>
    <cellStyle name="Normal 58 5 2 4" xfId="909" xr:uid="{00000000-0005-0000-0000-0000B8A60000}"/>
    <cellStyle name="Normal 58 5 2 4 2" xfId="3394" xr:uid="{00000000-0005-0000-0000-0000B9A60000}"/>
    <cellStyle name="Normal 58 5 2 4 2 2" xfId="12536" xr:uid="{00000000-0005-0000-0000-0000BAA60000}"/>
    <cellStyle name="Normal 58 5 2 4 2 2 2" xfId="22755" xr:uid="{00000000-0005-0000-0000-0000BBA60000}"/>
    <cellStyle name="Normal 58 5 2 4 2 2 2 2" xfId="48308" xr:uid="{00000000-0005-0000-0000-0000BCA60000}"/>
    <cellStyle name="Normal 58 5 2 4 2 2 3" xfId="38091" xr:uid="{00000000-0005-0000-0000-0000BDA60000}"/>
    <cellStyle name="Normal 58 5 2 4 2 3" xfId="8958" xr:uid="{00000000-0005-0000-0000-0000BEA60000}"/>
    <cellStyle name="Normal 58 5 2 4 2 3 2" xfId="34515" xr:uid="{00000000-0005-0000-0000-0000BFA60000}"/>
    <cellStyle name="Normal 58 5 2 4 2 4" xfId="17748" xr:uid="{00000000-0005-0000-0000-0000C0A60000}"/>
    <cellStyle name="Normal 58 5 2 4 2 4 2" xfId="43301" xr:uid="{00000000-0005-0000-0000-0000C1A60000}"/>
    <cellStyle name="Normal 58 5 2 4 2 5" xfId="29238" xr:uid="{00000000-0005-0000-0000-0000C2A60000}"/>
    <cellStyle name="Normal 58 5 2 4 3" xfId="5072" xr:uid="{00000000-0005-0000-0000-0000C3A60000}"/>
    <cellStyle name="Normal 58 5 2 4 3 2" xfId="13909" xr:uid="{00000000-0005-0000-0000-0000C4A60000}"/>
    <cellStyle name="Normal 58 5 2 4 3 2 2" xfId="24160" xr:uid="{00000000-0005-0000-0000-0000C5A60000}"/>
    <cellStyle name="Normal 58 5 2 4 3 2 2 2" xfId="49713" xr:uid="{00000000-0005-0000-0000-0000C6A60000}"/>
    <cellStyle name="Normal 58 5 2 4 3 2 3" xfId="39464" xr:uid="{00000000-0005-0000-0000-0000C7A60000}"/>
    <cellStyle name="Normal 58 5 2 4 3 3" xfId="10330" xr:uid="{00000000-0005-0000-0000-0000C8A60000}"/>
    <cellStyle name="Normal 58 5 2 4 3 3 2" xfId="35887" xr:uid="{00000000-0005-0000-0000-0000C9A60000}"/>
    <cellStyle name="Normal 58 5 2 4 3 4" xfId="19153" xr:uid="{00000000-0005-0000-0000-0000CAA60000}"/>
    <cellStyle name="Normal 58 5 2 4 3 4 2" xfId="44706" xr:uid="{00000000-0005-0000-0000-0000CBA60000}"/>
    <cellStyle name="Normal 58 5 2 4 3 5" xfId="30643" xr:uid="{00000000-0005-0000-0000-0000CCA60000}"/>
    <cellStyle name="Normal 58 5 2 4 4" xfId="2503" xr:uid="{00000000-0005-0000-0000-0000CDA60000}"/>
    <cellStyle name="Normal 58 5 2 4 4 2" xfId="11868" xr:uid="{00000000-0005-0000-0000-0000CEA60000}"/>
    <cellStyle name="Normal 58 5 2 4 4 2 2" xfId="37423" xr:uid="{00000000-0005-0000-0000-0000CFA60000}"/>
    <cellStyle name="Normal 58 5 2 4 4 3" xfId="21872" xr:uid="{00000000-0005-0000-0000-0000D0A60000}"/>
    <cellStyle name="Normal 58 5 2 4 4 3 2" xfId="47425" xr:uid="{00000000-0005-0000-0000-0000D1A60000}"/>
    <cellStyle name="Normal 58 5 2 4 4 4" xfId="28355" xr:uid="{00000000-0005-0000-0000-0000D2A60000}"/>
    <cellStyle name="Normal 58 5 2 4 5" xfId="6527" xr:uid="{00000000-0005-0000-0000-0000D3A60000}"/>
    <cellStyle name="Normal 58 5 2 4 5 2" xfId="15354" xr:uid="{00000000-0005-0000-0000-0000D4A60000}"/>
    <cellStyle name="Normal 58 5 2 4 5 2 2" xfId="40909" xr:uid="{00000000-0005-0000-0000-0000D5A60000}"/>
    <cellStyle name="Normal 58 5 2 4 5 3" xfId="25605" xr:uid="{00000000-0005-0000-0000-0000D6A60000}"/>
    <cellStyle name="Normal 58 5 2 4 5 3 2" xfId="51158" xr:uid="{00000000-0005-0000-0000-0000D7A60000}"/>
    <cellStyle name="Normal 58 5 2 4 5 4" xfId="32088" xr:uid="{00000000-0005-0000-0000-0000D8A60000}"/>
    <cellStyle name="Normal 58 5 2 4 6" xfId="7973" xr:uid="{00000000-0005-0000-0000-0000D9A60000}"/>
    <cellStyle name="Normal 58 5 2 4 6 2" xfId="20354" xr:uid="{00000000-0005-0000-0000-0000DAA60000}"/>
    <cellStyle name="Normal 58 5 2 4 6 2 2" xfId="45907" xr:uid="{00000000-0005-0000-0000-0000DBA60000}"/>
    <cellStyle name="Normal 58 5 2 4 6 3" xfId="33530" xr:uid="{00000000-0005-0000-0000-0000DCA60000}"/>
    <cellStyle name="Normal 58 5 2 4 7" xfId="16865" xr:uid="{00000000-0005-0000-0000-0000DDA60000}"/>
    <cellStyle name="Normal 58 5 2 4 7 2" xfId="42418" xr:uid="{00000000-0005-0000-0000-0000DEA60000}"/>
    <cellStyle name="Normal 58 5 2 4 8" xfId="26837" xr:uid="{00000000-0005-0000-0000-0000DFA60000}"/>
    <cellStyle name="Normal 58 5 2 5" xfId="1207" xr:uid="{00000000-0005-0000-0000-0000E0A60000}"/>
    <cellStyle name="Normal 58 5 2 5 2" xfId="3636" xr:uid="{00000000-0005-0000-0000-0000E1A60000}"/>
    <cellStyle name="Normal 58 5 2 5 2 2" xfId="12772" xr:uid="{00000000-0005-0000-0000-0000E2A60000}"/>
    <cellStyle name="Normal 58 5 2 5 2 2 2" xfId="22991" xr:uid="{00000000-0005-0000-0000-0000E3A60000}"/>
    <cellStyle name="Normal 58 5 2 5 2 2 2 2" xfId="48544" xr:uid="{00000000-0005-0000-0000-0000E4A60000}"/>
    <cellStyle name="Normal 58 5 2 5 2 2 3" xfId="38327" xr:uid="{00000000-0005-0000-0000-0000E5A60000}"/>
    <cellStyle name="Normal 58 5 2 5 2 3" xfId="9193" xr:uid="{00000000-0005-0000-0000-0000E6A60000}"/>
    <cellStyle name="Normal 58 5 2 5 2 3 2" xfId="34750" xr:uid="{00000000-0005-0000-0000-0000E7A60000}"/>
    <cellStyle name="Normal 58 5 2 5 2 4" xfId="17984" xr:uid="{00000000-0005-0000-0000-0000E8A60000}"/>
    <cellStyle name="Normal 58 5 2 5 2 4 2" xfId="43537" xr:uid="{00000000-0005-0000-0000-0000E9A60000}"/>
    <cellStyle name="Normal 58 5 2 5 2 5" xfId="29474" xr:uid="{00000000-0005-0000-0000-0000EAA60000}"/>
    <cellStyle name="Normal 58 5 2 5 3" xfId="5299" xr:uid="{00000000-0005-0000-0000-0000EBA60000}"/>
    <cellStyle name="Normal 58 5 2 5 3 2" xfId="14136" xr:uid="{00000000-0005-0000-0000-0000ECA60000}"/>
    <cellStyle name="Normal 58 5 2 5 3 2 2" xfId="24387" xr:uid="{00000000-0005-0000-0000-0000EDA60000}"/>
    <cellStyle name="Normal 58 5 2 5 3 2 2 2" xfId="49940" xr:uid="{00000000-0005-0000-0000-0000EEA60000}"/>
    <cellStyle name="Normal 58 5 2 5 3 2 3" xfId="39691" xr:uid="{00000000-0005-0000-0000-0000EFA60000}"/>
    <cellStyle name="Normal 58 5 2 5 3 3" xfId="10557" xr:uid="{00000000-0005-0000-0000-0000F0A60000}"/>
    <cellStyle name="Normal 58 5 2 5 3 3 2" xfId="36114" xr:uid="{00000000-0005-0000-0000-0000F1A60000}"/>
    <cellStyle name="Normal 58 5 2 5 3 4" xfId="19380" xr:uid="{00000000-0005-0000-0000-0000F2A60000}"/>
    <cellStyle name="Normal 58 5 2 5 3 4 2" xfId="44933" xr:uid="{00000000-0005-0000-0000-0000F3A60000}"/>
    <cellStyle name="Normal 58 5 2 5 3 5" xfId="30870" xr:uid="{00000000-0005-0000-0000-0000F4A60000}"/>
    <cellStyle name="Normal 58 5 2 5 4" xfId="1810" xr:uid="{00000000-0005-0000-0000-0000F5A60000}"/>
    <cellStyle name="Normal 58 5 2 5 4 2" xfId="11178" xr:uid="{00000000-0005-0000-0000-0000F6A60000}"/>
    <cellStyle name="Normal 58 5 2 5 4 2 2" xfId="36733" xr:uid="{00000000-0005-0000-0000-0000F7A60000}"/>
    <cellStyle name="Normal 58 5 2 5 4 3" xfId="21182" xr:uid="{00000000-0005-0000-0000-0000F8A60000}"/>
    <cellStyle name="Normal 58 5 2 5 4 3 2" xfId="46735" xr:uid="{00000000-0005-0000-0000-0000F9A60000}"/>
    <cellStyle name="Normal 58 5 2 5 4 4" xfId="27665" xr:uid="{00000000-0005-0000-0000-0000FAA60000}"/>
    <cellStyle name="Normal 58 5 2 5 5" xfId="6754" xr:uid="{00000000-0005-0000-0000-0000FBA60000}"/>
    <cellStyle name="Normal 58 5 2 5 5 2" xfId="15581" xr:uid="{00000000-0005-0000-0000-0000FCA60000}"/>
    <cellStyle name="Normal 58 5 2 5 5 2 2" xfId="41136" xr:uid="{00000000-0005-0000-0000-0000FDA60000}"/>
    <cellStyle name="Normal 58 5 2 5 5 3" xfId="25832" xr:uid="{00000000-0005-0000-0000-0000FEA60000}"/>
    <cellStyle name="Normal 58 5 2 5 5 3 2" xfId="51385" xr:uid="{00000000-0005-0000-0000-0000FFA60000}"/>
    <cellStyle name="Normal 58 5 2 5 5 4" xfId="32315" xr:uid="{00000000-0005-0000-0000-000000A70000}"/>
    <cellStyle name="Normal 58 5 2 5 6" xfId="8200" xr:uid="{00000000-0005-0000-0000-000001A70000}"/>
    <cellStyle name="Normal 58 5 2 5 6 2" xfId="20590" xr:uid="{00000000-0005-0000-0000-000002A70000}"/>
    <cellStyle name="Normal 58 5 2 5 6 2 2" xfId="46143" xr:uid="{00000000-0005-0000-0000-000003A70000}"/>
    <cellStyle name="Normal 58 5 2 5 6 3" xfId="33757" xr:uid="{00000000-0005-0000-0000-000004A70000}"/>
    <cellStyle name="Normal 58 5 2 5 7" xfId="16175" xr:uid="{00000000-0005-0000-0000-000005A70000}"/>
    <cellStyle name="Normal 58 5 2 5 7 2" xfId="41728" xr:uid="{00000000-0005-0000-0000-000006A70000}"/>
    <cellStyle name="Normal 58 5 2 5 8" xfId="27073" xr:uid="{00000000-0005-0000-0000-000007A70000}"/>
    <cellStyle name="Normal 58 5 2 6" xfId="2704" xr:uid="{00000000-0005-0000-0000-000008A70000}"/>
    <cellStyle name="Normal 58 5 2 6 2" xfId="12021" xr:uid="{00000000-0005-0000-0000-000009A70000}"/>
    <cellStyle name="Normal 58 5 2 6 2 2" xfId="22065" xr:uid="{00000000-0005-0000-0000-00000AA70000}"/>
    <cellStyle name="Normal 58 5 2 6 2 2 2" xfId="47618" xr:uid="{00000000-0005-0000-0000-00000BA70000}"/>
    <cellStyle name="Normal 58 5 2 6 2 3" xfId="37576" xr:uid="{00000000-0005-0000-0000-00000CA70000}"/>
    <cellStyle name="Normal 58 5 2 6 3" xfId="6949" xr:uid="{00000000-0005-0000-0000-00000DA70000}"/>
    <cellStyle name="Normal 58 5 2 6 3 2" xfId="32507" xr:uid="{00000000-0005-0000-0000-00000EA70000}"/>
    <cellStyle name="Normal 58 5 2 6 4" xfId="17058" xr:uid="{00000000-0005-0000-0000-00000FA70000}"/>
    <cellStyle name="Normal 58 5 2 6 4 2" xfId="42611" xr:uid="{00000000-0005-0000-0000-000010A70000}"/>
    <cellStyle name="Normal 58 5 2 6 5" xfId="28548" xr:uid="{00000000-0005-0000-0000-000011A70000}"/>
    <cellStyle name="Normal 58 5 2 7" xfId="4255" xr:uid="{00000000-0005-0000-0000-000012A70000}"/>
    <cellStyle name="Normal 58 5 2 7 2" xfId="13093" xr:uid="{00000000-0005-0000-0000-000013A70000}"/>
    <cellStyle name="Normal 58 5 2 7 2 2" xfId="23344" xr:uid="{00000000-0005-0000-0000-000014A70000}"/>
    <cellStyle name="Normal 58 5 2 7 2 2 2" xfId="48897" xr:uid="{00000000-0005-0000-0000-000015A70000}"/>
    <cellStyle name="Normal 58 5 2 7 2 3" xfId="38648" xr:uid="{00000000-0005-0000-0000-000016A70000}"/>
    <cellStyle name="Normal 58 5 2 7 3" xfId="9514" xr:uid="{00000000-0005-0000-0000-000017A70000}"/>
    <cellStyle name="Normal 58 5 2 7 3 2" xfId="35071" xr:uid="{00000000-0005-0000-0000-000018A70000}"/>
    <cellStyle name="Normal 58 5 2 7 4" xfId="18337" xr:uid="{00000000-0005-0000-0000-000019A70000}"/>
    <cellStyle name="Normal 58 5 2 7 4 2" xfId="43890" xr:uid="{00000000-0005-0000-0000-00001AA70000}"/>
    <cellStyle name="Normal 58 5 2 7 5" xfId="29827" xr:uid="{00000000-0005-0000-0000-00001BA70000}"/>
    <cellStyle name="Normal 58 5 2 8" xfId="1527" xr:uid="{00000000-0005-0000-0000-00001CA70000}"/>
    <cellStyle name="Normal 58 5 2 8 2" xfId="10904" xr:uid="{00000000-0005-0000-0000-00001DA70000}"/>
    <cellStyle name="Normal 58 5 2 8 2 2" xfId="36459" xr:uid="{00000000-0005-0000-0000-00001EA70000}"/>
    <cellStyle name="Normal 58 5 2 8 3" xfId="20908" xr:uid="{00000000-0005-0000-0000-00001FA70000}"/>
    <cellStyle name="Normal 58 5 2 8 3 2" xfId="46461" xr:uid="{00000000-0005-0000-0000-000020A70000}"/>
    <cellStyle name="Normal 58 5 2 8 4" xfId="27391" xr:uid="{00000000-0005-0000-0000-000021A70000}"/>
    <cellStyle name="Normal 58 5 2 9" xfId="5711" xr:uid="{00000000-0005-0000-0000-000022A70000}"/>
    <cellStyle name="Normal 58 5 2 9 2" xfId="14538" xr:uid="{00000000-0005-0000-0000-000023A70000}"/>
    <cellStyle name="Normal 58 5 2 9 2 2" xfId="40093" xr:uid="{00000000-0005-0000-0000-000024A70000}"/>
    <cellStyle name="Normal 58 5 2 9 3" xfId="24789" xr:uid="{00000000-0005-0000-0000-000025A70000}"/>
    <cellStyle name="Normal 58 5 2 9 3 2" xfId="50342" xr:uid="{00000000-0005-0000-0000-000026A70000}"/>
    <cellStyle name="Normal 58 5 2 9 4" xfId="31272" xr:uid="{00000000-0005-0000-0000-000027A70000}"/>
    <cellStyle name="Normal 58 5 2_Degree data" xfId="4015" xr:uid="{00000000-0005-0000-0000-000028A70000}"/>
    <cellStyle name="Normal 58 5 3" xfId="274" xr:uid="{00000000-0005-0000-0000-000029A70000}"/>
    <cellStyle name="Normal 58 5 3 10" xfId="7112" xr:uid="{00000000-0005-0000-0000-00002AA70000}"/>
    <cellStyle name="Normal 58 5 3 10 2" xfId="19725" xr:uid="{00000000-0005-0000-0000-00002BA70000}"/>
    <cellStyle name="Normal 58 5 3 10 2 2" xfId="45278" xr:uid="{00000000-0005-0000-0000-00002CA70000}"/>
    <cellStyle name="Normal 58 5 3 10 3" xfId="32669" xr:uid="{00000000-0005-0000-0000-00002DA70000}"/>
    <cellStyle name="Normal 58 5 3 11" xfId="15858" xr:uid="{00000000-0005-0000-0000-00002EA70000}"/>
    <cellStyle name="Normal 58 5 3 11 2" xfId="41411" xr:uid="{00000000-0005-0000-0000-00002FA70000}"/>
    <cellStyle name="Normal 58 5 3 12" xfId="26208" xr:uid="{00000000-0005-0000-0000-000030A70000}"/>
    <cellStyle name="Normal 58 5 3 2" xfId="596" xr:uid="{00000000-0005-0000-0000-000031A70000}"/>
    <cellStyle name="Normal 58 5 3 2 10" xfId="26525" xr:uid="{00000000-0005-0000-0000-000032A70000}"/>
    <cellStyle name="Normal 58 5 3 2 2" xfId="912" xr:uid="{00000000-0005-0000-0000-000033A70000}"/>
    <cellStyle name="Normal 58 5 3 2 2 2" xfId="3397" xr:uid="{00000000-0005-0000-0000-000034A70000}"/>
    <cellStyle name="Normal 58 5 3 2 2 2 2" xfId="12539" xr:uid="{00000000-0005-0000-0000-000035A70000}"/>
    <cellStyle name="Normal 58 5 3 2 2 2 2 2" xfId="22758" xr:uid="{00000000-0005-0000-0000-000036A70000}"/>
    <cellStyle name="Normal 58 5 3 2 2 2 2 2 2" xfId="48311" xr:uid="{00000000-0005-0000-0000-000037A70000}"/>
    <cellStyle name="Normal 58 5 3 2 2 2 2 3" xfId="38094" xr:uid="{00000000-0005-0000-0000-000038A70000}"/>
    <cellStyle name="Normal 58 5 3 2 2 2 3" xfId="8961" xr:uid="{00000000-0005-0000-0000-000039A70000}"/>
    <cellStyle name="Normal 58 5 3 2 2 2 3 2" xfId="34518" xr:uid="{00000000-0005-0000-0000-00003AA70000}"/>
    <cellStyle name="Normal 58 5 3 2 2 2 4" xfId="17751" xr:uid="{00000000-0005-0000-0000-00003BA70000}"/>
    <cellStyle name="Normal 58 5 3 2 2 2 4 2" xfId="43304" xr:uid="{00000000-0005-0000-0000-00003CA70000}"/>
    <cellStyle name="Normal 58 5 3 2 2 2 5" xfId="29241" xr:uid="{00000000-0005-0000-0000-00003DA70000}"/>
    <cellStyle name="Normal 58 5 3 2 2 3" xfId="4726" xr:uid="{00000000-0005-0000-0000-00003EA70000}"/>
    <cellStyle name="Normal 58 5 3 2 2 3 2" xfId="13564" xr:uid="{00000000-0005-0000-0000-00003FA70000}"/>
    <cellStyle name="Normal 58 5 3 2 2 3 2 2" xfId="23815" xr:uid="{00000000-0005-0000-0000-000040A70000}"/>
    <cellStyle name="Normal 58 5 3 2 2 3 2 2 2" xfId="49368" xr:uid="{00000000-0005-0000-0000-000041A70000}"/>
    <cellStyle name="Normal 58 5 3 2 2 3 2 3" xfId="39119" xr:uid="{00000000-0005-0000-0000-000042A70000}"/>
    <cellStyle name="Normal 58 5 3 2 2 3 3" xfId="9985" xr:uid="{00000000-0005-0000-0000-000043A70000}"/>
    <cellStyle name="Normal 58 5 3 2 2 3 3 2" xfId="35542" xr:uid="{00000000-0005-0000-0000-000044A70000}"/>
    <cellStyle name="Normal 58 5 3 2 2 3 4" xfId="18808" xr:uid="{00000000-0005-0000-0000-000045A70000}"/>
    <cellStyle name="Normal 58 5 3 2 2 3 4 2" xfId="44361" xr:uid="{00000000-0005-0000-0000-000046A70000}"/>
    <cellStyle name="Normal 58 5 3 2 2 3 5" xfId="30298" xr:uid="{00000000-0005-0000-0000-000047A70000}"/>
    <cellStyle name="Normal 58 5 3 2 2 4" xfId="2506" xr:uid="{00000000-0005-0000-0000-000048A70000}"/>
    <cellStyle name="Normal 58 5 3 2 2 4 2" xfId="11871" xr:uid="{00000000-0005-0000-0000-000049A70000}"/>
    <cellStyle name="Normal 58 5 3 2 2 4 2 2" xfId="37426" xr:uid="{00000000-0005-0000-0000-00004AA70000}"/>
    <cellStyle name="Normal 58 5 3 2 2 4 3" xfId="21875" xr:uid="{00000000-0005-0000-0000-00004BA70000}"/>
    <cellStyle name="Normal 58 5 3 2 2 4 3 2" xfId="47428" xr:uid="{00000000-0005-0000-0000-00004CA70000}"/>
    <cellStyle name="Normal 58 5 3 2 2 4 4" xfId="28358" xr:uid="{00000000-0005-0000-0000-00004DA70000}"/>
    <cellStyle name="Normal 58 5 3 2 2 5" xfId="6182" xr:uid="{00000000-0005-0000-0000-00004EA70000}"/>
    <cellStyle name="Normal 58 5 3 2 2 5 2" xfId="15009" xr:uid="{00000000-0005-0000-0000-00004FA70000}"/>
    <cellStyle name="Normal 58 5 3 2 2 5 2 2" xfId="40564" xr:uid="{00000000-0005-0000-0000-000050A70000}"/>
    <cellStyle name="Normal 58 5 3 2 2 5 3" xfId="25260" xr:uid="{00000000-0005-0000-0000-000051A70000}"/>
    <cellStyle name="Normal 58 5 3 2 2 5 3 2" xfId="50813" xr:uid="{00000000-0005-0000-0000-000052A70000}"/>
    <cellStyle name="Normal 58 5 3 2 2 5 4" xfId="31743" xr:uid="{00000000-0005-0000-0000-000053A70000}"/>
    <cellStyle name="Normal 58 5 3 2 2 6" xfId="7627" xr:uid="{00000000-0005-0000-0000-000054A70000}"/>
    <cellStyle name="Normal 58 5 3 2 2 6 2" xfId="20357" xr:uid="{00000000-0005-0000-0000-000055A70000}"/>
    <cellStyle name="Normal 58 5 3 2 2 6 2 2" xfId="45910" xr:uid="{00000000-0005-0000-0000-000056A70000}"/>
    <cellStyle name="Normal 58 5 3 2 2 6 3" xfId="33184" xr:uid="{00000000-0005-0000-0000-000057A70000}"/>
    <cellStyle name="Normal 58 5 3 2 2 7" xfId="16868" xr:uid="{00000000-0005-0000-0000-000058A70000}"/>
    <cellStyle name="Normal 58 5 3 2 2 7 2" xfId="42421" xr:uid="{00000000-0005-0000-0000-000059A70000}"/>
    <cellStyle name="Normal 58 5 3 2 2 8" xfId="26840" xr:uid="{00000000-0005-0000-0000-00005AA70000}"/>
    <cellStyle name="Normal 58 5 3 2 3" xfId="1368" xr:uid="{00000000-0005-0000-0000-00005BA70000}"/>
    <cellStyle name="Normal 58 5 3 2 3 2" xfId="3797" xr:uid="{00000000-0005-0000-0000-00005CA70000}"/>
    <cellStyle name="Normal 58 5 3 2 3 2 2" xfId="12933" xr:uid="{00000000-0005-0000-0000-00005DA70000}"/>
    <cellStyle name="Normal 58 5 3 2 3 2 2 2" xfId="23152" xr:uid="{00000000-0005-0000-0000-00005EA70000}"/>
    <cellStyle name="Normal 58 5 3 2 3 2 2 2 2" xfId="48705" xr:uid="{00000000-0005-0000-0000-00005FA70000}"/>
    <cellStyle name="Normal 58 5 3 2 3 2 2 3" xfId="38488" xr:uid="{00000000-0005-0000-0000-000060A70000}"/>
    <cellStyle name="Normal 58 5 3 2 3 2 3" xfId="9354" xr:uid="{00000000-0005-0000-0000-000061A70000}"/>
    <cellStyle name="Normal 58 5 3 2 3 2 3 2" xfId="34911" xr:uid="{00000000-0005-0000-0000-000062A70000}"/>
    <cellStyle name="Normal 58 5 3 2 3 2 4" xfId="18145" xr:uid="{00000000-0005-0000-0000-000063A70000}"/>
    <cellStyle name="Normal 58 5 3 2 3 2 4 2" xfId="43698" xr:uid="{00000000-0005-0000-0000-000064A70000}"/>
    <cellStyle name="Normal 58 5 3 2 3 2 5" xfId="29635" xr:uid="{00000000-0005-0000-0000-000065A70000}"/>
    <cellStyle name="Normal 58 5 3 2 3 3" xfId="5075" xr:uid="{00000000-0005-0000-0000-000066A70000}"/>
    <cellStyle name="Normal 58 5 3 2 3 3 2" xfId="13912" xr:uid="{00000000-0005-0000-0000-000067A70000}"/>
    <cellStyle name="Normal 58 5 3 2 3 3 2 2" xfId="24163" xr:uid="{00000000-0005-0000-0000-000068A70000}"/>
    <cellStyle name="Normal 58 5 3 2 3 3 2 2 2" xfId="49716" xr:uid="{00000000-0005-0000-0000-000069A70000}"/>
    <cellStyle name="Normal 58 5 3 2 3 3 2 3" xfId="39467" xr:uid="{00000000-0005-0000-0000-00006AA70000}"/>
    <cellStyle name="Normal 58 5 3 2 3 3 3" xfId="10333" xr:uid="{00000000-0005-0000-0000-00006BA70000}"/>
    <cellStyle name="Normal 58 5 3 2 3 3 3 2" xfId="35890" xr:uid="{00000000-0005-0000-0000-00006CA70000}"/>
    <cellStyle name="Normal 58 5 3 2 3 3 4" xfId="19156" xr:uid="{00000000-0005-0000-0000-00006DA70000}"/>
    <cellStyle name="Normal 58 5 3 2 3 3 4 2" xfId="44709" xr:uid="{00000000-0005-0000-0000-00006EA70000}"/>
    <cellStyle name="Normal 58 5 3 2 3 3 5" xfId="30646" xr:uid="{00000000-0005-0000-0000-00006FA70000}"/>
    <cellStyle name="Normal 58 5 3 2 3 4" xfId="2191" xr:uid="{00000000-0005-0000-0000-000070A70000}"/>
    <cellStyle name="Normal 58 5 3 2 3 4 2" xfId="11556" xr:uid="{00000000-0005-0000-0000-000071A70000}"/>
    <cellStyle name="Normal 58 5 3 2 3 4 2 2" xfId="37111" xr:uid="{00000000-0005-0000-0000-000072A70000}"/>
    <cellStyle name="Normal 58 5 3 2 3 4 3" xfId="21560" xr:uid="{00000000-0005-0000-0000-000073A70000}"/>
    <cellStyle name="Normal 58 5 3 2 3 4 3 2" xfId="47113" xr:uid="{00000000-0005-0000-0000-000074A70000}"/>
    <cellStyle name="Normal 58 5 3 2 3 4 4" xfId="28043" xr:uid="{00000000-0005-0000-0000-000075A70000}"/>
    <cellStyle name="Normal 58 5 3 2 3 5" xfId="6530" xr:uid="{00000000-0005-0000-0000-000076A70000}"/>
    <cellStyle name="Normal 58 5 3 2 3 5 2" xfId="15357" xr:uid="{00000000-0005-0000-0000-000077A70000}"/>
    <cellStyle name="Normal 58 5 3 2 3 5 2 2" xfId="40912" xr:uid="{00000000-0005-0000-0000-000078A70000}"/>
    <cellStyle name="Normal 58 5 3 2 3 5 3" xfId="25608" xr:uid="{00000000-0005-0000-0000-000079A70000}"/>
    <cellStyle name="Normal 58 5 3 2 3 5 3 2" xfId="51161" xr:uid="{00000000-0005-0000-0000-00007AA70000}"/>
    <cellStyle name="Normal 58 5 3 2 3 5 4" xfId="32091" xr:uid="{00000000-0005-0000-0000-00007BA70000}"/>
    <cellStyle name="Normal 58 5 3 2 3 6" xfId="7976" xr:uid="{00000000-0005-0000-0000-00007CA70000}"/>
    <cellStyle name="Normal 58 5 3 2 3 6 2" xfId="20751" xr:uid="{00000000-0005-0000-0000-00007DA70000}"/>
    <cellStyle name="Normal 58 5 3 2 3 6 2 2" xfId="46304" xr:uid="{00000000-0005-0000-0000-00007EA70000}"/>
    <cellStyle name="Normal 58 5 3 2 3 6 3" xfId="33533" xr:uid="{00000000-0005-0000-0000-00007FA70000}"/>
    <cellStyle name="Normal 58 5 3 2 3 7" xfId="16553" xr:uid="{00000000-0005-0000-0000-000080A70000}"/>
    <cellStyle name="Normal 58 5 3 2 3 7 2" xfId="42106" xr:uid="{00000000-0005-0000-0000-000081A70000}"/>
    <cellStyle name="Normal 58 5 3 2 3 8" xfId="27234" xr:uid="{00000000-0005-0000-0000-000082A70000}"/>
    <cellStyle name="Normal 58 5 3 2 4" xfId="3082" xr:uid="{00000000-0005-0000-0000-000083A70000}"/>
    <cellStyle name="Normal 58 5 3 2 4 2" xfId="5460" xr:uid="{00000000-0005-0000-0000-000084A70000}"/>
    <cellStyle name="Normal 58 5 3 2 4 2 2" xfId="14297" xr:uid="{00000000-0005-0000-0000-000085A70000}"/>
    <cellStyle name="Normal 58 5 3 2 4 2 2 2" xfId="24548" xr:uid="{00000000-0005-0000-0000-000086A70000}"/>
    <cellStyle name="Normal 58 5 3 2 4 2 2 2 2" xfId="50101" xr:uid="{00000000-0005-0000-0000-000087A70000}"/>
    <cellStyle name="Normal 58 5 3 2 4 2 2 3" xfId="39852" xr:uid="{00000000-0005-0000-0000-000088A70000}"/>
    <cellStyle name="Normal 58 5 3 2 4 2 3" xfId="10718" xr:uid="{00000000-0005-0000-0000-000089A70000}"/>
    <cellStyle name="Normal 58 5 3 2 4 2 3 2" xfId="36275" xr:uid="{00000000-0005-0000-0000-00008AA70000}"/>
    <cellStyle name="Normal 58 5 3 2 4 2 4" xfId="19541" xr:uid="{00000000-0005-0000-0000-00008BA70000}"/>
    <cellStyle name="Normal 58 5 3 2 4 2 4 2" xfId="45094" xr:uid="{00000000-0005-0000-0000-00008CA70000}"/>
    <cellStyle name="Normal 58 5 3 2 4 2 5" xfId="31031" xr:uid="{00000000-0005-0000-0000-00008DA70000}"/>
    <cellStyle name="Normal 58 5 3 2 4 3" xfId="6915" xr:uid="{00000000-0005-0000-0000-00008EA70000}"/>
    <cellStyle name="Normal 58 5 3 2 4 3 2" xfId="15742" xr:uid="{00000000-0005-0000-0000-00008FA70000}"/>
    <cellStyle name="Normal 58 5 3 2 4 3 2 2" xfId="41297" xr:uid="{00000000-0005-0000-0000-000090A70000}"/>
    <cellStyle name="Normal 58 5 3 2 4 3 3" xfId="25993" xr:uid="{00000000-0005-0000-0000-000091A70000}"/>
    <cellStyle name="Normal 58 5 3 2 4 3 3 2" xfId="51546" xr:uid="{00000000-0005-0000-0000-000092A70000}"/>
    <cellStyle name="Normal 58 5 3 2 4 3 4" xfId="32476" xr:uid="{00000000-0005-0000-0000-000093A70000}"/>
    <cellStyle name="Normal 58 5 3 2 4 4" xfId="8361" xr:uid="{00000000-0005-0000-0000-000094A70000}"/>
    <cellStyle name="Normal 58 5 3 2 4 4 2" xfId="22443" xr:uid="{00000000-0005-0000-0000-000095A70000}"/>
    <cellStyle name="Normal 58 5 3 2 4 4 2 2" xfId="47996" xr:uid="{00000000-0005-0000-0000-000096A70000}"/>
    <cellStyle name="Normal 58 5 3 2 4 4 3" xfId="33918" xr:uid="{00000000-0005-0000-0000-000097A70000}"/>
    <cellStyle name="Normal 58 5 3 2 4 5" xfId="17436" xr:uid="{00000000-0005-0000-0000-000098A70000}"/>
    <cellStyle name="Normal 58 5 3 2 4 5 2" xfId="42989" xr:uid="{00000000-0005-0000-0000-000099A70000}"/>
    <cellStyle name="Normal 58 5 3 2 4 6" xfId="28926" xr:uid="{00000000-0005-0000-0000-00009AA70000}"/>
    <cellStyle name="Normal 58 5 3 2 5" xfId="4416" xr:uid="{00000000-0005-0000-0000-00009BA70000}"/>
    <cellStyle name="Normal 58 5 3 2 5 2" xfId="13254" xr:uid="{00000000-0005-0000-0000-00009CA70000}"/>
    <cellStyle name="Normal 58 5 3 2 5 2 2" xfId="23505" xr:uid="{00000000-0005-0000-0000-00009DA70000}"/>
    <cellStyle name="Normal 58 5 3 2 5 2 2 2" xfId="49058" xr:uid="{00000000-0005-0000-0000-00009EA70000}"/>
    <cellStyle name="Normal 58 5 3 2 5 2 3" xfId="38809" xr:uid="{00000000-0005-0000-0000-00009FA70000}"/>
    <cellStyle name="Normal 58 5 3 2 5 3" xfId="9675" xr:uid="{00000000-0005-0000-0000-0000A0A70000}"/>
    <cellStyle name="Normal 58 5 3 2 5 3 2" xfId="35232" xr:uid="{00000000-0005-0000-0000-0000A1A70000}"/>
    <cellStyle name="Normal 58 5 3 2 5 4" xfId="18498" xr:uid="{00000000-0005-0000-0000-0000A2A70000}"/>
    <cellStyle name="Normal 58 5 3 2 5 4 2" xfId="44051" xr:uid="{00000000-0005-0000-0000-0000A3A70000}"/>
    <cellStyle name="Normal 58 5 3 2 5 5" xfId="29988" xr:uid="{00000000-0005-0000-0000-0000A4A70000}"/>
    <cellStyle name="Normal 58 5 3 2 6" xfId="1688" xr:uid="{00000000-0005-0000-0000-0000A5A70000}"/>
    <cellStyle name="Normal 58 5 3 2 6 2" xfId="11065" xr:uid="{00000000-0005-0000-0000-0000A6A70000}"/>
    <cellStyle name="Normal 58 5 3 2 6 2 2" xfId="36620" xr:uid="{00000000-0005-0000-0000-0000A7A70000}"/>
    <cellStyle name="Normal 58 5 3 2 6 3" xfId="21069" xr:uid="{00000000-0005-0000-0000-0000A8A70000}"/>
    <cellStyle name="Normal 58 5 3 2 6 3 2" xfId="46622" xr:uid="{00000000-0005-0000-0000-0000A9A70000}"/>
    <cellStyle name="Normal 58 5 3 2 6 4" xfId="27552" xr:uid="{00000000-0005-0000-0000-0000AAA70000}"/>
    <cellStyle name="Normal 58 5 3 2 7" xfId="5872" xr:uid="{00000000-0005-0000-0000-0000ABA70000}"/>
    <cellStyle name="Normal 58 5 3 2 7 2" xfId="14699" xr:uid="{00000000-0005-0000-0000-0000ACA70000}"/>
    <cellStyle name="Normal 58 5 3 2 7 2 2" xfId="40254" xr:uid="{00000000-0005-0000-0000-0000ADA70000}"/>
    <cellStyle name="Normal 58 5 3 2 7 3" xfId="24950" xr:uid="{00000000-0005-0000-0000-0000AEA70000}"/>
    <cellStyle name="Normal 58 5 3 2 7 3 2" xfId="50503" xr:uid="{00000000-0005-0000-0000-0000AFA70000}"/>
    <cellStyle name="Normal 58 5 3 2 7 4" xfId="31433" xr:uid="{00000000-0005-0000-0000-0000B0A70000}"/>
    <cellStyle name="Normal 58 5 3 2 8" xfId="7316" xr:uid="{00000000-0005-0000-0000-0000B1A70000}"/>
    <cellStyle name="Normal 58 5 3 2 8 2" xfId="20042" xr:uid="{00000000-0005-0000-0000-0000B2A70000}"/>
    <cellStyle name="Normal 58 5 3 2 8 2 2" xfId="45595" xr:uid="{00000000-0005-0000-0000-0000B3A70000}"/>
    <cellStyle name="Normal 58 5 3 2 8 3" xfId="32873" xr:uid="{00000000-0005-0000-0000-0000B4A70000}"/>
    <cellStyle name="Normal 58 5 3 2 9" xfId="16062" xr:uid="{00000000-0005-0000-0000-0000B5A70000}"/>
    <cellStyle name="Normal 58 5 3 2 9 2" xfId="41615" xr:uid="{00000000-0005-0000-0000-0000B6A70000}"/>
    <cellStyle name="Normal 58 5 3 2_Degree data" xfId="4018" xr:uid="{00000000-0005-0000-0000-0000B7A70000}"/>
    <cellStyle name="Normal 58 5 3 3" xfId="392" xr:uid="{00000000-0005-0000-0000-0000B8A70000}"/>
    <cellStyle name="Normal 58 5 3 3 2" xfId="2878" xr:uid="{00000000-0005-0000-0000-0000B9A70000}"/>
    <cellStyle name="Normal 58 5 3 3 2 2" xfId="12166" xr:uid="{00000000-0005-0000-0000-0000BAA70000}"/>
    <cellStyle name="Normal 58 5 3 3 2 2 2" xfId="22239" xr:uid="{00000000-0005-0000-0000-0000BBA70000}"/>
    <cellStyle name="Normal 58 5 3 3 2 2 2 2" xfId="47792" xr:uid="{00000000-0005-0000-0000-0000BCA70000}"/>
    <cellStyle name="Normal 58 5 3 3 2 2 3" xfId="37721" xr:uid="{00000000-0005-0000-0000-0000BDA70000}"/>
    <cellStyle name="Normal 58 5 3 3 2 3" xfId="8457" xr:uid="{00000000-0005-0000-0000-0000BEA70000}"/>
    <cellStyle name="Normal 58 5 3 3 2 3 2" xfId="34014" xr:uid="{00000000-0005-0000-0000-0000BFA70000}"/>
    <cellStyle name="Normal 58 5 3 3 2 4" xfId="17232" xr:uid="{00000000-0005-0000-0000-0000C0A70000}"/>
    <cellStyle name="Normal 58 5 3 3 2 4 2" xfId="42785" xr:uid="{00000000-0005-0000-0000-0000C1A70000}"/>
    <cellStyle name="Normal 58 5 3 3 2 5" xfId="28722" xr:uid="{00000000-0005-0000-0000-0000C2A70000}"/>
    <cellStyle name="Normal 58 5 3 3 3" xfId="4725" xr:uid="{00000000-0005-0000-0000-0000C3A70000}"/>
    <cellStyle name="Normal 58 5 3 3 3 2" xfId="13563" xr:uid="{00000000-0005-0000-0000-0000C4A70000}"/>
    <cellStyle name="Normal 58 5 3 3 3 2 2" xfId="23814" xr:uid="{00000000-0005-0000-0000-0000C5A70000}"/>
    <cellStyle name="Normal 58 5 3 3 3 2 2 2" xfId="49367" xr:uid="{00000000-0005-0000-0000-0000C6A70000}"/>
    <cellStyle name="Normal 58 5 3 3 3 2 3" xfId="39118" xr:uid="{00000000-0005-0000-0000-0000C7A70000}"/>
    <cellStyle name="Normal 58 5 3 3 3 3" xfId="9984" xr:uid="{00000000-0005-0000-0000-0000C8A70000}"/>
    <cellStyle name="Normal 58 5 3 3 3 3 2" xfId="35541" xr:uid="{00000000-0005-0000-0000-0000C9A70000}"/>
    <cellStyle name="Normal 58 5 3 3 3 4" xfId="18807" xr:uid="{00000000-0005-0000-0000-0000CAA70000}"/>
    <cellStyle name="Normal 58 5 3 3 3 4 2" xfId="44360" xr:uid="{00000000-0005-0000-0000-0000CBA70000}"/>
    <cellStyle name="Normal 58 5 3 3 3 5" xfId="30297" xr:uid="{00000000-0005-0000-0000-0000CCA70000}"/>
    <cellStyle name="Normal 58 5 3 3 4" xfId="1987" xr:uid="{00000000-0005-0000-0000-0000CDA70000}"/>
    <cellStyle name="Normal 58 5 3 3 4 2" xfId="11352" xr:uid="{00000000-0005-0000-0000-0000CEA70000}"/>
    <cellStyle name="Normal 58 5 3 3 4 2 2" xfId="36907" xr:uid="{00000000-0005-0000-0000-0000CFA70000}"/>
    <cellStyle name="Normal 58 5 3 3 4 3" xfId="21356" xr:uid="{00000000-0005-0000-0000-0000D0A70000}"/>
    <cellStyle name="Normal 58 5 3 3 4 3 2" xfId="46909" xr:uid="{00000000-0005-0000-0000-0000D1A70000}"/>
    <cellStyle name="Normal 58 5 3 3 4 4" xfId="27839" xr:uid="{00000000-0005-0000-0000-0000D2A70000}"/>
    <cellStyle name="Normal 58 5 3 3 5" xfId="6181" xr:uid="{00000000-0005-0000-0000-0000D3A70000}"/>
    <cellStyle name="Normal 58 5 3 3 5 2" xfId="15008" xr:uid="{00000000-0005-0000-0000-0000D4A70000}"/>
    <cellStyle name="Normal 58 5 3 3 5 2 2" xfId="40563" xr:uid="{00000000-0005-0000-0000-0000D5A70000}"/>
    <cellStyle name="Normal 58 5 3 3 5 3" xfId="25259" xr:uid="{00000000-0005-0000-0000-0000D6A70000}"/>
    <cellStyle name="Normal 58 5 3 3 5 3 2" xfId="50812" xr:uid="{00000000-0005-0000-0000-0000D7A70000}"/>
    <cellStyle name="Normal 58 5 3 3 5 4" xfId="31742" xr:uid="{00000000-0005-0000-0000-0000D8A70000}"/>
    <cellStyle name="Normal 58 5 3 3 6" xfId="7626" xr:uid="{00000000-0005-0000-0000-0000D9A70000}"/>
    <cellStyle name="Normal 58 5 3 3 6 2" xfId="19838" xr:uid="{00000000-0005-0000-0000-0000DAA70000}"/>
    <cellStyle name="Normal 58 5 3 3 6 2 2" xfId="45391" xr:uid="{00000000-0005-0000-0000-0000DBA70000}"/>
    <cellStyle name="Normal 58 5 3 3 6 3" xfId="33183" xr:uid="{00000000-0005-0000-0000-0000DCA70000}"/>
    <cellStyle name="Normal 58 5 3 3 7" xfId="16349" xr:uid="{00000000-0005-0000-0000-0000DDA70000}"/>
    <cellStyle name="Normal 58 5 3 3 7 2" xfId="41902" xr:uid="{00000000-0005-0000-0000-0000DEA70000}"/>
    <cellStyle name="Normal 58 5 3 3 8" xfId="26321" xr:uid="{00000000-0005-0000-0000-0000DFA70000}"/>
    <cellStyle name="Normal 58 5 3 4" xfId="911" xr:uid="{00000000-0005-0000-0000-0000E0A70000}"/>
    <cellStyle name="Normal 58 5 3 4 2" xfId="3396" xr:uid="{00000000-0005-0000-0000-0000E1A70000}"/>
    <cellStyle name="Normal 58 5 3 4 2 2" xfId="12538" xr:uid="{00000000-0005-0000-0000-0000E2A70000}"/>
    <cellStyle name="Normal 58 5 3 4 2 2 2" xfId="22757" xr:uid="{00000000-0005-0000-0000-0000E3A70000}"/>
    <cellStyle name="Normal 58 5 3 4 2 2 2 2" xfId="48310" xr:uid="{00000000-0005-0000-0000-0000E4A70000}"/>
    <cellStyle name="Normal 58 5 3 4 2 2 3" xfId="38093" xr:uid="{00000000-0005-0000-0000-0000E5A70000}"/>
    <cellStyle name="Normal 58 5 3 4 2 3" xfId="8960" xr:uid="{00000000-0005-0000-0000-0000E6A70000}"/>
    <cellStyle name="Normal 58 5 3 4 2 3 2" xfId="34517" xr:uid="{00000000-0005-0000-0000-0000E7A70000}"/>
    <cellStyle name="Normal 58 5 3 4 2 4" xfId="17750" xr:uid="{00000000-0005-0000-0000-0000E8A70000}"/>
    <cellStyle name="Normal 58 5 3 4 2 4 2" xfId="43303" xr:uid="{00000000-0005-0000-0000-0000E9A70000}"/>
    <cellStyle name="Normal 58 5 3 4 2 5" xfId="29240" xr:uid="{00000000-0005-0000-0000-0000EAA70000}"/>
    <cellStyle name="Normal 58 5 3 4 3" xfId="5074" xr:uid="{00000000-0005-0000-0000-0000EBA70000}"/>
    <cellStyle name="Normal 58 5 3 4 3 2" xfId="13911" xr:uid="{00000000-0005-0000-0000-0000ECA70000}"/>
    <cellStyle name="Normal 58 5 3 4 3 2 2" xfId="24162" xr:uid="{00000000-0005-0000-0000-0000EDA70000}"/>
    <cellStyle name="Normal 58 5 3 4 3 2 2 2" xfId="49715" xr:uid="{00000000-0005-0000-0000-0000EEA70000}"/>
    <cellStyle name="Normal 58 5 3 4 3 2 3" xfId="39466" xr:uid="{00000000-0005-0000-0000-0000EFA70000}"/>
    <cellStyle name="Normal 58 5 3 4 3 3" xfId="10332" xr:uid="{00000000-0005-0000-0000-0000F0A70000}"/>
    <cellStyle name="Normal 58 5 3 4 3 3 2" xfId="35889" xr:uid="{00000000-0005-0000-0000-0000F1A70000}"/>
    <cellStyle name="Normal 58 5 3 4 3 4" xfId="19155" xr:uid="{00000000-0005-0000-0000-0000F2A70000}"/>
    <cellStyle name="Normal 58 5 3 4 3 4 2" xfId="44708" xr:uid="{00000000-0005-0000-0000-0000F3A70000}"/>
    <cellStyle name="Normal 58 5 3 4 3 5" xfId="30645" xr:uid="{00000000-0005-0000-0000-0000F4A70000}"/>
    <cellStyle name="Normal 58 5 3 4 4" xfId="2505" xr:uid="{00000000-0005-0000-0000-0000F5A70000}"/>
    <cellStyle name="Normal 58 5 3 4 4 2" xfId="11870" xr:uid="{00000000-0005-0000-0000-0000F6A70000}"/>
    <cellStyle name="Normal 58 5 3 4 4 2 2" xfId="37425" xr:uid="{00000000-0005-0000-0000-0000F7A70000}"/>
    <cellStyle name="Normal 58 5 3 4 4 3" xfId="21874" xr:uid="{00000000-0005-0000-0000-0000F8A70000}"/>
    <cellStyle name="Normal 58 5 3 4 4 3 2" xfId="47427" xr:uid="{00000000-0005-0000-0000-0000F9A70000}"/>
    <cellStyle name="Normal 58 5 3 4 4 4" xfId="28357" xr:uid="{00000000-0005-0000-0000-0000FAA70000}"/>
    <cellStyle name="Normal 58 5 3 4 5" xfId="6529" xr:uid="{00000000-0005-0000-0000-0000FBA70000}"/>
    <cellStyle name="Normal 58 5 3 4 5 2" xfId="15356" xr:uid="{00000000-0005-0000-0000-0000FCA70000}"/>
    <cellStyle name="Normal 58 5 3 4 5 2 2" xfId="40911" xr:uid="{00000000-0005-0000-0000-0000FDA70000}"/>
    <cellStyle name="Normal 58 5 3 4 5 3" xfId="25607" xr:uid="{00000000-0005-0000-0000-0000FEA70000}"/>
    <cellStyle name="Normal 58 5 3 4 5 3 2" xfId="51160" xr:uid="{00000000-0005-0000-0000-0000FFA70000}"/>
    <cellStyle name="Normal 58 5 3 4 5 4" xfId="32090" xr:uid="{00000000-0005-0000-0000-000000A80000}"/>
    <cellStyle name="Normal 58 5 3 4 6" xfId="7975" xr:uid="{00000000-0005-0000-0000-000001A80000}"/>
    <cellStyle name="Normal 58 5 3 4 6 2" xfId="20356" xr:uid="{00000000-0005-0000-0000-000002A80000}"/>
    <cellStyle name="Normal 58 5 3 4 6 2 2" xfId="45909" xr:uid="{00000000-0005-0000-0000-000003A80000}"/>
    <cellStyle name="Normal 58 5 3 4 6 3" xfId="33532" xr:uid="{00000000-0005-0000-0000-000004A80000}"/>
    <cellStyle name="Normal 58 5 3 4 7" xfId="16867" xr:uid="{00000000-0005-0000-0000-000005A80000}"/>
    <cellStyle name="Normal 58 5 3 4 7 2" xfId="42420" xr:uid="{00000000-0005-0000-0000-000006A80000}"/>
    <cellStyle name="Normal 58 5 3 4 8" xfId="26839" xr:uid="{00000000-0005-0000-0000-000007A80000}"/>
    <cellStyle name="Normal 58 5 3 5" xfId="1164" xr:uid="{00000000-0005-0000-0000-000008A80000}"/>
    <cellStyle name="Normal 58 5 3 5 2" xfId="3593" xr:uid="{00000000-0005-0000-0000-000009A80000}"/>
    <cellStyle name="Normal 58 5 3 5 2 2" xfId="12729" xr:uid="{00000000-0005-0000-0000-00000AA80000}"/>
    <cellStyle name="Normal 58 5 3 5 2 2 2" xfId="22948" xr:uid="{00000000-0005-0000-0000-00000BA80000}"/>
    <cellStyle name="Normal 58 5 3 5 2 2 2 2" xfId="48501" xr:uid="{00000000-0005-0000-0000-00000CA80000}"/>
    <cellStyle name="Normal 58 5 3 5 2 2 3" xfId="38284" xr:uid="{00000000-0005-0000-0000-00000DA80000}"/>
    <cellStyle name="Normal 58 5 3 5 2 3" xfId="9150" xr:uid="{00000000-0005-0000-0000-00000EA80000}"/>
    <cellStyle name="Normal 58 5 3 5 2 3 2" xfId="34707" xr:uid="{00000000-0005-0000-0000-00000FA80000}"/>
    <cellStyle name="Normal 58 5 3 5 2 4" xfId="17941" xr:uid="{00000000-0005-0000-0000-000010A80000}"/>
    <cellStyle name="Normal 58 5 3 5 2 4 2" xfId="43494" xr:uid="{00000000-0005-0000-0000-000011A80000}"/>
    <cellStyle name="Normal 58 5 3 5 2 5" xfId="29431" xr:uid="{00000000-0005-0000-0000-000012A80000}"/>
    <cellStyle name="Normal 58 5 3 5 3" xfId="5256" xr:uid="{00000000-0005-0000-0000-000013A80000}"/>
    <cellStyle name="Normal 58 5 3 5 3 2" xfId="14093" xr:uid="{00000000-0005-0000-0000-000014A80000}"/>
    <cellStyle name="Normal 58 5 3 5 3 2 2" xfId="24344" xr:uid="{00000000-0005-0000-0000-000015A80000}"/>
    <cellStyle name="Normal 58 5 3 5 3 2 2 2" xfId="49897" xr:uid="{00000000-0005-0000-0000-000016A80000}"/>
    <cellStyle name="Normal 58 5 3 5 3 2 3" xfId="39648" xr:uid="{00000000-0005-0000-0000-000017A80000}"/>
    <cellStyle name="Normal 58 5 3 5 3 3" xfId="10514" xr:uid="{00000000-0005-0000-0000-000018A80000}"/>
    <cellStyle name="Normal 58 5 3 5 3 3 2" xfId="36071" xr:uid="{00000000-0005-0000-0000-000019A80000}"/>
    <cellStyle name="Normal 58 5 3 5 3 4" xfId="19337" xr:uid="{00000000-0005-0000-0000-00001AA80000}"/>
    <cellStyle name="Normal 58 5 3 5 3 4 2" xfId="44890" xr:uid="{00000000-0005-0000-0000-00001BA80000}"/>
    <cellStyle name="Normal 58 5 3 5 3 5" xfId="30827" xr:uid="{00000000-0005-0000-0000-00001CA80000}"/>
    <cellStyle name="Normal 58 5 3 5 4" xfId="1871" xr:uid="{00000000-0005-0000-0000-00001DA80000}"/>
    <cellStyle name="Normal 58 5 3 5 4 2" xfId="11239" xr:uid="{00000000-0005-0000-0000-00001EA80000}"/>
    <cellStyle name="Normal 58 5 3 5 4 2 2" xfId="36794" xr:uid="{00000000-0005-0000-0000-00001FA80000}"/>
    <cellStyle name="Normal 58 5 3 5 4 3" xfId="21243" xr:uid="{00000000-0005-0000-0000-000020A80000}"/>
    <cellStyle name="Normal 58 5 3 5 4 3 2" xfId="46796" xr:uid="{00000000-0005-0000-0000-000021A80000}"/>
    <cellStyle name="Normal 58 5 3 5 4 4" xfId="27726" xr:uid="{00000000-0005-0000-0000-000022A80000}"/>
    <cellStyle name="Normal 58 5 3 5 5" xfId="6711" xr:uid="{00000000-0005-0000-0000-000023A80000}"/>
    <cellStyle name="Normal 58 5 3 5 5 2" xfId="15538" xr:uid="{00000000-0005-0000-0000-000024A80000}"/>
    <cellStyle name="Normal 58 5 3 5 5 2 2" xfId="41093" xr:uid="{00000000-0005-0000-0000-000025A80000}"/>
    <cellStyle name="Normal 58 5 3 5 5 3" xfId="25789" xr:uid="{00000000-0005-0000-0000-000026A80000}"/>
    <cellStyle name="Normal 58 5 3 5 5 3 2" xfId="51342" xr:uid="{00000000-0005-0000-0000-000027A80000}"/>
    <cellStyle name="Normal 58 5 3 5 5 4" xfId="32272" xr:uid="{00000000-0005-0000-0000-000028A80000}"/>
    <cellStyle name="Normal 58 5 3 5 6" xfId="8157" xr:uid="{00000000-0005-0000-0000-000029A80000}"/>
    <cellStyle name="Normal 58 5 3 5 6 2" xfId="20547" xr:uid="{00000000-0005-0000-0000-00002AA80000}"/>
    <cellStyle name="Normal 58 5 3 5 6 2 2" xfId="46100" xr:uid="{00000000-0005-0000-0000-00002BA80000}"/>
    <cellStyle name="Normal 58 5 3 5 6 3" xfId="33714" xr:uid="{00000000-0005-0000-0000-00002CA80000}"/>
    <cellStyle name="Normal 58 5 3 5 7" xfId="16236" xr:uid="{00000000-0005-0000-0000-00002DA80000}"/>
    <cellStyle name="Normal 58 5 3 5 7 2" xfId="41789" xr:uid="{00000000-0005-0000-0000-00002EA80000}"/>
    <cellStyle name="Normal 58 5 3 5 8" xfId="27030" xr:uid="{00000000-0005-0000-0000-00002FA80000}"/>
    <cellStyle name="Normal 58 5 3 6" xfId="2765" xr:uid="{00000000-0005-0000-0000-000030A80000}"/>
    <cellStyle name="Normal 58 5 3 6 2" xfId="12082" xr:uid="{00000000-0005-0000-0000-000031A80000}"/>
    <cellStyle name="Normal 58 5 3 6 2 2" xfId="22126" xr:uid="{00000000-0005-0000-0000-000032A80000}"/>
    <cellStyle name="Normal 58 5 3 6 2 2 2" xfId="47679" xr:uid="{00000000-0005-0000-0000-000033A80000}"/>
    <cellStyle name="Normal 58 5 3 6 2 3" xfId="37637" xr:uid="{00000000-0005-0000-0000-000034A80000}"/>
    <cellStyle name="Normal 58 5 3 6 3" xfId="8536" xr:uid="{00000000-0005-0000-0000-000035A80000}"/>
    <cellStyle name="Normal 58 5 3 6 3 2" xfId="34093" xr:uid="{00000000-0005-0000-0000-000036A80000}"/>
    <cellStyle name="Normal 58 5 3 6 4" xfId="17119" xr:uid="{00000000-0005-0000-0000-000037A80000}"/>
    <cellStyle name="Normal 58 5 3 6 4 2" xfId="42672" xr:uid="{00000000-0005-0000-0000-000038A80000}"/>
    <cellStyle name="Normal 58 5 3 6 5" xfId="28609" xr:uid="{00000000-0005-0000-0000-000039A80000}"/>
    <cellStyle name="Normal 58 5 3 7" xfId="4212" xr:uid="{00000000-0005-0000-0000-00003AA80000}"/>
    <cellStyle name="Normal 58 5 3 7 2" xfId="13050" xr:uid="{00000000-0005-0000-0000-00003BA80000}"/>
    <cellStyle name="Normal 58 5 3 7 2 2" xfId="23301" xr:uid="{00000000-0005-0000-0000-00003CA80000}"/>
    <cellStyle name="Normal 58 5 3 7 2 2 2" xfId="48854" xr:uid="{00000000-0005-0000-0000-00003DA80000}"/>
    <cellStyle name="Normal 58 5 3 7 2 3" xfId="38605" xr:uid="{00000000-0005-0000-0000-00003EA80000}"/>
    <cellStyle name="Normal 58 5 3 7 3" xfId="9471" xr:uid="{00000000-0005-0000-0000-00003FA80000}"/>
    <cellStyle name="Normal 58 5 3 7 3 2" xfId="35028" xr:uid="{00000000-0005-0000-0000-000040A80000}"/>
    <cellStyle name="Normal 58 5 3 7 4" xfId="18294" xr:uid="{00000000-0005-0000-0000-000041A80000}"/>
    <cellStyle name="Normal 58 5 3 7 4 2" xfId="43847" xr:uid="{00000000-0005-0000-0000-000042A80000}"/>
    <cellStyle name="Normal 58 5 3 7 5" xfId="29784" xr:uid="{00000000-0005-0000-0000-000043A80000}"/>
    <cellStyle name="Normal 58 5 3 8" xfId="1484" xr:uid="{00000000-0005-0000-0000-000044A80000}"/>
    <cellStyle name="Normal 58 5 3 8 2" xfId="10861" xr:uid="{00000000-0005-0000-0000-000045A80000}"/>
    <cellStyle name="Normal 58 5 3 8 2 2" xfId="36416" xr:uid="{00000000-0005-0000-0000-000046A80000}"/>
    <cellStyle name="Normal 58 5 3 8 3" xfId="20865" xr:uid="{00000000-0005-0000-0000-000047A80000}"/>
    <cellStyle name="Normal 58 5 3 8 3 2" xfId="46418" xr:uid="{00000000-0005-0000-0000-000048A80000}"/>
    <cellStyle name="Normal 58 5 3 8 4" xfId="27348" xr:uid="{00000000-0005-0000-0000-000049A80000}"/>
    <cellStyle name="Normal 58 5 3 9" xfId="5668" xr:uid="{00000000-0005-0000-0000-00004AA80000}"/>
    <cellStyle name="Normal 58 5 3 9 2" xfId="14495" xr:uid="{00000000-0005-0000-0000-00004BA80000}"/>
    <cellStyle name="Normal 58 5 3 9 2 2" xfId="40050" xr:uid="{00000000-0005-0000-0000-00004CA80000}"/>
    <cellStyle name="Normal 58 5 3 9 3" xfId="24746" xr:uid="{00000000-0005-0000-0000-00004DA80000}"/>
    <cellStyle name="Normal 58 5 3 9 3 2" xfId="50299" xr:uid="{00000000-0005-0000-0000-00004EA80000}"/>
    <cellStyle name="Normal 58 5 3 9 4" xfId="31229" xr:uid="{00000000-0005-0000-0000-00004FA80000}"/>
    <cellStyle name="Normal 58 5 3_Degree data" xfId="4017" xr:uid="{00000000-0005-0000-0000-000050A80000}"/>
    <cellStyle name="Normal 58 5 4" xfId="492" xr:uid="{00000000-0005-0000-0000-000051A80000}"/>
    <cellStyle name="Normal 58 5 4 10" xfId="26421" xr:uid="{00000000-0005-0000-0000-000052A80000}"/>
    <cellStyle name="Normal 58 5 4 2" xfId="913" xr:uid="{00000000-0005-0000-0000-000053A80000}"/>
    <cellStyle name="Normal 58 5 4 2 2" xfId="3398" xr:uid="{00000000-0005-0000-0000-000054A80000}"/>
    <cellStyle name="Normal 58 5 4 2 2 2" xfId="12540" xr:uid="{00000000-0005-0000-0000-000055A80000}"/>
    <cellStyle name="Normal 58 5 4 2 2 2 2" xfId="22759" xr:uid="{00000000-0005-0000-0000-000056A80000}"/>
    <cellStyle name="Normal 58 5 4 2 2 2 2 2" xfId="48312" xr:uid="{00000000-0005-0000-0000-000057A80000}"/>
    <cellStyle name="Normal 58 5 4 2 2 2 3" xfId="38095" xr:uid="{00000000-0005-0000-0000-000058A80000}"/>
    <cellStyle name="Normal 58 5 4 2 2 3" xfId="8962" xr:uid="{00000000-0005-0000-0000-000059A80000}"/>
    <cellStyle name="Normal 58 5 4 2 2 3 2" xfId="34519" xr:uid="{00000000-0005-0000-0000-00005AA80000}"/>
    <cellStyle name="Normal 58 5 4 2 2 4" xfId="17752" xr:uid="{00000000-0005-0000-0000-00005BA80000}"/>
    <cellStyle name="Normal 58 5 4 2 2 4 2" xfId="43305" xr:uid="{00000000-0005-0000-0000-00005CA80000}"/>
    <cellStyle name="Normal 58 5 4 2 2 5" xfId="29242" xr:uid="{00000000-0005-0000-0000-00005DA80000}"/>
    <cellStyle name="Normal 58 5 4 2 3" xfId="4727" xr:uid="{00000000-0005-0000-0000-00005EA80000}"/>
    <cellStyle name="Normal 58 5 4 2 3 2" xfId="13565" xr:uid="{00000000-0005-0000-0000-00005FA80000}"/>
    <cellStyle name="Normal 58 5 4 2 3 2 2" xfId="23816" xr:uid="{00000000-0005-0000-0000-000060A80000}"/>
    <cellStyle name="Normal 58 5 4 2 3 2 2 2" xfId="49369" xr:uid="{00000000-0005-0000-0000-000061A80000}"/>
    <cellStyle name="Normal 58 5 4 2 3 2 3" xfId="39120" xr:uid="{00000000-0005-0000-0000-000062A80000}"/>
    <cellStyle name="Normal 58 5 4 2 3 3" xfId="9986" xr:uid="{00000000-0005-0000-0000-000063A80000}"/>
    <cellStyle name="Normal 58 5 4 2 3 3 2" xfId="35543" xr:uid="{00000000-0005-0000-0000-000064A80000}"/>
    <cellStyle name="Normal 58 5 4 2 3 4" xfId="18809" xr:uid="{00000000-0005-0000-0000-000065A80000}"/>
    <cellStyle name="Normal 58 5 4 2 3 4 2" xfId="44362" xr:uid="{00000000-0005-0000-0000-000066A80000}"/>
    <cellStyle name="Normal 58 5 4 2 3 5" xfId="30299" xr:uid="{00000000-0005-0000-0000-000067A80000}"/>
    <cellStyle name="Normal 58 5 4 2 4" xfId="2507" xr:uid="{00000000-0005-0000-0000-000068A80000}"/>
    <cellStyle name="Normal 58 5 4 2 4 2" xfId="11872" xr:uid="{00000000-0005-0000-0000-000069A80000}"/>
    <cellStyle name="Normal 58 5 4 2 4 2 2" xfId="37427" xr:uid="{00000000-0005-0000-0000-00006AA80000}"/>
    <cellStyle name="Normal 58 5 4 2 4 3" xfId="21876" xr:uid="{00000000-0005-0000-0000-00006BA80000}"/>
    <cellStyle name="Normal 58 5 4 2 4 3 2" xfId="47429" xr:uid="{00000000-0005-0000-0000-00006CA80000}"/>
    <cellStyle name="Normal 58 5 4 2 4 4" xfId="28359" xr:uid="{00000000-0005-0000-0000-00006DA80000}"/>
    <cellStyle name="Normal 58 5 4 2 5" xfId="6183" xr:uid="{00000000-0005-0000-0000-00006EA80000}"/>
    <cellStyle name="Normal 58 5 4 2 5 2" xfId="15010" xr:uid="{00000000-0005-0000-0000-00006FA80000}"/>
    <cellStyle name="Normal 58 5 4 2 5 2 2" xfId="40565" xr:uid="{00000000-0005-0000-0000-000070A80000}"/>
    <cellStyle name="Normal 58 5 4 2 5 3" xfId="25261" xr:uid="{00000000-0005-0000-0000-000071A80000}"/>
    <cellStyle name="Normal 58 5 4 2 5 3 2" xfId="50814" xr:uid="{00000000-0005-0000-0000-000072A80000}"/>
    <cellStyle name="Normal 58 5 4 2 5 4" xfId="31744" xr:uid="{00000000-0005-0000-0000-000073A80000}"/>
    <cellStyle name="Normal 58 5 4 2 6" xfId="7628" xr:uid="{00000000-0005-0000-0000-000074A80000}"/>
    <cellStyle name="Normal 58 5 4 2 6 2" xfId="20358" xr:uid="{00000000-0005-0000-0000-000075A80000}"/>
    <cellStyle name="Normal 58 5 4 2 6 2 2" xfId="45911" xr:uid="{00000000-0005-0000-0000-000076A80000}"/>
    <cellStyle name="Normal 58 5 4 2 6 3" xfId="33185" xr:uid="{00000000-0005-0000-0000-000077A80000}"/>
    <cellStyle name="Normal 58 5 4 2 7" xfId="16869" xr:uid="{00000000-0005-0000-0000-000078A80000}"/>
    <cellStyle name="Normal 58 5 4 2 7 2" xfId="42422" xr:uid="{00000000-0005-0000-0000-000079A80000}"/>
    <cellStyle name="Normal 58 5 4 2 8" xfId="26841" xr:uid="{00000000-0005-0000-0000-00007AA80000}"/>
    <cellStyle name="Normal 58 5 4 3" xfId="1264" xr:uid="{00000000-0005-0000-0000-00007BA80000}"/>
    <cellStyle name="Normal 58 5 4 3 2" xfId="3693" xr:uid="{00000000-0005-0000-0000-00007CA80000}"/>
    <cellStyle name="Normal 58 5 4 3 2 2" xfId="12829" xr:uid="{00000000-0005-0000-0000-00007DA80000}"/>
    <cellStyle name="Normal 58 5 4 3 2 2 2" xfId="23048" xr:uid="{00000000-0005-0000-0000-00007EA80000}"/>
    <cellStyle name="Normal 58 5 4 3 2 2 2 2" xfId="48601" xr:uid="{00000000-0005-0000-0000-00007FA80000}"/>
    <cellStyle name="Normal 58 5 4 3 2 2 3" xfId="38384" xr:uid="{00000000-0005-0000-0000-000080A80000}"/>
    <cellStyle name="Normal 58 5 4 3 2 3" xfId="9250" xr:uid="{00000000-0005-0000-0000-000081A80000}"/>
    <cellStyle name="Normal 58 5 4 3 2 3 2" xfId="34807" xr:uid="{00000000-0005-0000-0000-000082A80000}"/>
    <cellStyle name="Normal 58 5 4 3 2 4" xfId="18041" xr:uid="{00000000-0005-0000-0000-000083A80000}"/>
    <cellStyle name="Normal 58 5 4 3 2 4 2" xfId="43594" xr:uid="{00000000-0005-0000-0000-000084A80000}"/>
    <cellStyle name="Normal 58 5 4 3 2 5" xfId="29531" xr:uid="{00000000-0005-0000-0000-000085A80000}"/>
    <cellStyle name="Normal 58 5 4 3 3" xfId="5076" xr:uid="{00000000-0005-0000-0000-000086A80000}"/>
    <cellStyle name="Normal 58 5 4 3 3 2" xfId="13913" xr:uid="{00000000-0005-0000-0000-000087A80000}"/>
    <cellStyle name="Normal 58 5 4 3 3 2 2" xfId="24164" xr:uid="{00000000-0005-0000-0000-000088A80000}"/>
    <cellStyle name="Normal 58 5 4 3 3 2 2 2" xfId="49717" xr:uid="{00000000-0005-0000-0000-000089A80000}"/>
    <cellStyle name="Normal 58 5 4 3 3 2 3" xfId="39468" xr:uid="{00000000-0005-0000-0000-00008AA80000}"/>
    <cellStyle name="Normal 58 5 4 3 3 3" xfId="10334" xr:uid="{00000000-0005-0000-0000-00008BA80000}"/>
    <cellStyle name="Normal 58 5 4 3 3 3 2" xfId="35891" xr:uid="{00000000-0005-0000-0000-00008CA80000}"/>
    <cellStyle name="Normal 58 5 4 3 3 4" xfId="19157" xr:uid="{00000000-0005-0000-0000-00008DA80000}"/>
    <cellStyle name="Normal 58 5 4 3 3 4 2" xfId="44710" xr:uid="{00000000-0005-0000-0000-00008EA80000}"/>
    <cellStyle name="Normal 58 5 4 3 3 5" xfId="30647" xr:uid="{00000000-0005-0000-0000-00008FA80000}"/>
    <cellStyle name="Normal 58 5 4 3 4" xfId="2087" xr:uid="{00000000-0005-0000-0000-000090A80000}"/>
    <cellStyle name="Normal 58 5 4 3 4 2" xfId="11452" xr:uid="{00000000-0005-0000-0000-000091A80000}"/>
    <cellStyle name="Normal 58 5 4 3 4 2 2" xfId="37007" xr:uid="{00000000-0005-0000-0000-000092A80000}"/>
    <cellStyle name="Normal 58 5 4 3 4 3" xfId="21456" xr:uid="{00000000-0005-0000-0000-000093A80000}"/>
    <cellStyle name="Normal 58 5 4 3 4 3 2" xfId="47009" xr:uid="{00000000-0005-0000-0000-000094A80000}"/>
    <cellStyle name="Normal 58 5 4 3 4 4" xfId="27939" xr:uid="{00000000-0005-0000-0000-000095A80000}"/>
    <cellStyle name="Normal 58 5 4 3 5" xfId="6531" xr:uid="{00000000-0005-0000-0000-000096A80000}"/>
    <cellStyle name="Normal 58 5 4 3 5 2" xfId="15358" xr:uid="{00000000-0005-0000-0000-000097A80000}"/>
    <cellStyle name="Normal 58 5 4 3 5 2 2" xfId="40913" xr:uid="{00000000-0005-0000-0000-000098A80000}"/>
    <cellStyle name="Normal 58 5 4 3 5 3" xfId="25609" xr:uid="{00000000-0005-0000-0000-000099A80000}"/>
    <cellStyle name="Normal 58 5 4 3 5 3 2" xfId="51162" xr:uid="{00000000-0005-0000-0000-00009AA80000}"/>
    <cellStyle name="Normal 58 5 4 3 5 4" xfId="32092" xr:uid="{00000000-0005-0000-0000-00009BA80000}"/>
    <cellStyle name="Normal 58 5 4 3 6" xfId="7977" xr:uid="{00000000-0005-0000-0000-00009CA80000}"/>
    <cellStyle name="Normal 58 5 4 3 6 2" xfId="20647" xr:uid="{00000000-0005-0000-0000-00009DA80000}"/>
    <cellStyle name="Normal 58 5 4 3 6 2 2" xfId="46200" xr:uid="{00000000-0005-0000-0000-00009EA80000}"/>
    <cellStyle name="Normal 58 5 4 3 6 3" xfId="33534" xr:uid="{00000000-0005-0000-0000-00009FA80000}"/>
    <cellStyle name="Normal 58 5 4 3 7" xfId="16449" xr:uid="{00000000-0005-0000-0000-0000A0A80000}"/>
    <cellStyle name="Normal 58 5 4 3 7 2" xfId="42002" xr:uid="{00000000-0005-0000-0000-0000A1A80000}"/>
    <cellStyle name="Normal 58 5 4 3 8" xfId="27130" xr:uid="{00000000-0005-0000-0000-0000A2A80000}"/>
    <cellStyle name="Normal 58 5 4 4" xfId="2978" xr:uid="{00000000-0005-0000-0000-0000A3A80000}"/>
    <cellStyle name="Normal 58 5 4 4 2" xfId="5356" xr:uid="{00000000-0005-0000-0000-0000A4A80000}"/>
    <cellStyle name="Normal 58 5 4 4 2 2" xfId="14193" xr:uid="{00000000-0005-0000-0000-0000A5A80000}"/>
    <cellStyle name="Normal 58 5 4 4 2 2 2" xfId="24444" xr:uid="{00000000-0005-0000-0000-0000A6A80000}"/>
    <cellStyle name="Normal 58 5 4 4 2 2 2 2" xfId="49997" xr:uid="{00000000-0005-0000-0000-0000A7A80000}"/>
    <cellStyle name="Normal 58 5 4 4 2 2 3" xfId="39748" xr:uid="{00000000-0005-0000-0000-0000A8A80000}"/>
    <cellStyle name="Normal 58 5 4 4 2 3" xfId="10614" xr:uid="{00000000-0005-0000-0000-0000A9A80000}"/>
    <cellStyle name="Normal 58 5 4 4 2 3 2" xfId="36171" xr:uid="{00000000-0005-0000-0000-0000AAA80000}"/>
    <cellStyle name="Normal 58 5 4 4 2 4" xfId="19437" xr:uid="{00000000-0005-0000-0000-0000ABA80000}"/>
    <cellStyle name="Normal 58 5 4 4 2 4 2" xfId="44990" xr:uid="{00000000-0005-0000-0000-0000ACA80000}"/>
    <cellStyle name="Normal 58 5 4 4 2 5" xfId="30927" xr:uid="{00000000-0005-0000-0000-0000ADA80000}"/>
    <cellStyle name="Normal 58 5 4 4 3" xfId="6811" xr:uid="{00000000-0005-0000-0000-0000AEA80000}"/>
    <cellStyle name="Normal 58 5 4 4 3 2" xfId="15638" xr:uid="{00000000-0005-0000-0000-0000AFA80000}"/>
    <cellStyle name="Normal 58 5 4 4 3 2 2" xfId="41193" xr:uid="{00000000-0005-0000-0000-0000B0A80000}"/>
    <cellStyle name="Normal 58 5 4 4 3 3" xfId="25889" xr:uid="{00000000-0005-0000-0000-0000B1A80000}"/>
    <cellStyle name="Normal 58 5 4 4 3 3 2" xfId="51442" xr:uid="{00000000-0005-0000-0000-0000B2A80000}"/>
    <cellStyle name="Normal 58 5 4 4 3 4" xfId="32372" xr:uid="{00000000-0005-0000-0000-0000B3A80000}"/>
    <cellStyle name="Normal 58 5 4 4 4" xfId="8257" xr:uid="{00000000-0005-0000-0000-0000B4A80000}"/>
    <cellStyle name="Normal 58 5 4 4 4 2" xfId="22339" xr:uid="{00000000-0005-0000-0000-0000B5A80000}"/>
    <cellStyle name="Normal 58 5 4 4 4 2 2" xfId="47892" xr:uid="{00000000-0005-0000-0000-0000B6A80000}"/>
    <cellStyle name="Normal 58 5 4 4 4 3" xfId="33814" xr:uid="{00000000-0005-0000-0000-0000B7A80000}"/>
    <cellStyle name="Normal 58 5 4 4 5" xfId="17332" xr:uid="{00000000-0005-0000-0000-0000B8A80000}"/>
    <cellStyle name="Normal 58 5 4 4 5 2" xfId="42885" xr:uid="{00000000-0005-0000-0000-0000B9A80000}"/>
    <cellStyle name="Normal 58 5 4 4 6" xfId="28822" xr:uid="{00000000-0005-0000-0000-0000BAA80000}"/>
    <cellStyle name="Normal 58 5 4 5" xfId="4312" xr:uid="{00000000-0005-0000-0000-0000BBA80000}"/>
    <cellStyle name="Normal 58 5 4 5 2" xfId="13150" xr:uid="{00000000-0005-0000-0000-0000BCA80000}"/>
    <cellStyle name="Normal 58 5 4 5 2 2" xfId="23401" xr:uid="{00000000-0005-0000-0000-0000BDA80000}"/>
    <cellStyle name="Normal 58 5 4 5 2 2 2" xfId="48954" xr:uid="{00000000-0005-0000-0000-0000BEA80000}"/>
    <cellStyle name="Normal 58 5 4 5 2 3" xfId="38705" xr:uid="{00000000-0005-0000-0000-0000BFA80000}"/>
    <cellStyle name="Normal 58 5 4 5 3" xfId="9571" xr:uid="{00000000-0005-0000-0000-0000C0A80000}"/>
    <cellStyle name="Normal 58 5 4 5 3 2" xfId="35128" xr:uid="{00000000-0005-0000-0000-0000C1A80000}"/>
    <cellStyle name="Normal 58 5 4 5 4" xfId="18394" xr:uid="{00000000-0005-0000-0000-0000C2A80000}"/>
    <cellStyle name="Normal 58 5 4 5 4 2" xfId="43947" xr:uid="{00000000-0005-0000-0000-0000C3A80000}"/>
    <cellStyle name="Normal 58 5 4 5 5" xfId="29884" xr:uid="{00000000-0005-0000-0000-0000C4A80000}"/>
    <cellStyle name="Normal 58 5 4 6" xfId="1584" xr:uid="{00000000-0005-0000-0000-0000C5A80000}"/>
    <cellStyle name="Normal 58 5 4 6 2" xfId="10961" xr:uid="{00000000-0005-0000-0000-0000C6A80000}"/>
    <cellStyle name="Normal 58 5 4 6 2 2" xfId="36516" xr:uid="{00000000-0005-0000-0000-0000C7A80000}"/>
    <cellStyle name="Normal 58 5 4 6 3" xfId="20965" xr:uid="{00000000-0005-0000-0000-0000C8A80000}"/>
    <cellStyle name="Normal 58 5 4 6 3 2" xfId="46518" xr:uid="{00000000-0005-0000-0000-0000C9A80000}"/>
    <cellStyle name="Normal 58 5 4 6 4" xfId="27448" xr:uid="{00000000-0005-0000-0000-0000CAA80000}"/>
    <cellStyle name="Normal 58 5 4 7" xfId="5768" xr:uid="{00000000-0005-0000-0000-0000CBA80000}"/>
    <cellStyle name="Normal 58 5 4 7 2" xfId="14595" xr:uid="{00000000-0005-0000-0000-0000CCA80000}"/>
    <cellStyle name="Normal 58 5 4 7 2 2" xfId="40150" xr:uid="{00000000-0005-0000-0000-0000CDA80000}"/>
    <cellStyle name="Normal 58 5 4 7 3" xfId="24846" xr:uid="{00000000-0005-0000-0000-0000CEA80000}"/>
    <cellStyle name="Normal 58 5 4 7 3 2" xfId="50399" xr:uid="{00000000-0005-0000-0000-0000CFA80000}"/>
    <cellStyle name="Normal 58 5 4 7 4" xfId="31329" xr:uid="{00000000-0005-0000-0000-0000D0A80000}"/>
    <cellStyle name="Normal 58 5 4 8" xfId="7212" xr:uid="{00000000-0005-0000-0000-0000D1A80000}"/>
    <cellStyle name="Normal 58 5 4 8 2" xfId="19938" xr:uid="{00000000-0005-0000-0000-0000D2A80000}"/>
    <cellStyle name="Normal 58 5 4 8 2 2" xfId="45491" xr:uid="{00000000-0005-0000-0000-0000D3A80000}"/>
    <cellStyle name="Normal 58 5 4 8 3" xfId="32769" xr:uid="{00000000-0005-0000-0000-0000D4A80000}"/>
    <cellStyle name="Normal 58 5 4 9" xfId="15958" xr:uid="{00000000-0005-0000-0000-0000D5A80000}"/>
    <cellStyle name="Normal 58 5 4 9 2" xfId="41511" xr:uid="{00000000-0005-0000-0000-0000D6A80000}"/>
    <cellStyle name="Normal 58 5 4_Degree data" xfId="4019" xr:uid="{00000000-0005-0000-0000-0000D7A80000}"/>
    <cellStyle name="Normal 58 5 5" xfId="335" xr:uid="{00000000-0005-0000-0000-0000D8A80000}"/>
    <cellStyle name="Normal 58 5 5 10" xfId="26264" xr:uid="{00000000-0005-0000-0000-0000D9A80000}"/>
    <cellStyle name="Normal 58 5 5 2" xfId="914" xr:uid="{00000000-0005-0000-0000-0000DAA80000}"/>
    <cellStyle name="Normal 58 5 5 2 2" xfId="3399" xr:uid="{00000000-0005-0000-0000-0000DBA80000}"/>
    <cellStyle name="Normal 58 5 5 2 2 2" xfId="12541" xr:uid="{00000000-0005-0000-0000-0000DCA80000}"/>
    <cellStyle name="Normal 58 5 5 2 2 2 2" xfId="22760" xr:uid="{00000000-0005-0000-0000-0000DDA80000}"/>
    <cellStyle name="Normal 58 5 5 2 2 2 2 2" xfId="48313" xr:uid="{00000000-0005-0000-0000-0000DEA80000}"/>
    <cellStyle name="Normal 58 5 5 2 2 2 3" xfId="38096" xr:uid="{00000000-0005-0000-0000-0000DFA80000}"/>
    <cellStyle name="Normal 58 5 5 2 2 3" xfId="8963" xr:uid="{00000000-0005-0000-0000-0000E0A80000}"/>
    <cellStyle name="Normal 58 5 5 2 2 3 2" xfId="34520" xr:uid="{00000000-0005-0000-0000-0000E1A80000}"/>
    <cellStyle name="Normal 58 5 5 2 2 4" xfId="17753" xr:uid="{00000000-0005-0000-0000-0000E2A80000}"/>
    <cellStyle name="Normal 58 5 5 2 2 4 2" xfId="43306" xr:uid="{00000000-0005-0000-0000-0000E3A80000}"/>
    <cellStyle name="Normal 58 5 5 2 2 5" xfId="29243" xr:uid="{00000000-0005-0000-0000-0000E4A80000}"/>
    <cellStyle name="Normal 58 5 5 2 3" xfId="4728" xr:uid="{00000000-0005-0000-0000-0000E5A80000}"/>
    <cellStyle name="Normal 58 5 5 2 3 2" xfId="13566" xr:uid="{00000000-0005-0000-0000-0000E6A80000}"/>
    <cellStyle name="Normal 58 5 5 2 3 2 2" xfId="23817" xr:uid="{00000000-0005-0000-0000-0000E7A80000}"/>
    <cellStyle name="Normal 58 5 5 2 3 2 2 2" xfId="49370" xr:uid="{00000000-0005-0000-0000-0000E8A80000}"/>
    <cellStyle name="Normal 58 5 5 2 3 2 3" xfId="39121" xr:uid="{00000000-0005-0000-0000-0000E9A80000}"/>
    <cellStyle name="Normal 58 5 5 2 3 3" xfId="9987" xr:uid="{00000000-0005-0000-0000-0000EAA80000}"/>
    <cellStyle name="Normal 58 5 5 2 3 3 2" xfId="35544" xr:uid="{00000000-0005-0000-0000-0000EBA80000}"/>
    <cellStyle name="Normal 58 5 5 2 3 4" xfId="18810" xr:uid="{00000000-0005-0000-0000-0000ECA80000}"/>
    <cellStyle name="Normal 58 5 5 2 3 4 2" xfId="44363" xr:uid="{00000000-0005-0000-0000-0000EDA80000}"/>
    <cellStyle name="Normal 58 5 5 2 3 5" xfId="30300" xr:uid="{00000000-0005-0000-0000-0000EEA80000}"/>
    <cellStyle name="Normal 58 5 5 2 4" xfId="2508" xr:uid="{00000000-0005-0000-0000-0000EFA80000}"/>
    <cellStyle name="Normal 58 5 5 2 4 2" xfId="11873" xr:uid="{00000000-0005-0000-0000-0000F0A80000}"/>
    <cellStyle name="Normal 58 5 5 2 4 2 2" xfId="37428" xr:uid="{00000000-0005-0000-0000-0000F1A80000}"/>
    <cellStyle name="Normal 58 5 5 2 4 3" xfId="21877" xr:uid="{00000000-0005-0000-0000-0000F2A80000}"/>
    <cellStyle name="Normal 58 5 5 2 4 3 2" xfId="47430" xr:uid="{00000000-0005-0000-0000-0000F3A80000}"/>
    <cellStyle name="Normal 58 5 5 2 4 4" xfId="28360" xr:uid="{00000000-0005-0000-0000-0000F4A80000}"/>
    <cellStyle name="Normal 58 5 5 2 5" xfId="6184" xr:uid="{00000000-0005-0000-0000-0000F5A80000}"/>
    <cellStyle name="Normal 58 5 5 2 5 2" xfId="15011" xr:uid="{00000000-0005-0000-0000-0000F6A80000}"/>
    <cellStyle name="Normal 58 5 5 2 5 2 2" xfId="40566" xr:uid="{00000000-0005-0000-0000-0000F7A80000}"/>
    <cellStyle name="Normal 58 5 5 2 5 3" xfId="25262" xr:uid="{00000000-0005-0000-0000-0000F8A80000}"/>
    <cellStyle name="Normal 58 5 5 2 5 3 2" xfId="50815" xr:uid="{00000000-0005-0000-0000-0000F9A80000}"/>
    <cellStyle name="Normal 58 5 5 2 5 4" xfId="31745" xr:uid="{00000000-0005-0000-0000-0000FAA80000}"/>
    <cellStyle name="Normal 58 5 5 2 6" xfId="7629" xr:uid="{00000000-0005-0000-0000-0000FBA80000}"/>
    <cellStyle name="Normal 58 5 5 2 6 2" xfId="20359" xr:uid="{00000000-0005-0000-0000-0000FCA80000}"/>
    <cellStyle name="Normal 58 5 5 2 6 2 2" xfId="45912" xr:uid="{00000000-0005-0000-0000-0000FDA80000}"/>
    <cellStyle name="Normal 58 5 5 2 6 3" xfId="33186" xr:uid="{00000000-0005-0000-0000-0000FEA80000}"/>
    <cellStyle name="Normal 58 5 5 2 7" xfId="16870" xr:uid="{00000000-0005-0000-0000-0000FFA80000}"/>
    <cellStyle name="Normal 58 5 5 2 7 2" xfId="42423" xr:uid="{00000000-0005-0000-0000-000000A90000}"/>
    <cellStyle name="Normal 58 5 5 2 8" xfId="26842" xr:uid="{00000000-0005-0000-0000-000001A90000}"/>
    <cellStyle name="Normal 58 5 5 3" xfId="1107" xr:uid="{00000000-0005-0000-0000-000002A90000}"/>
    <cellStyle name="Normal 58 5 5 3 2" xfId="3536" xr:uid="{00000000-0005-0000-0000-000003A90000}"/>
    <cellStyle name="Normal 58 5 5 3 2 2" xfId="12672" xr:uid="{00000000-0005-0000-0000-000004A90000}"/>
    <cellStyle name="Normal 58 5 5 3 2 2 2" xfId="22891" xr:uid="{00000000-0005-0000-0000-000005A90000}"/>
    <cellStyle name="Normal 58 5 5 3 2 2 2 2" xfId="48444" xr:uid="{00000000-0005-0000-0000-000006A90000}"/>
    <cellStyle name="Normal 58 5 5 3 2 2 3" xfId="38227" xr:uid="{00000000-0005-0000-0000-000007A90000}"/>
    <cellStyle name="Normal 58 5 5 3 2 3" xfId="9093" xr:uid="{00000000-0005-0000-0000-000008A90000}"/>
    <cellStyle name="Normal 58 5 5 3 2 3 2" xfId="34650" xr:uid="{00000000-0005-0000-0000-000009A90000}"/>
    <cellStyle name="Normal 58 5 5 3 2 4" xfId="17884" xr:uid="{00000000-0005-0000-0000-00000AA90000}"/>
    <cellStyle name="Normal 58 5 5 3 2 4 2" xfId="43437" xr:uid="{00000000-0005-0000-0000-00000BA90000}"/>
    <cellStyle name="Normal 58 5 5 3 2 5" xfId="29374" xr:uid="{00000000-0005-0000-0000-00000CA90000}"/>
    <cellStyle name="Normal 58 5 5 3 3" xfId="5077" xr:uid="{00000000-0005-0000-0000-00000DA90000}"/>
    <cellStyle name="Normal 58 5 5 3 3 2" xfId="13914" xr:uid="{00000000-0005-0000-0000-00000EA90000}"/>
    <cellStyle name="Normal 58 5 5 3 3 2 2" xfId="24165" xr:uid="{00000000-0005-0000-0000-00000FA90000}"/>
    <cellStyle name="Normal 58 5 5 3 3 2 2 2" xfId="49718" xr:uid="{00000000-0005-0000-0000-000010A90000}"/>
    <cellStyle name="Normal 58 5 5 3 3 2 3" xfId="39469" xr:uid="{00000000-0005-0000-0000-000011A90000}"/>
    <cellStyle name="Normal 58 5 5 3 3 3" xfId="10335" xr:uid="{00000000-0005-0000-0000-000012A90000}"/>
    <cellStyle name="Normal 58 5 5 3 3 3 2" xfId="35892" xr:uid="{00000000-0005-0000-0000-000013A90000}"/>
    <cellStyle name="Normal 58 5 5 3 3 4" xfId="19158" xr:uid="{00000000-0005-0000-0000-000014A90000}"/>
    <cellStyle name="Normal 58 5 5 3 3 4 2" xfId="44711" xr:uid="{00000000-0005-0000-0000-000015A90000}"/>
    <cellStyle name="Normal 58 5 5 3 3 5" xfId="30648" xr:uid="{00000000-0005-0000-0000-000016A90000}"/>
    <cellStyle name="Normal 58 5 5 3 4" xfId="2597" xr:uid="{00000000-0005-0000-0000-000017A90000}"/>
    <cellStyle name="Normal 58 5 5 3 4 2" xfId="11961" xr:uid="{00000000-0005-0000-0000-000018A90000}"/>
    <cellStyle name="Normal 58 5 5 3 4 2 2" xfId="37516" xr:uid="{00000000-0005-0000-0000-000019A90000}"/>
    <cellStyle name="Normal 58 5 5 3 4 3" xfId="21965" xr:uid="{00000000-0005-0000-0000-00001AA90000}"/>
    <cellStyle name="Normal 58 5 5 3 4 3 2" xfId="47518" xr:uid="{00000000-0005-0000-0000-00001BA90000}"/>
    <cellStyle name="Normal 58 5 5 3 4 4" xfId="28448" xr:uid="{00000000-0005-0000-0000-00001CA90000}"/>
    <cellStyle name="Normal 58 5 5 3 5" xfId="6532" xr:uid="{00000000-0005-0000-0000-00001DA90000}"/>
    <cellStyle name="Normal 58 5 5 3 5 2" xfId="15359" xr:uid="{00000000-0005-0000-0000-00001EA90000}"/>
    <cellStyle name="Normal 58 5 5 3 5 2 2" xfId="40914" xr:uid="{00000000-0005-0000-0000-00001FA90000}"/>
    <cellStyle name="Normal 58 5 5 3 5 3" xfId="25610" xr:uid="{00000000-0005-0000-0000-000020A90000}"/>
    <cellStyle name="Normal 58 5 5 3 5 3 2" xfId="51163" xr:uid="{00000000-0005-0000-0000-000021A90000}"/>
    <cellStyle name="Normal 58 5 5 3 5 4" xfId="32093" xr:uid="{00000000-0005-0000-0000-000022A90000}"/>
    <cellStyle name="Normal 58 5 5 3 6" xfId="7978" xr:uid="{00000000-0005-0000-0000-000023A90000}"/>
    <cellStyle name="Normal 58 5 5 3 6 2" xfId="20490" xr:uid="{00000000-0005-0000-0000-000024A90000}"/>
    <cellStyle name="Normal 58 5 5 3 6 2 2" xfId="46043" xr:uid="{00000000-0005-0000-0000-000025A90000}"/>
    <cellStyle name="Normal 58 5 5 3 6 3" xfId="33535" xr:uid="{00000000-0005-0000-0000-000026A90000}"/>
    <cellStyle name="Normal 58 5 5 3 7" xfId="16958" xr:uid="{00000000-0005-0000-0000-000027A90000}"/>
    <cellStyle name="Normal 58 5 5 3 7 2" xfId="42511" xr:uid="{00000000-0005-0000-0000-000028A90000}"/>
    <cellStyle name="Normal 58 5 5 3 8" xfId="26973" xr:uid="{00000000-0005-0000-0000-000029A90000}"/>
    <cellStyle name="Normal 58 5 5 4" xfId="2821" xr:uid="{00000000-0005-0000-0000-00002AA90000}"/>
    <cellStyle name="Normal 58 5 5 4 2" xfId="5199" xr:uid="{00000000-0005-0000-0000-00002BA90000}"/>
    <cellStyle name="Normal 58 5 5 4 2 2" xfId="14036" xr:uid="{00000000-0005-0000-0000-00002CA90000}"/>
    <cellStyle name="Normal 58 5 5 4 2 2 2" xfId="24287" xr:uid="{00000000-0005-0000-0000-00002DA90000}"/>
    <cellStyle name="Normal 58 5 5 4 2 2 2 2" xfId="49840" xr:uid="{00000000-0005-0000-0000-00002EA90000}"/>
    <cellStyle name="Normal 58 5 5 4 2 2 3" xfId="39591" xr:uid="{00000000-0005-0000-0000-00002FA90000}"/>
    <cellStyle name="Normal 58 5 5 4 2 3" xfId="10457" xr:uid="{00000000-0005-0000-0000-000030A90000}"/>
    <cellStyle name="Normal 58 5 5 4 2 3 2" xfId="36014" xr:uid="{00000000-0005-0000-0000-000031A90000}"/>
    <cellStyle name="Normal 58 5 5 4 2 4" xfId="19280" xr:uid="{00000000-0005-0000-0000-000032A90000}"/>
    <cellStyle name="Normal 58 5 5 4 2 4 2" xfId="44833" xr:uid="{00000000-0005-0000-0000-000033A90000}"/>
    <cellStyle name="Normal 58 5 5 4 2 5" xfId="30770" xr:uid="{00000000-0005-0000-0000-000034A90000}"/>
    <cellStyle name="Normal 58 5 5 4 3" xfId="6654" xr:uid="{00000000-0005-0000-0000-000035A90000}"/>
    <cellStyle name="Normal 58 5 5 4 3 2" xfId="15481" xr:uid="{00000000-0005-0000-0000-000036A90000}"/>
    <cellStyle name="Normal 58 5 5 4 3 2 2" xfId="41036" xr:uid="{00000000-0005-0000-0000-000037A90000}"/>
    <cellStyle name="Normal 58 5 5 4 3 3" xfId="25732" xr:uid="{00000000-0005-0000-0000-000038A90000}"/>
    <cellStyle name="Normal 58 5 5 4 3 3 2" xfId="51285" xr:uid="{00000000-0005-0000-0000-000039A90000}"/>
    <cellStyle name="Normal 58 5 5 4 3 4" xfId="32215" xr:uid="{00000000-0005-0000-0000-00003AA90000}"/>
    <cellStyle name="Normal 58 5 5 4 4" xfId="8100" xr:uid="{00000000-0005-0000-0000-00003BA90000}"/>
    <cellStyle name="Normal 58 5 5 4 4 2" xfId="22182" xr:uid="{00000000-0005-0000-0000-00003CA90000}"/>
    <cellStyle name="Normal 58 5 5 4 4 2 2" xfId="47735" xr:uid="{00000000-0005-0000-0000-00003DA90000}"/>
    <cellStyle name="Normal 58 5 5 4 4 3" xfId="33657" xr:uid="{00000000-0005-0000-0000-00003EA90000}"/>
    <cellStyle name="Normal 58 5 5 4 5" xfId="17175" xr:uid="{00000000-0005-0000-0000-00003FA90000}"/>
    <cellStyle name="Normal 58 5 5 4 5 2" xfId="42728" xr:uid="{00000000-0005-0000-0000-000040A90000}"/>
    <cellStyle name="Normal 58 5 5 4 6" xfId="28665" xr:uid="{00000000-0005-0000-0000-000041A90000}"/>
    <cellStyle name="Normal 58 5 5 5" xfId="4153" xr:uid="{00000000-0005-0000-0000-000042A90000}"/>
    <cellStyle name="Normal 58 5 5 5 2" xfId="12991" xr:uid="{00000000-0005-0000-0000-000043A90000}"/>
    <cellStyle name="Normal 58 5 5 5 2 2" xfId="23242" xr:uid="{00000000-0005-0000-0000-000044A90000}"/>
    <cellStyle name="Normal 58 5 5 5 2 2 2" xfId="48795" xr:uid="{00000000-0005-0000-0000-000045A90000}"/>
    <cellStyle name="Normal 58 5 5 5 2 3" xfId="38546" xr:uid="{00000000-0005-0000-0000-000046A90000}"/>
    <cellStyle name="Normal 58 5 5 5 3" xfId="9412" xr:uid="{00000000-0005-0000-0000-000047A90000}"/>
    <cellStyle name="Normal 58 5 5 5 3 2" xfId="34969" xr:uid="{00000000-0005-0000-0000-000048A90000}"/>
    <cellStyle name="Normal 58 5 5 5 4" xfId="18235" xr:uid="{00000000-0005-0000-0000-000049A90000}"/>
    <cellStyle name="Normal 58 5 5 5 4 2" xfId="43788" xr:uid="{00000000-0005-0000-0000-00004AA90000}"/>
    <cellStyle name="Normal 58 5 5 5 5" xfId="29725" xr:uid="{00000000-0005-0000-0000-00004BA90000}"/>
    <cellStyle name="Normal 58 5 5 6" xfId="1930" xr:uid="{00000000-0005-0000-0000-00004CA90000}"/>
    <cellStyle name="Normal 58 5 5 6 2" xfId="11295" xr:uid="{00000000-0005-0000-0000-00004DA90000}"/>
    <cellStyle name="Normal 58 5 5 6 2 2" xfId="36850" xr:uid="{00000000-0005-0000-0000-00004EA90000}"/>
    <cellStyle name="Normal 58 5 5 6 3" xfId="21299" xr:uid="{00000000-0005-0000-0000-00004FA90000}"/>
    <cellStyle name="Normal 58 5 5 6 3 2" xfId="46852" xr:uid="{00000000-0005-0000-0000-000050A90000}"/>
    <cellStyle name="Normal 58 5 5 6 4" xfId="27782" xr:uid="{00000000-0005-0000-0000-000051A90000}"/>
    <cellStyle name="Normal 58 5 5 7" xfId="5611" xr:uid="{00000000-0005-0000-0000-000052A90000}"/>
    <cellStyle name="Normal 58 5 5 7 2" xfId="14438" xr:uid="{00000000-0005-0000-0000-000053A90000}"/>
    <cellStyle name="Normal 58 5 5 7 2 2" xfId="39993" xr:uid="{00000000-0005-0000-0000-000054A90000}"/>
    <cellStyle name="Normal 58 5 5 7 3" xfId="24689" xr:uid="{00000000-0005-0000-0000-000055A90000}"/>
    <cellStyle name="Normal 58 5 5 7 3 2" xfId="50242" xr:uid="{00000000-0005-0000-0000-000056A90000}"/>
    <cellStyle name="Normal 58 5 5 7 4" xfId="31172" xr:uid="{00000000-0005-0000-0000-000057A90000}"/>
    <cellStyle name="Normal 58 5 5 8" xfId="7055" xr:uid="{00000000-0005-0000-0000-000058A90000}"/>
    <cellStyle name="Normal 58 5 5 8 2" xfId="19781" xr:uid="{00000000-0005-0000-0000-000059A90000}"/>
    <cellStyle name="Normal 58 5 5 8 2 2" xfId="45334" xr:uid="{00000000-0005-0000-0000-00005AA90000}"/>
    <cellStyle name="Normal 58 5 5 8 3" xfId="32612" xr:uid="{00000000-0005-0000-0000-00005BA90000}"/>
    <cellStyle name="Normal 58 5 5 9" xfId="16292" xr:uid="{00000000-0005-0000-0000-00005CA90000}"/>
    <cellStyle name="Normal 58 5 5 9 2" xfId="41845" xr:uid="{00000000-0005-0000-0000-00005DA90000}"/>
    <cellStyle name="Normal 58 5 5_Degree data" xfId="4020" xr:uid="{00000000-0005-0000-0000-00005EA90000}"/>
    <cellStyle name="Normal 58 5 6" xfId="908" xr:uid="{00000000-0005-0000-0000-00005FA90000}"/>
    <cellStyle name="Normal 58 5 6 2" xfId="3393" xr:uid="{00000000-0005-0000-0000-000060A90000}"/>
    <cellStyle name="Normal 58 5 6 2 2" xfId="12535" xr:uid="{00000000-0005-0000-0000-000061A90000}"/>
    <cellStyle name="Normal 58 5 6 2 2 2" xfId="22754" xr:uid="{00000000-0005-0000-0000-000062A90000}"/>
    <cellStyle name="Normal 58 5 6 2 2 2 2" xfId="48307" xr:uid="{00000000-0005-0000-0000-000063A90000}"/>
    <cellStyle name="Normal 58 5 6 2 2 3" xfId="38090" xr:uid="{00000000-0005-0000-0000-000064A90000}"/>
    <cellStyle name="Normal 58 5 6 2 3" xfId="8957" xr:uid="{00000000-0005-0000-0000-000065A90000}"/>
    <cellStyle name="Normal 58 5 6 2 3 2" xfId="34514" xr:uid="{00000000-0005-0000-0000-000066A90000}"/>
    <cellStyle name="Normal 58 5 6 2 4" xfId="17747" xr:uid="{00000000-0005-0000-0000-000067A90000}"/>
    <cellStyle name="Normal 58 5 6 2 4 2" xfId="43300" xr:uid="{00000000-0005-0000-0000-000068A90000}"/>
    <cellStyle name="Normal 58 5 6 2 5" xfId="29237" xr:uid="{00000000-0005-0000-0000-000069A90000}"/>
    <cellStyle name="Normal 58 5 6 3" xfId="4722" xr:uid="{00000000-0005-0000-0000-00006AA90000}"/>
    <cellStyle name="Normal 58 5 6 3 2" xfId="13560" xr:uid="{00000000-0005-0000-0000-00006BA90000}"/>
    <cellStyle name="Normal 58 5 6 3 2 2" xfId="23811" xr:uid="{00000000-0005-0000-0000-00006CA90000}"/>
    <cellStyle name="Normal 58 5 6 3 2 2 2" xfId="49364" xr:uid="{00000000-0005-0000-0000-00006DA90000}"/>
    <cellStyle name="Normal 58 5 6 3 2 3" xfId="39115" xr:uid="{00000000-0005-0000-0000-00006EA90000}"/>
    <cellStyle name="Normal 58 5 6 3 3" xfId="9981" xr:uid="{00000000-0005-0000-0000-00006FA90000}"/>
    <cellStyle name="Normal 58 5 6 3 3 2" xfId="35538" xr:uid="{00000000-0005-0000-0000-000070A90000}"/>
    <cellStyle name="Normal 58 5 6 3 4" xfId="18804" xr:uid="{00000000-0005-0000-0000-000071A90000}"/>
    <cellStyle name="Normal 58 5 6 3 4 2" xfId="44357" xr:uid="{00000000-0005-0000-0000-000072A90000}"/>
    <cellStyle name="Normal 58 5 6 3 5" xfId="30294" xr:uid="{00000000-0005-0000-0000-000073A90000}"/>
    <cellStyle name="Normal 58 5 6 4" xfId="2502" xr:uid="{00000000-0005-0000-0000-000074A90000}"/>
    <cellStyle name="Normal 58 5 6 4 2" xfId="11867" xr:uid="{00000000-0005-0000-0000-000075A90000}"/>
    <cellStyle name="Normal 58 5 6 4 2 2" xfId="37422" xr:uid="{00000000-0005-0000-0000-000076A90000}"/>
    <cellStyle name="Normal 58 5 6 4 3" xfId="21871" xr:uid="{00000000-0005-0000-0000-000077A90000}"/>
    <cellStyle name="Normal 58 5 6 4 3 2" xfId="47424" xr:uid="{00000000-0005-0000-0000-000078A90000}"/>
    <cellStyle name="Normal 58 5 6 4 4" xfId="28354" xr:uid="{00000000-0005-0000-0000-000079A90000}"/>
    <cellStyle name="Normal 58 5 6 5" xfId="6178" xr:uid="{00000000-0005-0000-0000-00007AA90000}"/>
    <cellStyle name="Normal 58 5 6 5 2" xfId="15005" xr:uid="{00000000-0005-0000-0000-00007BA90000}"/>
    <cellStyle name="Normal 58 5 6 5 2 2" xfId="40560" xr:uid="{00000000-0005-0000-0000-00007CA90000}"/>
    <cellStyle name="Normal 58 5 6 5 3" xfId="25256" xr:uid="{00000000-0005-0000-0000-00007DA90000}"/>
    <cellStyle name="Normal 58 5 6 5 3 2" xfId="50809" xr:uid="{00000000-0005-0000-0000-00007EA90000}"/>
    <cellStyle name="Normal 58 5 6 5 4" xfId="31739" xr:uid="{00000000-0005-0000-0000-00007FA90000}"/>
    <cellStyle name="Normal 58 5 6 6" xfId="7623" xr:uid="{00000000-0005-0000-0000-000080A90000}"/>
    <cellStyle name="Normal 58 5 6 6 2" xfId="20353" xr:uid="{00000000-0005-0000-0000-000081A90000}"/>
    <cellStyle name="Normal 58 5 6 6 2 2" xfId="45906" xr:uid="{00000000-0005-0000-0000-000082A90000}"/>
    <cellStyle name="Normal 58 5 6 6 3" xfId="33180" xr:uid="{00000000-0005-0000-0000-000083A90000}"/>
    <cellStyle name="Normal 58 5 6 7" xfId="16864" xr:uid="{00000000-0005-0000-0000-000084A90000}"/>
    <cellStyle name="Normal 58 5 6 7 2" xfId="42417" xr:uid="{00000000-0005-0000-0000-000085A90000}"/>
    <cellStyle name="Normal 58 5 6 8" xfId="26836" xr:uid="{00000000-0005-0000-0000-000086A90000}"/>
    <cellStyle name="Normal 58 5 7" xfId="1062" xr:uid="{00000000-0005-0000-0000-000087A90000}"/>
    <cellStyle name="Normal 58 5 7 2" xfId="3491" xr:uid="{00000000-0005-0000-0000-000088A90000}"/>
    <cellStyle name="Normal 58 5 7 2 2" xfId="12627" xr:uid="{00000000-0005-0000-0000-000089A90000}"/>
    <cellStyle name="Normal 58 5 7 2 2 2" xfId="22846" xr:uid="{00000000-0005-0000-0000-00008AA90000}"/>
    <cellStyle name="Normal 58 5 7 2 2 2 2" xfId="48399" xr:uid="{00000000-0005-0000-0000-00008BA90000}"/>
    <cellStyle name="Normal 58 5 7 2 2 3" xfId="38182" xr:uid="{00000000-0005-0000-0000-00008CA90000}"/>
    <cellStyle name="Normal 58 5 7 2 3" xfId="9049" xr:uid="{00000000-0005-0000-0000-00008DA90000}"/>
    <cellStyle name="Normal 58 5 7 2 3 2" xfId="34606" xr:uid="{00000000-0005-0000-0000-00008EA90000}"/>
    <cellStyle name="Normal 58 5 7 2 4" xfId="17839" xr:uid="{00000000-0005-0000-0000-00008FA90000}"/>
    <cellStyle name="Normal 58 5 7 2 4 2" xfId="43392" xr:uid="{00000000-0005-0000-0000-000090A90000}"/>
    <cellStyle name="Normal 58 5 7 2 5" xfId="29329" xr:uid="{00000000-0005-0000-0000-000091A90000}"/>
    <cellStyle name="Normal 58 5 7 3" xfId="5071" xr:uid="{00000000-0005-0000-0000-000092A90000}"/>
    <cellStyle name="Normal 58 5 7 3 2" xfId="13908" xr:uid="{00000000-0005-0000-0000-000093A90000}"/>
    <cellStyle name="Normal 58 5 7 3 2 2" xfId="24159" xr:uid="{00000000-0005-0000-0000-000094A90000}"/>
    <cellStyle name="Normal 58 5 7 3 2 2 2" xfId="49712" xr:uid="{00000000-0005-0000-0000-000095A90000}"/>
    <cellStyle name="Normal 58 5 7 3 2 3" xfId="39463" xr:uid="{00000000-0005-0000-0000-000096A90000}"/>
    <cellStyle name="Normal 58 5 7 3 3" xfId="10329" xr:uid="{00000000-0005-0000-0000-000097A90000}"/>
    <cellStyle name="Normal 58 5 7 3 3 2" xfId="35886" xr:uid="{00000000-0005-0000-0000-000098A90000}"/>
    <cellStyle name="Normal 58 5 7 3 4" xfId="19152" xr:uid="{00000000-0005-0000-0000-000099A90000}"/>
    <cellStyle name="Normal 58 5 7 3 4 2" xfId="44705" xr:uid="{00000000-0005-0000-0000-00009AA90000}"/>
    <cellStyle name="Normal 58 5 7 3 5" xfId="30642" xr:uid="{00000000-0005-0000-0000-00009BA90000}"/>
    <cellStyle name="Normal 58 5 7 4" xfId="1764" xr:uid="{00000000-0005-0000-0000-00009CA90000}"/>
    <cellStyle name="Normal 58 5 7 4 2" xfId="11135" xr:uid="{00000000-0005-0000-0000-00009DA90000}"/>
    <cellStyle name="Normal 58 5 7 4 2 2" xfId="36690" xr:uid="{00000000-0005-0000-0000-00009EA90000}"/>
    <cellStyle name="Normal 58 5 7 4 3" xfId="21139" xr:uid="{00000000-0005-0000-0000-00009FA90000}"/>
    <cellStyle name="Normal 58 5 7 4 3 2" xfId="46692" xr:uid="{00000000-0005-0000-0000-0000A0A90000}"/>
    <cellStyle name="Normal 58 5 7 4 4" xfId="27622" xr:uid="{00000000-0005-0000-0000-0000A1A90000}"/>
    <cellStyle name="Normal 58 5 7 5" xfId="6526" xr:uid="{00000000-0005-0000-0000-0000A2A90000}"/>
    <cellStyle name="Normal 58 5 7 5 2" xfId="15353" xr:uid="{00000000-0005-0000-0000-0000A3A90000}"/>
    <cellStyle name="Normal 58 5 7 5 2 2" xfId="40908" xr:uid="{00000000-0005-0000-0000-0000A4A90000}"/>
    <cellStyle name="Normal 58 5 7 5 3" xfId="25604" xr:uid="{00000000-0005-0000-0000-0000A5A90000}"/>
    <cellStyle name="Normal 58 5 7 5 3 2" xfId="51157" xr:uid="{00000000-0005-0000-0000-0000A6A90000}"/>
    <cellStyle name="Normal 58 5 7 5 4" xfId="32087" xr:uid="{00000000-0005-0000-0000-0000A7A90000}"/>
    <cellStyle name="Normal 58 5 7 6" xfId="7972" xr:uid="{00000000-0005-0000-0000-0000A8A90000}"/>
    <cellStyle name="Normal 58 5 7 6 2" xfId="20445" xr:uid="{00000000-0005-0000-0000-0000A9A90000}"/>
    <cellStyle name="Normal 58 5 7 6 2 2" xfId="45998" xr:uid="{00000000-0005-0000-0000-0000AAA90000}"/>
    <cellStyle name="Normal 58 5 7 6 3" xfId="33529" xr:uid="{00000000-0005-0000-0000-0000ABA90000}"/>
    <cellStyle name="Normal 58 5 7 7" xfId="16132" xr:uid="{00000000-0005-0000-0000-0000ACA90000}"/>
    <cellStyle name="Normal 58 5 7 7 2" xfId="41685" xr:uid="{00000000-0005-0000-0000-0000ADA90000}"/>
    <cellStyle name="Normal 58 5 7 8" xfId="26928" xr:uid="{00000000-0005-0000-0000-0000AEA90000}"/>
    <cellStyle name="Normal 58 5 8" xfId="2661" xr:uid="{00000000-0005-0000-0000-0000AFA90000}"/>
    <cellStyle name="Normal 58 5 8 2" xfId="5154" xr:uid="{00000000-0005-0000-0000-0000B0A90000}"/>
    <cellStyle name="Normal 58 5 8 2 2" xfId="13991" xr:uid="{00000000-0005-0000-0000-0000B1A90000}"/>
    <cellStyle name="Normal 58 5 8 2 2 2" xfId="24242" xr:uid="{00000000-0005-0000-0000-0000B2A90000}"/>
    <cellStyle name="Normal 58 5 8 2 2 2 2" xfId="49795" xr:uid="{00000000-0005-0000-0000-0000B3A90000}"/>
    <cellStyle name="Normal 58 5 8 2 2 3" xfId="39546" xr:uid="{00000000-0005-0000-0000-0000B4A90000}"/>
    <cellStyle name="Normal 58 5 8 2 3" xfId="10412" xr:uid="{00000000-0005-0000-0000-0000B5A90000}"/>
    <cellStyle name="Normal 58 5 8 2 3 2" xfId="35969" xr:uid="{00000000-0005-0000-0000-0000B6A90000}"/>
    <cellStyle name="Normal 58 5 8 2 4" xfId="19235" xr:uid="{00000000-0005-0000-0000-0000B7A90000}"/>
    <cellStyle name="Normal 58 5 8 2 4 2" xfId="44788" xr:uid="{00000000-0005-0000-0000-0000B8A90000}"/>
    <cellStyle name="Normal 58 5 8 2 5" xfId="30725" xr:uid="{00000000-0005-0000-0000-0000B9A90000}"/>
    <cellStyle name="Normal 58 5 8 3" xfId="6609" xr:uid="{00000000-0005-0000-0000-0000BAA90000}"/>
    <cellStyle name="Normal 58 5 8 3 2" xfId="15436" xr:uid="{00000000-0005-0000-0000-0000BBA90000}"/>
    <cellStyle name="Normal 58 5 8 3 2 2" xfId="40991" xr:uid="{00000000-0005-0000-0000-0000BCA90000}"/>
    <cellStyle name="Normal 58 5 8 3 3" xfId="25687" xr:uid="{00000000-0005-0000-0000-0000BDA90000}"/>
    <cellStyle name="Normal 58 5 8 3 3 2" xfId="51240" xr:uid="{00000000-0005-0000-0000-0000BEA90000}"/>
    <cellStyle name="Normal 58 5 8 3 4" xfId="32170" xr:uid="{00000000-0005-0000-0000-0000BFA90000}"/>
    <cellStyle name="Normal 58 5 8 4" xfId="8055" xr:uid="{00000000-0005-0000-0000-0000C0A90000}"/>
    <cellStyle name="Normal 58 5 8 4 2" xfId="22022" xr:uid="{00000000-0005-0000-0000-0000C1A90000}"/>
    <cellStyle name="Normal 58 5 8 4 2 2" xfId="47575" xr:uid="{00000000-0005-0000-0000-0000C2A90000}"/>
    <cellStyle name="Normal 58 5 8 4 3" xfId="33612" xr:uid="{00000000-0005-0000-0000-0000C3A90000}"/>
    <cellStyle name="Normal 58 5 8 5" xfId="17015" xr:uid="{00000000-0005-0000-0000-0000C4A90000}"/>
    <cellStyle name="Normal 58 5 8 5 2" xfId="42568" xr:uid="{00000000-0005-0000-0000-0000C5A90000}"/>
    <cellStyle name="Normal 58 5 8 6" xfId="28505" xr:uid="{00000000-0005-0000-0000-0000C6A90000}"/>
    <cellStyle name="Normal 58 5 9" xfId="4108" xr:uid="{00000000-0005-0000-0000-0000C7A90000}"/>
    <cellStyle name="Normal 58 5 9 2" xfId="5566" xr:uid="{00000000-0005-0000-0000-0000C8A90000}"/>
    <cellStyle name="Normal 58 5 9 2 2" xfId="14393" xr:uid="{00000000-0005-0000-0000-0000C9A90000}"/>
    <cellStyle name="Normal 58 5 9 2 2 2" xfId="39948" xr:uid="{00000000-0005-0000-0000-0000CAA90000}"/>
    <cellStyle name="Normal 58 5 9 2 3" xfId="24644" xr:uid="{00000000-0005-0000-0000-0000CBA90000}"/>
    <cellStyle name="Normal 58 5 9 2 3 2" xfId="50197" xr:uid="{00000000-0005-0000-0000-0000CCA90000}"/>
    <cellStyle name="Normal 58 5 9 2 4" xfId="31127" xr:uid="{00000000-0005-0000-0000-0000CDA90000}"/>
    <cellStyle name="Normal 58 5 9 3" xfId="7010" xr:uid="{00000000-0005-0000-0000-0000CEA90000}"/>
    <cellStyle name="Normal 58 5 9 3 2" xfId="23197" xr:uid="{00000000-0005-0000-0000-0000CFA90000}"/>
    <cellStyle name="Normal 58 5 9 3 2 2" xfId="48750" xr:uid="{00000000-0005-0000-0000-0000D0A90000}"/>
    <cellStyle name="Normal 58 5 9 3 3" xfId="32567" xr:uid="{00000000-0005-0000-0000-0000D1A90000}"/>
    <cellStyle name="Normal 58 5 9 4" xfId="18190" xr:uid="{00000000-0005-0000-0000-0000D2A90000}"/>
    <cellStyle name="Normal 58 5 9 4 2" xfId="43743" xr:uid="{00000000-0005-0000-0000-0000D3A90000}"/>
    <cellStyle name="Normal 58 5 9 5" xfId="29680" xr:uid="{00000000-0005-0000-0000-0000D4A90000}"/>
    <cellStyle name="Normal 58 5_Degree data" xfId="4014" xr:uid="{00000000-0005-0000-0000-0000D5A90000}"/>
    <cellStyle name="Normal 58 6" xfId="137" xr:uid="{00000000-0005-0000-0000-0000D6A90000}"/>
    <cellStyle name="Normal 58 6 10" xfId="1405" xr:uid="{00000000-0005-0000-0000-0000D7A90000}"/>
    <cellStyle name="Normal 58 6 10 2" xfId="10782" xr:uid="{00000000-0005-0000-0000-0000D8A90000}"/>
    <cellStyle name="Normal 58 6 10 2 2" xfId="36337" xr:uid="{00000000-0005-0000-0000-0000D9A90000}"/>
    <cellStyle name="Normal 58 6 10 3" xfId="20786" xr:uid="{00000000-0005-0000-0000-0000DAA90000}"/>
    <cellStyle name="Normal 58 6 10 3 2" xfId="46339" xr:uid="{00000000-0005-0000-0000-0000DBA90000}"/>
    <cellStyle name="Normal 58 6 10 4" xfId="27269" xr:uid="{00000000-0005-0000-0000-0000DCA90000}"/>
    <cellStyle name="Normal 58 6 11" xfId="5516" xr:uid="{00000000-0005-0000-0000-0000DDA90000}"/>
    <cellStyle name="Normal 58 6 11 2" xfId="14343" xr:uid="{00000000-0005-0000-0000-0000DEA90000}"/>
    <cellStyle name="Normal 58 6 11 2 2" xfId="39898" xr:uid="{00000000-0005-0000-0000-0000DFA90000}"/>
    <cellStyle name="Normal 58 6 11 3" xfId="24594" xr:uid="{00000000-0005-0000-0000-0000E0A90000}"/>
    <cellStyle name="Normal 58 6 11 3 2" xfId="50147" xr:uid="{00000000-0005-0000-0000-0000E1A90000}"/>
    <cellStyle name="Normal 58 6 11 4" xfId="31077" xr:uid="{00000000-0005-0000-0000-0000E2A90000}"/>
    <cellStyle name="Normal 58 6 12" xfId="6956" xr:uid="{00000000-0005-0000-0000-0000E3A90000}"/>
    <cellStyle name="Normal 58 6 12 2" xfId="19601" xr:uid="{00000000-0005-0000-0000-0000E4A90000}"/>
    <cellStyle name="Normal 58 6 12 2 2" xfId="45154" xr:uid="{00000000-0005-0000-0000-0000E5A90000}"/>
    <cellStyle name="Normal 58 6 12 3" xfId="32514" xr:uid="{00000000-0005-0000-0000-0000E6A90000}"/>
    <cellStyle name="Normal 58 6 13" xfId="15779" xr:uid="{00000000-0005-0000-0000-0000E7A90000}"/>
    <cellStyle name="Normal 58 6 13 2" xfId="41332" xr:uid="{00000000-0005-0000-0000-0000E8A90000}"/>
    <cellStyle name="Normal 58 6 14" xfId="26084" xr:uid="{00000000-0005-0000-0000-0000E9A90000}"/>
    <cellStyle name="Normal 58 6 2" xfId="187" xr:uid="{00000000-0005-0000-0000-0000EAA90000}"/>
    <cellStyle name="Normal 58 6 2 10" xfId="7135" xr:uid="{00000000-0005-0000-0000-0000EBA90000}"/>
    <cellStyle name="Normal 58 6 2 10 2" xfId="19644" xr:uid="{00000000-0005-0000-0000-0000ECA90000}"/>
    <cellStyle name="Normal 58 6 2 10 2 2" xfId="45197" xr:uid="{00000000-0005-0000-0000-0000EDA90000}"/>
    <cellStyle name="Normal 58 6 2 10 3" xfId="32692" xr:uid="{00000000-0005-0000-0000-0000EEA90000}"/>
    <cellStyle name="Normal 58 6 2 11" xfId="15881" xr:uid="{00000000-0005-0000-0000-0000EFA90000}"/>
    <cellStyle name="Normal 58 6 2 11 2" xfId="41434" xr:uid="{00000000-0005-0000-0000-0000F0A90000}"/>
    <cellStyle name="Normal 58 6 2 12" xfId="26127" xr:uid="{00000000-0005-0000-0000-0000F1A90000}"/>
    <cellStyle name="Normal 58 6 2 2" xfId="515" xr:uid="{00000000-0005-0000-0000-0000F2A90000}"/>
    <cellStyle name="Normal 58 6 2 2 10" xfId="26444" xr:uid="{00000000-0005-0000-0000-0000F3A90000}"/>
    <cellStyle name="Normal 58 6 2 2 2" xfId="917" xr:uid="{00000000-0005-0000-0000-0000F4A90000}"/>
    <cellStyle name="Normal 58 6 2 2 2 2" xfId="3402" xr:uid="{00000000-0005-0000-0000-0000F5A90000}"/>
    <cellStyle name="Normal 58 6 2 2 2 2 2" xfId="12544" xr:uid="{00000000-0005-0000-0000-0000F6A90000}"/>
    <cellStyle name="Normal 58 6 2 2 2 2 2 2" xfId="22763" xr:uid="{00000000-0005-0000-0000-0000F7A90000}"/>
    <cellStyle name="Normal 58 6 2 2 2 2 2 2 2" xfId="48316" xr:uid="{00000000-0005-0000-0000-0000F8A90000}"/>
    <cellStyle name="Normal 58 6 2 2 2 2 2 3" xfId="38099" xr:uid="{00000000-0005-0000-0000-0000F9A90000}"/>
    <cellStyle name="Normal 58 6 2 2 2 2 3" xfId="8966" xr:uid="{00000000-0005-0000-0000-0000FAA90000}"/>
    <cellStyle name="Normal 58 6 2 2 2 2 3 2" xfId="34523" xr:uid="{00000000-0005-0000-0000-0000FBA90000}"/>
    <cellStyle name="Normal 58 6 2 2 2 2 4" xfId="17756" xr:uid="{00000000-0005-0000-0000-0000FCA90000}"/>
    <cellStyle name="Normal 58 6 2 2 2 2 4 2" xfId="43309" xr:uid="{00000000-0005-0000-0000-0000FDA90000}"/>
    <cellStyle name="Normal 58 6 2 2 2 2 5" xfId="29246" xr:uid="{00000000-0005-0000-0000-0000FEA90000}"/>
    <cellStyle name="Normal 58 6 2 2 2 3" xfId="4731" xr:uid="{00000000-0005-0000-0000-0000FFA90000}"/>
    <cellStyle name="Normal 58 6 2 2 2 3 2" xfId="13569" xr:uid="{00000000-0005-0000-0000-000000AA0000}"/>
    <cellStyle name="Normal 58 6 2 2 2 3 2 2" xfId="23820" xr:uid="{00000000-0005-0000-0000-000001AA0000}"/>
    <cellStyle name="Normal 58 6 2 2 2 3 2 2 2" xfId="49373" xr:uid="{00000000-0005-0000-0000-000002AA0000}"/>
    <cellStyle name="Normal 58 6 2 2 2 3 2 3" xfId="39124" xr:uid="{00000000-0005-0000-0000-000003AA0000}"/>
    <cellStyle name="Normal 58 6 2 2 2 3 3" xfId="9990" xr:uid="{00000000-0005-0000-0000-000004AA0000}"/>
    <cellStyle name="Normal 58 6 2 2 2 3 3 2" xfId="35547" xr:uid="{00000000-0005-0000-0000-000005AA0000}"/>
    <cellStyle name="Normal 58 6 2 2 2 3 4" xfId="18813" xr:uid="{00000000-0005-0000-0000-000006AA0000}"/>
    <cellStyle name="Normal 58 6 2 2 2 3 4 2" xfId="44366" xr:uid="{00000000-0005-0000-0000-000007AA0000}"/>
    <cellStyle name="Normal 58 6 2 2 2 3 5" xfId="30303" xr:uid="{00000000-0005-0000-0000-000008AA0000}"/>
    <cellStyle name="Normal 58 6 2 2 2 4" xfId="2511" xr:uid="{00000000-0005-0000-0000-000009AA0000}"/>
    <cellStyle name="Normal 58 6 2 2 2 4 2" xfId="11876" xr:uid="{00000000-0005-0000-0000-00000AAA0000}"/>
    <cellStyle name="Normal 58 6 2 2 2 4 2 2" xfId="37431" xr:uid="{00000000-0005-0000-0000-00000BAA0000}"/>
    <cellStyle name="Normal 58 6 2 2 2 4 3" xfId="21880" xr:uid="{00000000-0005-0000-0000-00000CAA0000}"/>
    <cellStyle name="Normal 58 6 2 2 2 4 3 2" xfId="47433" xr:uid="{00000000-0005-0000-0000-00000DAA0000}"/>
    <cellStyle name="Normal 58 6 2 2 2 4 4" xfId="28363" xr:uid="{00000000-0005-0000-0000-00000EAA0000}"/>
    <cellStyle name="Normal 58 6 2 2 2 5" xfId="6187" xr:uid="{00000000-0005-0000-0000-00000FAA0000}"/>
    <cellStyle name="Normal 58 6 2 2 2 5 2" xfId="15014" xr:uid="{00000000-0005-0000-0000-000010AA0000}"/>
    <cellStyle name="Normal 58 6 2 2 2 5 2 2" xfId="40569" xr:uid="{00000000-0005-0000-0000-000011AA0000}"/>
    <cellStyle name="Normal 58 6 2 2 2 5 3" xfId="25265" xr:uid="{00000000-0005-0000-0000-000012AA0000}"/>
    <cellStyle name="Normal 58 6 2 2 2 5 3 2" xfId="50818" xr:uid="{00000000-0005-0000-0000-000013AA0000}"/>
    <cellStyle name="Normal 58 6 2 2 2 5 4" xfId="31748" xr:uid="{00000000-0005-0000-0000-000014AA0000}"/>
    <cellStyle name="Normal 58 6 2 2 2 6" xfId="7632" xr:uid="{00000000-0005-0000-0000-000015AA0000}"/>
    <cellStyle name="Normal 58 6 2 2 2 6 2" xfId="20362" xr:uid="{00000000-0005-0000-0000-000016AA0000}"/>
    <cellStyle name="Normal 58 6 2 2 2 6 2 2" xfId="45915" xr:uid="{00000000-0005-0000-0000-000017AA0000}"/>
    <cellStyle name="Normal 58 6 2 2 2 6 3" xfId="33189" xr:uid="{00000000-0005-0000-0000-000018AA0000}"/>
    <cellStyle name="Normal 58 6 2 2 2 7" xfId="16873" xr:uid="{00000000-0005-0000-0000-000019AA0000}"/>
    <cellStyle name="Normal 58 6 2 2 2 7 2" xfId="42426" xr:uid="{00000000-0005-0000-0000-00001AAA0000}"/>
    <cellStyle name="Normal 58 6 2 2 2 8" xfId="26845" xr:uid="{00000000-0005-0000-0000-00001BAA0000}"/>
    <cellStyle name="Normal 58 6 2 2 3" xfId="1287" xr:uid="{00000000-0005-0000-0000-00001CAA0000}"/>
    <cellStyle name="Normal 58 6 2 2 3 2" xfId="3716" xr:uid="{00000000-0005-0000-0000-00001DAA0000}"/>
    <cellStyle name="Normal 58 6 2 2 3 2 2" xfId="12852" xr:uid="{00000000-0005-0000-0000-00001EAA0000}"/>
    <cellStyle name="Normal 58 6 2 2 3 2 2 2" xfId="23071" xr:uid="{00000000-0005-0000-0000-00001FAA0000}"/>
    <cellStyle name="Normal 58 6 2 2 3 2 2 2 2" xfId="48624" xr:uid="{00000000-0005-0000-0000-000020AA0000}"/>
    <cellStyle name="Normal 58 6 2 2 3 2 2 3" xfId="38407" xr:uid="{00000000-0005-0000-0000-000021AA0000}"/>
    <cellStyle name="Normal 58 6 2 2 3 2 3" xfId="9273" xr:uid="{00000000-0005-0000-0000-000022AA0000}"/>
    <cellStyle name="Normal 58 6 2 2 3 2 3 2" xfId="34830" xr:uid="{00000000-0005-0000-0000-000023AA0000}"/>
    <cellStyle name="Normal 58 6 2 2 3 2 4" xfId="18064" xr:uid="{00000000-0005-0000-0000-000024AA0000}"/>
    <cellStyle name="Normal 58 6 2 2 3 2 4 2" xfId="43617" xr:uid="{00000000-0005-0000-0000-000025AA0000}"/>
    <cellStyle name="Normal 58 6 2 2 3 2 5" xfId="29554" xr:uid="{00000000-0005-0000-0000-000026AA0000}"/>
    <cellStyle name="Normal 58 6 2 2 3 3" xfId="5080" xr:uid="{00000000-0005-0000-0000-000027AA0000}"/>
    <cellStyle name="Normal 58 6 2 2 3 3 2" xfId="13917" xr:uid="{00000000-0005-0000-0000-000028AA0000}"/>
    <cellStyle name="Normal 58 6 2 2 3 3 2 2" xfId="24168" xr:uid="{00000000-0005-0000-0000-000029AA0000}"/>
    <cellStyle name="Normal 58 6 2 2 3 3 2 2 2" xfId="49721" xr:uid="{00000000-0005-0000-0000-00002AAA0000}"/>
    <cellStyle name="Normal 58 6 2 2 3 3 2 3" xfId="39472" xr:uid="{00000000-0005-0000-0000-00002BAA0000}"/>
    <cellStyle name="Normal 58 6 2 2 3 3 3" xfId="10338" xr:uid="{00000000-0005-0000-0000-00002CAA0000}"/>
    <cellStyle name="Normal 58 6 2 2 3 3 3 2" xfId="35895" xr:uid="{00000000-0005-0000-0000-00002DAA0000}"/>
    <cellStyle name="Normal 58 6 2 2 3 3 4" xfId="19161" xr:uid="{00000000-0005-0000-0000-00002EAA0000}"/>
    <cellStyle name="Normal 58 6 2 2 3 3 4 2" xfId="44714" xr:uid="{00000000-0005-0000-0000-00002FAA0000}"/>
    <cellStyle name="Normal 58 6 2 2 3 3 5" xfId="30651" xr:uid="{00000000-0005-0000-0000-000030AA0000}"/>
    <cellStyle name="Normal 58 6 2 2 3 4" xfId="2110" xr:uid="{00000000-0005-0000-0000-000031AA0000}"/>
    <cellStyle name="Normal 58 6 2 2 3 4 2" xfId="11475" xr:uid="{00000000-0005-0000-0000-000032AA0000}"/>
    <cellStyle name="Normal 58 6 2 2 3 4 2 2" xfId="37030" xr:uid="{00000000-0005-0000-0000-000033AA0000}"/>
    <cellStyle name="Normal 58 6 2 2 3 4 3" xfId="21479" xr:uid="{00000000-0005-0000-0000-000034AA0000}"/>
    <cellStyle name="Normal 58 6 2 2 3 4 3 2" xfId="47032" xr:uid="{00000000-0005-0000-0000-000035AA0000}"/>
    <cellStyle name="Normal 58 6 2 2 3 4 4" xfId="27962" xr:uid="{00000000-0005-0000-0000-000036AA0000}"/>
    <cellStyle name="Normal 58 6 2 2 3 5" xfId="6535" xr:uid="{00000000-0005-0000-0000-000037AA0000}"/>
    <cellStyle name="Normal 58 6 2 2 3 5 2" xfId="15362" xr:uid="{00000000-0005-0000-0000-000038AA0000}"/>
    <cellStyle name="Normal 58 6 2 2 3 5 2 2" xfId="40917" xr:uid="{00000000-0005-0000-0000-000039AA0000}"/>
    <cellStyle name="Normal 58 6 2 2 3 5 3" xfId="25613" xr:uid="{00000000-0005-0000-0000-00003AAA0000}"/>
    <cellStyle name="Normal 58 6 2 2 3 5 3 2" xfId="51166" xr:uid="{00000000-0005-0000-0000-00003BAA0000}"/>
    <cellStyle name="Normal 58 6 2 2 3 5 4" xfId="32096" xr:uid="{00000000-0005-0000-0000-00003CAA0000}"/>
    <cellStyle name="Normal 58 6 2 2 3 6" xfId="7981" xr:uid="{00000000-0005-0000-0000-00003DAA0000}"/>
    <cellStyle name="Normal 58 6 2 2 3 6 2" xfId="20670" xr:uid="{00000000-0005-0000-0000-00003EAA0000}"/>
    <cellStyle name="Normal 58 6 2 2 3 6 2 2" xfId="46223" xr:uid="{00000000-0005-0000-0000-00003FAA0000}"/>
    <cellStyle name="Normal 58 6 2 2 3 6 3" xfId="33538" xr:uid="{00000000-0005-0000-0000-000040AA0000}"/>
    <cellStyle name="Normal 58 6 2 2 3 7" xfId="16472" xr:uid="{00000000-0005-0000-0000-000041AA0000}"/>
    <cellStyle name="Normal 58 6 2 2 3 7 2" xfId="42025" xr:uid="{00000000-0005-0000-0000-000042AA0000}"/>
    <cellStyle name="Normal 58 6 2 2 3 8" xfId="27153" xr:uid="{00000000-0005-0000-0000-000043AA0000}"/>
    <cellStyle name="Normal 58 6 2 2 4" xfId="3001" xr:uid="{00000000-0005-0000-0000-000044AA0000}"/>
    <cellStyle name="Normal 58 6 2 2 4 2" xfId="5379" xr:uid="{00000000-0005-0000-0000-000045AA0000}"/>
    <cellStyle name="Normal 58 6 2 2 4 2 2" xfId="14216" xr:uid="{00000000-0005-0000-0000-000046AA0000}"/>
    <cellStyle name="Normal 58 6 2 2 4 2 2 2" xfId="24467" xr:uid="{00000000-0005-0000-0000-000047AA0000}"/>
    <cellStyle name="Normal 58 6 2 2 4 2 2 2 2" xfId="50020" xr:uid="{00000000-0005-0000-0000-000048AA0000}"/>
    <cellStyle name="Normal 58 6 2 2 4 2 2 3" xfId="39771" xr:uid="{00000000-0005-0000-0000-000049AA0000}"/>
    <cellStyle name="Normal 58 6 2 2 4 2 3" xfId="10637" xr:uid="{00000000-0005-0000-0000-00004AAA0000}"/>
    <cellStyle name="Normal 58 6 2 2 4 2 3 2" xfId="36194" xr:uid="{00000000-0005-0000-0000-00004BAA0000}"/>
    <cellStyle name="Normal 58 6 2 2 4 2 4" xfId="19460" xr:uid="{00000000-0005-0000-0000-00004CAA0000}"/>
    <cellStyle name="Normal 58 6 2 2 4 2 4 2" xfId="45013" xr:uid="{00000000-0005-0000-0000-00004DAA0000}"/>
    <cellStyle name="Normal 58 6 2 2 4 2 5" xfId="30950" xr:uid="{00000000-0005-0000-0000-00004EAA0000}"/>
    <cellStyle name="Normal 58 6 2 2 4 3" xfId="6834" xr:uid="{00000000-0005-0000-0000-00004FAA0000}"/>
    <cellStyle name="Normal 58 6 2 2 4 3 2" xfId="15661" xr:uid="{00000000-0005-0000-0000-000050AA0000}"/>
    <cellStyle name="Normal 58 6 2 2 4 3 2 2" xfId="41216" xr:uid="{00000000-0005-0000-0000-000051AA0000}"/>
    <cellStyle name="Normal 58 6 2 2 4 3 3" xfId="25912" xr:uid="{00000000-0005-0000-0000-000052AA0000}"/>
    <cellStyle name="Normal 58 6 2 2 4 3 3 2" xfId="51465" xr:uid="{00000000-0005-0000-0000-000053AA0000}"/>
    <cellStyle name="Normal 58 6 2 2 4 3 4" xfId="32395" xr:uid="{00000000-0005-0000-0000-000054AA0000}"/>
    <cellStyle name="Normal 58 6 2 2 4 4" xfId="8280" xr:uid="{00000000-0005-0000-0000-000055AA0000}"/>
    <cellStyle name="Normal 58 6 2 2 4 4 2" xfId="22362" xr:uid="{00000000-0005-0000-0000-000056AA0000}"/>
    <cellStyle name="Normal 58 6 2 2 4 4 2 2" xfId="47915" xr:uid="{00000000-0005-0000-0000-000057AA0000}"/>
    <cellStyle name="Normal 58 6 2 2 4 4 3" xfId="33837" xr:uid="{00000000-0005-0000-0000-000058AA0000}"/>
    <cellStyle name="Normal 58 6 2 2 4 5" xfId="17355" xr:uid="{00000000-0005-0000-0000-000059AA0000}"/>
    <cellStyle name="Normal 58 6 2 2 4 5 2" xfId="42908" xr:uid="{00000000-0005-0000-0000-00005AAA0000}"/>
    <cellStyle name="Normal 58 6 2 2 4 6" xfId="28845" xr:uid="{00000000-0005-0000-0000-00005BAA0000}"/>
    <cellStyle name="Normal 58 6 2 2 5" xfId="4335" xr:uid="{00000000-0005-0000-0000-00005CAA0000}"/>
    <cellStyle name="Normal 58 6 2 2 5 2" xfId="13173" xr:uid="{00000000-0005-0000-0000-00005DAA0000}"/>
    <cellStyle name="Normal 58 6 2 2 5 2 2" xfId="23424" xr:uid="{00000000-0005-0000-0000-00005EAA0000}"/>
    <cellStyle name="Normal 58 6 2 2 5 2 2 2" xfId="48977" xr:uid="{00000000-0005-0000-0000-00005FAA0000}"/>
    <cellStyle name="Normal 58 6 2 2 5 2 3" xfId="38728" xr:uid="{00000000-0005-0000-0000-000060AA0000}"/>
    <cellStyle name="Normal 58 6 2 2 5 3" xfId="9594" xr:uid="{00000000-0005-0000-0000-000061AA0000}"/>
    <cellStyle name="Normal 58 6 2 2 5 3 2" xfId="35151" xr:uid="{00000000-0005-0000-0000-000062AA0000}"/>
    <cellStyle name="Normal 58 6 2 2 5 4" xfId="18417" xr:uid="{00000000-0005-0000-0000-000063AA0000}"/>
    <cellStyle name="Normal 58 6 2 2 5 4 2" xfId="43970" xr:uid="{00000000-0005-0000-0000-000064AA0000}"/>
    <cellStyle name="Normal 58 6 2 2 5 5" xfId="29907" xr:uid="{00000000-0005-0000-0000-000065AA0000}"/>
    <cellStyle name="Normal 58 6 2 2 6" xfId="1607" xr:uid="{00000000-0005-0000-0000-000066AA0000}"/>
    <cellStyle name="Normal 58 6 2 2 6 2" xfId="10984" xr:uid="{00000000-0005-0000-0000-000067AA0000}"/>
    <cellStyle name="Normal 58 6 2 2 6 2 2" xfId="36539" xr:uid="{00000000-0005-0000-0000-000068AA0000}"/>
    <cellStyle name="Normal 58 6 2 2 6 3" xfId="20988" xr:uid="{00000000-0005-0000-0000-000069AA0000}"/>
    <cellStyle name="Normal 58 6 2 2 6 3 2" xfId="46541" xr:uid="{00000000-0005-0000-0000-00006AAA0000}"/>
    <cellStyle name="Normal 58 6 2 2 6 4" xfId="27471" xr:uid="{00000000-0005-0000-0000-00006BAA0000}"/>
    <cellStyle name="Normal 58 6 2 2 7" xfId="5791" xr:uid="{00000000-0005-0000-0000-00006CAA0000}"/>
    <cellStyle name="Normal 58 6 2 2 7 2" xfId="14618" xr:uid="{00000000-0005-0000-0000-00006DAA0000}"/>
    <cellStyle name="Normal 58 6 2 2 7 2 2" xfId="40173" xr:uid="{00000000-0005-0000-0000-00006EAA0000}"/>
    <cellStyle name="Normal 58 6 2 2 7 3" xfId="24869" xr:uid="{00000000-0005-0000-0000-00006FAA0000}"/>
    <cellStyle name="Normal 58 6 2 2 7 3 2" xfId="50422" xr:uid="{00000000-0005-0000-0000-000070AA0000}"/>
    <cellStyle name="Normal 58 6 2 2 7 4" xfId="31352" xr:uid="{00000000-0005-0000-0000-000071AA0000}"/>
    <cellStyle name="Normal 58 6 2 2 8" xfId="7235" xr:uid="{00000000-0005-0000-0000-000072AA0000}"/>
    <cellStyle name="Normal 58 6 2 2 8 2" xfId="19961" xr:uid="{00000000-0005-0000-0000-000073AA0000}"/>
    <cellStyle name="Normal 58 6 2 2 8 2 2" xfId="45514" xr:uid="{00000000-0005-0000-0000-000074AA0000}"/>
    <cellStyle name="Normal 58 6 2 2 8 3" xfId="32792" xr:uid="{00000000-0005-0000-0000-000075AA0000}"/>
    <cellStyle name="Normal 58 6 2 2 9" xfId="15981" xr:uid="{00000000-0005-0000-0000-000076AA0000}"/>
    <cellStyle name="Normal 58 6 2 2 9 2" xfId="41534" xr:uid="{00000000-0005-0000-0000-000077AA0000}"/>
    <cellStyle name="Normal 58 6 2 2_Degree data" xfId="4023" xr:uid="{00000000-0005-0000-0000-000078AA0000}"/>
    <cellStyle name="Normal 58 6 2 3" xfId="415" xr:uid="{00000000-0005-0000-0000-000079AA0000}"/>
    <cellStyle name="Normal 58 6 2 3 2" xfId="2901" xr:uid="{00000000-0005-0000-0000-00007AAA0000}"/>
    <cellStyle name="Normal 58 6 2 3 2 2" xfId="12189" xr:uid="{00000000-0005-0000-0000-00007BAA0000}"/>
    <cellStyle name="Normal 58 6 2 3 2 2 2" xfId="22262" xr:uid="{00000000-0005-0000-0000-00007CAA0000}"/>
    <cellStyle name="Normal 58 6 2 3 2 2 2 2" xfId="47815" xr:uid="{00000000-0005-0000-0000-00007DAA0000}"/>
    <cellStyle name="Normal 58 6 2 3 2 2 3" xfId="37744" xr:uid="{00000000-0005-0000-0000-00007EAA0000}"/>
    <cellStyle name="Normal 58 6 2 3 2 3" xfId="8449" xr:uid="{00000000-0005-0000-0000-00007FAA0000}"/>
    <cellStyle name="Normal 58 6 2 3 2 3 2" xfId="34006" xr:uid="{00000000-0005-0000-0000-000080AA0000}"/>
    <cellStyle name="Normal 58 6 2 3 2 4" xfId="17255" xr:uid="{00000000-0005-0000-0000-000081AA0000}"/>
    <cellStyle name="Normal 58 6 2 3 2 4 2" xfId="42808" xr:uid="{00000000-0005-0000-0000-000082AA0000}"/>
    <cellStyle name="Normal 58 6 2 3 2 5" xfId="28745" xr:uid="{00000000-0005-0000-0000-000083AA0000}"/>
    <cellStyle name="Normal 58 6 2 3 3" xfId="4730" xr:uid="{00000000-0005-0000-0000-000084AA0000}"/>
    <cellStyle name="Normal 58 6 2 3 3 2" xfId="13568" xr:uid="{00000000-0005-0000-0000-000085AA0000}"/>
    <cellStyle name="Normal 58 6 2 3 3 2 2" xfId="23819" xr:uid="{00000000-0005-0000-0000-000086AA0000}"/>
    <cellStyle name="Normal 58 6 2 3 3 2 2 2" xfId="49372" xr:uid="{00000000-0005-0000-0000-000087AA0000}"/>
    <cellStyle name="Normal 58 6 2 3 3 2 3" xfId="39123" xr:uid="{00000000-0005-0000-0000-000088AA0000}"/>
    <cellStyle name="Normal 58 6 2 3 3 3" xfId="9989" xr:uid="{00000000-0005-0000-0000-000089AA0000}"/>
    <cellStyle name="Normal 58 6 2 3 3 3 2" xfId="35546" xr:uid="{00000000-0005-0000-0000-00008AAA0000}"/>
    <cellStyle name="Normal 58 6 2 3 3 4" xfId="18812" xr:uid="{00000000-0005-0000-0000-00008BAA0000}"/>
    <cellStyle name="Normal 58 6 2 3 3 4 2" xfId="44365" xr:uid="{00000000-0005-0000-0000-00008CAA0000}"/>
    <cellStyle name="Normal 58 6 2 3 3 5" xfId="30302" xr:uid="{00000000-0005-0000-0000-00008DAA0000}"/>
    <cellStyle name="Normal 58 6 2 3 4" xfId="2010" xr:uid="{00000000-0005-0000-0000-00008EAA0000}"/>
    <cellStyle name="Normal 58 6 2 3 4 2" xfId="11375" xr:uid="{00000000-0005-0000-0000-00008FAA0000}"/>
    <cellStyle name="Normal 58 6 2 3 4 2 2" xfId="36930" xr:uid="{00000000-0005-0000-0000-000090AA0000}"/>
    <cellStyle name="Normal 58 6 2 3 4 3" xfId="21379" xr:uid="{00000000-0005-0000-0000-000091AA0000}"/>
    <cellStyle name="Normal 58 6 2 3 4 3 2" xfId="46932" xr:uid="{00000000-0005-0000-0000-000092AA0000}"/>
    <cellStyle name="Normal 58 6 2 3 4 4" xfId="27862" xr:uid="{00000000-0005-0000-0000-000093AA0000}"/>
    <cellStyle name="Normal 58 6 2 3 5" xfId="6186" xr:uid="{00000000-0005-0000-0000-000094AA0000}"/>
    <cellStyle name="Normal 58 6 2 3 5 2" xfId="15013" xr:uid="{00000000-0005-0000-0000-000095AA0000}"/>
    <cellStyle name="Normal 58 6 2 3 5 2 2" xfId="40568" xr:uid="{00000000-0005-0000-0000-000096AA0000}"/>
    <cellStyle name="Normal 58 6 2 3 5 3" xfId="25264" xr:uid="{00000000-0005-0000-0000-000097AA0000}"/>
    <cellStyle name="Normal 58 6 2 3 5 3 2" xfId="50817" xr:uid="{00000000-0005-0000-0000-000098AA0000}"/>
    <cellStyle name="Normal 58 6 2 3 5 4" xfId="31747" xr:uid="{00000000-0005-0000-0000-000099AA0000}"/>
    <cellStyle name="Normal 58 6 2 3 6" xfId="7631" xr:uid="{00000000-0005-0000-0000-00009AAA0000}"/>
    <cellStyle name="Normal 58 6 2 3 6 2" xfId="19861" xr:uid="{00000000-0005-0000-0000-00009BAA0000}"/>
    <cellStyle name="Normal 58 6 2 3 6 2 2" xfId="45414" xr:uid="{00000000-0005-0000-0000-00009CAA0000}"/>
    <cellStyle name="Normal 58 6 2 3 6 3" xfId="33188" xr:uid="{00000000-0005-0000-0000-00009DAA0000}"/>
    <cellStyle name="Normal 58 6 2 3 7" xfId="16372" xr:uid="{00000000-0005-0000-0000-00009EAA0000}"/>
    <cellStyle name="Normal 58 6 2 3 7 2" xfId="41925" xr:uid="{00000000-0005-0000-0000-00009FAA0000}"/>
    <cellStyle name="Normal 58 6 2 3 8" xfId="26344" xr:uid="{00000000-0005-0000-0000-0000A0AA0000}"/>
    <cellStyle name="Normal 58 6 2 4" xfId="916" xr:uid="{00000000-0005-0000-0000-0000A1AA0000}"/>
    <cellStyle name="Normal 58 6 2 4 2" xfId="3401" xr:uid="{00000000-0005-0000-0000-0000A2AA0000}"/>
    <cellStyle name="Normal 58 6 2 4 2 2" xfId="12543" xr:uid="{00000000-0005-0000-0000-0000A3AA0000}"/>
    <cellStyle name="Normal 58 6 2 4 2 2 2" xfId="22762" xr:uid="{00000000-0005-0000-0000-0000A4AA0000}"/>
    <cellStyle name="Normal 58 6 2 4 2 2 2 2" xfId="48315" xr:uid="{00000000-0005-0000-0000-0000A5AA0000}"/>
    <cellStyle name="Normal 58 6 2 4 2 2 3" xfId="38098" xr:uid="{00000000-0005-0000-0000-0000A6AA0000}"/>
    <cellStyle name="Normal 58 6 2 4 2 3" xfId="8965" xr:uid="{00000000-0005-0000-0000-0000A7AA0000}"/>
    <cellStyle name="Normal 58 6 2 4 2 3 2" xfId="34522" xr:uid="{00000000-0005-0000-0000-0000A8AA0000}"/>
    <cellStyle name="Normal 58 6 2 4 2 4" xfId="17755" xr:uid="{00000000-0005-0000-0000-0000A9AA0000}"/>
    <cellStyle name="Normal 58 6 2 4 2 4 2" xfId="43308" xr:uid="{00000000-0005-0000-0000-0000AAAA0000}"/>
    <cellStyle name="Normal 58 6 2 4 2 5" xfId="29245" xr:uid="{00000000-0005-0000-0000-0000ABAA0000}"/>
    <cellStyle name="Normal 58 6 2 4 3" xfId="5079" xr:uid="{00000000-0005-0000-0000-0000ACAA0000}"/>
    <cellStyle name="Normal 58 6 2 4 3 2" xfId="13916" xr:uid="{00000000-0005-0000-0000-0000ADAA0000}"/>
    <cellStyle name="Normal 58 6 2 4 3 2 2" xfId="24167" xr:uid="{00000000-0005-0000-0000-0000AEAA0000}"/>
    <cellStyle name="Normal 58 6 2 4 3 2 2 2" xfId="49720" xr:uid="{00000000-0005-0000-0000-0000AFAA0000}"/>
    <cellStyle name="Normal 58 6 2 4 3 2 3" xfId="39471" xr:uid="{00000000-0005-0000-0000-0000B0AA0000}"/>
    <cellStyle name="Normal 58 6 2 4 3 3" xfId="10337" xr:uid="{00000000-0005-0000-0000-0000B1AA0000}"/>
    <cellStyle name="Normal 58 6 2 4 3 3 2" xfId="35894" xr:uid="{00000000-0005-0000-0000-0000B2AA0000}"/>
    <cellStyle name="Normal 58 6 2 4 3 4" xfId="19160" xr:uid="{00000000-0005-0000-0000-0000B3AA0000}"/>
    <cellStyle name="Normal 58 6 2 4 3 4 2" xfId="44713" xr:uid="{00000000-0005-0000-0000-0000B4AA0000}"/>
    <cellStyle name="Normal 58 6 2 4 3 5" xfId="30650" xr:uid="{00000000-0005-0000-0000-0000B5AA0000}"/>
    <cellStyle name="Normal 58 6 2 4 4" xfId="2510" xr:uid="{00000000-0005-0000-0000-0000B6AA0000}"/>
    <cellStyle name="Normal 58 6 2 4 4 2" xfId="11875" xr:uid="{00000000-0005-0000-0000-0000B7AA0000}"/>
    <cellStyle name="Normal 58 6 2 4 4 2 2" xfId="37430" xr:uid="{00000000-0005-0000-0000-0000B8AA0000}"/>
    <cellStyle name="Normal 58 6 2 4 4 3" xfId="21879" xr:uid="{00000000-0005-0000-0000-0000B9AA0000}"/>
    <cellStyle name="Normal 58 6 2 4 4 3 2" xfId="47432" xr:uid="{00000000-0005-0000-0000-0000BAAA0000}"/>
    <cellStyle name="Normal 58 6 2 4 4 4" xfId="28362" xr:uid="{00000000-0005-0000-0000-0000BBAA0000}"/>
    <cellStyle name="Normal 58 6 2 4 5" xfId="6534" xr:uid="{00000000-0005-0000-0000-0000BCAA0000}"/>
    <cellStyle name="Normal 58 6 2 4 5 2" xfId="15361" xr:uid="{00000000-0005-0000-0000-0000BDAA0000}"/>
    <cellStyle name="Normal 58 6 2 4 5 2 2" xfId="40916" xr:uid="{00000000-0005-0000-0000-0000BEAA0000}"/>
    <cellStyle name="Normal 58 6 2 4 5 3" xfId="25612" xr:uid="{00000000-0005-0000-0000-0000BFAA0000}"/>
    <cellStyle name="Normal 58 6 2 4 5 3 2" xfId="51165" xr:uid="{00000000-0005-0000-0000-0000C0AA0000}"/>
    <cellStyle name="Normal 58 6 2 4 5 4" xfId="32095" xr:uid="{00000000-0005-0000-0000-0000C1AA0000}"/>
    <cellStyle name="Normal 58 6 2 4 6" xfId="7980" xr:uid="{00000000-0005-0000-0000-0000C2AA0000}"/>
    <cellStyle name="Normal 58 6 2 4 6 2" xfId="20361" xr:uid="{00000000-0005-0000-0000-0000C3AA0000}"/>
    <cellStyle name="Normal 58 6 2 4 6 2 2" xfId="45914" xr:uid="{00000000-0005-0000-0000-0000C4AA0000}"/>
    <cellStyle name="Normal 58 6 2 4 6 3" xfId="33537" xr:uid="{00000000-0005-0000-0000-0000C5AA0000}"/>
    <cellStyle name="Normal 58 6 2 4 7" xfId="16872" xr:uid="{00000000-0005-0000-0000-0000C6AA0000}"/>
    <cellStyle name="Normal 58 6 2 4 7 2" xfId="42425" xr:uid="{00000000-0005-0000-0000-0000C7AA0000}"/>
    <cellStyle name="Normal 58 6 2 4 8" xfId="26844" xr:uid="{00000000-0005-0000-0000-0000C8AA0000}"/>
    <cellStyle name="Normal 58 6 2 5" xfId="1187" xr:uid="{00000000-0005-0000-0000-0000C9AA0000}"/>
    <cellStyle name="Normal 58 6 2 5 2" xfId="3616" xr:uid="{00000000-0005-0000-0000-0000CAAA0000}"/>
    <cellStyle name="Normal 58 6 2 5 2 2" xfId="12752" xr:uid="{00000000-0005-0000-0000-0000CBAA0000}"/>
    <cellStyle name="Normal 58 6 2 5 2 2 2" xfId="22971" xr:uid="{00000000-0005-0000-0000-0000CCAA0000}"/>
    <cellStyle name="Normal 58 6 2 5 2 2 2 2" xfId="48524" xr:uid="{00000000-0005-0000-0000-0000CDAA0000}"/>
    <cellStyle name="Normal 58 6 2 5 2 2 3" xfId="38307" xr:uid="{00000000-0005-0000-0000-0000CEAA0000}"/>
    <cellStyle name="Normal 58 6 2 5 2 3" xfId="9173" xr:uid="{00000000-0005-0000-0000-0000CFAA0000}"/>
    <cellStyle name="Normal 58 6 2 5 2 3 2" xfId="34730" xr:uid="{00000000-0005-0000-0000-0000D0AA0000}"/>
    <cellStyle name="Normal 58 6 2 5 2 4" xfId="17964" xr:uid="{00000000-0005-0000-0000-0000D1AA0000}"/>
    <cellStyle name="Normal 58 6 2 5 2 4 2" xfId="43517" xr:uid="{00000000-0005-0000-0000-0000D2AA0000}"/>
    <cellStyle name="Normal 58 6 2 5 2 5" xfId="29454" xr:uid="{00000000-0005-0000-0000-0000D3AA0000}"/>
    <cellStyle name="Normal 58 6 2 5 3" xfId="5279" xr:uid="{00000000-0005-0000-0000-0000D4AA0000}"/>
    <cellStyle name="Normal 58 6 2 5 3 2" xfId="14116" xr:uid="{00000000-0005-0000-0000-0000D5AA0000}"/>
    <cellStyle name="Normal 58 6 2 5 3 2 2" xfId="24367" xr:uid="{00000000-0005-0000-0000-0000D6AA0000}"/>
    <cellStyle name="Normal 58 6 2 5 3 2 2 2" xfId="49920" xr:uid="{00000000-0005-0000-0000-0000D7AA0000}"/>
    <cellStyle name="Normal 58 6 2 5 3 2 3" xfId="39671" xr:uid="{00000000-0005-0000-0000-0000D8AA0000}"/>
    <cellStyle name="Normal 58 6 2 5 3 3" xfId="10537" xr:uid="{00000000-0005-0000-0000-0000D9AA0000}"/>
    <cellStyle name="Normal 58 6 2 5 3 3 2" xfId="36094" xr:uid="{00000000-0005-0000-0000-0000DAAA0000}"/>
    <cellStyle name="Normal 58 6 2 5 3 4" xfId="19360" xr:uid="{00000000-0005-0000-0000-0000DBAA0000}"/>
    <cellStyle name="Normal 58 6 2 5 3 4 2" xfId="44913" xr:uid="{00000000-0005-0000-0000-0000DCAA0000}"/>
    <cellStyle name="Normal 58 6 2 5 3 5" xfId="30850" xr:uid="{00000000-0005-0000-0000-0000DDAA0000}"/>
    <cellStyle name="Normal 58 6 2 5 4" xfId="1789" xr:uid="{00000000-0005-0000-0000-0000DEAA0000}"/>
    <cellStyle name="Normal 58 6 2 5 4 2" xfId="11158" xr:uid="{00000000-0005-0000-0000-0000DFAA0000}"/>
    <cellStyle name="Normal 58 6 2 5 4 2 2" xfId="36713" xr:uid="{00000000-0005-0000-0000-0000E0AA0000}"/>
    <cellStyle name="Normal 58 6 2 5 4 3" xfId="21162" xr:uid="{00000000-0005-0000-0000-0000E1AA0000}"/>
    <cellStyle name="Normal 58 6 2 5 4 3 2" xfId="46715" xr:uid="{00000000-0005-0000-0000-0000E2AA0000}"/>
    <cellStyle name="Normal 58 6 2 5 4 4" xfId="27645" xr:uid="{00000000-0005-0000-0000-0000E3AA0000}"/>
    <cellStyle name="Normal 58 6 2 5 5" xfId="6734" xr:uid="{00000000-0005-0000-0000-0000E4AA0000}"/>
    <cellStyle name="Normal 58 6 2 5 5 2" xfId="15561" xr:uid="{00000000-0005-0000-0000-0000E5AA0000}"/>
    <cellStyle name="Normal 58 6 2 5 5 2 2" xfId="41116" xr:uid="{00000000-0005-0000-0000-0000E6AA0000}"/>
    <cellStyle name="Normal 58 6 2 5 5 3" xfId="25812" xr:uid="{00000000-0005-0000-0000-0000E7AA0000}"/>
    <cellStyle name="Normal 58 6 2 5 5 3 2" xfId="51365" xr:uid="{00000000-0005-0000-0000-0000E8AA0000}"/>
    <cellStyle name="Normal 58 6 2 5 5 4" xfId="32295" xr:uid="{00000000-0005-0000-0000-0000E9AA0000}"/>
    <cellStyle name="Normal 58 6 2 5 6" xfId="8180" xr:uid="{00000000-0005-0000-0000-0000EAAA0000}"/>
    <cellStyle name="Normal 58 6 2 5 6 2" xfId="20570" xr:uid="{00000000-0005-0000-0000-0000EBAA0000}"/>
    <cellStyle name="Normal 58 6 2 5 6 2 2" xfId="46123" xr:uid="{00000000-0005-0000-0000-0000ECAA0000}"/>
    <cellStyle name="Normal 58 6 2 5 6 3" xfId="33737" xr:uid="{00000000-0005-0000-0000-0000EDAA0000}"/>
    <cellStyle name="Normal 58 6 2 5 7" xfId="16155" xr:uid="{00000000-0005-0000-0000-0000EEAA0000}"/>
    <cellStyle name="Normal 58 6 2 5 7 2" xfId="41708" xr:uid="{00000000-0005-0000-0000-0000EFAA0000}"/>
    <cellStyle name="Normal 58 6 2 5 8" xfId="27053" xr:uid="{00000000-0005-0000-0000-0000F0AA0000}"/>
    <cellStyle name="Normal 58 6 2 6" xfId="2684" xr:uid="{00000000-0005-0000-0000-0000F1AA0000}"/>
    <cellStyle name="Normal 58 6 2 6 2" xfId="12001" xr:uid="{00000000-0005-0000-0000-0000F2AA0000}"/>
    <cellStyle name="Normal 58 6 2 6 2 2" xfId="22045" xr:uid="{00000000-0005-0000-0000-0000F3AA0000}"/>
    <cellStyle name="Normal 58 6 2 6 2 2 2" xfId="47598" xr:uid="{00000000-0005-0000-0000-0000F4AA0000}"/>
    <cellStyle name="Normal 58 6 2 6 2 3" xfId="37556" xr:uid="{00000000-0005-0000-0000-0000F5AA0000}"/>
    <cellStyle name="Normal 58 6 2 6 3" xfId="8555" xr:uid="{00000000-0005-0000-0000-0000F6AA0000}"/>
    <cellStyle name="Normal 58 6 2 6 3 2" xfId="34112" xr:uid="{00000000-0005-0000-0000-0000F7AA0000}"/>
    <cellStyle name="Normal 58 6 2 6 4" xfId="17038" xr:uid="{00000000-0005-0000-0000-0000F8AA0000}"/>
    <cellStyle name="Normal 58 6 2 6 4 2" xfId="42591" xr:uid="{00000000-0005-0000-0000-0000F9AA0000}"/>
    <cellStyle name="Normal 58 6 2 6 5" xfId="28528" xr:uid="{00000000-0005-0000-0000-0000FAAA0000}"/>
    <cellStyle name="Normal 58 6 2 7" xfId="4235" xr:uid="{00000000-0005-0000-0000-0000FBAA0000}"/>
    <cellStyle name="Normal 58 6 2 7 2" xfId="13073" xr:uid="{00000000-0005-0000-0000-0000FCAA0000}"/>
    <cellStyle name="Normal 58 6 2 7 2 2" xfId="23324" xr:uid="{00000000-0005-0000-0000-0000FDAA0000}"/>
    <cellStyle name="Normal 58 6 2 7 2 2 2" xfId="48877" xr:uid="{00000000-0005-0000-0000-0000FEAA0000}"/>
    <cellStyle name="Normal 58 6 2 7 2 3" xfId="38628" xr:uid="{00000000-0005-0000-0000-0000FFAA0000}"/>
    <cellStyle name="Normal 58 6 2 7 3" xfId="9494" xr:uid="{00000000-0005-0000-0000-000000AB0000}"/>
    <cellStyle name="Normal 58 6 2 7 3 2" xfId="35051" xr:uid="{00000000-0005-0000-0000-000001AB0000}"/>
    <cellStyle name="Normal 58 6 2 7 4" xfId="18317" xr:uid="{00000000-0005-0000-0000-000002AB0000}"/>
    <cellStyle name="Normal 58 6 2 7 4 2" xfId="43870" xr:uid="{00000000-0005-0000-0000-000003AB0000}"/>
    <cellStyle name="Normal 58 6 2 7 5" xfId="29807" xr:uid="{00000000-0005-0000-0000-000004AB0000}"/>
    <cellStyle name="Normal 58 6 2 8" xfId="1507" xr:uid="{00000000-0005-0000-0000-000005AB0000}"/>
    <cellStyle name="Normal 58 6 2 8 2" xfId="10884" xr:uid="{00000000-0005-0000-0000-000006AB0000}"/>
    <cellStyle name="Normal 58 6 2 8 2 2" xfId="36439" xr:uid="{00000000-0005-0000-0000-000007AB0000}"/>
    <cellStyle name="Normal 58 6 2 8 3" xfId="20888" xr:uid="{00000000-0005-0000-0000-000008AB0000}"/>
    <cellStyle name="Normal 58 6 2 8 3 2" xfId="46441" xr:uid="{00000000-0005-0000-0000-000009AB0000}"/>
    <cellStyle name="Normal 58 6 2 8 4" xfId="27371" xr:uid="{00000000-0005-0000-0000-00000AAB0000}"/>
    <cellStyle name="Normal 58 6 2 9" xfId="5691" xr:uid="{00000000-0005-0000-0000-00000BAB0000}"/>
    <cellStyle name="Normal 58 6 2 9 2" xfId="14518" xr:uid="{00000000-0005-0000-0000-00000CAB0000}"/>
    <cellStyle name="Normal 58 6 2 9 2 2" xfId="40073" xr:uid="{00000000-0005-0000-0000-00000DAB0000}"/>
    <cellStyle name="Normal 58 6 2 9 3" xfId="24769" xr:uid="{00000000-0005-0000-0000-00000EAB0000}"/>
    <cellStyle name="Normal 58 6 2 9 3 2" xfId="50322" xr:uid="{00000000-0005-0000-0000-00000FAB0000}"/>
    <cellStyle name="Normal 58 6 2 9 4" xfId="31252" xr:uid="{00000000-0005-0000-0000-000010AB0000}"/>
    <cellStyle name="Normal 58 6 2_Degree data" xfId="4022" xr:uid="{00000000-0005-0000-0000-000011AB0000}"/>
    <cellStyle name="Normal 58 6 3" xfId="254" xr:uid="{00000000-0005-0000-0000-000012AB0000}"/>
    <cellStyle name="Normal 58 6 3 10" xfId="7092" xr:uid="{00000000-0005-0000-0000-000013AB0000}"/>
    <cellStyle name="Normal 58 6 3 10 2" xfId="19706" xr:uid="{00000000-0005-0000-0000-000014AB0000}"/>
    <cellStyle name="Normal 58 6 3 10 2 2" xfId="45259" xr:uid="{00000000-0005-0000-0000-000015AB0000}"/>
    <cellStyle name="Normal 58 6 3 10 3" xfId="32649" xr:uid="{00000000-0005-0000-0000-000016AB0000}"/>
    <cellStyle name="Normal 58 6 3 11" xfId="15838" xr:uid="{00000000-0005-0000-0000-000017AB0000}"/>
    <cellStyle name="Normal 58 6 3 11 2" xfId="41391" xr:uid="{00000000-0005-0000-0000-000018AB0000}"/>
    <cellStyle name="Normal 58 6 3 12" xfId="26189" xr:uid="{00000000-0005-0000-0000-000019AB0000}"/>
    <cellStyle name="Normal 58 6 3 2" xfId="577" xr:uid="{00000000-0005-0000-0000-00001AAB0000}"/>
    <cellStyle name="Normal 58 6 3 2 10" xfId="26506" xr:uid="{00000000-0005-0000-0000-00001BAB0000}"/>
    <cellStyle name="Normal 58 6 3 2 2" xfId="919" xr:uid="{00000000-0005-0000-0000-00001CAB0000}"/>
    <cellStyle name="Normal 58 6 3 2 2 2" xfId="3404" xr:uid="{00000000-0005-0000-0000-00001DAB0000}"/>
    <cellStyle name="Normal 58 6 3 2 2 2 2" xfId="12546" xr:uid="{00000000-0005-0000-0000-00001EAB0000}"/>
    <cellStyle name="Normal 58 6 3 2 2 2 2 2" xfId="22765" xr:uid="{00000000-0005-0000-0000-00001FAB0000}"/>
    <cellStyle name="Normal 58 6 3 2 2 2 2 2 2" xfId="48318" xr:uid="{00000000-0005-0000-0000-000020AB0000}"/>
    <cellStyle name="Normal 58 6 3 2 2 2 2 3" xfId="38101" xr:uid="{00000000-0005-0000-0000-000021AB0000}"/>
    <cellStyle name="Normal 58 6 3 2 2 2 3" xfId="8968" xr:uid="{00000000-0005-0000-0000-000022AB0000}"/>
    <cellStyle name="Normal 58 6 3 2 2 2 3 2" xfId="34525" xr:uid="{00000000-0005-0000-0000-000023AB0000}"/>
    <cellStyle name="Normal 58 6 3 2 2 2 4" xfId="17758" xr:uid="{00000000-0005-0000-0000-000024AB0000}"/>
    <cellStyle name="Normal 58 6 3 2 2 2 4 2" xfId="43311" xr:uid="{00000000-0005-0000-0000-000025AB0000}"/>
    <cellStyle name="Normal 58 6 3 2 2 2 5" xfId="29248" xr:uid="{00000000-0005-0000-0000-000026AB0000}"/>
    <cellStyle name="Normal 58 6 3 2 2 3" xfId="4733" xr:uid="{00000000-0005-0000-0000-000027AB0000}"/>
    <cellStyle name="Normal 58 6 3 2 2 3 2" xfId="13571" xr:uid="{00000000-0005-0000-0000-000028AB0000}"/>
    <cellStyle name="Normal 58 6 3 2 2 3 2 2" xfId="23822" xr:uid="{00000000-0005-0000-0000-000029AB0000}"/>
    <cellStyle name="Normal 58 6 3 2 2 3 2 2 2" xfId="49375" xr:uid="{00000000-0005-0000-0000-00002AAB0000}"/>
    <cellStyle name="Normal 58 6 3 2 2 3 2 3" xfId="39126" xr:uid="{00000000-0005-0000-0000-00002BAB0000}"/>
    <cellStyle name="Normal 58 6 3 2 2 3 3" xfId="9992" xr:uid="{00000000-0005-0000-0000-00002CAB0000}"/>
    <cellStyle name="Normal 58 6 3 2 2 3 3 2" xfId="35549" xr:uid="{00000000-0005-0000-0000-00002DAB0000}"/>
    <cellStyle name="Normal 58 6 3 2 2 3 4" xfId="18815" xr:uid="{00000000-0005-0000-0000-00002EAB0000}"/>
    <cellStyle name="Normal 58 6 3 2 2 3 4 2" xfId="44368" xr:uid="{00000000-0005-0000-0000-00002FAB0000}"/>
    <cellStyle name="Normal 58 6 3 2 2 3 5" xfId="30305" xr:uid="{00000000-0005-0000-0000-000030AB0000}"/>
    <cellStyle name="Normal 58 6 3 2 2 4" xfId="2513" xr:uid="{00000000-0005-0000-0000-000031AB0000}"/>
    <cellStyle name="Normal 58 6 3 2 2 4 2" xfId="11878" xr:uid="{00000000-0005-0000-0000-000032AB0000}"/>
    <cellStyle name="Normal 58 6 3 2 2 4 2 2" xfId="37433" xr:uid="{00000000-0005-0000-0000-000033AB0000}"/>
    <cellStyle name="Normal 58 6 3 2 2 4 3" xfId="21882" xr:uid="{00000000-0005-0000-0000-000034AB0000}"/>
    <cellStyle name="Normal 58 6 3 2 2 4 3 2" xfId="47435" xr:uid="{00000000-0005-0000-0000-000035AB0000}"/>
    <cellStyle name="Normal 58 6 3 2 2 4 4" xfId="28365" xr:uid="{00000000-0005-0000-0000-000036AB0000}"/>
    <cellStyle name="Normal 58 6 3 2 2 5" xfId="6189" xr:uid="{00000000-0005-0000-0000-000037AB0000}"/>
    <cellStyle name="Normal 58 6 3 2 2 5 2" xfId="15016" xr:uid="{00000000-0005-0000-0000-000038AB0000}"/>
    <cellStyle name="Normal 58 6 3 2 2 5 2 2" xfId="40571" xr:uid="{00000000-0005-0000-0000-000039AB0000}"/>
    <cellStyle name="Normal 58 6 3 2 2 5 3" xfId="25267" xr:uid="{00000000-0005-0000-0000-00003AAB0000}"/>
    <cellStyle name="Normal 58 6 3 2 2 5 3 2" xfId="50820" xr:uid="{00000000-0005-0000-0000-00003BAB0000}"/>
    <cellStyle name="Normal 58 6 3 2 2 5 4" xfId="31750" xr:uid="{00000000-0005-0000-0000-00003CAB0000}"/>
    <cellStyle name="Normal 58 6 3 2 2 6" xfId="7634" xr:uid="{00000000-0005-0000-0000-00003DAB0000}"/>
    <cellStyle name="Normal 58 6 3 2 2 6 2" xfId="20364" xr:uid="{00000000-0005-0000-0000-00003EAB0000}"/>
    <cellStyle name="Normal 58 6 3 2 2 6 2 2" xfId="45917" xr:uid="{00000000-0005-0000-0000-00003FAB0000}"/>
    <cellStyle name="Normal 58 6 3 2 2 6 3" xfId="33191" xr:uid="{00000000-0005-0000-0000-000040AB0000}"/>
    <cellStyle name="Normal 58 6 3 2 2 7" xfId="16875" xr:uid="{00000000-0005-0000-0000-000041AB0000}"/>
    <cellStyle name="Normal 58 6 3 2 2 7 2" xfId="42428" xr:uid="{00000000-0005-0000-0000-000042AB0000}"/>
    <cellStyle name="Normal 58 6 3 2 2 8" xfId="26847" xr:uid="{00000000-0005-0000-0000-000043AB0000}"/>
    <cellStyle name="Normal 58 6 3 2 3" xfId="1349" xr:uid="{00000000-0005-0000-0000-000044AB0000}"/>
    <cellStyle name="Normal 58 6 3 2 3 2" xfId="3778" xr:uid="{00000000-0005-0000-0000-000045AB0000}"/>
    <cellStyle name="Normal 58 6 3 2 3 2 2" xfId="12914" xr:uid="{00000000-0005-0000-0000-000046AB0000}"/>
    <cellStyle name="Normal 58 6 3 2 3 2 2 2" xfId="23133" xr:uid="{00000000-0005-0000-0000-000047AB0000}"/>
    <cellStyle name="Normal 58 6 3 2 3 2 2 2 2" xfId="48686" xr:uid="{00000000-0005-0000-0000-000048AB0000}"/>
    <cellStyle name="Normal 58 6 3 2 3 2 2 3" xfId="38469" xr:uid="{00000000-0005-0000-0000-000049AB0000}"/>
    <cellStyle name="Normal 58 6 3 2 3 2 3" xfId="9335" xr:uid="{00000000-0005-0000-0000-00004AAB0000}"/>
    <cellStyle name="Normal 58 6 3 2 3 2 3 2" xfId="34892" xr:uid="{00000000-0005-0000-0000-00004BAB0000}"/>
    <cellStyle name="Normal 58 6 3 2 3 2 4" xfId="18126" xr:uid="{00000000-0005-0000-0000-00004CAB0000}"/>
    <cellStyle name="Normal 58 6 3 2 3 2 4 2" xfId="43679" xr:uid="{00000000-0005-0000-0000-00004DAB0000}"/>
    <cellStyle name="Normal 58 6 3 2 3 2 5" xfId="29616" xr:uid="{00000000-0005-0000-0000-00004EAB0000}"/>
    <cellStyle name="Normal 58 6 3 2 3 3" xfId="5082" xr:uid="{00000000-0005-0000-0000-00004FAB0000}"/>
    <cellStyle name="Normal 58 6 3 2 3 3 2" xfId="13919" xr:uid="{00000000-0005-0000-0000-000050AB0000}"/>
    <cellStyle name="Normal 58 6 3 2 3 3 2 2" xfId="24170" xr:uid="{00000000-0005-0000-0000-000051AB0000}"/>
    <cellStyle name="Normal 58 6 3 2 3 3 2 2 2" xfId="49723" xr:uid="{00000000-0005-0000-0000-000052AB0000}"/>
    <cellStyle name="Normal 58 6 3 2 3 3 2 3" xfId="39474" xr:uid="{00000000-0005-0000-0000-000053AB0000}"/>
    <cellStyle name="Normal 58 6 3 2 3 3 3" xfId="10340" xr:uid="{00000000-0005-0000-0000-000054AB0000}"/>
    <cellStyle name="Normal 58 6 3 2 3 3 3 2" xfId="35897" xr:uid="{00000000-0005-0000-0000-000055AB0000}"/>
    <cellStyle name="Normal 58 6 3 2 3 3 4" xfId="19163" xr:uid="{00000000-0005-0000-0000-000056AB0000}"/>
    <cellStyle name="Normal 58 6 3 2 3 3 4 2" xfId="44716" xr:uid="{00000000-0005-0000-0000-000057AB0000}"/>
    <cellStyle name="Normal 58 6 3 2 3 3 5" xfId="30653" xr:uid="{00000000-0005-0000-0000-000058AB0000}"/>
    <cellStyle name="Normal 58 6 3 2 3 4" xfId="2172" xr:uid="{00000000-0005-0000-0000-000059AB0000}"/>
    <cellStyle name="Normal 58 6 3 2 3 4 2" xfId="11537" xr:uid="{00000000-0005-0000-0000-00005AAB0000}"/>
    <cellStyle name="Normal 58 6 3 2 3 4 2 2" xfId="37092" xr:uid="{00000000-0005-0000-0000-00005BAB0000}"/>
    <cellStyle name="Normal 58 6 3 2 3 4 3" xfId="21541" xr:uid="{00000000-0005-0000-0000-00005CAB0000}"/>
    <cellStyle name="Normal 58 6 3 2 3 4 3 2" xfId="47094" xr:uid="{00000000-0005-0000-0000-00005DAB0000}"/>
    <cellStyle name="Normal 58 6 3 2 3 4 4" xfId="28024" xr:uid="{00000000-0005-0000-0000-00005EAB0000}"/>
    <cellStyle name="Normal 58 6 3 2 3 5" xfId="6537" xr:uid="{00000000-0005-0000-0000-00005FAB0000}"/>
    <cellStyle name="Normal 58 6 3 2 3 5 2" xfId="15364" xr:uid="{00000000-0005-0000-0000-000060AB0000}"/>
    <cellStyle name="Normal 58 6 3 2 3 5 2 2" xfId="40919" xr:uid="{00000000-0005-0000-0000-000061AB0000}"/>
    <cellStyle name="Normal 58 6 3 2 3 5 3" xfId="25615" xr:uid="{00000000-0005-0000-0000-000062AB0000}"/>
    <cellStyle name="Normal 58 6 3 2 3 5 3 2" xfId="51168" xr:uid="{00000000-0005-0000-0000-000063AB0000}"/>
    <cellStyle name="Normal 58 6 3 2 3 5 4" xfId="32098" xr:uid="{00000000-0005-0000-0000-000064AB0000}"/>
    <cellStyle name="Normal 58 6 3 2 3 6" xfId="7983" xr:uid="{00000000-0005-0000-0000-000065AB0000}"/>
    <cellStyle name="Normal 58 6 3 2 3 6 2" xfId="20732" xr:uid="{00000000-0005-0000-0000-000066AB0000}"/>
    <cellStyle name="Normal 58 6 3 2 3 6 2 2" xfId="46285" xr:uid="{00000000-0005-0000-0000-000067AB0000}"/>
    <cellStyle name="Normal 58 6 3 2 3 6 3" xfId="33540" xr:uid="{00000000-0005-0000-0000-000068AB0000}"/>
    <cellStyle name="Normal 58 6 3 2 3 7" xfId="16534" xr:uid="{00000000-0005-0000-0000-000069AB0000}"/>
    <cellStyle name="Normal 58 6 3 2 3 7 2" xfId="42087" xr:uid="{00000000-0005-0000-0000-00006AAB0000}"/>
    <cellStyle name="Normal 58 6 3 2 3 8" xfId="27215" xr:uid="{00000000-0005-0000-0000-00006BAB0000}"/>
    <cellStyle name="Normal 58 6 3 2 4" xfId="3063" xr:uid="{00000000-0005-0000-0000-00006CAB0000}"/>
    <cellStyle name="Normal 58 6 3 2 4 2" xfId="5441" xr:uid="{00000000-0005-0000-0000-00006DAB0000}"/>
    <cellStyle name="Normal 58 6 3 2 4 2 2" xfId="14278" xr:uid="{00000000-0005-0000-0000-00006EAB0000}"/>
    <cellStyle name="Normal 58 6 3 2 4 2 2 2" xfId="24529" xr:uid="{00000000-0005-0000-0000-00006FAB0000}"/>
    <cellStyle name="Normal 58 6 3 2 4 2 2 2 2" xfId="50082" xr:uid="{00000000-0005-0000-0000-000070AB0000}"/>
    <cellStyle name="Normal 58 6 3 2 4 2 2 3" xfId="39833" xr:uid="{00000000-0005-0000-0000-000071AB0000}"/>
    <cellStyle name="Normal 58 6 3 2 4 2 3" xfId="10699" xr:uid="{00000000-0005-0000-0000-000072AB0000}"/>
    <cellStyle name="Normal 58 6 3 2 4 2 3 2" xfId="36256" xr:uid="{00000000-0005-0000-0000-000073AB0000}"/>
    <cellStyle name="Normal 58 6 3 2 4 2 4" xfId="19522" xr:uid="{00000000-0005-0000-0000-000074AB0000}"/>
    <cellStyle name="Normal 58 6 3 2 4 2 4 2" xfId="45075" xr:uid="{00000000-0005-0000-0000-000075AB0000}"/>
    <cellStyle name="Normal 58 6 3 2 4 2 5" xfId="31012" xr:uid="{00000000-0005-0000-0000-000076AB0000}"/>
    <cellStyle name="Normal 58 6 3 2 4 3" xfId="6896" xr:uid="{00000000-0005-0000-0000-000077AB0000}"/>
    <cellStyle name="Normal 58 6 3 2 4 3 2" xfId="15723" xr:uid="{00000000-0005-0000-0000-000078AB0000}"/>
    <cellStyle name="Normal 58 6 3 2 4 3 2 2" xfId="41278" xr:uid="{00000000-0005-0000-0000-000079AB0000}"/>
    <cellStyle name="Normal 58 6 3 2 4 3 3" xfId="25974" xr:uid="{00000000-0005-0000-0000-00007AAB0000}"/>
    <cellStyle name="Normal 58 6 3 2 4 3 3 2" xfId="51527" xr:uid="{00000000-0005-0000-0000-00007BAB0000}"/>
    <cellStyle name="Normal 58 6 3 2 4 3 4" xfId="32457" xr:uid="{00000000-0005-0000-0000-00007CAB0000}"/>
    <cellStyle name="Normal 58 6 3 2 4 4" xfId="8342" xr:uid="{00000000-0005-0000-0000-00007DAB0000}"/>
    <cellStyle name="Normal 58 6 3 2 4 4 2" xfId="22424" xr:uid="{00000000-0005-0000-0000-00007EAB0000}"/>
    <cellStyle name="Normal 58 6 3 2 4 4 2 2" xfId="47977" xr:uid="{00000000-0005-0000-0000-00007FAB0000}"/>
    <cellStyle name="Normal 58 6 3 2 4 4 3" xfId="33899" xr:uid="{00000000-0005-0000-0000-000080AB0000}"/>
    <cellStyle name="Normal 58 6 3 2 4 5" xfId="17417" xr:uid="{00000000-0005-0000-0000-000081AB0000}"/>
    <cellStyle name="Normal 58 6 3 2 4 5 2" xfId="42970" xr:uid="{00000000-0005-0000-0000-000082AB0000}"/>
    <cellStyle name="Normal 58 6 3 2 4 6" xfId="28907" xr:uid="{00000000-0005-0000-0000-000083AB0000}"/>
    <cellStyle name="Normal 58 6 3 2 5" xfId="4397" xr:uid="{00000000-0005-0000-0000-000084AB0000}"/>
    <cellStyle name="Normal 58 6 3 2 5 2" xfId="13235" xr:uid="{00000000-0005-0000-0000-000085AB0000}"/>
    <cellStyle name="Normal 58 6 3 2 5 2 2" xfId="23486" xr:uid="{00000000-0005-0000-0000-000086AB0000}"/>
    <cellStyle name="Normal 58 6 3 2 5 2 2 2" xfId="49039" xr:uid="{00000000-0005-0000-0000-000087AB0000}"/>
    <cellStyle name="Normal 58 6 3 2 5 2 3" xfId="38790" xr:uid="{00000000-0005-0000-0000-000088AB0000}"/>
    <cellStyle name="Normal 58 6 3 2 5 3" xfId="9656" xr:uid="{00000000-0005-0000-0000-000089AB0000}"/>
    <cellStyle name="Normal 58 6 3 2 5 3 2" xfId="35213" xr:uid="{00000000-0005-0000-0000-00008AAB0000}"/>
    <cellStyle name="Normal 58 6 3 2 5 4" xfId="18479" xr:uid="{00000000-0005-0000-0000-00008BAB0000}"/>
    <cellStyle name="Normal 58 6 3 2 5 4 2" xfId="44032" xr:uid="{00000000-0005-0000-0000-00008CAB0000}"/>
    <cellStyle name="Normal 58 6 3 2 5 5" xfId="29969" xr:uid="{00000000-0005-0000-0000-00008DAB0000}"/>
    <cellStyle name="Normal 58 6 3 2 6" xfId="1669" xr:uid="{00000000-0005-0000-0000-00008EAB0000}"/>
    <cellStyle name="Normal 58 6 3 2 6 2" xfId="11046" xr:uid="{00000000-0005-0000-0000-00008FAB0000}"/>
    <cellStyle name="Normal 58 6 3 2 6 2 2" xfId="36601" xr:uid="{00000000-0005-0000-0000-000090AB0000}"/>
    <cellStyle name="Normal 58 6 3 2 6 3" xfId="21050" xr:uid="{00000000-0005-0000-0000-000091AB0000}"/>
    <cellStyle name="Normal 58 6 3 2 6 3 2" xfId="46603" xr:uid="{00000000-0005-0000-0000-000092AB0000}"/>
    <cellStyle name="Normal 58 6 3 2 6 4" xfId="27533" xr:uid="{00000000-0005-0000-0000-000093AB0000}"/>
    <cellStyle name="Normal 58 6 3 2 7" xfId="5853" xr:uid="{00000000-0005-0000-0000-000094AB0000}"/>
    <cellStyle name="Normal 58 6 3 2 7 2" xfId="14680" xr:uid="{00000000-0005-0000-0000-000095AB0000}"/>
    <cellStyle name="Normal 58 6 3 2 7 2 2" xfId="40235" xr:uid="{00000000-0005-0000-0000-000096AB0000}"/>
    <cellStyle name="Normal 58 6 3 2 7 3" xfId="24931" xr:uid="{00000000-0005-0000-0000-000097AB0000}"/>
    <cellStyle name="Normal 58 6 3 2 7 3 2" xfId="50484" xr:uid="{00000000-0005-0000-0000-000098AB0000}"/>
    <cellStyle name="Normal 58 6 3 2 7 4" xfId="31414" xr:uid="{00000000-0005-0000-0000-000099AB0000}"/>
    <cellStyle name="Normal 58 6 3 2 8" xfId="7297" xr:uid="{00000000-0005-0000-0000-00009AAB0000}"/>
    <cellStyle name="Normal 58 6 3 2 8 2" xfId="20023" xr:uid="{00000000-0005-0000-0000-00009BAB0000}"/>
    <cellStyle name="Normal 58 6 3 2 8 2 2" xfId="45576" xr:uid="{00000000-0005-0000-0000-00009CAB0000}"/>
    <cellStyle name="Normal 58 6 3 2 8 3" xfId="32854" xr:uid="{00000000-0005-0000-0000-00009DAB0000}"/>
    <cellStyle name="Normal 58 6 3 2 9" xfId="16043" xr:uid="{00000000-0005-0000-0000-00009EAB0000}"/>
    <cellStyle name="Normal 58 6 3 2 9 2" xfId="41596" xr:uid="{00000000-0005-0000-0000-00009FAB0000}"/>
    <cellStyle name="Normal 58 6 3 2_Degree data" xfId="4025" xr:uid="{00000000-0005-0000-0000-0000A0AB0000}"/>
    <cellStyle name="Normal 58 6 3 3" xfId="372" xr:uid="{00000000-0005-0000-0000-0000A1AB0000}"/>
    <cellStyle name="Normal 58 6 3 3 2" xfId="2858" xr:uid="{00000000-0005-0000-0000-0000A2AB0000}"/>
    <cellStyle name="Normal 58 6 3 3 2 2" xfId="12146" xr:uid="{00000000-0005-0000-0000-0000A3AB0000}"/>
    <cellStyle name="Normal 58 6 3 3 2 2 2" xfId="22219" xr:uid="{00000000-0005-0000-0000-0000A4AB0000}"/>
    <cellStyle name="Normal 58 6 3 3 2 2 2 2" xfId="47772" xr:uid="{00000000-0005-0000-0000-0000A5AB0000}"/>
    <cellStyle name="Normal 58 6 3 3 2 2 3" xfId="37701" xr:uid="{00000000-0005-0000-0000-0000A6AB0000}"/>
    <cellStyle name="Normal 58 6 3 3 2 3" xfId="8522" xr:uid="{00000000-0005-0000-0000-0000A7AB0000}"/>
    <cellStyle name="Normal 58 6 3 3 2 3 2" xfId="34079" xr:uid="{00000000-0005-0000-0000-0000A8AB0000}"/>
    <cellStyle name="Normal 58 6 3 3 2 4" xfId="17212" xr:uid="{00000000-0005-0000-0000-0000A9AB0000}"/>
    <cellStyle name="Normal 58 6 3 3 2 4 2" xfId="42765" xr:uid="{00000000-0005-0000-0000-0000AAAB0000}"/>
    <cellStyle name="Normal 58 6 3 3 2 5" xfId="28702" xr:uid="{00000000-0005-0000-0000-0000ABAB0000}"/>
    <cellStyle name="Normal 58 6 3 3 3" xfId="4732" xr:uid="{00000000-0005-0000-0000-0000ACAB0000}"/>
    <cellStyle name="Normal 58 6 3 3 3 2" xfId="13570" xr:uid="{00000000-0005-0000-0000-0000ADAB0000}"/>
    <cellStyle name="Normal 58 6 3 3 3 2 2" xfId="23821" xr:uid="{00000000-0005-0000-0000-0000AEAB0000}"/>
    <cellStyle name="Normal 58 6 3 3 3 2 2 2" xfId="49374" xr:uid="{00000000-0005-0000-0000-0000AFAB0000}"/>
    <cellStyle name="Normal 58 6 3 3 3 2 3" xfId="39125" xr:uid="{00000000-0005-0000-0000-0000B0AB0000}"/>
    <cellStyle name="Normal 58 6 3 3 3 3" xfId="9991" xr:uid="{00000000-0005-0000-0000-0000B1AB0000}"/>
    <cellStyle name="Normal 58 6 3 3 3 3 2" xfId="35548" xr:uid="{00000000-0005-0000-0000-0000B2AB0000}"/>
    <cellStyle name="Normal 58 6 3 3 3 4" xfId="18814" xr:uid="{00000000-0005-0000-0000-0000B3AB0000}"/>
    <cellStyle name="Normal 58 6 3 3 3 4 2" xfId="44367" xr:uid="{00000000-0005-0000-0000-0000B4AB0000}"/>
    <cellStyle name="Normal 58 6 3 3 3 5" xfId="30304" xr:uid="{00000000-0005-0000-0000-0000B5AB0000}"/>
    <cellStyle name="Normal 58 6 3 3 4" xfId="1967" xr:uid="{00000000-0005-0000-0000-0000B6AB0000}"/>
    <cellStyle name="Normal 58 6 3 3 4 2" xfId="11332" xr:uid="{00000000-0005-0000-0000-0000B7AB0000}"/>
    <cellStyle name="Normal 58 6 3 3 4 2 2" xfId="36887" xr:uid="{00000000-0005-0000-0000-0000B8AB0000}"/>
    <cellStyle name="Normal 58 6 3 3 4 3" xfId="21336" xr:uid="{00000000-0005-0000-0000-0000B9AB0000}"/>
    <cellStyle name="Normal 58 6 3 3 4 3 2" xfId="46889" xr:uid="{00000000-0005-0000-0000-0000BAAB0000}"/>
    <cellStyle name="Normal 58 6 3 3 4 4" xfId="27819" xr:uid="{00000000-0005-0000-0000-0000BBAB0000}"/>
    <cellStyle name="Normal 58 6 3 3 5" xfId="6188" xr:uid="{00000000-0005-0000-0000-0000BCAB0000}"/>
    <cellStyle name="Normal 58 6 3 3 5 2" xfId="15015" xr:uid="{00000000-0005-0000-0000-0000BDAB0000}"/>
    <cellStyle name="Normal 58 6 3 3 5 2 2" xfId="40570" xr:uid="{00000000-0005-0000-0000-0000BEAB0000}"/>
    <cellStyle name="Normal 58 6 3 3 5 3" xfId="25266" xr:uid="{00000000-0005-0000-0000-0000BFAB0000}"/>
    <cellStyle name="Normal 58 6 3 3 5 3 2" xfId="50819" xr:uid="{00000000-0005-0000-0000-0000C0AB0000}"/>
    <cellStyle name="Normal 58 6 3 3 5 4" xfId="31749" xr:uid="{00000000-0005-0000-0000-0000C1AB0000}"/>
    <cellStyle name="Normal 58 6 3 3 6" xfId="7633" xr:uid="{00000000-0005-0000-0000-0000C2AB0000}"/>
    <cellStyle name="Normal 58 6 3 3 6 2" xfId="19818" xr:uid="{00000000-0005-0000-0000-0000C3AB0000}"/>
    <cellStyle name="Normal 58 6 3 3 6 2 2" xfId="45371" xr:uid="{00000000-0005-0000-0000-0000C4AB0000}"/>
    <cellStyle name="Normal 58 6 3 3 6 3" xfId="33190" xr:uid="{00000000-0005-0000-0000-0000C5AB0000}"/>
    <cellStyle name="Normal 58 6 3 3 7" xfId="16329" xr:uid="{00000000-0005-0000-0000-0000C6AB0000}"/>
    <cellStyle name="Normal 58 6 3 3 7 2" xfId="41882" xr:uid="{00000000-0005-0000-0000-0000C7AB0000}"/>
    <cellStyle name="Normal 58 6 3 3 8" xfId="26301" xr:uid="{00000000-0005-0000-0000-0000C8AB0000}"/>
    <cellStyle name="Normal 58 6 3 4" xfId="918" xr:uid="{00000000-0005-0000-0000-0000C9AB0000}"/>
    <cellStyle name="Normal 58 6 3 4 2" xfId="3403" xr:uid="{00000000-0005-0000-0000-0000CAAB0000}"/>
    <cellStyle name="Normal 58 6 3 4 2 2" xfId="12545" xr:uid="{00000000-0005-0000-0000-0000CBAB0000}"/>
    <cellStyle name="Normal 58 6 3 4 2 2 2" xfId="22764" xr:uid="{00000000-0005-0000-0000-0000CCAB0000}"/>
    <cellStyle name="Normal 58 6 3 4 2 2 2 2" xfId="48317" xr:uid="{00000000-0005-0000-0000-0000CDAB0000}"/>
    <cellStyle name="Normal 58 6 3 4 2 2 3" xfId="38100" xr:uid="{00000000-0005-0000-0000-0000CEAB0000}"/>
    <cellStyle name="Normal 58 6 3 4 2 3" xfId="8967" xr:uid="{00000000-0005-0000-0000-0000CFAB0000}"/>
    <cellStyle name="Normal 58 6 3 4 2 3 2" xfId="34524" xr:uid="{00000000-0005-0000-0000-0000D0AB0000}"/>
    <cellStyle name="Normal 58 6 3 4 2 4" xfId="17757" xr:uid="{00000000-0005-0000-0000-0000D1AB0000}"/>
    <cellStyle name="Normal 58 6 3 4 2 4 2" xfId="43310" xr:uid="{00000000-0005-0000-0000-0000D2AB0000}"/>
    <cellStyle name="Normal 58 6 3 4 2 5" xfId="29247" xr:uid="{00000000-0005-0000-0000-0000D3AB0000}"/>
    <cellStyle name="Normal 58 6 3 4 3" xfId="5081" xr:uid="{00000000-0005-0000-0000-0000D4AB0000}"/>
    <cellStyle name="Normal 58 6 3 4 3 2" xfId="13918" xr:uid="{00000000-0005-0000-0000-0000D5AB0000}"/>
    <cellStyle name="Normal 58 6 3 4 3 2 2" xfId="24169" xr:uid="{00000000-0005-0000-0000-0000D6AB0000}"/>
    <cellStyle name="Normal 58 6 3 4 3 2 2 2" xfId="49722" xr:uid="{00000000-0005-0000-0000-0000D7AB0000}"/>
    <cellStyle name="Normal 58 6 3 4 3 2 3" xfId="39473" xr:uid="{00000000-0005-0000-0000-0000D8AB0000}"/>
    <cellStyle name="Normal 58 6 3 4 3 3" xfId="10339" xr:uid="{00000000-0005-0000-0000-0000D9AB0000}"/>
    <cellStyle name="Normal 58 6 3 4 3 3 2" xfId="35896" xr:uid="{00000000-0005-0000-0000-0000DAAB0000}"/>
    <cellStyle name="Normal 58 6 3 4 3 4" xfId="19162" xr:uid="{00000000-0005-0000-0000-0000DBAB0000}"/>
    <cellStyle name="Normal 58 6 3 4 3 4 2" xfId="44715" xr:uid="{00000000-0005-0000-0000-0000DCAB0000}"/>
    <cellStyle name="Normal 58 6 3 4 3 5" xfId="30652" xr:uid="{00000000-0005-0000-0000-0000DDAB0000}"/>
    <cellStyle name="Normal 58 6 3 4 4" xfId="2512" xr:uid="{00000000-0005-0000-0000-0000DEAB0000}"/>
    <cellStyle name="Normal 58 6 3 4 4 2" xfId="11877" xr:uid="{00000000-0005-0000-0000-0000DFAB0000}"/>
    <cellStyle name="Normal 58 6 3 4 4 2 2" xfId="37432" xr:uid="{00000000-0005-0000-0000-0000E0AB0000}"/>
    <cellStyle name="Normal 58 6 3 4 4 3" xfId="21881" xr:uid="{00000000-0005-0000-0000-0000E1AB0000}"/>
    <cellStyle name="Normal 58 6 3 4 4 3 2" xfId="47434" xr:uid="{00000000-0005-0000-0000-0000E2AB0000}"/>
    <cellStyle name="Normal 58 6 3 4 4 4" xfId="28364" xr:uid="{00000000-0005-0000-0000-0000E3AB0000}"/>
    <cellStyle name="Normal 58 6 3 4 5" xfId="6536" xr:uid="{00000000-0005-0000-0000-0000E4AB0000}"/>
    <cellStyle name="Normal 58 6 3 4 5 2" xfId="15363" xr:uid="{00000000-0005-0000-0000-0000E5AB0000}"/>
    <cellStyle name="Normal 58 6 3 4 5 2 2" xfId="40918" xr:uid="{00000000-0005-0000-0000-0000E6AB0000}"/>
    <cellStyle name="Normal 58 6 3 4 5 3" xfId="25614" xr:uid="{00000000-0005-0000-0000-0000E7AB0000}"/>
    <cellStyle name="Normal 58 6 3 4 5 3 2" xfId="51167" xr:uid="{00000000-0005-0000-0000-0000E8AB0000}"/>
    <cellStyle name="Normal 58 6 3 4 5 4" xfId="32097" xr:uid="{00000000-0005-0000-0000-0000E9AB0000}"/>
    <cellStyle name="Normal 58 6 3 4 6" xfId="7982" xr:uid="{00000000-0005-0000-0000-0000EAAB0000}"/>
    <cellStyle name="Normal 58 6 3 4 6 2" xfId="20363" xr:uid="{00000000-0005-0000-0000-0000EBAB0000}"/>
    <cellStyle name="Normal 58 6 3 4 6 2 2" xfId="45916" xr:uid="{00000000-0005-0000-0000-0000ECAB0000}"/>
    <cellStyle name="Normal 58 6 3 4 6 3" xfId="33539" xr:uid="{00000000-0005-0000-0000-0000EDAB0000}"/>
    <cellStyle name="Normal 58 6 3 4 7" xfId="16874" xr:uid="{00000000-0005-0000-0000-0000EEAB0000}"/>
    <cellStyle name="Normal 58 6 3 4 7 2" xfId="42427" xr:uid="{00000000-0005-0000-0000-0000EFAB0000}"/>
    <cellStyle name="Normal 58 6 3 4 8" xfId="26846" xr:uid="{00000000-0005-0000-0000-0000F0AB0000}"/>
    <cellStyle name="Normal 58 6 3 5" xfId="1144" xr:uid="{00000000-0005-0000-0000-0000F1AB0000}"/>
    <cellStyle name="Normal 58 6 3 5 2" xfId="3573" xr:uid="{00000000-0005-0000-0000-0000F2AB0000}"/>
    <cellStyle name="Normal 58 6 3 5 2 2" xfId="12709" xr:uid="{00000000-0005-0000-0000-0000F3AB0000}"/>
    <cellStyle name="Normal 58 6 3 5 2 2 2" xfId="22928" xr:uid="{00000000-0005-0000-0000-0000F4AB0000}"/>
    <cellStyle name="Normal 58 6 3 5 2 2 2 2" xfId="48481" xr:uid="{00000000-0005-0000-0000-0000F5AB0000}"/>
    <cellStyle name="Normal 58 6 3 5 2 2 3" xfId="38264" xr:uid="{00000000-0005-0000-0000-0000F6AB0000}"/>
    <cellStyle name="Normal 58 6 3 5 2 3" xfId="9130" xr:uid="{00000000-0005-0000-0000-0000F7AB0000}"/>
    <cellStyle name="Normal 58 6 3 5 2 3 2" xfId="34687" xr:uid="{00000000-0005-0000-0000-0000F8AB0000}"/>
    <cellStyle name="Normal 58 6 3 5 2 4" xfId="17921" xr:uid="{00000000-0005-0000-0000-0000F9AB0000}"/>
    <cellStyle name="Normal 58 6 3 5 2 4 2" xfId="43474" xr:uid="{00000000-0005-0000-0000-0000FAAB0000}"/>
    <cellStyle name="Normal 58 6 3 5 2 5" xfId="29411" xr:uid="{00000000-0005-0000-0000-0000FBAB0000}"/>
    <cellStyle name="Normal 58 6 3 5 3" xfId="5236" xr:uid="{00000000-0005-0000-0000-0000FCAB0000}"/>
    <cellStyle name="Normal 58 6 3 5 3 2" xfId="14073" xr:uid="{00000000-0005-0000-0000-0000FDAB0000}"/>
    <cellStyle name="Normal 58 6 3 5 3 2 2" xfId="24324" xr:uid="{00000000-0005-0000-0000-0000FEAB0000}"/>
    <cellStyle name="Normal 58 6 3 5 3 2 2 2" xfId="49877" xr:uid="{00000000-0005-0000-0000-0000FFAB0000}"/>
    <cellStyle name="Normal 58 6 3 5 3 2 3" xfId="39628" xr:uid="{00000000-0005-0000-0000-000000AC0000}"/>
    <cellStyle name="Normal 58 6 3 5 3 3" xfId="10494" xr:uid="{00000000-0005-0000-0000-000001AC0000}"/>
    <cellStyle name="Normal 58 6 3 5 3 3 2" xfId="36051" xr:uid="{00000000-0005-0000-0000-000002AC0000}"/>
    <cellStyle name="Normal 58 6 3 5 3 4" xfId="19317" xr:uid="{00000000-0005-0000-0000-000003AC0000}"/>
    <cellStyle name="Normal 58 6 3 5 3 4 2" xfId="44870" xr:uid="{00000000-0005-0000-0000-000004AC0000}"/>
    <cellStyle name="Normal 58 6 3 5 3 5" xfId="30807" xr:uid="{00000000-0005-0000-0000-000005AC0000}"/>
    <cellStyle name="Normal 58 6 3 5 4" xfId="1852" xr:uid="{00000000-0005-0000-0000-000006AC0000}"/>
    <cellStyle name="Normal 58 6 3 5 4 2" xfId="11220" xr:uid="{00000000-0005-0000-0000-000007AC0000}"/>
    <cellStyle name="Normal 58 6 3 5 4 2 2" xfId="36775" xr:uid="{00000000-0005-0000-0000-000008AC0000}"/>
    <cellStyle name="Normal 58 6 3 5 4 3" xfId="21224" xr:uid="{00000000-0005-0000-0000-000009AC0000}"/>
    <cellStyle name="Normal 58 6 3 5 4 3 2" xfId="46777" xr:uid="{00000000-0005-0000-0000-00000AAC0000}"/>
    <cellStyle name="Normal 58 6 3 5 4 4" xfId="27707" xr:uid="{00000000-0005-0000-0000-00000BAC0000}"/>
    <cellStyle name="Normal 58 6 3 5 5" xfId="6691" xr:uid="{00000000-0005-0000-0000-00000CAC0000}"/>
    <cellStyle name="Normal 58 6 3 5 5 2" xfId="15518" xr:uid="{00000000-0005-0000-0000-00000DAC0000}"/>
    <cellStyle name="Normal 58 6 3 5 5 2 2" xfId="41073" xr:uid="{00000000-0005-0000-0000-00000EAC0000}"/>
    <cellStyle name="Normal 58 6 3 5 5 3" xfId="25769" xr:uid="{00000000-0005-0000-0000-00000FAC0000}"/>
    <cellStyle name="Normal 58 6 3 5 5 3 2" xfId="51322" xr:uid="{00000000-0005-0000-0000-000010AC0000}"/>
    <cellStyle name="Normal 58 6 3 5 5 4" xfId="32252" xr:uid="{00000000-0005-0000-0000-000011AC0000}"/>
    <cellStyle name="Normal 58 6 3 5 6" xfId="8137" xr:uid="{00000000-0005-0000-0000-000012AC0000}"/>
    <cellStyle name="Normal 58 6 3 5 6 2" xfId="20527" xr:uid="{00000000-0005-0000-0000-000013AC0000}"/>
    <cellStyle name="Normal 58 6 3 5 6 2 2" xfId="46080" xr:uid="{00000000-0005-0000-0000-000014AC0000}"/>
    <cellStyle name="Normal 58 6 3 5 6 3" xfId="33694" xr:uid="{00000000-0005-0000-0000-000015AC0000}"/>
    <cellStyle name="Normal 58 6 3 5 7" xfId="16217" xr:uid="{00000000-0005-0000-0000-000016AC0000}"/>
    <cellStyle name="Normal 58 6 3 5 7 2" xfId="41770" xr:uid="{00000000-0005-0000-0000-000017AC0000}"/>
    <cellStyle name="Normal 58 6 3 5 8" xfId="27010" xr:uid="{00000000-0005-0000-0000-000018AC0000}"/>
    <cellStyle name="Normal 58 6 3 6" xfId="2746" xr:uid="{00000000-0005-0000-0000-000019AC0000}"/>
    <cellStyle name="Normal 58 6 3 6 2" xfId="12063" xr:uid="{00000000-0005-0000-0000-00001AAC0000}"/>
    <cellStyle name="Normal 58 6 3 6 2 2" xfId="22107" xr:uid="{00000000-0005-0000-0000-00001BAC0000}"/>
    <cellStyle name="Normal 58 6 3 6 2 2 2" xfId="47660" xr:uid="{00000000-0005-0000-0000-00001CAC0000}"/>
    <cellStyle name="Normal 58 6 3 6 2 3" xfId="37618" xr:uid="{00000000-0005-0000-0000-00001DAC0000}"/>
    <cellStyle name="Normal 58 6 3 6 3" xfId="8542" xr:uid="{00000000-0005-0000-0000-00001EAC0000}"/>
    <cellStyle name="Normal 58 6 3 6 3 2" xfId="34099" xr:uid="{00000000-0005-0000-0000-00001FAC0000}"/>
    <cellStyle name="Normal 58 6 3 6 4" xfId="17100" xr:uid="{00000000-0005-0000-0000-000020AC0000}"/>
    <cellStyle name="Normal 58 6 3 6 4 2" xfId="42653" xr:uid="{00000000-0005-0000-0000-000021AC0000}"/>
    <cellStyle name="Normal 58 6 3 6 5" xfId="28590" xr:uid="{00000000-0005-0000-0000-000022AC0000}"/>
    <cellStyle name="Normal 58 6 3 7" xfId="4192" xr:uid="{00000000-0005-0000-0000-000023AC0000}"/>
    <cellStyle name="Normal 58 6 3 7 2" xfId="13030" xr:uid="{00000000-0005-0000-0000-000024AC0000}"/>
    <cellStyle name="Normal 58 6 3 7 2 2" xfId="23281" xr:uid="{00000000-0005-0000-0000-000025AC0000}"/>
    <cellStyle name="Normal 58 6 3 7 2 2 2" xfId="48834" xr:uid="{00000000-0005-0000-0000-000026AC0000}"/>
    <cellStyle name="Normal 58 6 3 7 2 3" xfId="38585" xr:uid="{00000000-0005-0000-0000-000027AC0000}"/>
    <cellStyle name="Normal 58 6 3 7 3" xfId="9451" xr:uid="{00000000-0005-0000-0000-000028AC0000}"/>
    <cellStyle name="Normal 58 6 3 7 3 2" xfId="35008" xr:uid="{00000000-0005-0000-0000-000029AC0000}"/>
    <cellStyle name="Normal 58 6 3 7 4" xfId="18274" xr:uid="{00000000-0005-0000-0000-00002AAC0000}"/>
    <cellStyle name="Normal 58 6 3 7 4 2" xfId="43827" xr:uid="{00000000-0005-0000-0000-00002BAC0000}"/>
    <cellStyle name="Normal 58 6 3 7 5" xfId="29764" xr:uid="{00000000-0005-0000-0000-00002CAC0000}"/>
    <cellStyle name="Normal 58 6 3 8" xfId="1464" xr:uid="{00000000-0005-0000-0000-00002DAC0000}"/>
    <cellStyle name="Normal 58 6 3 8 2" xfId="10841" xr:uid="{00000000-0005-0000-0000-00002EAC0000}"/>
    <cellStyle name="Normal 58 6 3 8 2 2" xfId="36396" xr:uid="{00000000-0005-0000-0000-00002FAC0000}"/>
    <cellStyle name="Normal 58 6 3 8 3" xfId="20845" xr:uid="{00000000-0005-0000-0000-000030AC0000}"/>
    <cellStyle name="Normal 58 6 3 8 3 2" xfId="46398" xr:uid="{00000000-0005-0000-0000-000031AC0000}"/>
    <cellStyle name="Normal 58 6 3 8 4" xfId="27328" xr:uid="{00000000-0005-0000-0000-000032AC0000}"/>
    <cellStyle name="Normal 58 6 3 9" xfId="5648" xr:uid="{00000000-0005-0000-0000-000033AC0000}"/>
    <cellStyle name="Normal 58 6 3 9 2" xfId="14475" xr:uid="{00000000-0005-0000-0000-000034AC0000}"/>
    <cellStyle name="Normal 58 6 3 9 2 2" xfId="40030" xr:uid="{00000000-0005-0000-0000-000035AC0000}"/>
    <cellStyle name="Normal 58 6 3 9 3" xfId="24726" xr:uid="{00000000-0005-0000-0000-000036AC0000}"/>
    <cellStyle name="Normal 58 6 3 9 3 2" xfId="50279" xr:uid="{00000000-0005-0000-0000-000037AC0000}"/>
    <cellStyle name="Normal 58 6 3 9 4" xfId="31209" xr:uid="{00000000-0005-0000-0000-000038AC0000}"/>
    <cellStyle name="Normal 58 6 3_Degree data" xfId="4024" xr:uid="{00000000-0005-0000-0000-000039AC0000}"/>
    <cellStyle name="Normal 58 6 4" xfId="472" xr:uid="{00000000-0005-0000-0000-00003AAC0000}"/>
    <cellStyle name="Normal 58 6 4 10" xfId="26401" xr:uid="{00000000-0005-0000-0000-00003BAC0000}"/>
    <cellStyle name="Normal 58 6 4 2" xfId="920" xr:uid="{00000000-0005-0000-0000-00003CAC0000}"/>
    <cellStyle name="Normal 58 6 4 2 2" xfId="3405" xr:uid="{00000000-0005-0000-0000-00003DAC0000}"/>
    <cellStyle name="Normal 58 6 4 2 2 2" xfId="12547" xr:uid="{00000000-0005-0000-0000-00003EAC0000}"/>
    <cellStyle name="Normal 58 6 4 2 2 2 2" xfId="22766" xr:uid="{00000000-0005-0000-0000-00003FAC0000}"/>
    <cellStyle name="Normal 58 6 4 2 2 2 2 2" xfId="48319" xr:uid="{00000000-0005-0000-0000-000040AC0000}"/>
    <cellStyle name="Normal 58 6 4 2 2 2 3" xfId="38102" xr:uid="{00000000-0005-0000-0000-000041AC0000}"/>
    <cellStyle name="Normal 58 6 4 2 2 3" xfId="8969" xr:uid="{00000000-0005-0000-0000-000042AC0000}"/>
    <cellStyle name="Normal 58 6 4 2 2 3 2" xfId="34526" xr:uid="{00000000-0005-0000-0000-000043AC0000}"/>
    <cellStyle name="Normal 58 6 4 2 2 4" xfId="17759" xr:uid="{00000000-0005-0000-0000-000044AC0000}"/>
    <cellStyle name="Normal 58 6 4 2 2 4 2" xfId="43312" xr:uid="{00000000-0005-0000-0000-000045AC0000}"/>
    <cellStyle name="Normal 58 6 4 2 2 5" xfId="29249" xr:uid="{00000000-0005-0000-0000-000046AC0000}"/>
    <cellStyle name="Normal 58 6 4 2 3" xfId="4734" xr:uid="{00000000-0005-0000-0000-000047AC0000}"/>
    <cellStyle name="Normal 58 6 4 2 3 2" xfId="13572" xr:uid="{00000000-0005-0000-0000-000048AC0000}"/>
    <cellStyle name="Normal 58 6 4 2 3 2 2" xfId="23823" xr:uid="{00000000-0005-0000-0000-000049AC0000}"/>
    <cellStyle name="Normal 58 6 4 2 3 2 2 2" xfId="49376" xr:uid="{00000000-0005-0000-0000-00004AAC0000}"/>
    <cellStyle name="Normal 58 6 4 2 3 2 3" xfId="39127" xr:uid="{00000000-0005-0000-0000-00004BAC0000}"/>
    <cellStyle name="Normal 58 6 4 2 3 3" xfId="9993" xr:uid="{00000000-0005-0000-0000-00004CAC0000}"/>
    <cellStyle name="Normal 58 6 4 2 3 3 2" xfId="35550" xr:uid="{00000000-0005-0000-0000-00004DAC0000}"/>
    <cellStyle name="Normal 58 6 4 2 3 4" xfId="18816" xr:uid="{00000000-0005-0000-0000-00004EAC0000}"/>
    <cellStyle name="Normal 58 6 4 2 3 4 2" xfId="44369" xr:uid="{00000000-0005-0000-0000-00004FAC0000}"/>
    <cellStyle name="Normal 58 6 4 2 3 5" xfId="30306" xr:uid="{00000000-0005-0000-0000-000050AC0000}"/>
    <cellStyle name="Normal 58 6 4 2 4" xfId="2514" xr:uid="{00000000-0005-0000-0000-000051AC0000}"/>
    <cellStyle name="Normal 58 6 4 2 4 2" xfId="11879" xr:uid="{00000000-0005-0000-0000-000052AC0000}"/>
    <cellStyle name="Normal 58 6 4 2 4 2 2" xfId="37434" xr:uid="{00000000-0005-0000-0000-000053AC0000}"/>
    <cellStyle name="Normal 58 6 4 2 4 3" xfId="21883" xr:uid="{00000000-0005-0000-0000-000054AC0000}"/>
    <cellStyle name="Normal 58 6 4 2 4 3 2" xfId="47436" xr:uid="{00000000-0005-0000-0000-000055AC0000}"/>
    <cellStyle name="Normal 58 6 4 2 4 4" xfId="28366" xr:uid="{00000000-0005-0000-0000-000056AC0000}"/>
    <cellStyle name="Normal 58 6 4 2 5" xfId="6190" xr:uid="{00000000-0005-0000-0000-000057AC0000}"/>
    <cellStyle name="Normal 58 6 4 2 5 2" xfId="15017" xr:uid="{00000000-0005-0000-0000-000058AC0000}"/>
    <cellStyle name="Normal 58 6 4 2 5 2 2" xfId="40572" xr:uid="{00000000-0005-0000-0000-000059AC0000}"/>
    <cellStyle name="Normal 58 6 4 2 5 3" xfId="25268" xr:uid="{00000000-0005-0000-0000-00005AAC0000}"/>
    <cellStyle name="Normal 58 6 4 2 5 3 2" xfId="50821" xr:uid="{00000000-0005-0000-0000-00005BAC0000}"/>
    <cellStyle name="Normal 58 6 4 2 5 4" xfId="31751" xr:uid="{00000000-0005-0000-0000-00005CAC0000}"/>
    <cellStyle name="Normal 58 6 4 2 6" xfId="7635" xr:uid="{00000000-0005-0000-0000-00005DAC0000}"/>
    <cellStyle name="Normal 58 6 4 2 6 2" xfId="20365" xr:uid="{00000000-0005-0000-0000-00005EAC0000}"/>
    <cellStyle name="Normal 58 6 4 2 6 2 2" xfId="45918" xr:uid="{00000000-0005-0000-0000-00005FAC0000}"/>
    <cellStyle name="Normal 58 6 4 2 6 3" xfId="33192" xr:uid="{00000000-0005-0000-0000-000060AC0000}"/>
    <cellStyle name="Normal 58 6 4 2 7" xfId="16876" xr:uid="{00000000-0005-0000-0000-000061AC0000}"/>
    <cellStyle name="Normal 58 6 4 2 7 2" xfId="42429" xr:uid="{00000000-0005-0000-0000-000062AC0000}"/>
    <cellStyle name="Normal 58 6 4 2 8" xfId="26848" xr:uid="{00000000-0005-0000-0000-000063AC0000}"/>
    <cellStyle name="Normal 58 6 4 3" xfId="1244" xr:uid="{00000000-0005-0000-0000-000064AC0000}"/>
    <cellStyle name="Normal 58 6 4 3 2" xfId="3673" xr:uid="{00000000-0005-0000-0000-000065AC0000}"/>
    <cellStyle name="Normal 58 6 4 3 2 2" xfId="12809" xr:uid="{00000000-0005-0000-0000-000066AC0000}"/>
    <cellStyle name="Normal 58 6 4 3 2 2 2" xfId="23028" xr:uid="{00000000-0005-0000-0000-000067AC0000}"/>
    <cellStyle name="Normal 58 6 4 3 2 2 2 2" xfId="48581" xr:uid="{00000000-0005-0000-0000-000068AC0000}"/>
    <cellStyle name="Normal 58 6 4 3 2 2 3" xfId="38364" xr:uid="{00000000-0005-0000-0000-000069AC0000}"/>
    <cellStyle name="Normal 58 6 4 3 2 3" xfId="9230" xr:uid="{00000000-0005-0000-0000-00006AAC0000}"/>
    <cellStyle name="Normal 58 6 4 3 2 3 2" xfId="34787" xr:uid="{00000000-0005-0000-0000-00006BAC0000}"/>
    <cellStyle name="Normal 58 6 4 3 2 4" xfId="18021" xr:uid="{00000000-0005-0000-0000-00006CAC0000}"/>
    <cellStyle name="Normal 58 6 4 3 2 4 2" xfId="43574" xr:uid="{00000000-0005-0000-0000-00006DAC0000}"/>
    <cellStyle name="Normal 58 6 4 3 2 5" xfId="29511" xr:uid="{00000000-0005-0000-0000-00006EAC0000}"/>
    <cellStyle name="Normal 58 6 4 3 3" xfId="5083" xr:uid="{00000000-0005-0000-0000-00006FAC0000}"/>
    <cellStyle name="Normal 58 6 4 3 3 2" xfId="13920" xr:uid="{00000000-0005-0000-0000-000070AC0000}"/>
    <cellStyle name="Normal 58 6 4 3 3 2 2" xfId="24171" xr:uid="{00000000-0005-0000-0000-000071AC0000}"/>
    <cellStyle name="Normal 58 6 4 3 3 2 2 2" xfId="49724" xr:uid="{00000000-0005-0000-0000-000072AC0000}"/>
    <cellStyle name="Normal 58 6 4 3 3 2 3" xfId="39475" xr:uid="{00000000-0005-0000-0000-000073AC0000}"/>
    <cellStyle name="Normal 58 6 4 3 3 3" xfId="10341" xr:uid="{00000000-0005-0000-0000-000074AC0000}"/>
    <cellStyle name="Normal 58 6 4 3 3 3 2" xfId="35898" xr:uid="{00000000-0005-0000-0000-000075AC0000}"/>
    <cellStyle name="Normal 58 6 4 3 3 4" xfId="19164" xr:uid="{00000000-0005-0000-0000-000076AC0000}"/>
    <cellStyle name="Normal 58 6 4 3 3 4 2" xfId="44717" xr:uid="{00000000-0005-0000-0000-000077AC0000}"/>
    <cellStyle name="Normal 58 6 4 3 3 5" xfId="30654" xr:uid="{00000000-0005-0000-0000-000078AC0000}"/>
    <cellStyle name="Normal 58 6 4 3 4" xfId="2067" xr:uid="{00000000-0005-0000-0000-000079AC0000}"/>
    <cellStyle name="Normal 58 6 4 3 4 2" xfId="11432" xr:uid="{00000000-0005-0000-0000-00007AAC0000}"/>
    <cellStyle name="Normal 58 6 4 3 4 2 2" xfId="36987" xr:uid="{00000000-0005-0000-0000-00007BAC0000}"/>
    <cellStyle name="Normal 58 6 4 3 4 3" xfId="21436" xr:uid="{00000000-0005-0000-0000-00007CAC0000}"/>
    <cellStyle name="Normal 58 6 4 3 4 3 2" xfId="46989" xr:uid="{00000000-0005-0000-0000-00007DAC0000}"/>
    <cellStyle name="Normal 58 6 4 3 4 4" xfId="27919" xr:uid="{00000000-0005-0000-0000-00007EAC0000}"/>
    <cellStyle name="Normal 58 6 4 3 5" xfId="6538" xr:uid="{00000000-0005-0000-0000-00007FAC0000}"/>
    <cellStyle name="Normal 58 6 4 3 5 2" xfId="15365" xr:uid="{00000000-0005-0000-0000-000080AC0000}"/>
    <cellStyle name="Normal 58 6 4 3 5 2 2" xfId="40920" xr:uid="{00000000-0005-0000-0000-000081AC0000}"/>
    <cellStyle name="Normal 58 6 4 3 5 3" xfId="25616" xr:uid="{00000000-0005-0000-0000-000082AC0000}"/>
    <cellStyle name="Normal 58 6 4 3 5 3 2" xfId="51169" xr:uid="{00000000-0005-0000-0000-000083AC0000}"/>
    <cellStyle name="Normal 58 6 4 3 5 4" xfId="32099" xr:uid="{00000000-0005-0000-0000-000084AC0000}"/>
    <cellStyle name="Normal 58 6 4 3 6" xfId="7984" xr:uid="{00000000-0005-0000-0000-000085AC0000}"/>
    <cellStyle name="Normal 58 6 4 3 6 2" xfId="20627" xr:uid="{00000000-0005-0000-0000-000086AC0000}"/>
    <cellStyle name="Normal 58 6 4 3 6 2 2" xfId="46180" xr:uid="{00000000-0005-0000-0000-000087AC0000}"/>
    <cellStyle name="Normal 58 6 4 3 6 3" xfId="33541" xr:uid="{00000000-0005-0000-0000-000088AC0000}"/>
    <cellStyle name="Normal 58 6 4 3 7" xfId="16429" xr:uid="{00000000-0005-0000-0000-000089AC0000}"/>
    <cellStyle name="Normal 58 6 4 3 7 2" xfId="41982" xr:uid="{00000000-0005-0000-0000-00008AAC0000}"/>
    <cellStyle name="Normal 58 6 4 3 8" xfId="27110" xr:uid="{00000000-0005-0000-0000-00008BAC0000}"/>
    <cellStyle name="Normal 58 6 4 4" xfId="2958" xr:uid="{00000000-0005-0000-0000-00008CAC0000}"/>
    <cellStyle name="Normal 58 6 4 4 2" xfId="5336" xr:uid="{00000000-0005-0000-0000-00008DAC0000}"/>
    <cellStyle name="Normal 58 6 4 4 2 2" xfId="14173" xr:uid="{00000000-0005-0000-0000-00008EAC0000}"/>
    <cellStyle name="Normal 58 6 4 4 2 2 2" xfId="24424" xr:uid="{00000000-0005-0000-0000-00008FAC0000}"/>
    <cellStyle name="Normal 58 6 4 4 2 2 2 2" xfId="49977" xr:uid="{00000000-0005-0000-0000-000090AC0000}"/>
    <cellStyle name="Normal 58 6 4 4 2 2 3" xfId="39728" xr:uid="{00000000-0005-0000-0000-000091AC0000}"/>
    <cellStyle name="Normal 58 6 4 4 2 3" xfId="10594" xr:uid="{00000000-0005-0000-0000-000092AC0000}"/>
    <cellStyle name="Normal 58 6 4 4 2 3 2" xfId="36151" xr:uid="{00000000-0005-0000-0000-000093AC0000}"/>
    <cellStyle name="Normal 58 6 4 4 2 4" xfId="19417" xr:uid="{00000000-0005-0000-0000-000094AC0000}"/>
    <cellStyle name="Normal 58 6 4 4 2 4 2" xfId="44970" xr:uid="{00000000-0005-0000-0000-000095AC0000}"/>
    <cellStyle name="Normal 58 6 4 4 2 5" xfId="30907" xr:uid="{00000000-0005-0000-0000-000096AC0000}"/>
    <cellStyle name="Normal 58 6 4 4 3" xfId="6791" xr:uid="{00000000-0005-0000-0000-000097AC0000}"/>
    <cellStyle name="Normal 58 6 4 4 3 2" xfId="15618" xr:uid="{00000000-0005-0000-0000-000098AC0000}"/>
    <cellStyle name="Normal 58 6 4 4 3 2 2" xfId="41173" xr:uid="{00000000-0005-0000-0000-000099AC0000}"/>
    <cellStyle name="Normal 58 6 4 4 3 3" xfId="25869" xr:uid="{00000000-0005-0000-0000-00009AAC0000}"/>
    <cellStyle name="Normal 58 6 4 4 3 3 2" xfId="51422" xr:uid="{00000000-0005-0000-0000-00009BAC0000}"/>
    <cellStyle name="Normal 58 6 4 4 3 4" xfId="32352" xr:uid="{00000000-0005-0000-0000-00009CAC0000}"/>
    <cellStyle name="Normal 58 6 4 4 4" xfId="8237" xr:uid="{00000000-0005-0000-0000-00009DAC0000}"/>
    <cellStyle name="Normal 58 6 4 4 4 2" xfId="22319" xr:uid="{00000000-0005-0000-0000-00009EAC0000}"/>
    <cellStyle name="Normal 58 6 4 4 4 2 2" xfId="47872" xr:uid="{00000000-0005-0000-0000-00009FAC0000}"/>
    <cellStyle name="Normal 58 6 4 4 4 3" xfId="33794" xr:uid="{00000000-0005-0000-0000-0000A0AC0000}"/>
    <cellStyle name="Normal 58 6 4 4 5" xfId="17312" xr:uid="{00000000-0005-0000-0000-0000A1AC0000}"/>
    <cellStyle name="Normal 58 6 4 4 5 2" xfId="42865" xr:uid="{00000000-0005-0000-0000-0000A2AC0000}"/>
    <cellStyle name="Normal 58 6 4 4 6" xfId="28802" xr:uid="{00000000-0005-0000-0000-0000A3AC0000}"/>
    <cellStyle name="Normal 58 6 4 5" xfId="4292" xr:uid="{00000000-0005-0000-0000-0000A4AC0000}"/>
    <cellStyle name="Normal 58 6 4 5 2" xfId="13130" xr:uid="{00000000-0005-0000-0000-0000A5AC0000}"/>
    <cellStyle name="Normal 58 6 4 5 2 2" xfId="23381" xr:uid="{00000000-0005-0000-0000-0000A6AC0000}"/>
    <cellStyle name="Normal 58 6 4 5 2 2 2" xfId="48934" xr:uid="{00000000-0005-0000-0000-0000A7AC0000}"/>
    <cellStyle name="Normal 58 6 4 5 2 3" xfId="38685" xr:uid="{00000000-0005-0000-0000-0000A8AC0000}"/>
    <cellStyle name="Normal 58 6 4 5 3" xfId="9551" xr:uid="{00000000-0005-0000-0000-0000A9AC0000}"/>
    <cellStyle name="Normal 58 6 4 5 3 2" xfId="35108" xr:uid="{00000000-0005-0000-0000-0000AAAC0000}"/>
    <cellStyle name="Normal 58 6 4 5 4" xfId="18374" xr:uid="{00000000-0005-0000-0000-0000ABAC0000}"/>
    <cellStyle name="Normal 58 6 4 5 4 2" xfId="43927" xr:uid="{00000000-0005-0000-0000-0000ACAC0000}"/>
    <cellStyle name="Normal 58 6 4 5 5" xfId="29864" xr:uid="{00000000-0005-0000-0000-0000ADAC0000}"/>
    <cellStyle name="Normal 58 6 4 6" xfId="1564" xr:uid="{00000000-0005-0000-0000-0000AEAC0000}"/>
    <cellStyle name="Normal 58 6 4 6 2" xfId="10941" xr:uid="{00000000-0005-0000-0000-0000AFAC0000}"/>
    <cellStyle name="Normal 58 6 4 6 2 2" xfId="36496" xr:uid="{00000000-0005-0000-0000-0000B0AC0000}"/>
    <cellStyle name="Normal 58 6 4 6 3" xfId="20945" xr:uid="{00000000-0005-0000-0000-0000B1AC0000}"/>
    <cellStyle name="Normal 58 6 4 6 3 2" xfId="46498" xr:uid="{00000000-0005-0000-0000-0000B2AC0000}"/>
    <cellStyle name="Normal 58 6 4 6 4" xfId="27428" xr:uid="{00000000-0005-0000-0000-0000B3AC0000}"/>
    <cellStyle name="Normal 58 6 4 7" xfId="5748" xr:uid="{00000000-0005-0000-0000-0000B4AC0000}"/>
    <cellStyle name="Normal 58 6 4 7 2" xfId="14575" xr:uid="{00000000-0005-0000-0000-0000B5AC0000}"/>
    <cellStyle name="Normal 58 6 4 7 2 2" xfId="40130" xr:uid="{00000000-0005-0000-0000-0000B6AC0000}"/>
    <cellStyle name="Normal 58 6 4 7 3" xfId="24826" xr:uid="{00000000-0005-0000-0000-0000B7AC0000}"/>
    <cellStyle name="Normal 58 6 4 7 3 2" xfId="50379" xr:uid="{00000000-0005-0000-0000-0000B8AC0000}"/>
    <cellStyle name="Normal 58 6 4 7 4" xfId="31309" xr:uid="{00000000-0005-0000-0000-0000B9AC0000}"/>
    <cellStyle name="Normal 58 6 4 8" xfId="7192" xr:uid="{00000000-0005-0000-0000-0000BAAC0000}"/>
    <cellStyle name="Normal 58 6 4 8 2" xfId="19918" xr:uid="{00000000-0005-0000-0000-0000BBAC0000}"/>
    <cellStyle name="Normal 58 6 4 8 2 2" xfId="45471" xr:uid="{00000000-0005-0000-0000-0000BCAC0000}"/>
    <cellStyle name="Normal 58 6 4 8 3" xfId="32749" xr:uid="{00000000-0005-0000-0000-0000BDAC0000}"/>
    <cellStyle name="Normal 58 6 4 9" xfId="15938" xr:uid="{00000000-0005-0000-0000-0000BEAC0000}"/>
    <cellStyle name="Normal 58 6 4 9 2" xfId="41491" xr:uid="{00000000-0005-0000-0000-0000BFAC0000}"/>
    <cellStyle name="Normal 58 6 4_Degree data" xfId="4026" xr:uid="{00000000-0005-0000-0000-0000C0AC0000}"/>
    <cellStyle name="Normal 58 6 5" xfId="313" xr:uid="{00000000-0005-0000-0000-0000C1AC0000}"/>
    <cellStyle name="Normal 58 6 5 2" xfId="2799" xr:uid="{00000000-0005-0000-0000-0000C2AC0000}"/>
    <cellStyle name="Normal 58 6 5 2 2" xfId="12103" xr:uid="{00000000-0005-0000-0000-0000C3AC0000}"/>
    <cellStyle name="Normal 58 6 5 2 2 2" xfId="22160" xr:uid="{00000000-0005-0000-0000-0000C4AC0000}"/>
    <cellStyle name="Normal 58 6 5 2 2 2 2" xfId="47713" xr:uid="{00000000-0005-0000-0000-0000C5AC0000}"/>
    <cellStyle name="Normal 58 6 5 2 2 3" xfId="37658" xr:uid="{00000000-0005-0000-0000-0000C6AC0000}"/>
    <cellStyle name="Normal 58 6 5 2 3" xfId="8622" xr:uid="{00000000-0005-0000-0000-0000C7AC0000}"/>
    <cellStyle name="Normal 58 6 5 2 3 2" xfId="34179" xr:uid="{00000000-0005-0000-0000-0000C8AC0000}"/>
    <cellStyle name="Normal 58 6 5 2 4" xfId="17153" xr:uid="{00000000-0005-0000-0000-0000C9AC0000}"/>
    <cellStyle name="Normal 58 6 5 2 4 2" xfId="42706" xr:uid="{00000000-0005-0000-0000-0000CAAC0000}"/>
    <cellStyle name="Normal 58 6 5 2 5" xfId="28643" xr:uid="{00000000-0005-0000-0000-0000CBAC0000}"/>
    <cellStyle name="Normal 58 6 5 3" xfId="4729" xr:uid="{00000000-0005-0000-0000-0000CCAC0000}"/>
    <cellStyle name="Normal 58 6 5 3 2" xfId="13567" xr:uid="{00000000-0005-0000-0000-0000CDAC0000}"/>
    <cellStyle name="Normal 58 6 5 3 2 2" xfId="23818" xr:uid="{00000000-0005-0000-0000-0000CEAC0000}"/>
    <cellStyle name="Normal 58 6 5 3 2 2 2" xfId="49371" xr:uid="{00000000-0005-0000-0000-0000CFAC0000}"/>
    <cellStyle name="Normal 58 6 5 3 2 3" xfId="39122" xr:uid="{00000000-0005-0000-0000-0000D0AC0000}"/>
    <cellStyle name="Normal 58 6 5 3 3" xfId="9988" xr:uid="{00000000-0005-0000-0000-0000D1AC0000}"/>
    <cellStyle name="Normal 58 6 5 3 3 2" xfId="35545" xr:uid="{00000000-0005-0000-0000-0000D2AC0000}"/>
    <cellStyle name="Normal 58 6 5 3 4" xfId="18811" xr:uid="{00000000-0005-0000-0000-0000D3AC0000}"/>
    <cellStyle name="Normal 58 6 5 3 4 2" xfId="44364" xr:uid="{00000000-0005-0000-0000-0000D4AC0000}"/>
    <cellStyle name="Normal 58 6 5 3 5" xfId="30301" xr:uid="{00000000-0005-0000-0000-0000D5AC0000}"/>
    <cellStyle name="Normal 58 6 5 4" xfId="1908" xr:uid="{00000000-0005-0000-0000-0000D6AC0000}"/>
    <cellStyle name="Normal 58 6 5 4 2" xfId="11273" xr:uid="{00000000-0005-0000-0000-0000D7AC0000}"/>
    <cellStyle name="Normal 58 6 5 4 2 2" xfId="36828" xr:uid="{00000000-0005-0000-0000-0000D8AC0000}"/>
    <cellStyle name="Normal 58 6 5 4 3" xfId="21277" xr:uid="{00000000-0005-0000-0000-0000D9AC0000}"/>
    <cellStyle name="Normal 58 6 5 4 3 2" xfId="46830" xr:uid="{00000000-0005-0000-0000-0000DAAC0000}"/>
    <cellStyle name="Normal 58 6 5 4 4" xfId="27760" xr:uid="{00000000-0005-0000-0000-0000DBAC0000}"/>
    <cellStyle name="Normal 58 6 5 5" xfId="6185" xr:uid="{00000000-0005-0000-0000-0000DCAC0000}"/>
    <cellStyle name="Normal 58 6 5 5 2" xfId="15012" xr:uid="{00000000-0005-0000-0000-0000DDAC0000}"/>
    <cellStyle name="Normal 58 6 5 5 2 2" xfId="40567" xr:uid="{00000000-0005-0000-0000-0000DEAC0000}"/>
    <cellStyle name="Normal 58 6 5 5 3" xfId="25263" xr:uid="{00000000-0005-0000-0000-0000DFAC0000}"/>
    <cellStyle name="Normal 58 6 5 5 3 2" xfId="50816" xr:uid="{00000000-0005-0000-0000-0000E0AC0000}"/>
    <cellStyle name="Normal 58 6 5 5 4" xfId="31746" xr:uid="{00000000-0005-0000-0000-0000E1AC0000}"/>
    <cellStyle name="Normal 58 6 5 6" xfId="7630" xr:uid="{00000000-0005-0000-0000-0000E2AC0000}"/>
    <cellStyle name="Normal 58 6 5 6 2" xfId="19759" xr:uid="{00000000-0005-0000-0000-0000E3AC0000}"/>
    <cellStyle name="Normal 58 6 5 6 2 2" xfId="45312" xr:uid="{00000000-0005-0000-0000-0000E4AC0000}"/>
    <cellStyle name="Normal 58 6 5 6 3" xfId="33187" xr:uid="{00000000-0005-0000-0000-0000E5AC0000}"/>
    <cellStyle name="Normal 58 6 5 7" xfId="16270" xr:uid="{00000000-0005-0000-0000-0000E6AC0000}"/>
    <cellStyle name="Normal 58 6 5 7 2" xfId="41823" xr:uid="{00000000-0005-0000-0000-0000E7AC0000}"/>
    <cellStyle name="Normal 58 6 5 8" xfId="26242" xr:uid="{00000000-0005-0000-0000-0000E8AC0000}"/>
    <cellStyle name="Normal 58 6 6" xfId="915" xr:uid="{00000000-0005-0000-0000-0000E9AC0000}"/>
    <cellStyle name="Normal 58 6 6 2" xfId="3400" xr:uid="{00000000-0005-0000-0000-0000EAAC0000}"/>
    <cellStyle name="Normal 58 6 6 2 2" xfId="12542" xr:uid="{00000000-0005-0000-0000-0000EBAC0000}"/>
    <cellStyle name="Normal 58 6 6 2 2 2" xfId="22761" xr:uid="{00000000-0005-0000-0000-0000ECAC0000}"/>
    <cellStyle name="Normal 58 6 6 2 2 2 2" xfId="48314" xr:uid="{00000000-0005-0000-0000-0000EDAC0000}"/>
    <cellStyle name="Normal 58 6 6 2 2 3" xfId="38097" xr:uid="{00000000-0005-0000-0000-0000EEAC0000}"/>
    <cellStyle name="Normal 58 6 6 2 3" xfId="8964" xr:uid="{00000000-0005-0000-0000-0000EFAC0000}"/>
    <cellStyle name="Normal 58 6 6 2 3 2" xfId="34521" xr:uid="{00000000-0005-0000-0000-0000F0AC0000}"/>
    <cellStyle name="Normal 58 6 6 2 4" xfId="17754" xr:uid="{00000000-0005-0000-0000-0000F1AC0000}"/>
    <cellStyle name="Normal 58 6 6 2 4 2" xfId="43307" xr:uid="{00000000-0005-0000-0000-0000F2AC0000}"/>
    <cellStyle name="Normal 58 6 6 2 5" xfId="29244" xr:uid="{00000000-0005-0000-0000-0000F3AC0000}"/>
    <cellStyle name="Normal 58 6 6 3" xfId="5078" xr:uid="{00000000-0005-0000-0000-0000F4AC0000}"/>
    <cellStyle name="Normal 58 6 6 3 2" xfId="13915" xr:uid="{00000000-0005-0000-0000-0000F5AC0000}"/>
    <cellStyle name="Normal 58 6 6 3 2 2" xfId="24166" xr:uid="{00000000-0005-0000-0000-0000F6AC0000}"/>
    <cellStyle name="Normal 58 6 6 3 2 2 2" xfId="49719" xr:uid="{00000000-0005-0000-0000-0000F7AC0000}"/>
    <cellStyle name="Normal 58 6 6 3 2 3" xfId="39470" xr:uid="{00000000-0005-0000-0000-0000F8AC0000}"/>
    <cellStyle name="Normal 58 6 6 3 3" xfId="10336" xr:uid="{00000000-0005-0000-0000-0000F9AC0000}"/>
    <cellStyle name="Normal 58 6 6 3 3 2" xfId="35893" xr:uid="{00000000-0005-0000-0000-0000FAAC0000}"/>
    <cellStyle name="Normal 58 6 6 3 4" xfId="19159" xr:uid="{00000000-0005-0000-0000-0000FBAC0000}"/>
    <cellStyle name="Normal 58 6 6 3 4 2" xfId="44712" xr:uid="{00000000-0005-0000-0000-0000FCAC0000}"/>
    <cellStyle name="Normal 58 6 6 3 5" xfId="30649" xr:uid="{00000000-0005-0000-0000-0000FDAC0000}"/>
    <cellStyle name="Normal 58 6 6 4" xfId="2509" xr:uid="{00000000-0005-0000-0000-0000FEAC0000}"/>
    <cellStyle name="Normal 58 6 6 4 2" xfId="11874" xr:uid="{00000000-0005-0000-0000-0000FFAC0000}"/>
    <cellStyle name="Normal 58 6 6 4 2 2" xfId="37429" xr:uid="{00000000-0005-0000-0000-000000AD0000}"/>
    <cellStyle name="Normal 58 6 6 4 3" xfId="21878" xr:uid="{00000000-0005-0000-0000-000001AD0000}"/>
    <cellStyle name="Normal 58 6 6 4 3 2" xfId="47431" xr:uid="{00000000-0005-0000-0000-000002AD0000}"/>
    <cellStyle name="Normal 58 6 6 4 4" xfId="28361" xr:uid="{00000000-0005-0000-0000-000003AD0000}"/>
    <cellStyle name="Normal 58 6 6 5" xfId="6533" xr:uid="{00000000-0005-0000-0000-000004AD0000}"/>
    <cellStyle name="Normal 58 6 6 5 2" xfId="15360" xr:uid="{00000000-0005-0000-0000-000005AD0000}"/>
    <cellStyle name="Normal 58 6 6 5 2 2" xfId="40915" xr:uid="{00000000-0005-0000-0000-000006AD0000}"/>
    <cellStyle name="Normal 58 6 6 5 3" xfId="25611" xr:uid="{00000000-0005-0000-0000-000007AD0000}"/>
    <cellStyle name="Normal 58 6 6 5 3 2" xfId="51164" xr:uid="{00000000-0005-0000-0000-000008AD0000}"/>
    <cellStyle name="Normal 58 6 6 5 4" xfId="32094" xr:uid="{00000000-0005-0000-0000-000009AD0000}"/>
    <cellStyle name="Normal 58 6 6 6" xfId="7979" xr:uid="{00000000-0005-0000-0000-00000AAD0000}"/>
    <cellStyle name="Normal 58 6 6 6 2" xfId="20360" xr:uid="{00000000-0005-0000-0000-00000BAD0000}"/>
    <cellStyle name="Normal 58 6 6 6 2 2" xfId="45913" xr:uid="{00000000-0005-0000-0000-00000CAD0000}"/>
    <cellStyle name="Normal 58 6 6 6 3" xfId="33536" xr:uid="{00000000-0005-0000-0000-00000DAD0000}"/>
    <cellStyle name="Normal 58 6 6 7" xfId="16871" xr:uid="{00000000-0005-0000-0000-00000EAD0000}"/>
    <cellStyle name="Normal 58 6 6 7 2" xfId="42424" xr:uid="{00000000-0005-0000-0000-00000FAD0000}"/>
    <cellStyle name="Normal 58 6 6 8" xfId="26843" xr:uid="{00000000-0005-0000-0000-000010AD0000}"/>
    <cellStyle name="Normal 58 6 7" xfId="1085" xr:uid="{00000000-0005-0000-0000-000011AD0000}"/>
    <cellStyle name="Normal 58 6 7 2" xfId="3514" xr:uid="{00000000-0005-0000-0000-000012AD0000}"/>
    <cellStyle name="Normal 58 6 7 2 2" xfId="12650" xr:uid="{00000000-0005-0000-0000-000013AD0000}"/>
    <cellStyle name="Normal 58 6 7 2 2 2" xfId="22869" xr:uid="{00000000-0005-0000-0000-000014AD0000}"/>
    <cellStyle name="Normal 58 6 7 2 2 2 2" xfId="48422" xr:uid="{00000000-0005-0000-0000-000015AD0000}"/>
    <cellStyle name="Normal 58 6 7 2 2 3" xfId="38205" xr:uid="{00000000-0005-0000-0000-000016AD0000}"/>
    <cellStyle name="Normal 58 6 7 2 3" xfId="9072" xr:uid="{00000000-0005-0000-0000-000017AD0000}"/>
    <cellStyle name="Normal 58 6 7 2 3 2" xfId="34629" xr:uid="{00000000-0005-0000-0000-000018AD0000}"/>
    <cellStyle name="Normal 58 6 7 2 4" xfId="17862" xr:uid="{00000000-0005-0000-0000-000019AD0000}"/>
    <cellStyle name="Normal 58 6 7 2 4 2" xfId="43415" xr:uid="{00000000-0005-0000-0000-00001AAD0000}"/>
    <cellStyle name="Normal 58 6 7 2 5" xfId="29352" xr:uid="{00000000-0005-0000-0000-00001BAD0000}"/>
    <cellStyle name="Normal 58 6 7 3" xfId="5177" xr:uid="{00000000-0005-0000-0000-00001CAD0000}"/>
    <cellStyle name="Normal 58 6 7 3 2" xfId="14014" xr:uid="{00000000-0005-0000-0000-00001DAD0000}"/>
    <cellStyle name="Normal 58 6 7 3 2 2" xfId="24265" xr:uid="{00000000-0005-0000-0000-00001EAD0000}"/>
    <cellStyle name="Normal 58 6 7 3 2 2 2" xfId="49818" xr:uid="{00000000-0005-0000-0000-00001FAD0000}"/>
    <cellStyle name="Normal 58 6 7 3 2 3" xfId="39569" xr:uid="{00000000-0005-0000-0000-000020AD0000}"/>
    <cellStyle name="Normal 58 6 7 3 3" xfId="10435" xr:uid="{00000000-0005-0000-0000-000021AD0000}"/>
    <cellStyle name="Normal 58 6 7 3 3 2" xfId="35992" xr:uid="{00000000-0005-0000-0000-000022AD0000}"/>
    <cellStyle name="Normal 58 6 7 3 4" xfId="19258" xr:uid="{00000000-0005-0000-0000-000023AD0000}"/>
    <cellStyle name="Normal 58 6 7 3 4 2" xfId="44811" xr:uid="{00000000-0005-0000-0000-000024AD0000}"/>
    <cellStyle name="Normal 58 6 7 3 5" xfId="30748" xr:uid="{00000000-0005-0000-0000-000025AD0000}"/>
    <cellStyle name="Normal 58 6 7 4" xfId="1743" xr:uid="{00000000-0005-0000-0000-000026AD0000}"/>
    <cellStyle name="Normal 58 6 7 4 2" xfId="11114" xr:uid="{00000000-0005-0000-0000-000027AD0000}"/>
    <cellStyle name="Normal 58 6 7 4 2 2" xfId="36669" xr:uid="{00000000-0005-0000-0000-000028AD0000}"/>
    <cellStyle name="Normal 58 6 7 4 3" xfId="21118" xr:uid="{00000000-0005-0000-0000-000029AD0000}"/>
    <cellStyle name="Normal 58 6 7 4 3 2" xfId="46671" xr:uid="{00000000-0005-0000-0000-00002AAD0000}"/>
    <cellStyle name="Normal 58 6 7 4 4" xfId="27601" xr:uid="{00000000-0005-0000-0000-00002BAD0000}"/>
    <cellStyle name="Normal 58 6 7 5" xfId="6632" xr:uid="{00000000-0005-0000-0000-00002CAD0000}"/>
    <cellStyle name="Normal 58 6 7 5 2" xfId="15459" xr:uid="{00000000-0005-0000-0000-00002DAD0000}"/>
    <cellStyle name="Normal 58 6 7 5 2 2" xfId="41014" xr:uid="{00000000-0005-0000-0000-00002EAD0000}"/>
    <cellStyle name="Normal 58 6 7 5 3" xfId="25710" xr:uid="{00000000-0005-0000-0000-00002FAD0000}"/>
    <cellStyle name="Normal 58 6 7 5 3 2" xfId="51263" xr:uid="{00000000-0005-0000-0000-000030AD0000}"/>
    <cellStyle name="Normal 58 6 7 5 4" xfId="32193" xr:uid="{00000000-0005-0000-0000-000031AD0000}"/>
    <cellStyle name="Normal 58 6 7 6" xfId="8078" xr:uid="{00000000-0005-0000-0000-000032AD0000}"/>
    <cellStyle name="Normal 58 6 7 6 2" xfId="20468" xr:uid="{00000000-0005-0000-0000-000033AD0000}"/>
    <cellStyle name="Normal 58 6 7 6 2 2" xfId="46021" xr:uid="{00000000-0005-0000-0000-000034AD0000}"/>
    <cellStyle name="Normal 58 6 7 6 3" xfId="33635" xr:uid="{00000000-0005-0000-0000-000035AD0000}"/>
    <cellStyle name="Normal 58 6 7 7" xfId="16111" xr:uid="{00000000-0005-0000-0000-000036AD0000}"/>
    <cellStyle name="Normal 58 6 7 7 2" xfId="41664" xr:uid="{00000000-0005-0000-0000-000037AD0000}"/>
    <cellStyle name="Normal 58 6 7 8" xfId="26951" xr:uid="{00000000-0005-0000-0000-000038AD0000}"/>
    <cellStyle name="Normal 58 6 8" xfId="2641" xr:uid="{00000000-0005-0000-0000-000039AD0000}"/>
    <cellStyle name="Normal 58 6 8 2" xfId="5589" xr:uid="{00000000-0005-0000-0000-00003AAD0000}"/>
    <cellStyle name="Normal 58 6 8 2 2" xfId="14416" xr:uid="{00000000-0005-0000-0000-00003BAD0000}"/>
    <cellStyle name="Normal 58 6 8 2 2 2" xfId="39971" xr:uid="{00000000-0005-0000-0000-00003CAD0000}"/>
    <cellStyle name="Normal 58 6 8 2 3" xfId="24667" xr:uid="{00000000-0005-0000-0000-00003DAD0000}"/>
    <cellStyle name="Normal 58 6 8 2 3 2" xfId="50220" xr:uid="{00000000-0005-0000-0000-00003EAD0000}"/>
    <cellStyle name="Normal 58 6 8 2 4" xfId="31150" xr:uid="{00000000-0005-0000-0000-00003FAD0000}"/>
    <cellStyle name="Normal 58 6 8 3" xfId="7033" xr:uid="{00000000-0005-0000-0000-000040AD0000}"/>
    <cellStyle name="Normal 58 6 8 3 2" xfId="22002" xr:uid="{00000000-0005-0000-0000-000041AD0000}"/>
    <cellStyle name="Normal 58 6 8 3 2 2" xfId="47555" xr:uid="{00000000-0005-0000-0000-000042AD0000}"/>
    <cellStyle name="Normal 58 6 8 3 3" xfId="32590" xr:uid="{00000000-0005-0000-0000-000043AD0000}"/>
    <cellStyle name="Normal 58 6 8 4" xfId="16995" xr:uid="{00000000-0005-0000-0000-000044AD0000}"/>
    <cellStyle name="Normal 58 6 8 4 2" xfId="42548" xr:uid="{00000000-0005-0000-0000-000045AD0000}"/>
    <cellStyle name="Normal 58 6 8 5" xfId="28485" xr:uid="{00000000-0005-0000-0000-000046AD0000}"/>
    <cellStyle name="Normal 58 6 9" xfId="4131" xr:uid="{00000000-0005-0000-0000-000047AD0000}"/>
    <cellStyle name="Normal 58 6 9 2" xfId="12969" xr:uid="{00000000-0005-0000-0000-000048AD0000}"/>
    <cellStyle name="Normal 58 6 9 2 2" xfId="23220" xr:uid="{00000000-0005-0000-0000-000049AD0000}"/>
    <cellStyle name="Normal 58 6 9 2 2 2" xfId="48773" xr:uid="{00000000-0005-0000-0000-00004AAD0000}"/>
    <cellStyle name="Normal 58 6 9 2 3" xfId="38524" xr:uid="{00000000-0005-0000-0000-00004BAD0000}"/>
    <cellStyle name="Normal 58 6 9 3" xfId="9390" xr:uid="{00000000-0005-0000-0000-00004CAD0000}"/>
    <cellStyle name="Normal 58 6 9 3 2" xfId="34947" xr:uid="{00000000-0005-0000-0000-00004DAD0000}"/>
    <cellStyle name="Normal 58 6 9 4" xfId="18213" xr:uid="{00000000-0005-0000-0000-00004EAD0000}"/>
    <cellStyle name="Normal 58 6 9 4 2" xfId="43766" xr:uid="{00000000-0005-0000-0000-00004FAD0000}"/>
    <cellStyle name="Normal 58 6 9 5" xfId="29703" xr:uid="{00000000-0005-0000-0000-000050AD0000}"/>
    <cellStyle name="Normal 58 6_Degree data" xfId="4021" xr:uid="{00000000-0005-0000-0000-000051AD0000}"/>
    <cellStyle name="Normal 58 7" xfId="170" xr:uid="{00000000-0005-0000-0000-000052AD0000}"/>
    <cellStyle name="Normal 58 7 10" xfId="7118" xr:uid="{00000000-0005-0000-0000-000053AD0000}"/>
    <cellStyle name="Normal 58 7 10 2" xfId="19627" xr:uid="{00000000-0005-0000-0000-000054AD0000}"/>
    <cellStyle name="Normal 58 7 10 2 2" xfId="45180" xr:uid="{00000000-0005-0000-0000-000055AD0000}"/>
    <cellStyle name="Normal 58 7 10 3" xfId="32675" xr:uid="{00000000-0005-0000-0000-000056AD0000}"/>
    <cellStyle name="Normal 58 7 11" xfId="15864" xr:uid="{00000000-0005-0000-0000-000057AD0000}"/>
    <cellStyle name="Normal 58 7 11 2" xfId="41417" xr:uid="{00000000-0005-0000-0000-000058AD0000}"/>
    <cellStyle name="Normal 58 7 12" xfId="26110" xr:uid="{00000000-0005-0000-0000-000059AD0000}"/>
    <cellStyle name="Normal 58 7 2" xfId="498" xr:uid="{00000000-0005-0000-0000-00005AAD0000}"/>
    <cellStyle name="Normal 58 7 2 10" xfId="26427" xr:uid="{00000000-0005-0000-0000-00005BAD0000}"/>
    <cellStyle name="Normal 58 7 2 2" xfId="922" xr:uid="{00000000-0005-0000-0000-00005CAD0000}"/>
    <cellStyle name="Normal 58 7 2 2 2" xfId="3407" xr:uid="{00000000-0005-0000-0000-00005DAD0000}"/>
    <cellStyle name="Normal 58 7 2 2 2 2" xfId="12549" xr:uid="{00000000-0005-0000-0000-00005EAD0000}"/>
    <cellStyle name="Normal 58 7 2 2 2 2 2" xfId="22768" xr:uid="{00000000-0005-0000-0000-00005FAD0000}"/>
    <cellStyle name="Normal 58 7 2 2 2 2 2 2" xfId="48321" xr:uid="{00000000-0005-0000-0000-000060AD0000}"/>
    <cellStyle name="Normal 58 7 2 2 2 2 3" xfId="38104" xr:uid="{00000000-0005-0000-0000-000061AD0000}"/>
    <cellStyle name="Normal 58 7 2 2 2 3" xfId="8971" xr:uid="{00000000-0005-0000-0000-000062AD0000}"/>
    <cellStyle name="Normal 58 7 2 2 2 3 2" xfId="34528" xr:uid="{00000000-0005-0000-0000-000063AD0000}"/>
    <cellStyle name="Normal 58 7 2 2 2 4" xfId="17761" xr:uid="{00000000-0005-0000-0000-000064AD0000}"/>
    <cellStyle name="Normal 58 7 2 2 2 4 2" xfId="43314" xr:uid="{00000000-0005-0000-0000-000065AD0000}"/>
    <cellStyle name="Normal 58 7 2 2 2 5" xfId="29251" xr:uid="{00000000-0005-0000-0000-000066AD0000}"/>
    <cellStyle name="Normal 58 7 2 2 3" xfId="4736" xr:uid="{00000000-0005-0000-0000-000067AD0000}"/>
    <cellStyle name="Normal 58 7 2 2 3 2" xfId="13574" xr:uid="{00000000-0005-0000-0000-000068AD0000}"/>
    <cellStyle name="Normal 58 7 2 2 3 2 2" xfId="23825" xr:uid="{00000000-0005-0000-0000-000069AD0000}"/>
    <cellStyle name="Normal 58 7 2 2 3 2 2 2" xfId="49378" xr:uid="{00000000-0005-0000-0000-00006AAD0000}"/>
    <cellStyle name="Normal 58 7 2 2 3 2 3" xfId="39129" xr:uid="{00000000-0005-0000-0000-00006BAD0000}"/>
    <cellStyle name="Normal 58 7 2 2 3 3" xfId="9995" xr:uid="{00000000-0005-0000-0000-00006CAD0000}"/>
    <cellStyle name="Normal 58 7 2 2 3 3 2" xfId="35552" xr:uid="{00000000-0005-0000-0000-00006DAD0000}"/>
    <cellStyle name="Normal 58 7 2 2 3 4" xfId="18818" xr:uid="{00000000-0005-0000-0000-00006EAD0000}"/>
    <cellStyle name="Normal 58 7 2 2 3 4 2" xfId="44371" xr:uid="{00000000-0005-0000-0000-00006FAD0000}"/>
    <cellStyle name="Normal 58 7 2 2 3 5" xfId="30308" xr:uid="{00000000-0005-0000-0000-000070AD0000}"/>
    <cellStyle name="Normal 58 7 2 2 4" xfId="2516" xr:uid="{00000000-0005-0000-0000-000071AD0000}"/>
    <cellStyle name="Normal 58 7 2 2 4 2" xfId="11881" xr:uid="{00000000-0005-0000-0000-000072AD0000}"/>
    <cellStyle name="Normal 58 7 2 2 4 2 2" xfId="37436" xr:uid="{00000000-0005-0000-0000-000073AD0000}"/>
    <cellStyle name="Normal 58 7 2 2 4 3" xfId="21885" xr:uid="{00000000-0005-0000-0000-000074AD0000}"/>
    <cellStyle name="Normal 58 7 2 2 4 3 2" xfId="47438" xr:uid="{00000000-0005-0000-0000-000075AD0000}"/>
    <cellStyle name="Normal 58 7 2 2 4 4" xfId="28368" xr:uid="{00000000-0005-0000-0000-000076AD0000}"/>
    <cellStyle name="Normal 58 7 2 2 5" xfId="6192" xr:uid="{00000000-0005-0000-0000-000077AD0000}"/>
    <cellStyle name="Normal 58 7 2 2 5 2" xfId="15019" xr:uid="{00000000-0005-0000-0000-000078AD0000}"/>
    <cellStyle name="Normal 58 7 2 2 5 2 2" xfId="40574" xr:uid="{00000000-0005-0000-0000-000079AD0000}"/>
    <cellStyle name="Normal 58 7 2 2 5 3" xfId="25270" xr:uid="{00000000-0005-0000-0000-00007AAD0000}"/>
    <cellStyle name="Normal 58 7 2 2 5 3 2" xfId="50823" xr:uid="{00000000-0005-0000-0000-00007BAD0000}"/>
    <cellStyle name="Normal 58 7 2 2 5 4" xfId="31753" xr:uid="{00000000-0005-0000-0000-00007CAD0000}"/>
    <cellStyle name="Normal 58 7 2 2 6" xfId="7637" xr:uid="{00000000-0005-0000-0000-00007DAD0000}"/>
    <cellStyle name="Normal 58 7 2 2 6 2" xfId="20367" xr:uid="{00000000-0005-0000-0000-00007EAD0000}"/>
    <cellStyle name="Normal 58 7 2 2 6 2 2" xfId="45920" xr:uid="{00000000-0005-0000-0000-00007FAD0000}"/>
    <cellStyle name="Normal 58 7 2 2 6 3" xfId="33194" xr:uid="{00000000-0005-0000-0000-000080AD0000}"/>
    <cellStyle name="Normal 58 7 2 2 7" xfId="16878" xr:uid="{00000000-0005-0000-0000-000081AD0000}"/>
    <cellStyle name="Normal 58 7 2 2 7 2" xfId="42431" xr:uid="{00000000-0005-0000-0000-000082AD0000}"/>
    <cellStyle name="Normal 58 7 2 2 8" xfId="26850" xr:uid="{00000000-0005-0000-0000-000083AD0000}"/>
    <cellStyle name="Normal 58 7 2 3" xfId="1270" xr:uid="{00000000-0005-0000-0000-000084AD0000}"/>
    <cellStyle name="Normal 58 7 2 3 2" xfId="3699" xr:uid="{00000000-0005-0000-0000-000085AD0000}"/>
    <cellStyle name="Normal 58 7 2 3 2 2" xfId="12835" xr:uid="{00000000-0005-0000-0000-000086AD0000}"/>
    <cellStyle name="Normal 58 7 2 3 2 2 2" xfId="23054" xr:uid="{00000000-0005-0000-0000-000087AD0000}"/>
    <cellStyle name="Normal 58 7 2 3 2 2 2 2" xfId="48607" xr:uid="{00000000-0005-0000-0000-000088AD0000}"/>
    <cellStyle name="Normal 58 7 2 3 2 2 3" xfId="38390" xr:uid="{00000000-0005-0000-0000-000089AD0000}"/>
    <cellStyle name="Normal 58 7 2 3 2 3" xfId="9256" xr:uid="{00000000-0005-0000-0000-00008AAD0000}"/>
    <cellStyle name="Normal 58 7 2 3 2 3 2" xfId="34813" xr:uid="{00000000-0005-0000-0000-00008BAD0000}"/>
    <cellStyle name="Normal 58 7 2 3 2 4" xfId="18047" xr:uid="{00000000-0005-0000-0000-00008CAD0000}"/>
    <cellStyle name="Normal 58 7 2 3 2 4 2" xfId="43600" xr:uid="{00000000-0005-0000-0000-00008DAD0000}"/>
    <cellStyle name="Normal 58 7 2 3 2 5" xfId="29537" xr:uid="{00000000-0005-0000-0000-00008EAD0000}"/>
    <cellStyle name="Normal 58 7 2 3 3" xfId="5085" xr:uid="{00000000-0005-0000-0000-00008FAD0000}"/>
    <cellStyle name="Normal 58 7 2 3 3 2" xfId="13922" xr:uid="{00000000-0005-0000-0000-000090AD0000}"/>
    <cellStyle name="Normal 58 7 2 3 3 2 2" xfId="24173" xr:uid="{00000000-0005-0000-0000-000091AD0000}"/>
    <cellStyle name="Normal 58 7 2 3 3 2 2 2" xfId="49726" xr:uid="{00000000-0005-0000-0000-000092AD0000}"/>
    <cellStyle name="Normal 58 7 2 3 3 2 3" xfId="39477" xr:uid="{00000000-0005-0000-0000-000093AD0000}"/>
    <cellStyle name="Normal 58 7 2 3 3 3" xfId="10343" xr:uid="{00000000-0005-0000-0000-000094AD0000}"/>
    <cellStyle name="Normal 58 7 2 3 3 3 2" xfId="35900" xr:uid="{00000000-0005-0000-0000-000095AD0000}"/>
    <cellStyle name="Normal 58 7 2 3 3 4" xfId="19166" xr:uid="{00000000-0005-0000-0000-000096AD0000}"/>
    <cellStyle name="Normal 58 7 2 3 3 4 2" xfId="44719" xr:uid="{00000000-0005-0000-0000-000097AD0000}"/>
    <cellStyle name="Normal 58 7 2 3 3 5" xfId="30656" xr:uid="{00000000-0005-0000-0000-000098AD0000}"/>
    <cellStyle name="Normal 58 7 2 3 4" xfId="2093" xr:uid="{00000000-0005-0000-0000-000099AD0000}"/>
    <cellStyle name="Normal 58 7 2 3 4 2" xfId="11458" xr:uid="{00000000-0005-0000-0000-00009AAD0000}"/>
    <cellStyle name="Normal 58 7 2 3 4 2 2" xfId="37013" xr:uid="{00000000-0005-0000-0000-00009BAD0000}"/>
    <cellStyle name="Normal 58 7 2 3 4 3" xfId="21462" xr:uid="{00000000-0005-0000-0000-00009CAD0000}"/>
    <cellStyle name="Normal 58 7 2 3 4 3 2" xfId="47015" xr:uid="{00000000-0005-0000-0000-00009DAD0000}"/>
    <cellStyle name="Normal 58 7 2 3 4 4" xfId="27945" xr:uid="{00000000-0005-0000-0000-00009EAD0000}"/>
    <cellStyle name="Normal 58 7 2 3 5" xfId="6540" xr:uid="{00000000-0005-0000-0000-00009FAD0000}"/>
    <cellStyle name="Normal 58 7 2 3 5 2" xfId="15367" xr:uid="{00000000-0005-0000-0000-0000A0AD0000}"/>
    <cellStyle name="Normal 58 7 2 3 5 2 2" xfId="40922" xr:uid="{00000000-0005-0000-0000-0000A1AD0000}"/>
    <cellStyle name="Normal 58 7 2 3 5 3" xfId="25618" xr:uid="{00000000-0005-0000-0000-0000A2AD0000}"/>
    <cellStyle name="Normal 58 7 2 3 5 3 2" xfId="51171" xr:uid="{00000000-0005-0000-0000-0000A3AD0000}"/>
    <cellStyle name="Normal 58 7 2 3 5 4" xfId="32101" xr:uid="{00000000-0005-0000-0000-0000A4AD0000}"/>
    <cellStyle name="Normal 58 7 2 3 6" xfId="7986" xr:uid="{00000000-0005-0000-0000-0000A5AD0000}"/>
    <cellStyle name="Normal 58 7 2 3 6 2" xfId="20653" xr:uid="{00000000-0005-0000-0000-0000A6AD0000}"/>
    <cellStyle name="Normal 58 7 2 3 6 2 2" xfId="46206" xr:uid="{00000000-0005-0000-0000-0000A7AD0000}"/>
    <cellStyle name="Normal 58 7 2 3 6 3" xfId="33543" xr:uid="{00000000-0005-0000-0000-0000A8AD0000}"/>
    <cellStyle name="Normal 58 7 2 3 7" xfId="16455" xr:uid="{00000000-0005-0000-0000-0000A9AD0000}"/>
    <cellStyle name="Normal 58 7 2 3 7 2" xfId="42008" xr:uid="{00000000-0005-0000-0000-0000AAAD0000}"/>
    <cellStyle name="Normal 58 7 2 3 8" xfId="27136" xr:uid="{00000000-0005-0000-0000-0000ABAD0000}"/>
    <cellStyle name="Normal 58 7 2 4" xfId="2984" xr:uid="{00000000-0005-0000-0000-0000ACAD0000}"/>
    <cellStyle name="Normal 58 7 2 4 2" xfId="5362" xr:uid="{00000000-0005-0000-0000-0000ADAD0000}"/>
    <cellStyle name="Normal 58 7 2 4 2 2" xfId="14199" xr:uid="{00000000-0005-0000-0000-0000AEAD0000}"/>
    <cellStyle name="Normal 58 7 2 4 2 2 2" xfId="24450" xr:uid="{00000000-0005-0000-0000-0000AFAD0000}"/>
    <cellStyle name="Normal 58 7 2 4 2 2 2 2" xfId="50003" xr:uid="{00000000-0005-0000-0000-0000B0AD0000}"/>
    <cellStyle name="Normal 58 7 2 4 2 2 3" xfId="39754" xr:uid="{00000000-0005-0000-0000-0000B1AD0000}"/>
    <cellStyle name="Normal 58 7 2 4 2 3" xfId="10620" xr:uid="{00000000-0005-0000-0000-0000B2AD0000}"/>
    <cellStyle name="Normal 58 7 2 4 2 3 2" xfId="36177" xr:uid="{00000000-0005-0000-0000-0000B3AD0000}"/>
    <cellStyle name="Normal 58 7 2 4 2 4" xfId="19443" xr:uid="{00000000-0005-0000-0000-0000B4AD0000}"/>
    <cellStyle name="Normal 58 7 2 4 2 4 2" xfId="44996" xr:uid="{00000000-0005-0000-0000-0000B5AD0000}"/>
    <cellStyle name="Normal 58 7 2 4 2 5" xfId="30933" xr:uid="{00000000-0005-0000-0000-0000B6AD0000}"/>
    <cellStyle name="Normal 58 7 2 4 3" xfId="6817" xr:uid="{00000000-0005-0000-0000-0000B7AD0000}"/>
    <cellStyle name="Normal 58 7 2 4 3 2" xfId="15644" xr:uid="{00000000-0005-0000-0000-0000B8AD0000}"/>
    <cellStyle name="Normal 58 7 2 4 3 2 2" xfId="41199" xr:uid="{00000000-0005-0000-0000-0000B9AD0000}"/>
    <cellStyle name="Normal 58 7 2 4 3 3" xfId="25895" xr:uid="{00000000-0005-0000-0000-0000BAAD0000}"/>
    <cellStyle name="Normal 58 7 2 4 3 3 2" xfId="51448" xr:uid="{00000000-0005-0000-0000-0000BBAD0000}"/>
    <cellStyle name="Normal 58 7 2 4 3 4" xfId="32378" xr:uid="{00000000-0005-0000-0000-0000BCAD0000}"/>
    <cellStyle name="Normal 58 7 2 4 4" xfId="8263" xr:uid="{00000000-0005-0000-0000-0000BDAD0000}"/>
    <cellStyle name="Normal 58 7 2 4 4 2" xfId="22345" xr:uid="{00000000-0005-0000-0000-0000BEAD0000}"/>
    <cellStyle name="Normal 58 7 2 4 4 2 2" xfId="47898" xr:uid="{00000000-0005-0000-0000-0000BFAD0000}"/>
    <cellStyle name="Normal 58 7 2 4 4 3" xfId="33820" xr:uid="{00000000-0005-0000-0000-0000C0AD0000}"/>
    <cellStyle name="Normal 58 7 2 4 5" xfId="17338" xr:uid="{00000000-0005-0000-0000-0000C1AD0000}"/>
    <cellStyle name="Normal 58 7 2 4 5 2" xfId="42891" xr:uid="{00000000-0005-0000-0000-0000C2AD0000}"/>
    <cellStyle name="Normal 58 7 2 4 6" xfId="28828" xr:uid="{00000000-0005-0000-0000-0000C3AD0000}"/>
    <cellStyle name="Normal 58 7 2 5" xfId="4318" xr:uid="{00000000-0005-0000-0000-0000C4AD0000}"/>
    <cellStyle name="Normal 58 7 2 5 2" xfId="13156" xr:uid="{00000000-0005-0000-0000-0000C5AD0000}"/>
    <cellStyle name="Normal 58 7 2 5 2 2" xfId="23407" xr:uid="{00000000-0005-0000-0000-0000C6AD0000}"/>
    <cellStyle name="Normal 58 7 2 5 2 2 2" xfId="48960" xr:uid="{00000000-0005-0000-0000-0000C7AD0000}"/>
    <cellStyle name="Normal 58 7 2 5 2 3" xfId="38711" xr:uid="{00000000-0005-0000-0000-0000C8AD0000}"/>
    <cellStyle name="Normal 58 7 2 5 3" xfId="9577" xr:uid="{00000000-0005-0000-0000-0000C9AD0000}"/>
    <cellStyle name="Normal 58 7 2 5 3 2" xfId="35134" xr:uid="{00000000-0005-0000-0000-0000CAAD0000}"/>
    <cellStyle name="Normal 58 7 2 5 4" xfId="18400" xr:uid="{00000000-0005-0000-0000-0000CBAD0000}"/>
    <cellStyle name="Normal 58 7 2 5 4 2" xfId="43953" xr:uid="{00000000-0005-0000-0000-0000CCAD0000}"/>
    <cellStyle name="Normal 58 7 2 5 5" xfId="29890" xr:uid="{00000000-0005-0000-0000-0000CDAD0000}"/>
    <cellStyle name="Normal 58 7 2 6" xfId="1590" xr:uid="{00000000-0005-0000-0000-0000CEAD0000}"/>
    <cellStyle name="Normal 58 7 2 6 2" xfId="10967" xr:uid="{00000000-0005-0000-0000-0000CFAD0000}"/>
    <cellStyle name="Normal 58 7 2 6 2 2" xfId="36522" xr:uid="{00000000-0005-0000-0000-0000D0AD0000}"/>
    <cellStyle name="Normal 58 7 2 6 3" xfId="20971" xr:uid="{00000000-0005-0000-0000-0000D1AD0000}"/>
    <cellStyle name="Normal 58 7 2 6 3 2" xfId="46524" xr:uid="{00000000-0005-0000-0000-0000D2AD0000}"/>
    <cellStyle name="Normal 58 7 2 6 4" xfId="27454" xr:uid="{00000000-0005-0000-0000-0000D3AD0000}"/>
    <cellStyle name="Normal 58 7 2 7" xfId="5774" xr:uid="{00000000-0005-0000-0000-0000D4AD0000}"/>
    <cellStyle name="Normal 58 7 2 7 2" xfId="14601" xr:uid="{00000000-0005-0000-0000-0000D5AD0000}"/>
    <cellStyle name="Normal 58 7 2 7 2 2" xfId="40156" xr:uid="{00000000-0005-0000-0000-0000D6AD0000}"/>
    <cellStyle name="Normal 58 7 2 7 3" xfId="24852" xr:uid="{00000000-0005-0000-0000-0000D7AD0000}"/>
    <cellStyle name="Normal 58 7 2 7 3 2" xfId="50405" xr:uid="{00000000-0005-0000-0000-0000D8AD0000}"/>
    <cellStyle name="Normal 58 7 2 7 4" xfId="31335" xr:uid="{00000000-0005-0000-0000-0000D9AD0000}"/>
    <cellStyle name="Normal 58 7 2 8" xfId="7218" xr:uid="{00000000-0005-0000-0000-0000DAAD0000}"/>
    <cellStyle name="Normal 58 7 2 8 2" xfId="19944" xr:uid="{00000000-0005-0000-0000-0000DBAD0000}"/>
    <cellStyle name="Normal 58 7 2 8 2 2" xfId="45497" xr:uid="{00000000-0005-0000-0000-0000DCAD0000}"/>
    <cellStyle name="Normal 58 7 2 8 3" xfId="32775" xr:uid="{00000000-0005-0000-0000-0000DDAD0000}"/>
    <cellStyle name="Normal 58 7 2 9" xfId="15964" xr:uid="{00000000-0005-0000-0000-0000DEAD0000}"/>
    <cellStyle name="Normal 58 7 2 9 2" xfId="41517" xr:uid="{00000000-0005-0000-0000-0000DFAD0000}"/>
    <cellStyle name="Normal 58 7 2_Degree data" xfId="4028" xr:uid="{00000000-0005-0000-0000-0000E0AD0000}"/>
    <cellStyle name="Normal 58 7 3" xfId="398" xr:uid="{00000000-0005-0000-0000-0000E1AD0000}"/>
    <cellStyle name="Normal 58 7 3 2" xfId="2884" xr:uid="{00000000-0005-0000-0000-0000E2AD0000}"/>
    <cellStyle name="Normal 58 7 3 2 2" xfId="12172" xr:uid="{00000000-0005-0000-0000-0000E3AD0000}"/>
    <cellStyle name="Normal 58 7 3 2 2 2" xfId="22245" xr:uid="{00000000-0005-0000-0000-0000E4AD0000}"/>
    <cellStyle name="Normal 58 7 3 2 2 2 2" xfId="47798" xr:uid="{00000000-0005-0000-0000-0000E5AD0000}"/>
    <cellStyle name="Normal 58 7 3 2 2 3" xfId="37727" xr:uid="{00000000-0005-0000-0000-0000E6AD0000}"/>
    <cellStyle name="Normal 58 7 3 2 3" xfId="8398" xr:uid="{00000000-0005-0000-0000-0000E7AD0000}"/>
    <cellStyle name="Normal 58 7 3 2 3 2" xfId="33955" xr:uid="{00000000-0005-0000-0000-0000E8AD0000}"/>
    <cellStyle name="Normal 58 7 3 2 4" xfId="17238" xr:uid="{00000000-0005-0000-0000-0000E9AD0000}"/>
    <cellStyle name="Normal 58 7 3 2 4 2" xfId="42791" xr:uid="{00000000-0005-0000-0000-0000EAAD0000}"/>
    <cellStyle name="Normal 58 7 3 2 5" xfId="28728" xr:uid="{00000000-0005-0000-0000-0000EBAD0000}"/>
    <cellStyle name="Normal 58 7 3 3" xfId="4735" xr:uid="{00000000-0005-0000-0000-0000ECAD0000}"/>
    <cellStyle name="Normal 58 7 3 3 2" xfId="13573" xr:uid="{00000000-0005-0000-0000-0000EDAD0000}"/>
    <cellStyle name="Normal 58 7 3 3 2 2" xfId="23824" xr:uid="{00000000-0005-0000-0000-0000EEAD0000}"/>
    <cellStyle name="Normal 58 7 3 3 2 2 2" xfId="49377" xr:uid="{00000000-0005-0000-0000-0000EFAD0000}"/>
    <cellStyle name="Normal 58 7 3 3 2 3" xfId="39128" xr:uid="{00000000-0005-0000-0000-0000F0AD0000}"/>
    <cellStyle name="Normal 58 7 3 3 3" xfId="9994" xr:uid="{00000000-0005-0000-0000-0000F1AD0000}"/>
    <cellStyle name="Normal 58 7 3 3 3 2" xfId="35551" xr:uid="{00000000-0005-0000-0000-0000F2AD0000}"/>
    <cellStyle name="Normal 58 7 3 3 4" xfId="18817" xr:uid="{00000000-0005-0000-0000-0000F3AD0000}"/>
    <cellStyle name="Normal 58 7 3 3 4 2" xfId="44370" xr:uid="{00000000-0005-0000-0000-0000F4AD0000}"/>
    <cellStyle name="Normal 58 7 3 3 5" xfId="30307" xr:uid="{00000000-0005-0000-0000-0000F5AD0000}"/>
    <cellStyle name="Normal 58 7 3 4" xfId="1993" xr:uid="{00000000-0005-0000-0000-0000F6AD0000}"/>
    <cellStyle name="Normal 58 7 3 4 2" xfId="11358" xr:uid="{00000000-0005-0000-0000-0000F7AD0000}"/>
    <cellStyle name="Normal 58 7 3 4 2 2" xfId="36913" xr:uid="{00000000-0005-0000-0000-0000F8AD0000}"/>
    <cellStyle name="Normal 58 7 3 4 3" xfId="21362" xr:uid="{00000000-0005-0000-0000-0000F9AD0000}"/>
    <cellStyle name="Normal 58 7 3 4 3 2" xfId="46915" xr:uid="{00000000-0005-0000-0000-0000FAAD0000}"/>
    <cellStyle name="Normal 58 7 3 4 4" xfId="27845" xr:uid="{00000000-0005-0000-0000-0000FBAD0000}"/>
    <cellStyle name="Normal 58 7 3 5" xfId="6191" xr:uid="{00000000-0005-0000-0000-0000FCAD0000}"/>
    <cellStyle name="Normal 58 7 3 5 2" xfId="15018" xr:uid="{00000000-0005-0000-0000-0000FDAD0000}"/>
    <cellStyle name="Normal 58 7 3 5 2 2" xfId="40573" xr:uid="{00000000-0005-0000-0000-0000FEAD0000}"/>
    <cellStyle name="Normal 58 7 3 5 3" xfId="25269" xr:uid="{00000000-0005-0000-0000-0000FFAD0000}"/>
    <cellStyle name="Normal 58 7 3 5 3 2" xfId="50822" xr:uid="{00000000-0005-0000-0000-000000AE0000}"/>
    <cellStyle name="Normal 58 7 3 5 4" xfId="31752" xr:uid="{00000000-0005-0000-0000-000001AE0000}"/>
    <cellStyle name="Normal 58 7 3 6" xfId="7636" xr:uid="{00000000-0005-0000-0000-000002AE0000}"/>
    <cellStyle name="Normal 58 7 3 6 2" xfId="19844" xr:uid="{00000000-0005-0000-0000-000003AE0000}"/>
    <cellStyle name="Normal 58 7 3 6 2 2" xfId="45397" xr:uid="{00000000-0005-0000-0000-000004AE0000}"/>
    <cellStyle name="Normal 58 7 3 6 3" xfId="33193" xr:uid="{00000000-0005-0000-0000-000005AE0000}"/>
    <cellStyle name="Normal 58 7 3 7" xfId="16355" xr:uid="{00000000-0005-0000-0000-000006AE0000}"/>
    <cellStyle name="Normal 58 7 3 7 2" xfId="41908" xr:uid="{00000000-0005-0000-0000-000007AE0000}"/>
    <cellStyle name="Normal 58 7 3 8" xfId="26327" xr:uid="{00000000-0005-0000-0000-000008AE0000}"/>
    <cellStyle name="Normal 58 7 4" xfId="921" xr:uid="{00000000-0005-0000-0000-000009AE0000}"/>
    <cellStyle name="Normal 58 7 4 2" xfId="3406" xr:uid="{00000000-0005-0000-0000-00000AAE0000}"/>
    <cellStyle name="Normal 58 7 4 2 2" xfId="12548" xr:uid="{00000000-0005-0000-0000-00000BAE0000}"/>
    <cellStyle name="Normal 58 7 4 2 2 2" xfId="22767" xr:uid="{00000000-0005-0000-0000-00000CAE0000}"/>
    <cellStyle name="Normal 58 7 4 2 2 2 2" xfId="48320" xr:uid="{00000000-0005-0000-0000-00000DAE0000}"/>
    <cellStyle name="Normal 58 7 4 2 2 3" xfId="38103" xr:uid="{00000000-0005-0000-0000-00000EAE0000}"/>
    <cellStyle name="Normal 58 7 4 2 3" xfId="8970" xr:uid="{00000000-0005-0000-0000-00000FAE0000}"/>
    <cellStyle name="Normal 58 7 4 2 3 2" xfId="34527" xr:uid="{00000000-0005-0000-0000-000010AE0000}"/>
    <cellStyle name="Normal 58 7 4 2 4" xfId="17760" xr:uid="{00000000-0005-0000-0000-000011AE0000}"/>
    <cellStyle name="Normal 58 7 4 2 4 2" xfId="43313" xr:uid="{00000000-0005-0000-0000-000012AE0000}"/>
    <cellStyle name="Normal 58 7 4 2 5" xfId="29250" xr:uid="{00000000-0005-0000-0000-000013AE0000}"/>
    <cellStyle name="Normal 58 7 4 3" xfId="5084" xr:uid="{00000000-0005-0000-0000-000014AE0000}"/>
    <cellStyle name="Normal 58 7 4 3 2" xfId="13921" xr:uid="{00000000-0005-0000-0000-000015AE0000}"/>
    <cellStyle name="Normal 58 7 4 3 2 2" xfId="24172" xr:uid="{00000000-0005-0000-0000-000016AE0000}"/>
    <cellStyle name="Normal 58 7 4 3 2 2 2" xfId="49725" xr:uid="{00000000-0005-0000-0000-000017AE0000}"/>
    <cellStyle name="Normal 58 7 4 3 2 3" xfId="39476" xr:uid="{00000000-0005-0000-0000-000018AE0000}"/>
    <cellStyle name="Normal 58 7 4 3 3" xfId="10342" xr:uid="{00000000-0005-0000-0000-000019AE0000}"/>
    <cellStyle name="Normal 58 7 4 3 3 2" xfId="35899" xr:uid="{00000000-0005-0000-0000-00001AAE0000}"/>
    <cellStyle name="Normal 58 7 4 3 4" xfId="19165" xr:uid="{00000000-0005-0000-0000-00001BAE0000}"/>
    <cellStyle name="Normal 58 7 4 3 4 2" xfId="44718" xr:uid="{00000000-0005-0000-0000-00001CAE0000}"/>
    <cellStyle name="Normal 58 7 4 3 5" xfId="30655" xr:uid="{00000000-0005-0000-0000-00001DAE0000}"/>
    <cellStyle name="Normal 58 7 4 4" xfId="2515" xr:uid="{00000000-0005-0000-0000-00001EAE0000}"/>
    <cellStyle name="Normal 58 7 4 4 2" xfId="11880" xr:uid="{00000000-0005-0000-0000-00001FAE0000}"/>
    <cellStyle name="Normal 58 7 4 4 2 2" xfId="37435" xr:uid="{00000000-0005-0000-0000-000020AE0000}"/>
    <cellStyle name="Normal 58 7 4 4 3" xfId="21884" xr:uid="{00000000-0005-0000-0000-000021AE0000}"/>
    <cellStyle name="Normal 58 7 4 4 3 2" xfId="47437" xr:uid="{00000000-0005-0000-0000-000022AE0000}"/>
    <cellStyle name="Normal 58 7 4 4 4" xfId="28367" xr:uid="{00000000-0005-0000-0000-000023AE0000}"/>
    <cellStyle name="Normal 58 7 4 5" xfId="6539" xr:uid="{00000000-0005-0000-0000-000024AE0000}"/>
    <cellStyle name="Normal 58 7 4 5 2" xfId="15366" xr:uid="{00000000-0005-0000-0000-000025AE0000}"/>
    <cellStyle name="Normal 58 7 4 5 2 2" xfId="40921" xr:uid="{00000000-0005-0000-0000-000026AE0000}"/>
    <cellStyle name="Normal 58 7 4 5 3" xfId="25617" xr:uid="{00000000-0005-0000-0000-000027AE0000}"/>
    <cellStyle name="Normal 58 7 4 5 3 2" xfId="51170" xr:uid="{00000000-0005-0000-0000-000028AE0000}"/>
    <cellStyle name="Normal 58 7 4 5 4" xfId="32100" xr:uid="{00000000-0005-0000-0000-000029AE0000}"/>
    <cellStyle name="Normal 58 7 4 6" xfId="7985" xr:uid="{00000000-0005-0000-0000-00002AAE0000}"/>
    <cellStyle name="Normal 58 7 4 6 2" xfId="20366" xr:uid="{00000000-0005-0000-0000-00002BAE0000}"/>
    <cellStyle name="Normal 58 7 4 6 2 2" xfId="45919" xr:uid="{00000000-0005-0000-0000-00002CAE0000}"/>
    <cellStyle name="Normal 58 7 4 6 3" xfId="33542" xr:uid="{00000000-0005-0000-0000-00002DAE0000}"/>
    <cellStyle name="Normal 58 7 4 7" xfId="16877" xr:uid="{00000000-0005-0000-0000-00002EAE0000}"/>
    <cellStyle name="Normal 58 7 4 7 2" xfId="42430" xr:uid="{00000000-0005-0000-0000-00002FAE0000}"/>
    <cellStyle name="Normal 58 7 4 8" xfId="26849" xr:uid="{00000000-0005-0000-0000-000030AE0000}"/>
    <cellStyle name="Normal 58 7 5" xfId="1170" xr:uid="{00000000-0005-0000-0000-000031AE0000}"/>
    <cellStyle name="Normal 58 7 5 2" xfId="3599" xr:uid="{00000000-0005-0000-0000-000032AE0000}"/>
    <cellStyle name="Normal 58 7 5 2 2" xfId="12735" xr:uid="{00000000-0005-0000-0000-000033AE0000}"/>
    <cellStyle name="Normal 58 7 5 2 2 2" xfId="22954" xr:uid="{00000000-0005-0000-0000-000034AE0000}"/>
    <cellStyle name="Normal 58 7 5 2 2 2 2" xfId="48507" xr:uid="{00000000-0005-0000-0000-000035AE0000}"/>
    <cellStyle name="Normal 58 7 5 2 2 3" xfId="38290" xr:uid="{00000000-0005-0000-0000-000036AE0000}"/>
    <cellStyle name="Normal 58 7 5 2 3" xfId="9156" xr:uid="{00000000-0005-0000-0000-000037AE0000}"/>
    <cellStyle name="Normal 58 7 5 2 3 2" xfId="34713" xr:uid="{00000000-0005-0000-0000-000038AE0000}"/>
    <cellStyle name="Normal 58 7 5 2 4" xfId="17947" xr:uid="{00000000-0005-0000-0000-000039AE0000}"/>
    <cellStyle name="Normal 58 7 5 2 4 2" xfId="43500" xr:uid="{00000000-0005-0000-0000-00003AAE0000}"/>
    <cellStyle name="Normal 58 7 5 2 5" xfId="29437" xr:uid="{00000000-0005-0000-0000-00003BAE0000}"/>
    <cellStyle name="Normal 58 7 5 3" xfId="5262" xr:uid="{00000000-0005-0000-0000-00003CAE0000}"/>
    <cellStyle name="Normal 58 7 5 3 2" xfId="14099" xr:uid="{00000000-0005-0000-0000-00003DAE0000}"/>
    <cellStyle name="Normal 58 7 5 3 2 2" xfId="24350" xr:uid="{00000000-0005-0000-0000-00003EAE0000}"/>
    <cellStyle name="Normal 58 7 5 3 2 2 2" xfId="49903" xr:uid="{00000000-0005-0000-0000-00003FAE0000}"/>
    <cellStyle name="Normal 58 7 5 3 2 3" xfId="39654" xr:uid="{00000000-0005-0000-0000-000040AE0000}"/>
    <cellStyle name="Normal 58 7 5 3 3" xfId="10520" xr:uid="{00000000-0005-0000-0000-000041AE0000}"/>
    <cellStyle name="Normal 58 7 5 3 3 2" xfId="36077" xr:uid="{00000000-0005-0000-0000-000042AE0000}"/>
    <cellStyle name="Normal 58 7 5 3 4" xfId="19343" xr:uid="{00000000-0005-0000-0000-000043AE0000}"/>
    <cellStyle name="Normal 58 7 5 3 4 2" xfId="44896" xr:uid="{00000000-0005-0000-0000-000044AE0000}"/>
    <cellStyle name="Normal 58 7 5 3 5" xfId="30833" xr:uid="{00000000-0005-0000-0000-000045AE0000}"/>
    <cellStyle name="Normal 58 7 5 4" xfId="1772" xr:uid="{00000000-0005-0000-0000-000046AE0000}"/>
    <cellStyle name="Normal 58 7 5 4 2" xfId="11141" xr:uid="{00000000-0005-0000-0000-000047AE0000}"/>
    <cellStyle name="Normal 58 7 5 4 2 2" xfId="36696" xr:uid="{00000000-0005-0000-0000-000048AE0000}"/>
    <cellStyle name="Normal 58 7 5 4 3" xfId="21145" xr:uid="{00000000-0005-0000-0000-000049AE0000}"/>
    <cellStyle name="Normal 58 7 5 4 3 2" xfId="46698" xr:uid="{00000000-0005-0000-0000-00004AAE0000}"/>
    <cellStyle name="Normal 58 7 5 4 4" xfId="27628" xr:uid="{00000000-0005-0000-0000-00004BAE0000}"/>
    <cellStyle name="Normal 58 7 5 5" xfId="6717" xr:uid="{00000000-0005-0000-0000-00004CAE0000}"/>
    <cellStyle name="Normal 58 7 5 5 2" xfId="15544" xr:uid="{00000000-0005-0000-0000-00004DAE0000}"/>
    <cellStyle name="Normal 58 7 5 5 2 2" xfId="41099" xr:uid="{00000000-0005-0000-0000-00004EAE0000}"/>
    <cellStyle name="Normal 58 7 5 5 3" xfId="25795" xr:uid="{00000000-0005-0000-0000-00004FAE0000}"/>
    <cellStyle name="Normal 58 7 5 5 3 2" xfId="51348" xr:uid="{00000000-0005-0000-0000-000050AE0000}"/>
    <cellStyle name="Normal 58 7 5 5 4" xfId="32278" xr:uid="{00000000-0005-0000-0000-000051AE0000}"/>
    <cellStyle name="Normal 58 7 5 6" xfId="8163" xr:uid="{00000000-0005-0000-0000-000052AE0000}"/>
    <cellStyle name="Normal 58 7 5 6 2" xfId="20553" xr:uid="{00000000-0005-0000-0000-000053AE0000}"/>
    <cellStyle name="Normal 58 7 5 6 2 2" xfId="46106" xr:uid="{00000000-0005-0000-0000-000054AE0000}"/>
    <cellStyle name="Normal 58 7 5 6 3" xfId="33720" xr:uid="{00000000-0005-0000-0000-000055AE0000}"/>
    <cellStyle name="Normal 58 7 5 7" xfId="16138" xr:uid="{00000000-0005-0000-0000-000056AE0000}"/>
    <cellStyle name="Normal 58 7 5 7 2" xfId="41691" xr:uid="{00000000-0005-0000-0000-000057AE0000}"/>
    <cellStyle name="Normal 58 7 5 8" xfId="27036" xr:uid="{00000000-0005-0000-0000-000058AE0000}"/>
    <cellStyle name="Normal 58 7 6" xfId="2667" xr:uid="{00000000-0005-0000-0000-000059AE0000}"/>
    <cellStyle name="Normal 58 7 6 2" xfId="11984" xr:uid="{00000000-0005-0000-0000-00005AAE0000}"/>
    <cellStyle name="Normal 58 7 6 2 2" xfId="22028" xr:uid="{00000000-0005-0000-0000-00005BAE0000}"/>
    <cellStyle name="Normal 58 7 6 2 2 2" xfId="47581" xr:uid="{00000000-0005-0000-0000-00005CAE0000}"/>
    <cellStyle name="Normal 58 7 6 2 3" xfId="37539" xr:uid="{00000000-0005-0000-0000-00005DAE0000}"/>
    <cellStyle name="Normal 58 7 6 3" xfId="8621" xr:uid="{00000000-0005-0000-0000-00005EAE0000}"/>
    <cellStyle name="Normal 58 7 6 3 2" xfId="34178" xr:uid="{00000000-0005-0000-0000-00005FAE0000}"/>
    <cellStyle name="Normal 58 7 6 4" xfId="17021" xr:uid="{00000000-0005-0000-0000-000060AE0000}"/>
    <cellStyle name="Normal 58 7 6 4 2" xfId="42574" xr:uid="{00000000-0005-0000-0000-000061AE0000}"/>
    <cellStyle name="Normal 58 7 6 5" xfId="28511" xr:uid="{00000000-0005-0000-0000-000062AE0000}"/>
    <cellStyle name="Normal 58 7 7" xfId="4218" xr:uid="{00000000-0005-0000-0000-000063AE0000}"/>
    <cellStyle name="Normal 58 7 7 2" xfId="13056" xr:uid="{00000000-0005-0000-0000-000064AE0000}"/>
    <cellStyle name="Normal 58 7 7 2 2" xfId="23307" xr:uid="{00000000-0005-0000-0000-000065AE0000}"/>
    <cellStyle name="Normal 58 7 7 2 2 2" xfId="48860" xr:uid="{00000000-0005-0000-0000-000066AE0000}"/>
    <cellStyle name="Normal 58 7 7 2 3" xfId="38611" xr:uid="{00000000-0005-0000-0000-000067AE0000}"/>
    <cellStyle name="Normal 58 7 7 3" xfId="9477" xr:uid="{00000000-0005-0000-0000-000068AE0000}"/>
    <cellStyle name="Normal 58 7 7 3 2" xfId="35034" xr:uid="{00000000-0005-0000-0000-000069AE0000}"/>
    <cellStyle name="Normal 58 7 7 4" xfId="18300" xr:uid="{00000000-0005-0000-0000-00006AAE0000}"/>
    <cellStyle name="Normal 58 7 7 4 2" xfId="43853" xr:uid="{00000000-0005-0000-0000-00006BAE0000}"/>
    <cellStyle name="Normal 58 7 7 5" xfId="29790" xr:uid="{00000000-0005-0000-0000-00006CAE0000}"/>
    <cellStyle name="Normal 58 7 8" xfId="1490" xr:uid="{00000000-0005-0000-0000-00006DAE0000}"/>
    <cellStyle name="Normal 58 7 8 2" xfId="10867" xr:uid="{00000000-0005-0000-0000-00006EAE0000}"/>
    <cellStyle name="Normal 58 7 8 2 2" xfId="36422" xr:uid="{00000000-0005-0000-0000-00006FAE0000}"/>
    <cellStyle name="Normal 58 7 8 3" xfId="20871" xr:uid="{00000000-0005-0000-0000-000070AE0000}"/>
    <cellStyle name="Normal 58 7 8 3 2" xfId="46424" xr:uid="{00000000-0005-0000-0000-000071AE0000}"/>
    <cellStyle name="Normal 58 7 8 4" xfId="27354" xr:uid="{00000000-0005-0000-0000-000072AE0000}"/>
    <cellStyle name="Normal 58 7 9" xfId="5674" xr:uid="{00000000-0005-0000-0000-000073AE0000}"/>
    <cellStyle name="Normal 58 7 9 2" xfId="14501" xr:uid="{00000000-0005-0000-0000-000074AE0000}"/>
    <cellStyle name="Normal 58 7 9 2 2" xfId="40056" xr:uid="{00000000-0005-0000-0000-000075AE0000}"/>
    <cellStyle name="Normal 58 7 9 3" xfId="24752" xr:uid="{00000000-0005-0000-0000-000076AE0000}"/>
    <cellStyle name="Normal 58 7 9 3 2" xfId="50305" xr:uid="{00000000-0005-0000-0000-000077AE0000}"/>
    <cellStyle name="Normal 58 7 9 4" xfId="31235" xr:uid="{00000000-0005-0000-0000-000078AE0000}"/>
    <cellStyle name="Normal 58 7_Degree data" xfId="4027" xr:uid="{00000000-0005-0000-0000-000079AE0000}"/>
    <cellStyle name="Normal 58 8" xfId="223" xr:uid="{00000000-0005-0000-0000-00007AAE0000}"/>
    <cellStyle name="Normal 58 8 10" xfId="7061" xr:uid="{00000000-0005-0000-0000-00007BAE0000}"/>
    <cellStyle name="Normal 58 8 10 2" xfId="19675" xr:uid="{00000000-0005-0000-0000-00007CAE0000}"/>
    <cellStyle name="Normal 58 8 10 2 2" xfId="45228" xr:uid="{00000000-0005-0000-0000-00007DAE0000}"/>
    <cellStyle name="Normal 58 8 10 3" xfId="32618" xr:uid="{00000000-0005-0000-0000-00007EAE0000}"/>
    <cellStyle name="Normal 58 8 11" xfId="15807" xr:uid="{00000000-0005-0000-0000-00007FAE0000}"/>
    <cellStyle name="Normal 58 8 11 2" xfId="41360" xr:uid="{00000000-0005-0000-0000-000080AE0000}"/>
    <cellStyle name="Normal 58 8 12" xfId="26158" xr:uid="{00000000-0005-0000-0000-000081AE0000}"/>
    <cellStyle name="Normal 58 8 2" xfId="546" xr:uid="{00000000-0005-0000-0000-000082AE0000}"/>
    <cellStyle name="Normal 58 8 2 10" xfId="26475" xr:uid="{00000000-0005-0000-0000-000083AE0000}"/>
    <cellStyle name="Normal 58 8 2 2" xfId="924" xr:uid="{00000000-0005-0000-0000-000084AE0000}"/>
    <cellStyle name="Normal 58 8 2 2 2" xfId="3409" xr:uid="{00000000-0005-0000-0000-000085AE0000}"/>
    <cellStyle name="Normal 58 8 2 2 2 2" xfId="12551" xr:uid="{00000000-0005-0000-0000-000086AE0000}"/>
    <cellStyle name="Normal 58 8 2 2 2 2 2" xfId="22770" xr:uid="{00000000-0005-0000-0000-000087AE0000}"/>
    <cellStyle name="Normal 58 8 2 2 2 2 2 2" xfId="48323" xr:uid="{00000000-0005-0000-0000-000088AE0000}"/>
    <cellStyle name="Normal 58 8 2 2 2 2 3" xfId="38106" xr:uid="{00000000-0005-0000-0000-000089AE0000}"/>
    <cellStyle name="Normal 58 8 2 2 2 3" xfId="8973" xr:uid="{00000000-0005-0000-0000-00008AAE0000}"/>
    <cellStyle name="Normal 58 8 2 2 2 3 2" xfId="34530" xr:uid="{00000000-0005-0000-0000-00008BAE0000}"/>
    <cellStyle name="Normal 58 8 2 2 2 4" xfId="17763" xr:uid="{00000000-0005-0000-0000-00008CAE0000}"/>
    <cellStyle name="Normal 58 8 2 2 2 4 2" xfId="43316" xr:uid="{00000000-0005-0000-0000-00008DAE0000}"/>
    <cellStyle name="Normal 58 8 2 2 2 5" xfId="29253" xr:uid="{00000000-0005-0000-0000-00008EAE0000}"/>
    <cellStyle name="Normal 58 8 2 2 3" xfId="4738" xr:uid="{00000000-0005-0000-0000-00008FAE0000}"/>
    <cellStyle name="Normal 58 8 2 2 3 2" xfId="13576" xr:uid="{00000000-0005-0000-0000-000090AE0000}"/>
    <cellStyle name="Normal 58 8 2 2 3 2 2" xfId="23827" xr:uid="{00000000-0005-0000-0000-000091AE0000}"/>
    <cellStyle name="Normal 58 8 2 2 3 2 2 2" xfId="49380" xr:uid="{00000000-0005-0000-0000-000092AE0000}"/>
    <cellStyle name="Normal 58 8 2 2 3 2 3" xfId="39131" xr:uid="{00000000-0005-0000-0000-000093AE0000}"/>
    <cellStyle name="Normal 58 8 2 2 3 3" xfId="9997" xr:uid="{00000000-0005-0000-0000-000094AE0000}"/>
    <cellStyle name="Normal 58 8 2 2 3 3 2" xfId="35554" xr:uid="{00000000-0005-0000-0000-000095AE0000}"/>
    <cellStyle name="Normal 58 8 2 2 3 4" xfId="18820" xr:uid="{00000000-0005-0000-0000-000096AE0000}"/>
    <cellStyle name="Normal 58 8 2 2 3 4 2" xfId="44373" xr:uid="{00000000-0005-0000-0000-000097AE0000}"/>
    <cellStyle name="Normal 58 8 2 2 3 5" xfId="30310" xr:uid="{00000000-0005-0000-0000-000098AE0000}"/>
    <cellStyle name="Normal 58 8 2 2 4" xfId="2518" xr:uid="{00000000-0005-0000-0000-000099AE0000}"/>
    <cellStyle name="Normal 58 8 2 2 4 2" xfId="11883" xr:uid="{00000000-0005-0000-0000-00009AAE0000}"/>
    <cellStyle name="Normal 58 8 2 2 4 2 2" xfId="37438" xr:uid="{00000000-0005-0000-0000-00009BAE0000}"/>
    <cellStyle name="Normal 58 8 2 2 4 3" xfId="21887" xr:uid="{00000000-0005-0000-0000-00009CAE0000}"/>
    <cellStyle name="Normal 58 8 2 2 4 3 2" xfId="47440" xr:uid="{00000000-0005-0000-0000-00009DAE0000}"/>
    <cellStyle name="Normal 58 8 2 2 4 4" xfId="28370" xr:uid="{00000000-0005-0000-0000-00009EAE0000}"/>
    <cellStyle name="Normal 58 8 2 2 5" xfId="6194" xr:uid="{00000000-0005-0000-0000-00009FAE0000}"/>
    <cellStyle name="Normal 58 8 2 2 5 2" xfId="15021" xr:uid="{00000000-0005-0000-0000-0000A0AE0000}"/>
    <cellStyle name="Normal 58 8 2 2 5 2 2" xfId="40576" xr:uid="{00000000-0005-0000-0000-0000A1AE0000}"/>
    <cellStyle name="Normal 58 8 2 2 5 3" xfId="25272" xr:uid="{00000000-0005-0000-0000-0000A2AE0000}"/>
    <cellStyle name="Normal 58 8 2 2 5 3 2" xfId="50825" xr:uid="{00000000-0005-0000-0000-0000A3AE0000}"/>
    <cellStyle name="Normal 58 8 2 2 5 4" xfId="31755" xr:uid="{00000000-0005-0000-0000-0000A4AE0000}"/>
    <cellStyle name="Normal 58 8 2 2 6" xfId="7639" xr:uid="{00000000-0005-0000-0000-0000A5AE0000}"/>
    <cellStyle name="Normal 58 8 2 2 6 2" xfId="20369" xr:uid="{00000000-0005-0000-0000-0000A6AE0000}"/>
    <cellStyle name="Normal 58 8 2 2 6 2 2" xfId="45922" xr:uid="{00000000-0005-0000-0000-0000A7AE0000}"/>
    <cellStyle name="Normal 58 8 2 2 6 3" xfId="33196" xr:uid="{00000000-0005-0000-0000-0000A8AE0000}"/>
    <cellStyle name="Normal 58 8 2 2 7" xfId="16880" xr:uid="{00000000-0005-0000-0000-0000A9AE0000}"/>
    <cellStyle name="Normal 58 8 2 2 7 2" xfId="42433" xr:uid="{00000000-0005-0000-0000-0000AAAE0000}"/>
    <cellStyle name="Normal 58 8 2 2 8" xfId="26852" xr:uid="{00000000-0005-0000-0000-0000ABAE0000}"/>
    <cellStyle name="Normal 58 8 2 3" xfId="1318" xr:uid="{00000000-0005-0000-0000-0000ACAE0000}"/>
    <cellStyle name="Normal 58 8 2 3 2" xfId="3747" xr:uid="{00000000-0005-0000-0000-0000ADAE0000}"/>
    <cellStyle name="Normal 58 8 2 3 2 2" xfId="12883" xr:uid="{00000000-0005-0000-0000-0000AEAE0000}"/>
    <cellStyle name="Normal 58 8 2 3 2 2 2" xfId="23102" xr:uid="{00000000-0005-0000-0000-0000AFAE0000}"/>
    <cellStyle name="Normal 58 8 2 3 2 2 2 2" xfId="48655" xr:uid="{00000000-0005-0000-0000-0000B0AE0000}"/>
    <cellStyle name="Normal 58 8 2 3 2 2 3" xfId="38438" xr:uid="{00000000-0005-0000-0000-0000B1AE0000}"/>
    <cellStyle name="Normal 58 8 2 3 2 3" xfId="9304" xr:uid="{00000000-0005-0000-0000-0000B2AE0000}"/>
    <cellStyle name="Normal 58 8 2 3 2 3 2" xfId="34861" xr:uid="{00000000-0005-0000-0000-0000B3AE0000}"/>
    <cellStyle name="Normal 58 8 2 3 2 4" xfId="18095" xr:uid="{00000000-0005-0000-0000-0000B4AE0000}"/>
    <cellStyle name="Normal 58 8 2 3 2 4 2" xfId="43648" xr:uid="{00000000-0005-0000-0000-0000B5AE0000}"/>
    <cellStyle name="Normal 58 8 2 3 2 5" xfId="29585" xr:uid="{00000000-0005-0000-0000-0000B6AE0000}"/>
    <cellStyle name="Normal 58 8 2 3 3" xfId="5087" xr:uid="{00000000-0005-0000-0000-0000B7AE0000}"/>
    <cellStyle name="Normal 58 8 2 3 3 2" xfId="13924" xr:uid="{00000000-0005-0000-0000-0000B8AE0000}"/>
    <cellStyle name="Normal 58 8 2 3 3 2 2" xfId="24175" xr:uid="{00000000-0005-0000-0000-0000B9AE0000}"/>
    <cellStyle name="Normal 58 8 2 3 3 2 2 2" xfId="49728" xr:uid="{00000000-0005-0000-0000-0000BAAE0000}"/>
    <cellStyle name="Normal 58 8 2 3 3 2 3" xfId="39479" xr:uid="{00000000-0005-0000-0000-0000BBAE0000}"/>
    <cellStyle name="Normal 58 8 2 3 3 3" xfId="10345" xr:uid="{00000000-0005-0000-0000-0000BCAE0000}"/>
    <cellStyle name="Normal 58 8 2 3 3 3 2" xfId="35902" xr:uid="{00000000-0005-0000-0000-0000BDAE0000}"/>
    <cellStyle name="Normal 58 8 2 3 3 4" xfId="19168" xr:uid="{00000000-0005-0000-0000-0000BEAE0000}"/>
    <cellStyle name="Normal 58 8 2 3 3 4 2" xfId="44721" xr:uid="{00000000-0005-0000-0000-0000BFAE0000}"/>
    <cellStyle name="Normal 58 8 2 3 3 5" xfId="30658" xr:uid="{00000000-0005-0000-0000-0000C0AE0000}"/>
    <cellStyle name="Normal 58 8 2 3 4" xfId="2141" xr:uid="{00000000-0005-0000-0000-0000C1AE0000}"/>
    <cellStyle name="Normal 58 8 2 3 4 2" xfId="11506" xr:uid="{00000000-0005-0000-0000-0000C2AE0000}"/>
    <cellStyle name="Normal 58 8 2 3 4 2 2" xfId="37061" xr:uid="{00000000-0005-0000-0000-0000C3AE0000}"/>
    <cellStyle name="Normal 58 8 2 3 4 3" xfId="21510" xr:uid="{00000000-0005-0000-0000-0000C4AE0000}"/>
    <cellStyle name="Normal 58 8 2 3 4 3 2" xfId="47063" xr:uid="{00000000-0005-0000-0000-0000C5AE0000}"/>
    <cellStyle name="Normal 58 8 2 3 4 4" xfId="27993" xr:uid="{00000000-0005-0000-0000-0000C6AE0000}"/>
    <cellStyle name="Normal 58 8 2 3 5" xfId="6542" xr:uid="{00000000-0005-0000-0000-0000C7AE0000}"/>
    <cellStyle name="Normal 58 8 2 3 5 2" xfId="15369" xr:uid="{00000000-0005-0000-0000-0000C8AE0000}"/>
    <cellStyle name="Normal 58 8 2 3 5 2 2" xfId="40924" xr:uid="{00000000-0005-0000-0000-0000C9AE0000}"/>
    <cellStyle name="Normal 58 8 2 3 5 3" xfId="25620" xr:uid="{00000000-0005-0000-0000-0000CAAE0000}"/>
    <cellStyle name="Normal 58 8 2 3 5 3 2" xfId="51173" xr:uid="{00000000-0005-0000-0000-0000CBAE0000}"/>
    <cellStyle name="Normal 58 8 2 3 5 4" xfId="32103" xr:uid="{00000000-0005-0000-0000-0000CCAE0000}"/>
    <cellStyle name="Normal 58 8 2 3 6" xfId="7988" xr:uid="{00000000-0005-0000-0000-0000CDAE0000}"/>
    <cellStyle name="Normal 58 8 2 3 6 2" xfId="20701" xr:uid="{00000000-0005-0000-0000-0000CEAE0000}"/>
    <cellStyle name="Normal 58 8 2 3 6 2 2" xfId="46254" xr:uid="{00000000-0005-0000-0000-0000CFAE0000}"/>
    <cellStyle name="Normal 58 8 2 3 6 3" xfId="33545" xr:uid="{00000000-0005-0000-0000-0000D0AE0000}"/>
    <cellStyle name="Normal 58 8 2 3 7" xfId="16503" xr:uid="{00000000-0005-0000-0000-0000D1AE0000}"/>
    <cellStyle name="Normal 58 8 2 3 7 2" xfId="42056" xr:uid="{00000000-0005-0000-0000-0000D2AE0000}"/>
    <cellStyle name="Normal 58 8 2 3 8" xfId="27184" xr:uid="{00000000-0005-0000-0000-0000D3AE0000}"/>
    <cellStyle name="Normal 58 8 2 4" xfId="3032" xr:uid="{00000000-0005-0000-0000-0000D4AE0000}"/>
    <cellStyle name="Normal 58 8 2 4 2" xfId="5410" xr:uid="{00000000-0005-0000-0000-0000D5AE0000}"/>
    <cellStyle name="Normal 58 8 2 4 2 2" xfId="14247" xr:uid="{00000000-0005-0000-0000-0000D6AE0000}"/>
    <cellStyle name="Normal 58 8 2 4 2 2 2" xfId="24498" xr:uid="{00000000-0005-0000-0000-0000D7AE0000}"/>
    <cellStyle name="Normal 58 8 2 4 2 2 2 2" xfId="50051" xr:uid="{00000000-0005-0000-0000-0000D8AE0000}"/>
    <cellStyle name="Normal 58 8 2 4 2 2 3" xfId="39802" xr:uid="{00000000-0005-0000-0000-0000D9AE0000}"/>
    <cellStyle name="Normal 58 8 2 4 2 3" xfId="10668" xr:uid="{00000000-0005-0000-0000-0000DAAE0000}"/>
    <cellStyle name="Normal 58 8 2 4 2 3 2" xfId="36225" xr:uid="{00000000-0005-0000-0000-0000DBAE0000}"/>
    <cellStyle name="Normal 58 8 2 4 2 4" xfId="19491" xr:uid="{00000000-0005-0000-0000-0000DCAE0000}"/>
    <cellStyle name="Normal 58 8 2 4 2 4 2" xfId="45044" xr:uid="{00000000-0005-0000-0000-0000DDAE0000}"/>
    <cellStyle name="Normal 58 8 2 4 2 5" xfId="30981" xr:uid="{00000000-0005-0000-0000-0000DEAE0000}"/>
    <cellStyle name="Normal 58 8 2 4 3" xfId="6865" xr:uid="{00000000-0005-0000-0000-0000DFAE0000}"/>
    <cellStyle name="Normal 58 8 2 4 3 2" xfId="15692" xr:uid="{00000000-0005-0000-0000-0000E0AE0000}"/>
    <cellStyle name="Normal 58 8 2 4 3 2 2" xfId="41247" xr:uid="{00000000-0005-0000-0000-0000E1AE0000}"/>
    <cellStyle name="Normal 58 8 2 4 3 3" xfId="25943" xr:uid="{00000000-0005-0000-0000-0000E2AE0000}"/>
    <cellStyle name="Normal 58 8 2 4 3 3 2" xfId="51496" xr:uid="{00000000-0005-0000-0000-0000E3AE0000}"/>
    <cellStyle name="Normal 58 8 2 4 3 4" xfId="32426" xr:uid="{00000000-0005-0000-0000-0000E4AE0000}"/>
    <cellStyle name="Normal 58 8 2 4 4" xfId="8311" xr:uid="{00000000-0005-0000-0000-0000E5AE0000}"/>
    <cellStyle name="Normal 58 8 2 4 4 2" xfId="22393" xr:uid="{00000000-0005-0000-0000-0000E6AE0000}"/>
    <cellStyle name="Normal 58 8 2 4 4 2 2" xfId="47946" xr:uid="{00000000-0005-0000-0000-0000E7AE0000}"/>
    <cellStyle name="Normal 58 8 2 4 4 3" xfId="33868" xr:uid="{00000000-0005-0000-0000-0000E8AE0000}"/>
    <cellStyle name="Normal 58 8 2 4 5" xfId="17386" xr:uid="{00000000-0005-0000-0000-0000E9AE0000}"/>
    <cellStyle name="Normal 58 8 2 4 5 2" xfId="42939" xr:uid="{00000000-0005-0000-0000-0000EAAE0000}"/>
    <cellStyle name="Normal 58 8 2 4 6" xfId="28876" xr:uid="{00000000-0005-0000-0000-0000EBAE0000}"/>
    <cellStyle name="Normal 58 8 2 5" xfId="4366" xr:uid="{00000000-0005-0000-0000-0000ECAE0000}"/>
    <cellStyle name="Normal 58 8 2 5 2" xfId="13204" xr:uid="{00000000-0005-0000-0000-0000EDAE0000}"/>
    <cellStyle name="Normal 58 8 2 5 2 2" xfId="23455" xr:uid="{00000000-0005-0000-0000-0000EEAE0000}"/>
    <cellStyle name="Normal 58 8 2 5 2 2 2" xfId="49008" xr:uid="{00000000-0005-0000-0000-0000EFAE0000}"/>
    <cellStyle name="Normal 58 8 2 5 2 3" xfId="38759" xr:uid="{00000000-0005-0000-0000-0000F0AE0000}"/>
    <cellStyle name="Normal 58 8 2 5 3" xfId="9625" xr:uid="{00000000-0005-0000-0000-0000F1AE0000}"/>
    <cellStyle name="Normal 58 8 2 5 3 2" xfId="35182" xr:uid="{00000000-0005-0000-0000-0000F2AE0000}"/>
    <cellStyle name="Normal 58 8 2 5 4" xfId="18448" xr:uid="{00000000-0005-0000-0000-0000F3AE0000}"/>
    <cellStyle name="Normal 58 8 2 5 4 2" xfId="44001" xr:uid="{00000000-0005-0000-0000-0000F4AE0000}"/>
    <cellStyle name="Normal 58 8 2 5 5" xfId="29938" xr:uid="{00000000-0005-0000-0000-0000F5AE0000}"/>
    <cellStyle name="Normal 58 8 2 6" xfId="1638" xr:uid="{00000000-0005-0000-0000-0000F6AE0000}"/>
    <cellStyle name="Normal 58 8 2 6 2" xfId="11015" xr:uid="{00000000-0005-0000-0000-0000F7AE0000}"/>
    <cellStyle name="Normal 58 8 2 6 2 2" xfId="36570" xr:uid="{00000000-0005-0000-0000-0000F8AE0000}"/>
    <cellStyle name="Normal 58 8 2 6 3" xfId="21019" xr:uid="{00000000-0005-0000-0000-0000F9AE0000}"/>
    <cellStyle name="Normal 58 8 2 6 3 2" xfId="46572" xr:uid="{00000000-0005-0000-0000-0000FAAE0000}"/>
    <cellStyle name="Normal 58 8 2 6 4" xfId="27502" xr:uid="{00000000-0005-0000-0000-0000FBAE0000}"/>
    <cellStyle name="Normal 58 8 2 7" xfId="5822" xr:uid="{00000000-0005-0000-0000-0000FCAE0000}"/>
    <cellStyle name="Normal 58 8 2 7 2" xfId="14649" xr:uid="{00000000-0005-0000-0000-0000FDAE0000}"/>
    <cellStyle name="Normal 58 8 2 7 2 2" xfId="40204" xr:uid="{00000000-0005-0000-0000-0000FEAE0000}"/>
    <cellStyle name="Normal 58 8 2 7 3" xfId="24900" xr:uid="{00000000-0005-0000-0000-0000FFAE0000}"/>
    <cellStyle name="Normal 58 8 2 7 3 2" xfId="50453" xr:uid="{00000000-0005-0000-0000-000000AF0000}"/>
    <cellStyle name="Normal 58 8 2 7 4" xfId="31383" xr:uid="{00000000-0005-0000-0000-000001AF0000}"/>
    <cellStyle name="Normal 58 8 2 8" xfId="7266" xr:uid="{00000000-0005-0000-0000-000002AF0000}"/>
    <cellStyle name="Normal 58 8 2 8 2" xfId="19992" xr:uid="{00000000-0005-0000-0000-000003AF0000}"/>
    <cellStyle name="Normal 58 8 2 8 2 2" xfId="45545" xr:uid="{00000000-0005-0000-0000-000004AF0000}"/>
    <cellStyle name="Normal 58 8 2 8 3" xfId="32823" xr:uid="{00000000-0005-0000-0000-000005AF0000}"/>
    <cellStyle name="Normal 58 8 2 9" xfId="16012" xr:uid="{00000000-0005-0000-0000-000006AF0000}"/>
    <cellStyle name="Normal 58 8 2 9 2" xfId="41565" xr:uid="{00000000-0005-0000-0000-000007AF0000}"/>
    <cellStyle name="Normal 58 8 2_Degree data" xfId="4030" xr:uid="{00000000-0005-0000-0000-000008AF0000}"/>
    <cellStyle name="Normal 58 8 3" xfId="341" xr:uid="{00000000-0005-0000-0000-000009AF0000}"/>
    <cellStyle name="Normal 58 8 3 2" xfId="2827" xr:uid="{00000000-0005-0000-0000-00000AAF0000}"/>
    <cellStyle name="Normal 58 8 3 2 2" xfId="12115" xr:uid="{00000000-0005-0000-0000-00000BAF0000}"/>
    <cellStyle name="Normal 58 8 3 2 2 2" xfId="22188" xr:uid="{00000000-0005-0000-0000-00000CAF0000}"/>
    <cellStyle name="Normal 58 8 3 2 2 2 2" xfId="47741" xr:uid="{00000000-0005-0000-0000-00000DAF0000}"/>
    <cellStyle name="Normal 58 8 3 2 2 3" xfId="37670" xr:uid="{00000000-0005-0000-0000-00000EAF0000}"/>
    <cellStyle name="Normal 58 8 3 2 3" xfId="8627" xr:uid="{00000000-0005-0000-0000-00000FAF0000}"/>
    <cellStyle name="Normal 58 8 3 2 3 2" xfId="34184" xr:uid="{00000000-0005-0000-0000-000010AF0000}"/>
    <cellStyle name="Normal 58 8 3 2 4" xfId="17181" xr:uid="{00000000-0005-0000-0000-000011AF0000}"/>
    <cellStyle name="Normal 58 8 3 2 4 2" xfId="42734" xr:uid="{00000000-0005-0000-0000-000012AF0000}"/>
    <cellStyle name="Normal 58 8 3 2 5" xfId="28671" xr:uid="{00000000-0005-0000-0000-000013AF0000}"/>
    <cellStyle name="Normal 58 8 3 3" xfId="4737" xr:uid="{00000000-0005-0000-0000-000014AF0000}"/>
    <cellStyle name="Normal 58 8 3 3 2" xfId="13575" xr:uid="{00000000-0005-0000-0000-000015AF0000}"/>
    <cellStyle name="Normal 58 8 3 3 2 2" xfId="23826" xr:uid="{00000000-0005-0000-0000-000016AF0000}"/>
    <cellStyle name="Normal 58 8 3 3 2 2 2" xfId="49379" xr:uid="{00000000-0005-0000-0000-000017AF0000}"/>
    <cellStyle name="Normal 58 8 3 3 2 3" xfId="39130" xr:uid="{00000000-0005-0000-0000-000018AF0000}"/>
    <cellStyle name="Normal 58 8 3 3 3" xfId="9996" xr:uid="{00000000-0005-0000-0000-000019AF0000}"/>
    <cellStyle name="Normal 58 8 3 3 3 2" xfId="35553" xr:uid="{00000000-0005-0000-0000-00001AAF0000}"/>
    <cellStyle name="Normal 58 8 3 3 4" xfId="18819" xr:uid="{00000000-0005-0000-0000-00001BAF0000}"/>
    <cellStyle name="Normal 58 8 3 3 4 2" xfId="44372" xr:uid="{00000000-0005-0000-0000-00001CAF0000}"/>
    <cellStyle name="Normal 58 8 3 3 5" xfId="30309" xr:uid="{00000000-0005-0000-0000-00001DAF0000}"/>
    <cellStyle name="Normal 58 8 3 4" xfId="1936" xr:uid="{00000000-0005-0000-0000-00001EAF0000}"/>
    <cellStyle name="Normal 58 8 3 4 2" xfId="11301" xr:uid="{00000000-0005-0000-0000-00001FAF0000}"/>
    <cellStyle name="Normal 58 8 3 4 2 2" xfId="36856" xr:uid="{00000000-0005-0000-0000-000020AF0000}"/>
    <cellStyle name="Normal 58 8 3 4 3" xfId="21305" xr:uid="{00000000-0005-0000-0000-000021AF0000}"/>
    <cellStyle name="Normal 58 8 3 4 3 2" xfId="46858" xr:uid="{00000000-0005-0000-0000-000022AF0000}"/>
    <cellStyle name="Normal 58 8 3 4 4" xfId="27788" xr:uid="{00000000-0005-0000-0000-000023AF0000}"/>
    <cellStyle name="Normal 58 8 3 5" xfId="6193" xr:uid="{00000000-0005-0000-0000-000024AF0000}"/>
    <cellStyle name="Normal 58 8 3 5 2" xfId="15020" xr:uid="{00000000-0005-0000-0000-000025AF0000}"/>
    <cellStyle name="Normal 58 8 3 5 2 2" xfId="40575" xr:uid="{00000000-0005-0000-0000-000026AF0000}"/>
    <cellStyle name="Normal 58 8 3 5 3" xfId="25271" xr:uid="{00000000-0005-0000-0000-000027AF0000}"/>
    <cellStyle name="Normal 58 8 3 5 3 2" xfId="50824" xr:uid="{00000000-0005-0000-0000-000028AF0000}"/>
    <cellStyle name="Normal 58 8 3 5 4" xfId="31754" xr:uid="{00000000-0005-0000-0000-000029AF0000}"/>
    <cellStyle name="Normal 58 8 3 6" xfId="7638" xr:uid="{00000000-0005-0000-0000-00002AAF0000}"/>
    <cellStyle name="Normal 58 8 3 6 2" xfId="19787" xr:uid="{00000000-0005-0000-0000-00002BAF0000}"/>
    <cellStyle name="Normal 58 8 3 6 2 2" xfId="45340" xr:uid="{00000000-0005-0000-0000-00002CAF0000}"/>
    <cellStyle name="Normal 58 8 3 6 3" xfId="33195" xr:uid="{00000000-0005-0000-0000-00002DAF0000}"/>
    <cellStyle name="Normal 58 8 3 7" xfId="16298" xr:uid="{00000000-0005-0000-0000-00002EAF0000}"/>
    <cellStyle name="Normal 58 8 3 7 2" xfId="41851" xr:uid="{00000000-0005-0000-0000-00002FAF0000}"/>
    <cellStyle name="Normal 58 8 3 8" xfId="26270" xr:uid="{00000000-0005-0000-0000-000030AF0000}"/>
    <cellStyle name="Normal 58 8 4" xfId="923" xr:uid="{00000000-0005-0000-0000-000031AF0000}"/>
    <cellStyle name="Normal 58 8 4 2" xfId="3408" xr:uid="{00000000-0005-0000-0000-000032AF0000}"/>
    <cellStyle name="Normal 58 8 4 2 2" xfId="12550" xr:uid="{00000000-0005-0000-0000-000033AF0000}"/>
    <cellStyle name="Normal 58 8 4 2 2 2" xfId="22769" xr:uid="{00000000-0005-0000-0000-000034AF0000}"/>
    <cellStyle name="Normal 58 8 4 2 2 2 2" xfId="48322" xr:uid="{00000000-0005-0000-0000-000035AF0000}"/>
    <cellStyle name="Normal 58 8 4 2 2 3" xfId="38105" xr:uid="{00000000-0005-0000-0000-000036AF0000}"/>
    <cellStyle name="Normal 58 8 4 2 3" xfId="8972" xr:uid="{00000000-0005-0000-0000-000037AF0000}"/>
    <cellStyle name="Normal 58 8 4 2 3 2" xfId="34529" xr:uid="{00000000-0005-0000-0000-000038AF0000}"/>
    <cellStyle name="Normal 58 8 4 2 4" xfId="17762" xr:uid="{00000000-0005-0000-0000-000039AF0000}"/>
    <cellStyle name="Normal 58 8 4 2 4 2" xfId="43315" xr:uid="{00000000-0005-0000-0000-00003AAF0000}"/>
    <cellStyle name="Normal 58 8 4 2 5" xfId="29252" xr:uid="{00000000-0005-0000-0000-00003BAF0000}"/>
    <cellStyle name="Normal 58 8 4 3" xfId="5086" xr:uid="{00000000-0005-0000-0000-00003CAF0000}"/>
    <cellStyle name="Normal 58 8 4 3 2" xfId="13923" xr:uid="{00000000-0005-0000-0000-00003DAF0000}"/>
    <cellStyle name="Normal 58 8 4 3 2 2" xfId="24174" xr:uid="{00000000-0005-0000-0000-00003EAF0000}"/>
    <cellStyle name="Normal 58 8 4 3 2 2 2" xfId="49727" xr:uid="{00000000-0005-0000-0000-00003FAF0000}"/>
    <cellStyle name="Normal 58 8 4 3 2 3" xfId="39478" xr:uid="{00000000-0005-0000-0000-000040AF0000}"/>
    <cellStyle name="Normal 58 8 4 3 3" xfId="10344" xr:uid="{00000000-0005-0000-0000-000041AF0000}"/>
    <cellStyle name="Normal 58 8 4 3 3 2" xfId="35901" xr:uid="{00000000-0005-0000-0000-000042AF0000}"/>
    <cellStyle name="Normal 58 8 4 3 4" xfId="19167" xr:uid="{00000000-0005-0000-0000-000043AF0000}"/>
    <cellStyle name="Normal 58 8 4 3 4 2" xfId="44720" xr:uid="{00000000-0005-0000-0000-000044AF0000}"/>
    <cellStyle name="Normal 58 8 4 3 5" xfId="30657" xr:uid="{00000000-0005-0000-0000-000045AF0000}"/>
    <cellStyle name="Normal 58 8 4 4" xfId="2517" xr:uid="{00000000-0005-0000-0000-000046AF0000}"/>
    <cellStyle name="Normal 58 8 4 4 2" xfId="11882" xr:uid="{00000000-0005-0000-0000-000047AF0000}"/>
    <cellStyle name="Normal 58 8 4 4 2 2" xfId="37437" xr:uid="{00000000-0005-0000-0000-000048AF0000}"/>
    <cellStyle name="Normal 58 8 4 4 3" xfId="21886" xr:uid="{00000000-0005-0000-0000-000049AF0000}"/>
    <cellStyle name="Normal 58 8 4 4 3 2" xfId="47439" xr:uid="{00000000-0005-0000-0000-00004AAF0000}"/>
    <cellStyle name="Normal 58 8 4 4 4" xfId="28369" xr:uid="{00000000-0005-0000-0000-00004BAF0000}"/>
    <cellStyle name="Normal 58 8 4 5" xfId="6541" xr:uid="{00000000-0005-0000-0000-00004CAF0000}"/>
    <cellStyle name="Normal 58 8 4 5 2" xfId="15368" xr:uid="{00000000-0005-0000-0000-00004DAF0000}"/>
    <cellStyle name="Normal 58 8 4 5 2 2" xfId="40923" xr:uid="{00000000-0005-0000-0000-00004EAF0000}"/>
    <cellStyle name="Normal 58 8 4 5 3" xfId="25619" xr:uid="{00000000-0005-0000-0000-00004FAF0000}"/>
    <cellStyle name="Normal 58 8 4 5 3 2" xfId="51172" xr:uid="{00000000-0005-0000-0000-000050AF0000}"/>
    <cellStyle name="Normal 58 8 4 5 4" xfId="32102" xr:uid="{00000000-0005-0000-0000-000051AF0000}"/>
    <cellStyle name="Normal 58 8 4 6" xfId="7987" xr:uid="{00000000-0005-0000-0000-000052AF0000}"/>
    <cellStyle name="Normal 58 8 4 6 2" xfId="20368" xr:uid="{00000000-0005-0000-0000-000053AF0000}"/>
    <cellStyle name="Normal 58 8 4 6 2 2" xfId="45921" xr:uid="{00000000-0005-0000-0000-000054AF0000}"/>
    <cellStyle name="Normal 58 8 4 6 3" xfId="33544" xr:uid="{00000000-0005-0000-0000-000055AF0000}"/>
    <cellStyle name="Normal 58 8 4 7" xfId="16879" xr:uid="{00000000-0005-0000-0000-000056AF0000}"/>
    <cellStyle name="Normal 58 8 4 7 2" xfId="42432" xr:uid="{00000000-0005-0000-0000-000057AF0000}"/>
    <cellStyle name="Normal 58 8 4 8" xfId="26851" xr:uid="{00000000-0005-0000-0000-000058AF0000}"/>
    <cellStyle name="Normal 58 8 5" xfId="1113" xr:uid="{00000000-0005-0000-0000-000059AF0000}"/>
    <cellStyle name="Normal 58 8 5 2" xfId="3542" xr:uid="{00000000-0005-0000-0000-00005AAF0000}"/>
    <cellStyle name="Normal 58 8 5 2 2" xfId="12678" xr:uid="{00000000-0005-0000-0000-00005BAF0000}"/>
    <cellStyle name="Normal 58 8 5 2 2 2" xfId="22897" xr:uid="{00000000-0005-0000-0000-00005CAF0000}"/>
    <cellStyle name="Normal 58 8 5 2 2 2 2" xfId="48450" xr:uid="{00000000-0005-0000-0000-00005DAF0000}"/>
    <cellStyle name="Normal 58 8 5 2 2 3" xfId="38233" xr:uid="{00000000-0005-0000-0000-00005EAF0000}"/>
    <cellStyle name="Normal 58 8 5 2 3" xfId="9099" xr:uid="{00000000-0005-0000-0000-00005FAF0000}"/>
    <cellStyle name="Normal 58 8 5 2 3 2" xfId="34656" xr:uid="{00000000-0005-0000-0000-000060AF0000}"/>
    <cellStyle name="Normal 58 8 5 2 4" xfId="17890" xr:uid="{00000000-0005-0000-0000-000061AF0000}"/>
    <cellStyle name="Normal 58 8 5 2 4 2" xfId="43443" xr:uid="{00000000-0005-0000-0000-000062AF0000}"/>
    <cellStyle name="Normal 58 8 5 2 5" xfId="29380" xr:uid="{00000000-0005-0000-0000-000063AF0000}"/>
    <cellStyle name="Normal 58 8 5 3" xfId="5205" xr:uid="{00000000-0005-0000-0000-000064AF0000}"/>
    <cellStyle name="Normal 58 8 5 3 2" xfId="14042" xr:uid="{00000000-0005-0000-0000-000065AF0000}"/>
    <cellStyle name="Normal 58 8 5 3 2 2" xfId="24293" xr:uid="{00000000-0005-0000-0000-000066AF0000}"/>
    <cellStyle name="Normal 58 8 5 3 2 2 2" xfId="49846" xr:uid="{00000000-0005-0000-0000-000067AF0000}"/>
    <cellStyle name="Normal 58 8 5 3 2 3" xfId="39597" xr:uid="{00000000-0005-0000-0000-000068AF0000}"/>
    <cellStyle name="Normal 58 8 5 3 3" xfId="10463" xr:uid="{00000000-0005-0000-0000-000069AF0000}"/>
    <cellStyle name="Normal 58 8 5 3 3 2" xfId="36020" xr:uid="{00000000-0005-0000-0000-00006AAF0000}"/>
    <cellStyle name="Normal 58 8 5 3 4" xfId="19286" xr:uid="{00000000-0005-0000-0000-00006BAF0000}"/>
    <cellStyle name="Normal 58 8 5 3 4 2" xfId="44839" xr:uid="{00000000-0005-0000-0000-00006CAF0000}"/>
    <cellStyle name="Normal 58 8 5 3 5" xfId="30776" xr:uid="{00000000-0005-0000-0000-00006DAF0000}"/>
    <cellStyle name="Normal 58 8 5 4" xfId="1821" xr:uid="{00000000-0005-0000-0000-00006EAF0000}"/>
    <cellStyle name="Normal 58 8 5 4 2" xfId="11189" xr:uid="{00000000-0005-0000-0000-00006FAF0000}"/>
    <cellStyle name="Normal 58 8 5 4 2 2" xfId="36744" xr:uid="{00000000-0005-0000-0000-000070AF0000}"/>
    <cellStyle name="Normal 58 8 5 4 3" xfId="21193" xr:uid="{00000000-0005-0000-0000-000071AF0000}"/>
    <cellStyle name="Normal 58 8 5 4 3 2" xfId="46746" xr:uid="{00000000-0005-0000-0000-000072AF0000}"/>
    <cellStyle name="Normal 58 8 5 4 4" xfId="27676" xr:uid="{00000000-0005-0000-0000-000073AF0000}"/>
    <cellStyle name="Normal 58 8 5 5" xfId="6660" xr:uid="{00000000-0005-0000-0000-000074AF0000}"/>
    <cellStyle name="Normal 58 8 5 5 2" xfId="15487" xr:uid="{00000000-0005-0000-0000-000075AF0000}"/>
    <cellStyle name="Normal 58 8 5 5 2 2" xfId="41042" xr:uid="{00000000-0005-0000-0000-000076AF0000}"/>
    <cellStyle name="Normal 58 8 5 5 3" xfId="25738" xr:uid="{00000000-0005-0000-0000-000077AF0000}"/>
    <cellStyle name="Normal 58 8 5 5 3 2" xfId="51291" xr:uid="{00000000-0005-0000-0000-000078AF0000}"/>
    <cellStyle name="Normal 58 8 5 5 4" xfId="32221" xr:uid="{00000000-0005-0000-0000-000079AF0000}"/>
    <cellStyle name="Normal 58 8 5 6" xfId="8106" xr:uid="{00000000-0005-0000-0000-00007AAF0000}"/>
    <cellStyle name="Normal 58 8 5 6 2" xfId="20496" xr:uid="{00000000-0005-0000-0000-00007BAF0000}"/>
    <cellStyle name="Normal 58 8 5 6 2 2" xfId="46049" xr:uid="{00000000-0005-0000-0000-00007CAF0000}"/>
    <cellStyle name="Normal 58 8 5 6 3" xfId="33663" xr:uid="{00000000-0005-0000-0000-00007DAF0000}"/>
    <cellStyle name="Normal 58 8 5 7" xfId="16186" xr:uid="{00000000-0005-0000-0000-00007EAF0000}"/>
    <cellStyle name="Normal 58 8 5 7 2" xfId="41739" xr:uid="{00000000-0005-0000-0000-00007FAF0000}"/>
    <cellStyle name="Normal 58 8 5 8" xfId="26979" xr:uid="{00000000-0005-0000-0000-000080AF0000}"/>
    <cellStyle name="Normal 58 8 6" xfId="2715" xr:uid="{00000000-0005-0000-0000-000081AF0000}"/>
    <cellStyle name="Normal 58 8 6 2" xfId="12032" xr:uid="{00000000-0005-0000-0000-000082AF0000}"/>
    <cellStyle name="Normal 58 8 6 2 2" xfId="22076" xr:uid="{00000000-0005-0000-0000-000083AF0000}"/>
    <cellStyle name="Normal 58 8 6 2 2 2" xfId="47629" xr:uid="{00000000-0005-0000-0000-000084AF0000}"/>
    <cellStyle name="Normal 58 8 6 2 3" xfId="37587" xr:uid="{00000000-0005-0000-0000-000085AF0000}"/>
    <cellStyle name="Normal 58 8 6 3" xfId="8550" xr:uid="{00000000-0005-0000-0000-000086AF0000}"/>
    <cellStyle name="Normal 58 8 6 3 2" xfId="34107" xr:uid="{00000000-0005-0000-0000-000087AF0000}"/>
    <cellStyle name="Normal 58 8 6 4" xfId="17069" xr:uid="{00000000-0005-0000-0000-000088AF0000}"/>
    <cellStyle name="Normal 58 8 6 4 2" xfId="42622" xr:uid="{00000000-0005-0000-0000-000089AF0000}"/>
    <cellStyle name="Normal 58 8 6 5" xfId="28559" xr:uid="{00000000-0005-0000-0000-00008AAF0000}"/>
    <cellStyle name="Normal 58 8 7" xfId="4161" xr:uid="{00000000-0005-0000-0000-00008BAF0000}"/>
    <cellStyle name="Normal 58 8 7 2" xfId="12999" xr:uid="{00000000-0005-0000-0000-00008CAF0000}"/>
    <cellStyle name="Normal 58 8 7 2 2" xfId="23250" xr:uid="{00000000-0005-0000-0000-00008DAF0000}"/>
    <cellStyle name="Normal 58 8 7 2 2 2" xfId="48803" xr:uid="{00000000-0005-0000-0000-00008EAF0000}"/>
    <cellStyle name="Normal 58 8 7 2 3" xfId="38554" xr:uid="{00000000-0005-0000-0000-00008FAF0000}"/>
    <cellStyle name="Normal 58 8 7 3" xfId="9420" xr:uid="{00000000-0005-0000-0000-000090AF0000}"/>
    <cellStyle name="Normal 58 8 7 3 2" xfId="34977" xr:uid="{00000000-0005-0000-0000-000091AF0000}"/>
    <cellStyle name="Normal 58 8 7 4" xfId="18243" xr:uid="{00000000-0005-0000-0000-000092AF0000}"/>
    <cellStyle name="Normal 58 8 7 4 2" xfId="43796" xr:uid="{00000000-0005-0000-0000-000093AF0000}"/>
    <cellStyle name="Normal 58 8 7 5" xfId="29733" xr:uid="{00000000-0005-0000-0000-000094AF0000}"/>
    <cellStyle name="Normal 58 8 8" xfId="1433" xr:uid="{00000000-0005-0000-0000-000095AF0000}"/>
    <cellStyle name="Normal 58 8 8 2" xfId="10810" xr:uid="{00000000-0005-0000-0000-000096AF0000}"/>
    <cellStyle name="Normal 58 8 8 2 2" xfId="36365" xr:uid="{00000000-0005-0000-0000-000097AF0000}"/>
    <cellStyle name="Normal 58 8 8 3" xfId="20814" xr:uid="{00000000-0005-0000-0000-000098AF0000}"/>
    <cellStyle name="Normal 58 8 8 3 2" xfId="46367" xr:uid="{00000000-0005-0000-0000-000099AF0000}"/>
    <cellStyle name="Normal 58 8 8 4" xfId="27297" xr:uid="{00000000-0005-0000-0000-00009AAF0000}"/>
    <cellStyle name="Normal 58 8 9" xfId="5617" xr:uid="{00000000-0005-0000-0000-00009BAF0000}"/>
    <cellStyle name="Normal 58 8 9 2" xfId="14444" xr:uid="{00000000-0005-0000-0000-00009CAF0000}"/>
    <cellStyle name="Normal 58 8 9 2 2" xfId="39999" xr:uid="{00000000-0005-0000-0000-00009DAF0000}"/>
    <cellStyle name="Normal 58 8 9 3" xfId="24695" xr:uid="{00000000-0005-0000-0000-00009EAF0000}"/>
    <cellStyle name="Normal 58 8 9 3 2" xfId="50248" xr:uid="{00000000-0005-0000-0000-00009FAF0000}"/>
    <cellStyle name="Normal 58 8 9 4" xfId="31178" xr:uid="{00000000-0005-0000-0000-0000A0AF0000}"/>
    <cellStyle name="Normal 58 8_Degree data" xfId="4029" xr:uid="{00000000-0005-0000-0000-0000A1AF0000}"/>
    <cellStyle name="Normal 58 9" xfId="280" xr:uid="{00000000-0005-0000-0000-0000A2AF0000}"/>
    <cellStyle name="Normal 58 9 10" xfId="16068" xr:uid="{00000000-0005-0000-0000-0000A3AF0000}"/>
    <cellStyle name="Normal 58 9 10 2" xfId="41621" xr:uid="{00000000-0005-0000-0000-0000A4AF0000}"/>
    <cellStyle name="Normal 58 9 11" xfId="26214" xr:uid="{00000000-0005-0000-0000-0000A5AF0000}"/>
    <cellStyle name="Normal 58 9 2" xfId="602" xr:uid="{00000000-0005-0000-0000-0000A6AF0000}"/>
    <cellStyle name="Normal 58 9 2 2" xfId="3088" xr:uid="{00000000-0005-0000-0000-0000A7AF0000}"/>
    <cellStyle name="Normal 58 9 2 2 2" xfId="12231" xr:uid="{00000000-0005-0000-0000-0000A8AF0000}"/>
    <cellStyle name="Normal 58 9 2 2 2 2" xfId="22449" xr:uid="{00000000-0005-0000-0000-0000A9AF0000}"/>
    <cellStyle name="Normal 58 9 2 2 2 2 2" xfId="48002" xr:uid="{00000000-0005-0000-0000-0000AAAF0000}"/>
    <cellStyle name="Normal 58 9 2 2 2 3" xfId="37786" xr:uid="{00000000-0005-0000-0000-0000ABAF0000}"/>
    <cellStyle name="Normal 58 9 2 2 3" xfId="8653" xr:uid="{00000000-0005-0000-0000-0000ACAF0000}"/>
    <cellStyle name="Normal 58 9 2 2 3 2" xfId="34210" xr:uid="{00000000-0005-0000-0000-0000ADAF0000}"/>
    <cellStyle name="Normal 58 9 2 2 4" xfId="17442" xr:uid="{00000000-0005-0000-0000-0000AEAF0000}"/>
    <cellStyle name="Normal 58 9 2 2 4 2" xfId="42995" xr:uid="{00000000-0005-0000-0000-0000AFAF0000}"/>
    <cellStyle name="Normal 58 9 2 2 5" xfId="28932" xr:uid="{00000000-0005-0000-0000-0000B0AF0000}"/>
    <cellStyle name="Normal 58 9 2 3" xfId="4739" xr:uid="{00000000-0005-0000-0000-0000B1AF0000}"/>
    <cellStyle name="Normal 58 9 2 3 2" xfId="13577" xr:uid="{00000000-0005-0000-0000-0000B2AF0000}"/>
    <cellStyle name="Normal 58 9 2 3 2 2" xfId="23828" xr:uid="{00000000-0005-0000-0000-0000B3AF0000}"/>
    <cellStyle name="Normal 58 9 2 3 2 2 2" xfId="49381" xr:uid="{00000000-0005-0000-0000-0000B4AF0000}"/>
    <cellStyle name="Normal 58 9 2 3 2 3" xfId="39132" xr:uid="{00000000-0005-0000-0000-0000B5AF0000}"/>
    <cellStyle name="Normal 58 9 2 3 3" xfId="9998" xr:uid="{00000000-0005-0000-0000-0000B6AF0000}"/>
    <cellStyle name="Normal 58 9 2 3 3 2" xfId="35555" xr:uid="{00000000-0005-0000-0000-0000B7AF0000}"/>
    <cellStyle name="Normal 58 9 2 3 4" xfId="18821" xr:uid="{00000000-0005-0000-0000-0000B8AF0000}"/>
    <cellStyle name="Normal 58 9 2 3 4 2" xfId="44374" xr:uid="{00000000-0005-0000-0000-0000B9AF0000}"/>
    <cellStyle name="Normal 58 9 2 3 5" xfId="30311" xr:uid="{00000000-0005-0000-0000-0000BAAF0000}"/>
    <cellStyle name="Normal 58 9 2 4" xfId="2197" xr:uid="{00000000-0005-0000-0000-0000BBAF0000}"/>
    <cellStyle name="Normal 58 9 2 4 2" xfId="11562" xr:uid="{00000000-0005-0000-0000-0000BCAF0000}"/>
    <cellStyle name="Normal 58 9 2 4 2 2" xfId="37117" xr:uid="{00000000-0005-0000-0000-0000BDAF0000}"/>
    <cellStyle name="Normal 58 9 2 4 3" xfId="21566" xr:uid="{00000000-0005-0000-0000-0000BEAF0000}"/>
    <cellStyle name="Normal 58 9 2 4 3 2" xfId="47119" xr:uid="{00000000-0005-0000-0000-0000BFAF0000}"/>
    <cellStyle name="Normal 58 9 2 4 4" xfId="28049" xr:uid="{00000000-0005-0000-0000-0000C0AF0000}"/>
    <cellStyle name="Normal 58 9 2 5" xfId="6195" xr:uid="{00000000-0005-0000-0000-0000C1AF0000}"/>
    <cellStyle name="Normal 58 9 2 5 2" xfId="15022" xr:uid="{00000000-0005-0000-0000-0000C2AF0000}"/>
    <cellStyle name="Normal 58 9 2 5 2 2" xfId="40577" xr:uid="{00000000-0005-0000-0000-0000C3AF0000}"/>
    <cellStyle name="Normal 58 9 2 5 3" xfId="25273" xr:uid="{00000000-0005-0000-0000-0000C4AF0000}"/>
    <cellStyle name="Normal 58 9 2 5 3 2" xfId="50826" xr:uid="{00000000-0005-0000-0000-0000C5AF0000}"/>
    <cellStyle name="Normal 58 9 2 5 4" xfId="31756" xr:uid="{00000000-0005-0000-0000-0000C6AF0000}"/>
    <cellStyle name="Normal 58 9 2 6" xfId="7640" xr:uid="{00000000-0005-0000-0000-0000C7AF0000}"/>
    <cellStyle name="Normal 58 9 2 6 2" xfId="20048" xr:uid="{00000000-0005-0000-0000-0000C8AF0000}"/>
    <cellStyle name="Normal 58 9 2 6 2 2" xfId="45601" xr:uid="{00000000-0005-0000-0000-0000C9AF0000}"/>
    <cellStyle name="Normal 58 9 2 6 3" xfId="33197" xr:uid="{00000000-0005-0000-0000-0000CAAF0000}"/>
    <cellStyle name="Normal 58 9 2 7" xfId="16559" xr:uid="{00000000-0005-0000-0000-0000CBAF0000}"/>
    <cellStyle name="Normal 58 9 2 7 2" xfId="42112" xr:uid="{00000000-0005-0000-0000-0000CCAF0000}"/>
    <cellStyle name="Normal 58 9 2 8" xfId="26531" xr:uid="{00000000-0005-0000-0000-0000CDAF0000}"/>
    <cellStyle name="Normal 58 9 3" xfId="925" xr:uid="{00000000-0005-0000-0000-0000CEAF0000}"/>
    <cellStyle name="Normal 58 9 3 2" xfId="3410" xr:uid="{00000000-0005-0000-0000-0000CFAF0000}"/>
    <cellStyle name="Normal 58 9 3 2 2" xfId="12552" xr:uid="{00000000-0005-0000-0000-0000D0AF0000}"/>
    <cellStyle name="Normal 58 9 3 2 2 2" xfId="22771" xr:uid="{00000000-0005-0000-0000-0000D1AF0000}"/>
    <cellStyle name="Normal 58 9 3 2 2 2 2" xfId="48324" xr:uid="{00000000-0005-0000-0000-0000D2AF0000}"/>
    <cellStyle name="Normal 58 9 3 2 2 3" xfId="38107" xr:uid="{00000000-0005-0000-0000-0000D3AF0000}"/>
    <cellStyle name="Normal 58 9 3 2 3" xfId="8974" xr:uid="{00000000-0005-0000-0000-0000D4AF0000}"/>
    <cellStyle name="Normal 58 9 3 2 3 2" xfId="34531" xr:uid="{00000000-0005-0000-0000-0000D5AF0000}"/>
    <cellStyle name="Normal 58 9 3 2 4" xfId="17764" xr:uid="{00000000-0005-0000-0000-0000D6AF0000}"/>
    <cellStyle name="Normal 58 9 3 2 4 2" xfId="43317" xr:uid="{00000000-0005-0000-0000-0000D7AF0000}"/>
    <cellStyle name="Normal 58 9 3 2 5" xfId="29254" xr:uid="{00000000-0005-0000-0000-0000D8AF0000}"/>
    <cellStyle name="Normal 58 9 3 3" xfId="5088" xr:uid="{00000000-0005-0000-0000-0000D9AF0000}"/>
    <cellStyle name="Normal 58 9 3 3 2" xfId="13925" xr:uid="{00000000-0005-0000-0000-0000DAAF0000}"/>
    <cellStyle name="Normal 58 9 3 3 2 2" xfId="24176" xr:uid="{00000000-0005-0000-0000-0000DBAF0000}"/>
    <cellStyle name="Normal 58 9 3 3 2 2 2" xfId="49729" xr:uid="{00000000-0005-0000-0000-0000DCAF0000}"/>
    <cellStyle name="Normal 58 9 3 3 2 3" xfId="39480" xr:uid="{00000000-0005-0000-0000-0000DDAF0000}"/>
    <cellStyle name="Normal 58 9 3 3 3" xfId="10346" xr:uid="{00000000-0005-0000-0000-0000DEAF0000}"/>
    <cellStyle name="Normal 58 9 3 3 3 2" xfId="35903" xr:uid="{00000000-0005-0000-0000-0000DFAF0000}"/>
    <cellStyle name="Normal 58 9 3 3 4" xfId="19169" xr:uid="{00000000-0005-0000-0000-0000E0AF0000}"/>
    <cellStyle name="Normal 58 9 3 3 4 2" xfId="44722" xr:uid="{00000000-0005-0000-0000-0000E1AF0000}"/>
    <cellStyle name="Normal 58 9 3 3 5" xfId="30659" xr:uid="{00000000-0005-0000-0000-0000E2AF0000}"/>
    <cellStyle name="Normal 58 9 3 4" xfId="2519" xr:uid="{00000000-0005-0000-0000-0000E3AF0000}"/>
    <cellStyle name="Normal 58 9 3 4 2" xfId="11884" xr:uid="{00000000-0005-0000-0000-0000E4AF0000}"/>
    <cellStyle name="Normal 58 9 3 4 2 2" xfId="37439" xr:uid="{00000000-0005-0000-0000-0000E5AF0000}"/>
    <cellStyle name="Normal 58 9 3 4 3" xfId="21888" xr:uid="{00000000-0005-0000-0000-0000E6AF0000}"/>
    <cellStyle name="Normal 58 9 3 4 3 2" xfId="47441" xr:uid="{00000000-0005-0000-0000-0000E7AF0000}"/>
    <cellStyle name="Normal 58 9 3 4 4" xfId="28371" xr:uid="{00000000-0005-0000-0000-0000E8AF0000}"/>
    <cellStyle name="Normal 58 9 3 5" xfId="6543" xr:uid="{00000000-0005-0000-0000-0000E9AF0000}"/>
    <cellStyle name="Normal 58 9 3 5 2" xfId="15370" xr:uid="{00000000-0005-0000-0000-0000EAAF0000}"/>
    <cellStyle name="Normal 58 9 3 5 2 2" xfId="40925" xr:uid="{00000000-0005-0000-0000-0000EBAF0000}"/>
    <cellStyle name="Normal 58 9 3 5 3" xfId="25621" xr:uid="{00000000-0005-0000-0000-0000ECAF0000}"/>
    <cellStyle name="Normal 58 9 3 5 3 2" xfId="51174" xr:uid="{00000000-0005-0000-0000-0000EDAF0000}"/>
    <cellStyle name="Normal 58 9 3 5 4" xfId="32104" xr:uid="{00000000-0005-0000-0000-0000EEAF0000}"/>
    <cellStyle name="Normal 58 9 3 6" xfId="7989" xr:uid="{00000000-0005-0000-0000-0000EFAF0000}"/>
    <cellStyle name="Normal 58 9 3 6 2" xfId="20370" xr:uid="{00000000-0005-0000-0000-0000F0AF0000}"/>
    <cellStyle name="Normal 58 9 3 6 2 2" xfId="45923" xr:uid="{00000000-0005-0000-0000-0000F1AF0000}"/>
    <cellStyle name="Normal 58 9 3 6 3" xfId="33546" xr:uid="{00000000-0005-0000-0000-0000F2AF0000}"/>
    <cellStyle name="Normal 58 9 3 7" xfId="16881" xr:uid="{00000000-0005-0000-0000-0000F3AF0000}"/>
    <cellStyle name="Normal 58 9 3 7 2" xfId="42434" xr:uid="{00000000-0005-0000-0000-0000F4AF0000}"/>
    <cellStyle name="Normal 58 9 3 8" xfId="26853" xr:uid="{00000000-0005-0000-0000-0000F5AF0000}"/>
    <cellStyle name="Normal 58 9 4" xfId="1374" xr:uid="{00000000-0005-0000-0000-0000F6AF0000}"/>
    <cellStyle name="Normal 58 9 4 2" xfId="3803" xr:uid="{00000000-0005-0000-0000-0000F7AF0000}"/>
    <cellStyle name="Normal 58 9 4 2 2" xfId="12939" xr:uid="{00000000-0005-0000-0000-0000F8AF0000}"/>
    <cellStyle name="Normal 58 9 4 2 2 2" xfId="23158" xr:uid="{00000000-0005-0000-0000-0000F9AF0000}"/>
    <cellStyle name="Normal 58 9 4 2 2 2 2" xfId="48711" xr:uid="{00000000-0005-0000-0000-0000FAAF0000}"/>
    <cellStyle name="Normal 58 9 4 2 2 3" xfId="38494" xr:uid="{00000000-0005-0000-0000-0000FBAF0000}"/>
    <cellStyle name="Normal 58 9 4 2 3" xfId="9360" xr:uid="{00000000-0005-0000-0000-0000FCAF0000}"/>
    <cellStyle name="Normal 58 9 4 2 3 2" xfId="34917" xr:uid="{00000000-0005-0000-0000-0000FDAF0000}"/>
    <cellStyle name="Normal 58 9 4 2 4" xfId="18151" xr:uid="{00000000-0005-0000-0000-0000FEAF0000}"/>
    <cellStyle name="Normal 58 9 4 2 4 2" xfId="43704" xr:uid="{00000000-0005-0000-0000-0000FFAF0000}"/>
    <cellStyle name="Normal 58 9 4 2 5" xfId="29641" xr:uid="{00000000-0005-0000-0000-000000B00000}"/>
    <cellStyle name="Normal 58 9 4 3" xfId="5466" xr:uid="{00000000-0005-0000-0000-000001B00000}"/>
    <cellStyle name="Normal 58 9 4 3 2" xfId="14303" xr:uid="{00000000-0005-0000-0000-000002B00000}"/>
    <cellStyle name="Normal 58 9 4 3 2 2" xfId="24554" xr:uid="{00000000-0005-0000-0000-000003B00000}"/>
    <cellStyle name="Normal 58 9 4 3 2 2 2" xfId="50107" xr:uid="{00000000-0005-0000-0000-000004B00000}"/>
    <cellStyle name="Normal 58 9 4 3 2 3" xfId="39858" xr:uid="{00000000-0005-0000-0000-000005B00000}"/>
    <cellStyle name="Normal 58 9 4 3 3" xfId="10724" xr:uid="{00000000-0005-0000-0000-000006B00000}"/>
    <cellStyle name="Normal 58 9 4 3 3 2" xfId="36281" xr:uid="{00000000-0005-0000-0000-000007B00000}"/>
    <cellStyle name="Normal 58 9 4 3 4" xfId="19547" xr:uid="{00000000-0005-0000-0000-000008B00000}"/>
    <cellStyle name="Normal 58 9 4 3 4 2" xfId="45100" xr:uid="{00000000-0005-0000-0000-000009B00000}"/>
    <cellStyle name="Normal 58 9 4 3 5" xfId="31037" xr:uid="{00000000-0005-0000-0000-00000AB00000}"/>
    <cellStyle name="Normal 58 9 4 4" xfId="1877" xr:uid="{00000000-0005-0000-0000-00000BB00000}"/>
    <cellStyle name="Normal 58 9 4 4 2" xfId="11245" xr:uid="{00000000-0005-0000-0000-00000CB00000}"/>
    <cellStyle name="Normal 58 9 4 4 2 2" xfId="36800" xr:uid="{00000000-0005-0000-0000-00000DB00000}"/>
    <cellStyle name="Normal 58 9 4 4 3" xfId="21249" xr:uid="{00000000-0005-0000-0000-00000EB00000}"/>
    <cellStyle name="Normal 58 9 4 4 3 2" xfId="46802" xr:uid="{00000000-0005-0000-0000-00000FB00000}"/>
    <cellStyle name="Normal 58 9 4 4 4" xfId="27732" xr:uid="{00000000-0005-0000-0000-000010B00000}"/>
    <cellStyle name="Normal 58 9 4 5" xfId="6921" xr:uid="{00000000-0005-0000-0000-000011B00000}"/>
    <cellStyle name="Normal 58 9 4 5 2" xfId="15748" xr:uid="{00000000-0005-0000-0000-000012B00000}"/>
    <cellStyle name="Normal 58 9 4 5 2 2" xfId="41303" xr:uid="{00000000-0005-0000-0000-000013B00000}"/>
    <cellStyle name="Normal 58 9 4 5 3" xfId="25999" xr:uid="{00000000-0005-0000-0000-000014B00000}"/>
    <cellStyle name="Normal 58 9 4 5 3 2" xfId="51552" xr:uid="{00000000-0005-0000-0000-000015B00000}"/>
    <cellStyle name="Normal 58 9 4 5 4" xfId="32482" xr:uid="{00000000-0005-0000-0000-000016B00000}"/>
    <cellStyle name="Normal 58 9 4 6" xfId="8367" xr:uid="{00000000-0005-0000-0000-000017B00000}"/>
    <cellStyle name="Normal 58 9 4 6 2" xfId="20757" xr:uid="{00000000-0005-0000-0000-000018B00000}"/>
    <cellStyle name="Normal 58 9 4 6 2 2" xfId="46310" xr:uid="{00000000-0005-0000-0000-000019B00000}"/>
    <cellStyle name="Normal 58 9 4 6 3" xfId="33924" xr:uid="{00000000-0005-0000-0000-00001AB00000}"/>
    <cellStyle name="Normal 58 9 4 7" xfId="16242" xr:uid="{00000000-0005-0000-0000-00001BB00000}"/>
    <cellStyle name="Normal 58 9 4 7 2" xfId="41795" xr:uid="{00000000-0005-0000-0000-00001CB00000}"/>
    <cellStyle name="Normal 58 9 4 8" xfId="27240" xr:uid="{00000000-0005-0000-0000-00001DB00000}"/>
    <cellStyle name="Normal 58 9 5" xfId="2771" xr:uid="{00000000-0005-0000-0000-00001EB00000}"/>
    <cellStyle name="Normal 58 9 5 2" xfId="12088" xr:uid="{00000000-0005-0000-0000-00001FB00000}"/>
    <cellStyle name="Normal 58 9 5 2 2" xfId="22132" xr:uid="{00000000-0005-0000-0000-000020B00000}"/>
    <cellStyle name="Normal 58 9 5 2 2 2" xfId="47685" xr:uid="{00000000-0005-0000-0000-000021B00000}"/>
    <cellStyle name="Normal 58 9 5 2 3" xfId="37643" xr:uid="{00000000-0005-0000-0000-000022B00000}"/>
    <cellStyle name="Normal 58 9 5 3" xfId="8392" xr:uid="{00000000-0005-0000-0000-000023B00000}"/>
    <cellStyle name="Normal 58 9 5 3 2" xfId="33949" xr:uid="{00000000-0005-0000-0000-000024B00000}"/>
    <cellStyle name="Normal 58 9 5 4" xfId="17125" xr:uid="{00000000-0005-0000-0000-000025B00000}"/>
    <cellStyle name="Normal 58 9 5 4 2" xfId="42678" xr:uid="{00000000-0005-0000-0000-000026B00000}"/>
    <cellStyle name="Normal 58 9 5 5" xfId="28615" xr:uid="{00000000-0005-0000-0000-000027B00000}"/>
    <cellStyle name="Normal 58 9 6" xfId="4422" xr:uid="{00000000-0005-0000-0000-000028B00000}"/>
    <cellStyle name="Normal 58 9 6 2" xfId="13260" xr:uid="{00000000-0005-0000-0000-000029B00000}"/>
    <cellStyle name="Normal 58 9 6 2 2" xfId="23511" xr:uid="{00000000-0005-0000-0000-00002AB00000}"/>
    <cellStyle name="Normal 58 9 6 2 2 2" xfId="49064" xr:uid="{00000000-0005-0000-0000-00002BB00000}"/>
    <cellStyle name="Normal 58 9 6 2 3" xfId="38815" xr:uid="{00000000-0005-0000-0000-00002CB00000}"/>
    <cellStyle name="Normal 58 9 6 3" xfId="9681" xr:uid="{00000000-0005-0000-0000-00002DB00000}"/>
    <cellStyle name="Normal 58 9 6 3 2" xfId="35238" xr:uid="{00000000-0005-0000-0000-00002EB00000}"/>
    <cellStyle name="Normal 58 9 6 4" xfId="18504" xr:uid="{00000000-0005-0000-0000-00002FB00000}"/>
    <cellStyle name="Normal 58 9 6 4 2" xfId="44057" xr:uid="{00000000-0005-0000-0000-000030B00000}"/>
    <cellStyle name="Normal 58 9 6 5" xfId="29994" xr:uid="{00000000-0005-0000-0000-000031B00000}"/>
    <cellStyle name="Normal 58 9 7" xfId="1694" xr:uid="{00000000-0005-0000-0000-000032B00000}"/>
    <cellStyle name="Normal 58 9 7 2" xfId="11071" xr:uid="{00000000-0005-0000-0000-000033B00000}"/>
    <cellStyle name="Normal 58 9 7 2 2" xfId="36626" xr:uid="{00000000-0005-0000-0000-000034B00000}"/>
    <cellStyle name="Normal 58 9 7 3" xfId="21075" xr:uid="{00000000-0005-0000-0000-000035B00000}"/>
    <cellStyle name="Normal 58 9 7 3 2" xfId="46628" xr:uid="{00000000-0005-0000-0000-000036B00000}"/>
    <cellStyle name="Normal 58 9 7 4" xfId="27558" xr:uid="{00000000-0005-0000-0000-000037B00000}"/>
    <cellStyle name="Normal 58 9 8" xfId="5878" xr:uid="{00000000-0005-0000-0000-000038B00000}"/>
    <cellStyle name="Normal 58 9 8 2" xfId="14705" xr:uid="{00000000-0005-0000-0000-000039B00000}"/>
    <cellStyle name="Normal 58 9 8 2 2" xfId="40260" xr:uid="{00000000-0005-0000-0000-00003AB00000}"/>
    <cellStyle name="Normal 58 9 8 3" xfId="24956" xr:uid="{00000000-0005-0000-0000-00003BB00000}"/>
    <cellStyle name="Normal 58 9 8 3 2" xfId="50509" xr:uid="{00000000-0005-0000-0000-00003CB00000}"/>
    <cellStyle name="Normal 58 9 8 4" xfId="31439" xr:uid="{00000000-0005-0000-0000-00003DB00000}"/>
    <cellStyle name="Normal 58 9 9" xfId="7322" xr:uid="{00000000-0005-0000-0000-00003EB00000}"/>
    <cellStyle name="Normal 58 9 9 2" xfId="19731" xr:uid="{00000000-0005-0000-0000-00003FB00000}"/>
    <cellStyle name="Normal 58 9 9 2 2" xfId="45284" xr:uid="{00000000-0005-0000-0000-000040B00000}"/>
    <cellStyle name="Normal 58 9 9 3" xfId="32879" xr:uid="{00000000-0005-0000-0000-000041B00000}"/>
    <cellStyle name="Normal 58 9_Degree data" xfId="4031" xr:uid="{00000000-0005-0000-0000-000042B00000}"/>
    <cellStyle name="Normal 58_Degree data" xfId="3989" xr:uid="{00000000-0005-0000-0000-000043B00000}"/>
    <cellStyle name="Normal 59" xfId="45" xr:uid="{00000000-0005-0000-0000-000044B00000}"/>
    <cellStyle name="Normal 6" xfId="27" xr:uid="{00000000-0005-0000-0000-000045B00000}"/>
    <cellStyle name="Normal 6 2 2" xfId="44" xr:uid="{00000000-0005-0000-0000-000046B00000}"/>
    <cellStyle name="Normal 6_sreb progression tab 2 redo" xfId="34" xr:uid="{00000000-0005-0000-0000-000047B00000}"/>
    <cellStyle name="Normal 60" xfId="56" xr:uid="{00000000-0005-0000-0000-000048B00000}"/>
    <cellStyle name="Normal 60 2" xfId="926" xr:uid="{00000000-0005-0000-0000-000049B00000}"/>
    <cellStyle name="Normal 60 3" xfId="1711" xr:uid="{00000000-0005-0000-0000-00004AB00000}"/>
    <cellStyle name="Normal 60_Degree data" xfId="4032" xr:uid="{00000000-0005-0000-0000-00004BB00000}"/>
    <cellStyle name="Normal 61" xfId="57" xr:uid="{00000000-0005-0000-0000-00004CB00000}"/>
    <cellStyle name="Normal 61 2" xfId="927" xr:uid="{00000000-0005-0000-0000-00004DB00000}"/>
    <cellStyle name="Normal 61 3" xfId="1712" xr:uid="{00000000-0005-0000-0000-00004EB00000}"/>
    <cellStyle name="Normal 61_Degree data" xfId="4033" xr:uid="{00000000-0005-0000-0000-00004FB00000}"/>
    <cellStyle name="Normal 62" xfId="92" xr:uid="{00000000-0005-0000-0000-000050B00000}"/>
    <cellStyle name="Normal 62 2" xfId="928" xr:uid="{00000000-0005-0000-0000-000051B00000}"/>
    <cellStyle name="Normal 62 3" xfId="1713" xr:uid="{00000000-0005-0000-0000-000052B00000}"/>
    <cellStyle name="Normal 62_Degree data" xfId="4034" xr:uid="{00000000-0005-0000-0000-000053B00000}"/>
    <cellStyle name="Normal 63" xfId="122" xr:uid="{00000000-0005-0000-0000-000054B00000}"/>
    <cellStyle name="Normal 63 10" xfId="1416" xr:uid="{00000000-0005-0000-0000-000055B00000}"/>
    <cellStyle name="Normal 63 10 2" xfId="10793" xr:uid="{00000000-0005-0000-0000-000056B00000}"/>
    <cellStyle name="Normal 63 10 2 2" xfId="36348" xr:uid="{00000000-0005-0000-0000-000057B00000}"/>
    <cellStyle name="Normal 63 10 3" xfId="20797" xr:uid="{00000000-0005-0000-0000-000058B00000}"/>
    <cellStyle name="Normal 63 10 3 2" xfId="46350" xr:uid="{00000000-0005-0000-0000-000059B00000}"/>
    <cellStyle name="Normal 63 10 4" xfId="27280" xr:uid="{00000000-0005-0000-0000-00005AB00000}"/>
    <cellStyle name="Normal 63 11" xfId="5600" xr:uid="{00000000-0005-0000-0000-00005BB00000}"/>
    <cellStyle name="Normal 63 11 2" xfId="14427" xr:uid="{00000000-0005-0000-0000-00005CB00000}"/>
    <cellStyle name="Normal 63 11 2 2" xfId="39982" xr:uid="{00000000-0005-0000-0000-00005DB00000}"/>
    <cellStyle name="Normal 63 11 3" xfId="24678" xr:uid="{00000000-0005-0000-0000-00005EB00000}"/>
    <cellStyle name="Normal 63 11 3 2" xfId="50231" xr:uid="{00000000-0005-0000-0000-00005FB00000}"/>
    <cellStyle name="Normal 63 11 4" xfId="31161" xr:uid="{00000000-0005-0000-0000-000060B00000}"/>
    <cellStyle name="Normal 63 12" xfId="7044" xr:uid="{00000000-0005-0000-0000-000061B00000}"/>
    <cellStyle name="Normal 63 12 2" xfId="19589" xr:uid="{00000000-0005-0000-0000-000062B00000}"/>
    <cellStyle name="Normal 63 12 2 2" xfId="45142" xr:uid="{00000000-0005-0000-0000-000063B00000}"/>
    <cellStyle name="Normal 63 12 3" xfId="32601" xr:uid="{00000000-0005-0000-0000-000064B00000}"/>
    <cellStyle name="Normal 63 13" xfId="15790" xr:uid="{00000000-0005-0000-0000-000065B00000}"/>
    <cellStyle name="Normal 63 13 2" xfId="41343" xr:uid="{00000000-0005-0000-0000-000066B00000}"/>
    <cellStyle name="Normal 63 14" xfId="26072" xr:uid="{00000000-0005-0000-0000-000067B00000}"/>
    <cellStyle name="Normal 63 2" xfId="242" xr:uid="{00000000-0005-0000-0000-000068B00000}"/>
    <cellStyle name="Normal 63 2 10" xfId="7080" xr:uid="{00000000-0005-0000-0000-000069B00000}"/>
    <cellStyle name="Normal 63 2 10 2" xfId="19694" xr:uid="{00000000-0005-0000-0000-00006AB00000}"/>
    <cellStyle name="Normal 63 2 10 2 2" xfId="45247" xr:uid="{00000000-0005-0000-0000-00006BB00000}"/>
    <cellStyle name="Normal 63 2 10 3" xfId="32637" xr:uid="{00000000-0005-0000-0000-00006CB00000}"/>
    <cellStyle name="Normal 63 2 11" xfId="15826" xr:uid="{00000000-0005-0000-0000-00006DB00000}"/>
    <cellStyle name="Normal 63 2 11 2" xfId="41379" xr:uid="{00000000-0005-0000-0000-00006EB00000}"/>
    <cellStyle name="Normal 63 2 12" xfId="26177" xr:uid="{00000000-0005-0000-0000-00006FB00000}"/>
    <cellStyle name="Normal 63 2 2" xfId="565" xr:uid="{00000000-0005-0000-0000-000070B00000}"/>
    <cellStyle name="Normal 63 2 2 10" xfId="26494" xr:uid="{00000000-0005-0000-0000-000071B00000}"/>
    <cellStyle name="Normal 63 2 2 2" xfId="931" xr:uid="{00000000-0005-0000-0000-000072B00000}"/>
    <cellStyle name="Normal 63 2 2 2 2" xfId="3413" xr:uid="{00000000-0005-0000-0000-000073B00000}"/>
    <cellStyle name="Normal 63 2 2 2 2 2" xfId="12555" xr:uid="{00000000-0005-0000-0000-000074B00000}"/>
    <cellStyle name="Normal 63 2 2 2 2 2 2" xfId="22774" xr:uid="{00000000-0005-0000-0000-000075B00000}"/>
    <cellStyle name="Normal 63 2 2 2 2 2 2 2" xfId="48327" xr:uid="{00000000-0005-0000-0000-000076B00000}"/>
    <cellStyle name="Normal 63 2 2 2 2 2 3" xfId="38110" xr:uid="{00000000-0005-0000-0000-000077B00000}"/>
    <cellStyle name="Normal 63 2 2 2 2 3" xfId="8977" xr:uid="{00000000-0005-0000-0000-000078B00000}"/>
    <cellStyle name="Normal 63 2 2 2 2 3 2" xfId="34534" xr:uid="{00000000-0005-0000-0000-000079B00000}"/>
    <cellStyle name="Normal 63 2 2 2 2 4" xfId="17767" xr:uid="{00000000-0005-0000-0000-00007AB00000}"/>
    <cellStyle name="Normal 63 2 2 2 2 4 2" xfId="43320" xr:uid="{00000000-0005-0000-0000-00007BB00000}"/>
    <cellStyle name="Normal 63 2 2 2 2 5" xfId="29257" xr:uid="{00000000-0005-0000-0000-00007CB00000}"/>
    <cellStyle name="Normal 63 2 2 2 3" xfId="4742" xr:uid="{00000000-0005-0000-0000-00007DB00000}"/>
    <cellStyle name="Normal 63 2 2 2 3 2" xfId="13580" xr:uid="{00000000-0005-0000-0000-00007EB00000}"/>
    <cellStyle name="Normal 63 2 2 2 3 2 2" xfId="23831" xr:uid="{00000000-0005-0000-0000-00007FB00000}"/>
    <cellStyle name="Normal 63 2 2 2 3 2 2 2" xfId="49384" xr:uid="{00000000-0005-0000-0000-000080B00000}"/>
    <cellStyle name="Normal 63 2 2 2 3 2 3" xfId="39135" xr:uid="{00000000-0005-0000-0000-000081B00000}"/>
    <cellStyle name="Normal 63 2 2 2 3 3" xfId="10001" xr:uid="{00000000-0005-0000-0000-000082B00000}"/>
    <cellStyle name="Normal 63 2 2 2 3 3 2" xfId="35558" xr:uid="{00000000-0005-0000-0000-000083B00000}"/>
    <cellStyle name="Normal 63 2 2 2 3 4" xfId="18824" xr:uid="{00000000-0005-0000-0000-000084B00000}"/>
    <cellStyle name="Normal 63 2 2 2 3 4 2" xfId="44377" xr:uid="{00000000-0005-0000-0000-000085B00000}"/>
    <cellStyle name="Normal 63 2 2 2 3 5" xfId="30314" xr:uid="{00000000-0005-0000-0000-000086B00000}"/>
    <cellStyle name="Normal 63 2 2 2 4" xfId="2522" xr:uid="{00000000-0005-0000-0000-000087B00000}"/>
    <cellStyle name="Normal 63 2 2 2 4 2" xfId="11887" xr:uid="{00000000-0005-0000-0000-000088B00000}"/>
    <cellStyle name="Normal 63 2 2 2 4 2 2" xfId="37442" xr:uid="{00000000-0005-0000-0000-000089B00000}"/>
    <cellStyle name="Normal 63 2 2 2 4 3" xfId="21891" xr:uid="{00000000-0005-0000-0000-00008AB00000}"/>
    <cellStyle name="Normal 63 2 2 2 4 3 2" xfId="47444" xr:uid="{00000000-0005-0000-0000-00008BB00000}"/>
    <cellStyle name="Normal 63 2 2 2 4 4" xfId="28374" xr:uid="{00000000-0005-0000-0000-00008CB00000}"/>
    <cellStyle name="Normal 63 2 2 2 5" xfId="6198" xr:uid="{00000000-0005-0000-0000-00008DB00000}"/>
    <cellStyle name="Normal 63 2 2 2 5 2" xfId="15025" xr:uid="{00000000-0005-0000-0000-00008EB00000}"/>
    <cellStyle name="Normal 63 2 2 2 5 2 2" xfId="40580" xr:uid="{00000000-0005-0000-0000-00008FB00000}"/>
    <cellStyle name="Normal 63 2 2 2 5 3" xfId="25276" xr:uid="{00000000-0005-0000-0000-000090B00000}"/>
    <cellStyle name="Normal 63 2 2 2 5 3 2" xfId="50829" xr:uid="{00000000-0005-0000-0000-000091B00000}"/>
    <cellStyle name="Normal 63 2 2 2 5 4" xfId="31759" xr:uid="{00000000-0005-0000-0000-000092B00000}"/>
    <cellStyle name="Normal 63 2 2 2 6" xfId="7644" xr:uid="{00000000-0005-0000-0000-000093B00000}"/>
    <cellStyle name="Normal 63 2 2 2 6 2" xfId="20373" xr:uid="{00000000-0005-0000-0000-000094B00000}"/>
    <cellStyle name="Normal 63 2 2 2 6 2 2" xfId="45926" xr:uid="{00000000-0005-0000-0000-000095B00000}"/>
    <cellStyle name="Normal 63 2 2 2 6 3" xfId="33201" xr:uid="{00000000-0005-0000-0000-000096B00000}"/>
    <cellStyle name="Normal 63 2 2 2 7" xfId="16884" xr:uid="{00000000-0005-0000-0000-000097B00000}"/>
    <cellStyle name="Normal 63 2 2 2 7 2" xfId="42437" xr:uid="{00000000-0005-0000-0000-000098B00000}"/>
    <cellStyle name="Normal 63 2 2 2 8" xfId="26856" xr:uid="{00000000-0005-0000-0000-000099B00000}"/>
    <cellStyle name="Normal 63 2 2 3" xfId="1337" xr:uid="{00000000-0005-0000-0000-00009AB00000}"/>
    <cellStyle name="Normal 63 2 2 3 2" xfId="3766" xr:uid="{00000000-0005-0000-0000-00009BB00000}"/>
    <cellStyle name="Normal 63 2 2 3 2 2" xfId="12902" xr:uid="{00000000-0005-0000-0000-00009CB00000}"/>
    <cellStyle name="Normal 63 2 2 3 2 2 2" xfId="23121" xr:uid="{00000000-0005-0000-0000-00009DB00000}"/>
    <cellStyle name="Normal 63 2 2 3 2 2 2 2" xfId="48674" xr:uid="{00000000-0005-0000-0000-00009EB00000}"/>
    <cellStyle name="Normal 63 2 2 3 2 2 3" xfId="38457" xr:uid="{00000000-0005-0000-0000-00009FB00000}"/>
    <cellStyle name="Normal 63 2 2 3 2 3" xfId="9323" xr:uid="{00000000-0005-0000-0000-0000A0B00000}"/>
    <cellStyle name="Normal 63 2 2 3 2 3 2" xfId="34880" xr:uid="{00000000-0005-0000-0000-0000A1B00000}"/>
    <cellStyle name="Normal 63 2 2 3 2 4" xfId="18114" xr:uid="{00000000-0005-0000-0000-0000A2B00000}"/>
    <cellStyle name="Normal 63 2 2 3 2 4 2" xfId="43667" xr:uid="{00000000-0005-0000-0000-0000A3B00000}"/>
    <cellStyle name="Normal 63 2 2 3 2 5" xfId="29604" xr:uid="{00000000-0005-0000-0000-0000A4B00000}"/>
    <cellStyle name="Normal 63 2 2 3 3" xfId="5091" xr:uid="{00000000-0005-0000-0000-0000A5B00000}"/>
    <cellStyle name="Normal 63 2 2 3 3 2" xfId="13928" xr:uid="{00000000-0005-0000-0000-0000A6B00000}"/>
    <cellStyle name="Normal 63 2 2 3 3 2 2" xfId="24179" xr:uid="{00000000-0005-0000-0000-0000A7B00000}"/>
    <cellStyle name="Normal 63 2 2 3 3 2 2 2" xfId="49732" xr:uid="{00000000-0005-0000-0000-0000A8B00000}"/>
    <cellStyle name="Normal 63 2 2 3 3 2 3" xfId="39483" xr:uid="{00000000-0005-0000-0000-0000A9B00000}"/>
    <cellStyle name="Normal 63 2 2 3 3 3" xfId="10349" xr:uid="{00000000-0005-0000-0000-0000AAB00000}"/>
    <cellStyle name="Normal 63 2 2 3 3 3 2" xfId="35906" xr:uid="{00000000-0005-0000-0000-0000ABB00000}"/>
    <cellStyle name="Normal 63 2 2 3 3 4" xfId="19172" xr:uid="{00000000-0005-0000-0000-0000ACB00000}"/>
    <cellStyle name="Normal 63 2 2 3 3 4 2" xfId="44725" xr:uid="{00000000-0005-0000-0000-0000ADB00000}"/>
    <cellStyle name="Normal 63 2 2 3 3 5" xfId="30662" xr:uid="{00000000-0005-0000-0000-0000AEB00000}"/>
    <cellStyle name="Normal 63 2 2 3 4" xfId="2160" xr:uid="{00000000-0005-0000-0000-0000AFB00000}"/>
    <cellStyle name="Normal 63 2 2 3 4 2" xfId="11525" xr:uid="{00000000-0005-0000-0000-0000B0B00000}"/>
    <cellStyle name="Normal 63 2 2 3 4 2 2" xfId="37080" xr:uid="{00000000-0005-0000-0000-0000B1B00000}"/>
    <cellStyle name="Normal 63 2 2 3 4 3" xfId="21529" xr:uid="{00000000-0005-0000-0000-0000B2B00000}"/>
    <cellStyle name="Normal 63 2 2 3 4 3 2" xfId="47082" xr:uid="{00000000-0005-0000-0000-0000B3B00000}"/>
    <cellStyle name="Normal 63 2 2 3 4 4" xfId="28012" xr:uid="{00000000-0005-0000-0000-0000B4B00000}"/>
    <cellStyle name="Normal 63 2 2 3 5" xfId="6546" xr:uid="{00000000-0005-0000-0000-0000B5B00000}"/>
    <cellStyle name="Normal 63 2 2 3 5 2" xfId="15373" xr:uid="{00000000-0005-0000-0000-0000B6B00000}"/>
    <cellStyle name="Normal 63 2 2 3 5 2 2" xfId="40928" xr:uid="{00000000-0005-0000-0000-0000B7B00000}"/>
    <cellStyle name="Normal 63 2 2 3 5 3" xfId="25624" xr:uid="{00000000-0005-0000-0000-0000B8B00000}"/>
    <cellStyle name="Normal 63 2 2 3 5 3 2" xfId="51177" xr:uid="{00000000-0005-0000-0000-0000B9B00000}"/>
    <cellStyle name="Normal 63 2 2 3 5 4" xfId="32107" xr:uid="{00000000-0005-0000-0000-0000BAB00000}"/>
    <cellStyle name="Normal 63 2 2 3 6" xfId="7992" xr:uid="{00000000-0005-0000-0000-0000BBB00000}"/>
    <cellStyle name="Normal 63 2 2 3 6 2" xfId="20720" xr:uid="{00000000-0005-0000-0000-0000BCB00000}"/>
    <cellStyle name="Normal 63 2 2 3 6 2 2" xfId="46273" xr:uid="{00000000-0005-0000-0000-0000BDB00000}"/>
    <cellStyle name="Normal 63 2 2 3 6 3" xfId="33549" xr:uid="{00000000-0005-0000-0000-0000BEB00000}"/>
    <cellStyle name="Normal 63 2 2 3 7" xfId="16522" xr:uid="{00000000-0005-0000-0000-0000BFB00000}"/>
    <cellStyle name="Normal 63 2 2 3 7 2" xfId="42075" xr:uid="{00000000-0005-0000-0000-0000C0B00000}"/>
    <cellStyle name="Normal 63 2 2 3 8" xfId="27203" xr:uid="{00000000-0005-0000-0000-0000C1B00000}"/>
    <cellStyle name="Normal 63 2 2 4" xfId="3051" xr:uid="{00000000-0005-0000-0000-0000C2B00000}"/>
    <cellStyle name="Normal 63 2 2 4 2" xfId="5429" xr:uid="{00000000-0005-0000-0000-0000C3B00000}"/>
    <cellStyle name="Normal 63 2 2 4 2 2" xfId="14266" xr:uid="{00000000-0005-0000-0000-0000C4B00000}"/>
    <cellStyle name="Normal 63 2 2 4 2 2 2" xfId="24517" xr:uid="{00000000-0005-0000-0000-0000C5B00000}"/>
    <cellStyle name="Normal 63 2 2 4 2 2 2 2" xfId="50070" xr:uid="{00000000-0005-0000-0000-0000C6B00000}"/>
    <cellStyle name="Normal 63 2 2 4 2 2 3" xfId="39821" xr:uid="{00000000-0005-0000-0000-0000C7B00000}"/>
    <cellStyle name="Normal 63 2 2 4 2 3" xfId="10687" xr:uid="{00000000-0005-0000-0000-0000C8B00000}"/>
    <cellStyle name="Normal 63 2 2 4 2 3 2" xfId="36244" xr:uid="{00000000-0005-0000-0000-0000C9B00000}"/>
    <cellStyle name="Normal 63 2 2 4 2 4" xfId="19510" xr:uid="{00000000-0005-0000-0000-0000CAB00000}"/>
    <cellStyle name="Normal 63 2 2 4 2 4 2" xfId="45063" xr:uid="{00000000-0005-0000-0000-0000CBB00000}"/>
    <cellStyle name="Normal 63 2 2 4 2 5" xfId="31000" xr:uid="{00000000-0005-0000-0000-0000CCB00000}"/>
    <cellStyle name="Normal 63 2 2 4 3" xfId="6884" xr:uid="{00000000-0005-0000-0000-0000CDB00000}"/>
    <cellStyle name="Normal 63 2 2 4 3 2" xfId="15711" xr:uid="{00000000-0005-0000-0000-0000CEB00000}"/>
    <cellStyle name="Normal 63 2 2 4 3 2 2" xfId="41266" xr:uid="{00000000-0005-0000-0000-0000CFB00000}"/>
    <cellStyle name="Normal 63 2 2 4 3 3" xfId="25962" xr:uid="{00000000-0005-0000-0000-0000D0B00000}"/>
    <cellStyle name="Normal 63 2 2 4 3 3 2" xfId="51515" xr:uid="{00000000-0005-0000-0000-0000D1B00000}"/>
    <cellStyle name="Normal 63 2 2 4 3 4" xfId="32445" xr:uid="{00000000-0005-0000-0000-0000D2B00000}"/>
    <cellStyle name="Normal 63 2 2 4 4" xfId="8330" xr:uid="{00000000-0005-0000-0000-0000D3B00000}"/>
    <cellStyle name="Normal 63 2 2 4 4 2" xfId="22412" xr:uid="{00000000-0005-0000-0000-0000D4B00000}"/>
    <cellStyle name="Normal 63 2 2 4 4 2 2" xfId="47965" xr:uid="{00000000-0005-0000-0000-0000D5B00000}"/>
    <cellStyle name="Normal 63 2 2 4 4 3" xfId="33887" xr:uid="{00000000-0005-0000-0000-0000D6B00000}"/>
    <cellStyle name="Normal 63 2 2 4 5" xfId="17405" xr:uid="{00000000-0005-0000-0000-0000D7B00000}"/>
    <cellStyle name="Normal 63 2 2 4 5 2" xfId="42958" xr:uid="{00000000-0005-0000-0000-0000D8B00000}"/>
    <cellStyle name="Normal 63 2 2 4 6" xfId="28895" xr:uid="{00000000-0005-0000-0000-0000D9B00000}"/>
    <cellStyle name="Normal 63 2 2 5" xfId="4385" xr:uid="{00000000-0005-0000-0000-0000DAB00000}"/>
    <cellStyle name="Normal 63 2 2 5 2" xfId="13223" xr:uid="{00000000-0005-0000-0000-0000DBB00000}"/>
    <cellStyle name="Normal 63 2 2 5 2 2" xfId="23474" xr:uid="{00000000-0005-0000-0000-0000DCB00000}"/>
    <cellStyle name="Normal 63 2 2 5 2 2 2" xfId="49027" xr:uid="{00000000-0005-0000-0000-0000DDB00000}"/>
    <cellStyle name="Normal 63 2 2 5 2 3" xfId="38778" xr:uid="{00000000-0005-0000-0000-0000DEB00000}"/>
    <cellStyle name="Normal 63 2 2 5 3" xfId="9644" xr:uid="{00000000-0005-0000-0000-0000DFB00000}"/>
    <cellStyle name="Normal 63 2 2 5 3 2" xfId="35201" xr:uid="{00000000-0005-0000-0000-0000E0B00000}"/>
    <cellStyle name="Normal 63 2 2 5 4" xfId="18467" xr:uid="{00000000-0005-0000-0000-0000E1B00000}"/>
    <cellStyle name="Normal 63 2 2 5 4 2" xfId="44020" xr:uid="{00000000-0005-0000-0000-0000E2B00000}"/>
    <cellStyle name="Normal 63 2 2 5 5" xfId="29957" xr:uid="{00000000-0005-0000-0000-0000E3B00000}"/>
    <cellStyle name="Normal 63 2 2 6" xfId="1657" xr:uid="{00000000-0005-0000-0000-0000E4B00000}"/>
    <cellStyle name="Normal 63 2 2 6 2" xfId="11034" xr:uid="{00000000-0005-0000-0000-0000E5B00000}"/>
    <cellStyle name="Normal 63 2 2 6 2 2" xfId="36589" xr:uid="{00000000-0005-0000-0000-0000E6B00000}"/>
    <cellStyle name="Normal 63 2 2 6 3" xfId="21038" xr:uid="{00000000-0005-0000-0000-0000E7B00000}"/>
    <cellStyle name="Normal 63 2 2 6 3 2" xfId="46591" xr:uid="{00000000-0005-0000-0000-0000E8B00000}"/>
    <cellStyle name="Normal 63 2 2 6 4" xfId="27521" xr:uid="{00000000-0005-0000-0000-0000E9B00000}"/>
    <cellStyle name="Normal 63 2 2 7" xfId="5841" xr:uid="{00000000-0005-0000-0000-0000EAB00000}"/>
    <cellStyle name="Normal 63 2 2 7 2" xfId="14668" xr:uid="{00000000-0005-0000-0000-0000EBB00000}"/>
    <cellStyle name="Normal 63 2 2 7 2 2" xfId="40223" xr:uid="{00000000-0005-0000-0000-0000ECB00000}"/>
    <cellStyle name="Normal 63 2 2 7 3" xfId="24919" xr:uid="{00000000-0005-0000-0000-0000EDB00000}"/>
    <cellStyle name="Normal 63 2 2 7 3 2" xfId="50472" xr:uid="{00000000-0005-0000-0000-0000EEB00000}"/>
    <cellStyle name="Normal 63 2 2 7 4" xfId="31402" xr:uid="{00000000-0005-0000-0000-0000EFB00000}"/>
    <cellStyle name="Normal 63 2 2 8" xfId="7285" xr:uid="{00000000-0005-0000-0000-0000F0B00000}"/>
    <cellStyle name="Normal 63 2 2 8 2" xfId="20011" xr:uid="{00000000-0005-0000-0000-0000F1B00000}"/>
    <cellStyle name="Normal 63 2 2 8 2 2" xfId="45564" xr:uid="{00000000-0005-0000-0000-0000F2B00000}"/>
    <cellStyle name="Normal 63 2 2 8 3" xfId="32842" xr:uid="{00000000-0005-0000-0000-0000F3B00000}"/>
    <cellStyle name="Normal 63 2 2 9" xfId="16031" xr:uid="{00000000-0005-0000-0000-0000F4B00000}"/>
    <cellStyle name="Normal 63 2 2 9 2" xfId="41584" xr:uid="{00000000-0005-0000-0000-0000F5B00000}"/>
    <cellStyle name="Normal 63 2 2_Degree data" xfId="4037" xr:uid="{00000000-0005-0000-0000-0000F6B00000}"/>
    <cellStyle name="Normal 63 2 3" xfId="360" xr:uid="{00000000-0005-0000-0000-0000F7B00000}"/>
    <cellStyle name="Normal 63 2 3 2" xfId="2846" xr:uid="{00000000-0005-0000-0000-0000F8B00000}"/>
    <cellStyle name="Normal 63 2 3 2 2" xfId="12134" xr:uid="{00000000-0005-0000-0000-0000F9B00000}"/>
    <cellStyle name="Normal 63 2 3 2 2 2" xfId="22207" xr:uid="{00000000-0005-0000-0000-0000FAB00000}"/>
    <cellStyle name="Normal 63 2 3 2 2 2 2" xfId="47760" xr:uid="{00000000-0005-0000-0000-0000FBB00000}"/>
    <cellStyle name="Normal 63 2 3 2 2 3" xfId="37689" xr:uid="{00000000-0005-0000-0000-0000FCB00000}"/>
    <cellStyle name="Normal 63 2 3 2 3" xfId="8577" xr:uid="{00000000-0005-0000-0000-0000FDB00000}"/>
    <cellStyle name="Normal 63 2 3 2 3 2" xfId="34134" xr:uid="{00000000-0005-0000-0000-0000FEB00000}"/>
    <cellStyle name="Normal 63 2 3 2 4" xfId="17200" xr:uid="{00000000-0005-0000-0000-0000FFB00000}"/>
    <cellStyle name="Normal 63 2 3 2 4 2" xfId="42753" xr:uid="{00000000-0005-0000-0000-000000B10000}"/>
    <cellStyle name="Normal 63 2 3 2 5" xfId="28690" xr:uid="{00000000-0005-0000-0000-000001B10000}"/>
    <cellStyle name="Normal 63 2 3 3" xfId="4741" xr:uid="{00000000-0005-0000-0000-000002B10000}"/>
    <cellStyle name="Normal 63 2 3 3 2" xfId="13579" xr:uid="{00000000-0005-0000-0000-000003B10000}"/>
    <cellStyle name="Normal 63 2 3 3 2 2" xfId="23830" xr:uid="{00000000-0005-0000-0000-000004B10000}"/>
    <cellStyle name="Normal 63 2 3 3 2 2 2" xfId="49383" xr:uid="{00000000-0005-0000-0000-000005B10000}"/>
    <cellStyle name="Normal 63 2 3 3 2 3" xfId="39134" xr:uid="{00000000-0005-0000-0000-000006B10000}"/>
    <cellStyle name="Normal 63 2 3 3 3" xfId="10000" xr:uid="{00000000-0005-0000-0000-000007B10000}"/>
    <cellStyle name="Normal 63 2 3 3 3 2" xfId="35557" xr:uid="{00000000-0005-0000-0000-000008B10000}"/>
    <cellStyle name="Normal 63 2 3 3 4" xfId="18823" xr:uid="{00000000-0005-0000-0000-000009B10000}"/>
    <cellStyle name="Normal 63 2 3 3 4 2" xfId="44376" xr:uid="{00000000-0005-0000-0000-00000AB10000}"/>
    <cellStyle name="Normal 63 2 3 3 5" xfId="30313" xr:uid="{00000000-0005-0000-0000-00000BB10000}"/>
    <cellStyle name="Normal 63 2 3 4" xfId="1955" xr:uid="{00000000-0005-0000-0000-00000CB10000}"/>
    <cellStyle name="Normal 63 2 3 4 2" xfId="11320" xr:uid="{00000000-0005-0000-0000-00000DB10000}"/>
    <cellStyle name="Normal 63 2 3 4 2 2" xfId="36875" xr:uid="{00000000-0005-0000-0000-00000EB10000}"/>
    <cellStyle name="Normal 63 2 3 4 3" xfId="21324" xr:uid="{00000000-0005-0000-0000-00000FB10000}"/>
    <cellStyle name="Normal 63 2 3 4 3 2" xfId="46877" xr:uid="{00000000-0005-0000-0000-000010B10000}"/>
    <cellStyle name="Normal 63 2 3 4 4" xfId="27807" xr:uid="{00000000-0005-0000-0000-000011B10000}"/>
    <cellStyle name="Normal 63 2 3 5" xfId="6197" xr:uid="{00000000-0005-0000-0000-000012B10000}"/>
    <cellStyle name="Normal 63 2 3 5 2" xfId="15024" xr:uid="{00000000-0005-0000-0000-000013B10000}"/>
    <cellStyle name="Normal 63 2 3 5 2 2" xfId="40579" xr:uid="{00000000-0005-0000-0000-000014B10000}"/>
    <cellStyle name="Normal 63 2 3 5 3" xfId="25275" xr:uid="{00000000-0005-0000-0000-000015B10000}"/>
    <cellStyle name="Normal 63 2 3 5 3 2" xfId="50828" xr:uid="{00000000-0005-0000-0000-000016B10000}"/>
    <cellStyle name="Normal 63 2 3 5 4" xfId="31758" xr:uid="{00000000-0005-0000-0000-000017B10000}"/>
    <cellStyle name="Normal 63 2 3 6" xfId="7643" xr:uid="{00000000-0005-0000-0000-000018B10000}"/>
    <cellStyle name="Normal 63 2 3 6 2" xfId="19806" xr:uid="{00000000-0005-0000-0000-000019B10000}"/>
    <cellStyle name="Normal 63 2 3 6 2 2" xfId="45359" xr:uid="{00000000-0005-0000-0000-00001AB10000}"/>
    <cellStyle name="Normal 63 2 3 6 3" xfId="33200" xr:uid="{00000000-0005-0000-0000-00001BB10000}"/>
    <cellStyle name="Normal 63 2 3 7" xfId="16317" xr:uid="{00000000-0005-0000-0000-00001CB10000}"/>
    <cellStyle name="Normal 63 2 3 7 2" xfId="41870" xr:uid="{00000000-0005-0000-0000-00001DB10000}"/>
    <cellStyle name="Normal 63 2 3 8" xfId="26289" xr:uid="{00000000-0005-0000-0000-00001EB10000}"/>
    <cellStyle name="Normal 63 2 4" xfId="930" xr:uid="{00000000-0005-0000-0000-00001FB10000}"/>
    <cellStyle name="Normal 63 2 4 2" xfId="3412" xr:uid="{00000000-0005-0000-0000-000020B10000}"/>
    <cellStyle name="Normal 63 2 4 2 2" xfId="12554" xr:uid="{00000000-0005-0000-0000-000021B10000}"/>
    <cellStyle name="Normal 63 2 4 2 2 2" xfId="22773" xr:uid="{00000000-0005-0000-0000-000022B10000}"/>
    <cellStyle name="Normal 63 2 4 2 2 2 2" xfId="48326" xr:uid="{00000000-0005-0000-0000-000023B10000}"/>
    <cellStyle name="Normal 63 2 4 2 2 3" xfId="38109" xr:uid="{00000000-0005-0000-0000-000024B10000}"/>
    <cellStyle name="Normal 63 2 4 2 3" xfId="8976" xr:uid="{00000000-0005-0000-0000-000025B10000}"/>
    <cellStyle name="Normal 63 2 4 2 3 2" xfId="34533" xr:uid="{00000000-0005-0000-0000-000026B10000}"/>
    <cellStyle name="Normal 63 2 4 2 4" xfId="17766" xr:uid="{00000000-0005-0000-0000-000027B10000}"/>
    <cellStyle name="Normal 63 2 4 2 4 2" xfId="43319" xr:uid="{00000000-0005-0000-0000-000028B10000}"/>
    <cellStyle name="Normal 63 2 4 2 5" xfId="29256" xr:uid="{00000000-0005-0000-0000-000029B10000}"/>
    <cellStyle name="Normal 63 2 4 3" xfId="5090" xr:uid="{00000000-0005-0000-0000-00002AB10000}"/>
    <cellStyle name="Normal 63 2 4 3 2" xfId="13927" xr:uid="{00000000-0005-0000-0000-00002BB10000}"/>
    <cellStyle name="Normal 63 2 4 3 2 2" xfId="24178" xr:uid="{00000000-0005-0000-0000-00002CB10000}"/>
    <cellStyle name="Normal 63 2 4 3 2 2 2" xfId="49731" xr:uid="{00000000-0005-0000-0000-00002DB10000}"/>
    <cellStyle name="Normal 63 2 4 3 2 3" xfId="39482" xr:uid="{00000000-0005-0000-0000-00002EB10000}"/>
    <cellStyle name="Normal 63 2 4 3 3" xfId="10348" xr:uid="{00000000-0005-0000-0000-00002FB10000}"/>
    <cellStyle name="Normal 63 2 4 3 3 2" xfId="35905" xr:uid="{00000000-0005-0000-0000-000030B10000}"/>
    <cellStyle name="Normal 63 2 4 3 4" xfId="19171" xr:uid="{00000000-0005-0000-0000-000031B10000}"/>
    <cellStyle name="Normal 63 2 4 3 4 2" xfId="44724" xr:uid="{00000000-0005-0000-0000-000032B10000}"/>
    <cellStyle name="Normal 63 2 4 3 5" xfId="30661" xr:uid="{00000000-0005-0000-0000-000033B10000}"/>
    <cellStyle name="Normal 63 2 4 4" xfId="2521" xr:uid="{00000000-0005-0000-0000-000034B10000}"/>
    <cellStyle name="Normal 63 2 4 4 2" xfId="11886" xr:uid="{00000000-0005-0000-0000-000035B10000}"/>
    <cellStyle name="Normal 63 2 4 4 2 2" xfId="37441" xr:uid="{00000000-0005-0000-0000-000036B10000}"/>
    <cellStyle name="Normal 63 2 4 4 3" xfId="21890" xr:uid="{00000000-0005-0000-0000-000037B10000}"/>
    <cellStyle name="Normal 63 2 4 4 3 2" xfId="47443" xr:uid="{00000000-0005-0000-0000-000038B10000}"/>
    <cellStyle name="Normal 63 2 4 4 4" xfId="28373" xr:uid="{00000000-0005-0000-0000-000039B10000}"/>
    <cellStyle name="Normal 63 2 4 5" xfId="6545" xr:uid="{00000000-0005-0000-0000-00003AB10000}"/>
    <cellStyle name="Normal 63 2 4 5 2" xfId="15372" xr:uid="{00000000-0005-0000-0000-00003BB10000}"/>
    <cellStyle name="Normal 63 2 4 5 2 2" xfId="40927" xr:uid="{00000000-0005-0000-0000-00003CB10000}"/>
    <cellStyle name="Normal 63 2 4 5 3" xfId="25623" xr:uid="{00000000-0005-0000-0000-00003DB10000}"/>
    <cellStyle name="Normal 63 2 4 5 3 2" xfId="51176" xr:uid="{00000000-0005-0000-0000-00003EB10000}"/>
    <cellStyle name="Normal 63 2 4 5 4" xfId="32106" xr:uid="{00000000-0005-0000-0000-00003FB10000}"/>
    <cellStyle name="Normal 63 2 4 6" xfId="7991" xr:uid="{00000000-0005-0000-0000-000040B10000}"/>
    <cellStyle name="Normal 63 2 4 6 2" xfId="20372" xr:uid="{00000000-0005-0000-0000-000041B10000}"/>
    <cellStyle name="Normal 63 2 4 6 2 2" xfId="45925" xr:uid="{00000000-0005-0000-0000-000042B10000}"/>
    <cellStyle name="Normal 63 2 4 6 3" xfId="33548" xr:uid="{00000000-0005-0000-0000-000043B10000}"/>
    <cellStyle name="Normal 63 2 4 7" xfId="16883" xr:uid="{00000000-0005-0000-0000-000044B10000}"/>
    <cellStyle name="Normal 63 2 4 7 2" xfId="42436" xr:uid="{00000000-0005-0000-0000-000045B10000}"/>
    <cellStyle name="Normal 63 2 4 8" xfId="26855" xr:uid="{00000000-0005-0000-0000-000046B10000}"/>
    <cellStyle name="Normal 63 2 5" xfId="1132" xr:uid="{00000000-0005-0000-0000-000047B10000}"/>
    <cellStyle name="Normal 63 2 5 2" xfId="3561" xr:uid="{00000000-0005-0000-0000-000048B10000}"/>
    <cellStyle name="Normal 63 2 5 2 2" xfId="12697" xr:uid="{00000000-0005-0000-0000-000049B10000}"/>
    <cellStyle name="Normal 63 2 5 2 2 2" xfId="22916" xr:uid="{00000000-0005-0000-0000-00004AB10000}"/>
    <cellStyle name="Normal 63 2 5 2 2 2 2" xfId="48469" xr:uid="{00000000-0005-0000-0000-00004BB10000}"/>
    <cellStyle name="Normal 63 2 5 2 2 3" xfId="38252" xr:uid="{00000000-0005-0000-0000-00004CB10000}"/>
    <cellStyle name="Normal 63 2 5 2 3" xfId="9118" xr:uid="{00000000-0005-0000-0000-00004DB10000}"/>
    <cellStyle name="Normal 63 2 5 2 3 2" xfId="34675" xr:uid="{00000000-0005-0000-0000-00004EB10000}"/>
    <cellStyle name="Normal 63 2 5 2 4" xfId="17909" xr:uid="{00000000-0005-0000-0000-00004FB10000}"/>
    <cellStyle name="Normal 63 2 5 2 4 2" xfId="43462" xr:uid="{00000000-0005-0000-0000-000050B10000}"/>
    <cellStyle name="Normal 63 2 5 2 5" xfId="29399" xr:uid="{00000000-0005-0000-0000-000051B10000}"/>
    <cellStyle name="Normal 63 2 5 3" xfId="5224" xr:uid="{00000000-0005-0000-0000-000052B10000}"/>
    <cellStyle name="Normal 63 2 5 3 2" xfId="14061" xr:uid="{00000000-0005-0000-0000-000053B10000}"/>
    <cellStyle name="Normal 63 2 5 3 2 2" xfId="24312" xr:uid="{00000000-0005-0000-0000-000054B10000}"/>
    <cellStyle name="Normal 63 2 5 3 2 2 2" xfId="49865" xr:uid="{00000000-0005-0000-0000-000055B10000}"/>
    <cellStyle name="Normal 63 2 5 3 2 3" xfId="39616" xr:uid="{00000000-0005-0000-0000-000056B10000}"/>
    <cellStyle name="Normal 63 2 5 3 3" xfId="10482" xr:uid="{00000000-0005-0000-0000-000057B10000}"/>
    <cellStyle name="Normal 63 2 5 3 3 2" xfId="36039" xr:uid="{00000000-0005-0000-0000-000058B10000}"/>
    <cellStyle name="Normal 63 2 5 3 4" xfId="19305" xr:uid="{00000000-0005-0000-0000-000059B10000}"/>
    <cellStyle name="Normal 63 2 5 3 4 2" xfId="44858" xr:uid="{00000000-0005-0000-0000-00005AB10000}"/>
    <cellStyle name="Normal 63 2 5 3 5" xfId="30795" xr:uid="{00000000-0005-0000-0000-00005BB10000}"/>
    <cellStyle name="Normal 63 2 5 4" xfId="1840" xr:uid="{00000000-0005-0000-0000-00005CB10000}"/>
    <cellStyle name="Normal 63 2 5 4 2" xfId="11208" xr:uid="{00000000-0005-0000-0000-00005DB10000}"/>
    <cellStyle name="Normal 63 2 5 4 2 2" xfId="36763" xr:uid="{00000000-0005-0000-0000-00005EB10000}"/>
    <cellStyle name="Normal 63 2 5 4 3" xfId="21212" xr:uid="{00000000-0005-0000-0000-00005FB10000}"/>
    <cellStyle name="Normal 63 2 5 4 3 2" xfId="46765" xr:uid="{00000000-0005-0000-0000-000060B10000}"/>
    <cellStyle name="Normal 63 2 5 4 4" xfId="27695" xr:uid="{00000000-0005-0000-0000-000061B10000}"/>
    <cellStyle name="Normal 63 2 5 5" xfId="6679" xr:uid="{00000000-0005-0000-0000-000062B10000}"/>
    <cellStyle name="Normal 63 2 5 5 2" xfId="15506" xr:uid="{00000000-0005-0000-0000-000063B10000}"/>
    <cellStyle name="Normal 63 2 5 5 2 2" xfId="41061" xr:uid="{00000000-0005-0000-0000-000064B10000}"/>
    <cellStyle name="Normal 63 2 5 5 3" xfId="25757" xr:uid="{00000000-0005-0000-0000-000065B10000}"/>
    <cellStyle name="Normal 63 2 5 5 3 2" xfId="51310" xr:uid="{00000000-0005-0000-0000-000066B10000}"/>
    <cellStyle name="Normal 63 2 5 5 4" xfId="32240" xr:uid="{00000000-0005-0000-0000-000067B10000}"/>
    <cellStyle name="Normal 63 2 5 6" xfId="8125" xr:uid="{00000000-0005-0000-0000-000068B10000}"/>
    <cellStyle name="Normal 63 2 5 6 2" xfId="20515" xr:uid="{00000000-0005-0000-0000-000069B10000}"/>
    <cellStyle name="Normal 63 2 5 6 2 2" xfId="46068" xr:uid="{00000000-0005-0000-0000-00006AB10000}"/>
    <cellStyle name="Normal 63 2 5 6 3" xfId="33682" xr:uid="{00000000-0005-0000-0000-00006BB10000}"/>
    <cellStyle name="Normal 63 2 5 7" xfId="16205" xr:uid="{00000000-0005-0000-0000-00006CB10000}"/>
    <cellStyle name="Normal 63 2 5 7 2" xfId="41758" xr:uid="{00000000-0005-0000-0000-00006DB10000}"/>
    <cellStyle name="Normal 63 2 5 8" xfId="26998" xr:uid="{00000000-0005-0000-0000-00006EB10000}"/>
    <cellStyle name="Normal 63 2 6" xfId="2734" xr:uid="{00000000-0005-0000-0000-00006FB10000}"/>
    <cellStyle name="Normal 63 2 6 2" xfId="12051" xr:uid="{00000000-0005-0000-0000-000070B10000}"/>
    <cellStyle name="Normal 63 2 6 2 2" xfId="22095" xr:uid="{00000000-0005-0000-0000-000071B10000}"/>
    <cellStyle name="Normal 63 2 6 2 2 2" xfId="47648" xr:uid="{00000000-0005-0000-0000-000072B10000}"/>
    <cellStyle name="Normal 63 2 6 2 3" xfId="37606" xr:uid="{00000000-0005-0000-0000-000073B10000}"/>
    <cellStyle name="Normal 63 2 6 3" xfId="8582" xr:uid="{00000000-0005-0000-0000-000074B10000}"/>
    <cellStyle name="Normal 63 2 6 3 2" xfId="34139" xr:uid="{00000000-0005-0000-0000-000075B10000}"/>
    <cellStyle name="Normal 63 2 6 4" xfId="17088" xr:uid="{00000000-0005-0000-0000-000076B10000}"/>
    <cellStyle name="Normal 63 2 6 4 2" xfId="42641" xr:uid="{00000000-0005-0000-0000-000077B10000}"/>
    <cellStyle name="Normal 63 2 6 5" xfId="28578" xr:uid="{00000000-0005-0000-0000-000078B10000}"/>
    <cellStyle name="Normal 63 2 7" xfId="4180" xr:uid="{00000000-0005-0000-0000-000079B10000}"/>
    <cellStyle name="Normal 63 2 7 2" xfId="13018" xr:uid="{00000000-0005-0000-0000-00007AB10000}"/>
    <cellStyle name="Normal 63 2 7 2 2" xfId="23269" xr:uid="{00000000-0005-0000-0000-00007BB10000}"/>
    <cellStyle name="Normal 63 2 7 2 2 2" xfId="48822" xr:uid="{00000000-0005-0000-0000-00007CB10000}"/>
    <cellStyle name="Normal 63 2 7 2 3" xfId="38573" xr:uid="{00000000-0005-0000-0000-00007DB10000}"/>
    <cellStyle name="Normal 63 2 7 3" xfId="9439" xr:uid="{00000000-0005-0000-0000-00007EB10000}"/>
    <cellStyle name="Normal 63 2 7 3 2" xfId="34996" xr:uid="{00000000-0005-0000-0000-00007FB10000}"/>
    <cellStyle name="Normal 63 2 7 4" xfId="18262" xr:uid="{00000000-0005-0000-0000-000080B10000}"/>
    <cellStyle name="Normal 63 2 7 4 2" xfId="43815" xr:uid="{00000000-0005-0000-0000-000081B10000}"/>
    <cellStyle name="Normal 63 2 7 5" xfId="29752" xr:uid="{00000000-0005-0000-0000-000082B10000}"/>
    <cellStyle name="Normal 63 2 8" xfId="1452" xr:uid="{00000000-0005-0000-0000-000083B10000}"/>
    <cellStyle name="Normal 63 2 8 2" xfId="10829" xr:uid="{00000000-0005-0000-0000-000084B10000}"/>
    <cellStyle name="Normal 63 2 8 2 2" xfId="36384" xr:uid="{00000000-0005-0000-0000-000085B10000}"/>
    <cellStyle name="Normal 63 2 8 3" xfId="20833" xr:uid="{00000000-0005-0000-0000-000086B10000}"/>
    <cellStyle name="Normal 63 2 8 3 2" xfId="46386" xr:uid="{00000000-0005-0000-0000-000087B10000}"/>
    <cellStyle name="Normal 63 2 8 4" xfId="27316" xr:uid="{00000000-0005-0000-0000-000088B10000}"/>
    <cellStyle name="Normal 63 2 9" xfId="5636" xr:uid="{00000000-0005-0000-0000-000089B10000}"/>
    <cellStyle name="Normal 63 2 9 2" xfId="14463" xr:uid="{00000000-0005-0000-0000-00008AB10000}"/>
    <cellStyle name="Normal 63 2 9 2 2" xfId="40018" xr:uid="{00000000-0005-0000-0000-00008BB10000}"/>
    <cellStyle name="Normal 63 2 9 3" xfId="24714" xr:uid="{00000000-0005-0000-0000-00008CB10000}"/>
    <cellStyle name="Normal 63 2 9 3 2" xfId="50267" xr:uid="{00000000-0005-0000-0000-00008DB10000}"/>
    <cellStyle name="Normal 63 2 9 4" xfId="31197" xr:uid="{00000000-0005-0000-0000-00008EB10000}"/>
    <cellStyle name="Normal 63 2_Degree data" xfId="4036" xr:uid="{00000000-0005-0000-0000-00008FB10000}"/>
    <cellStyle name="Normal 63 3" xfId="217" xr:uid="{00000000-0005-0000-0000-000090B10000}"/>
    <cellStyle name="Normal 63 3 10" xfId="16008" xr:uid="{00000000-0005-0000-0000-000091B10000}"/>
    <cellStyle name="Normal 63 3 10 2" xfId="41561" xr:uid="{00000000-0005-0000-0000-000092B10000}"/>
    <cellStyle name="Normal 63 3 11" xfId="26154" xr:uid="{00000000-0005-0000-0000-000093B10000}"/>
    <cellStyle name="Normal 63 3 2" xfId="542" xr:uid="{00000000-0005-0000-0000-000094B10000}"/>
    <cellStyle name="Normal 63 3 2 2" xfId="3028" xr:uid="{00000000-0005-0000-0000-000095B10000}"/>
    <cellStyle name="Normal 63 3 2 2 2" xfId="12216" xr:uid="{00000000-0005-0000-0000-000096B10000}"/>
    <cellStyle name="Normal 63 3 2 2 2 2" xfId="22389" xr:uid="{00000000-0005-0000-0000-000097B10000}"/>
    <cellStyle name="Normal 63 3 2 2 2 2 2" xfId="47942" xr:uid="{00000000-0005-0000-0000-000098B10000}"/>
    <cellStyle name="Normal 63 3 2 2 2 3" xfId="37771" xr:uid="{00000000-0005-0000-0000-000099B10000}"/>
    <cellStyle name="Normal 63 3 2 2 3" xfId="8574" xr:uid="{00000000-0005-0000-0000-00009AB10000}"/>
    <cellStyle name="Normal 63 3 2 2 3 2" xfId="34131" xr:uid="{00000000-0005-0000-0000-00009BB10000}"/>
    <cellStyle name="Normal 63 3 2 2 4" xfId="17382" xr:uid="{00000000-0005-0000-0000-00009CB10000}"/>
    <cellStyle name="Normal 63 3 2 2 4 2" xfId="42935" xr:uid="{00000000-0005-0000-0000-00009DB10000}"/>
    <cellStyle name="Normal 63 3 2 2 5" xfId="28872" xr:uid="{00000000-0005-0000-0000-00009EB10000}"/>
    <cellStyle name="Normal 63 3 2 3" xfId="4743" xr:uid="{00000000-0005-0000-0000-00009FB10000}"/>
    <cellStyle name="Normal 63 3 2 3 2" xfId="13581" xr:uid="{00000000-0005-0000-0000-0000A0B10000}"/>
    <cellStyle name="Normal 63 3 2 3 2 2" xfId="23832" xr:uid="{00000000-0005-0000-0000-0000A1B10000}"/>
    <cellStyle name="Normal 63 3 2 3 2 2 2" xfId="49385" xr:uid="{00000000-0005-0000-0000-0000A2B10000}"/>
    <cellStyle name="Normal 63 3 2 3 2 3" xfId="39136" xr:uid="{00000000-0005-0000-0000-0000A3B10000}"/>
    <cellStyle name="Normal 63 3 2 3 3" xfId="10002" xr:uid="{00000000-0005-0000-0000-0000A4B10000}"/>
    <cellStyle name="Normal 63 3 2 3 3 2" xfId="35559" xr:uid="{00000000-0005-0000-0000-0000A5B10000}"/>
    <cellStyle name="Normal 63 3 2 3 4" xfId="18825" xr:uid="{00000000-0005-0000-0000-0000A6B10000}"/>
    <cellStyle name="Normal 63 3 2 3 4 2" xfId="44378" xr:uid="{00000000-0005-0000-0000-0000A7B10000}"/>
    <cellStyle name="Normal 63 3 2 3 5" xfId="30315" xr:uid="{00000000-0005-0000-0000-0000A8B10000}"/>
    <cellStyle name="Normal 63 3 2 4" xfId="2137" xr:uid="{00000000-0005-0000-0000-0000A9B10000}"/>
    <cellStyle name="Normal 63 3 2 4 2" xfId="11502" xr:uid="{00000000-0005-0000-0000-0000AAB10000}"/>
    <cellStyle name="Normal 63 3 2 4 2 2" xfId="37057" xr:uid="{00000000-0005-0000-0000-0000ABB10000}"/>
    <cellStyle name="Normal 63 3 2 4 3" xfId="21506" xr:uid="{00000000-0005-0000-0000-0000ACB10000}"/>
    <cellStyle name="Normal 63 3 2 4 3 2" xfId="47059" xr:uid="{00000000-0005-0000-0000-0000ADB10000}"/>
    <cellStyle name="Normal 63 3 2 4 4" xfId="27989" xr:uid="{00000000-0005-0000-0000-0000AEB10000}"/>
    <cellStyle name="Normal 63 3 2 5" xfId="6199" xr:uid="{00000000-0005-0000-0000-0000AFB10000}"/>
    <cellStyle name="Normal 63 3 2 5 2" xfId="15026" xr:uid="{00000000-0005-0000-0000-0000B0B10000}"/>
    <cellStyle name="Normal 63 3 2 5 2 2" xfId="40581" xr:uid="{00000000-0005-0000-0000-0000B1B10000}"/>
    <cellStyle name="Normal 63 3 2 5 3" xfId="25277" xr:uid="{00000000-0005-0000-0000-0000B2B10000}"/>
    <cellStyle name="Normal 63 3 2 5 3 2" xfId="50830" xr:uid="{00000000-0005-0000-0000-0000B3B10000}"/>
    <cellStyle name="Normal 63 3 2 5 4" xfId="31760" xr:uid="{00000000-0005-0000-0000-0000B4B10000}"/>
    <cellStyle name="Normal 63 3 2 6" xfId="7645" xr:uid="{00000000-0005-0000-0000-0000B5B10000}"/>
    <cellStyle name="Normal 63 3 2 6 2" xfId="19988" xr:uid="{00000000-0005-0000-0000-0000B6B10000}"/>
    <cellStyle name="Normal 63 3 2 6 2 2" xfId="45541" xr:uid="{00000000-0005-0000-0000-0000B7B10000}"/>
    <cellStyle name="Normal 63 3 2 6 3" xfId="33202" xr:uid="{00000000-0005-0000-0000-0000B8B10000}"/>
    <cellStyle name="Normal 63 3 2 7" xfId="16499" xr:uid="{00000000-0005-0000-0000-0000B9B10000}"/>
    <cellStyle name="Normal 63 3 2 7 2" xfId="42052" xr:uid="{00000000-0005-0000-0000-0000BAB10000}"/>
    <cellStyle name="Normal 63 3 2 8" xfId="26471" xr:uid="{00000000-0005-0000-0000-0000BBB10000}"/>
    <cellStyle name="Normal 63 3 3" xfId="932" xr:uid="{00000000-0005-0000-0000-0000BCB10000}"/>
    <cellStyle name="Normal 63 3 3 2" xfId="3414" xr:uid="{00000000-0005-0000-0000-0000BDB10000}"/>
    <cellStyle name="Normal 63 3 3 2 2" xfId="12556" xr:uid="{00000000-0005-0000-0000-0000BEB10000}"/>
    <cellStyle name="Normal 63 3 3 2 2 2" xfId="22775" xr:uid="{00000000-0005-0000-0000-0000BFB10000}"/>
    <cellStyle name="Normal 63 3 3 2 2 2 2" xfId="48328" xr:uid="{00000000-0005-0000-0000-0000C0B10000}"/>
    <cellStyle name="Normal 63 3 3 2 2 3" xfId="38111" xr:uid="{00000000-0005-0000-0000-0000C1B10000}"/>
    <cellStyle name="Normal 63 3 3 2 3" xfId="8978" xr:uid="{00000000-0005-0000-0000-0000C2B10000}"/>
    <cellStyle name="Normal 63 3 3 2 3 2" xfId="34535" xr:uid="{00000000-0005-0000-0000-0000C3B10000}"/>
    <cellStyle name="Normal 63 3 3 2 4" xfId="17768" xr:uid="{00000000-0005-0000-0000-0000C4B10000}"/>
    <cellStyle name="Normal 63 3 3 2 4 2" xfId="43321" xr:uid="{00000000-0005-0000-0000-0000C5B10000}"/>
    <cellStyle name="Normal 63 3 3 2 5" xfId="29258" xr:uid="{00000000-0005-0000-0000-0000C6B10000}"/>
    <cellStyle name="Normal 63 3 3 3" xfId="5092" xr:uid="{00000000-0005-0000-0000-0000C7B10000}"/>
    <cellStyle name="Normal 63 3 3 3 2" xfId="13929" xr:uid="{00000000-0005-0000-0000-0000C8B10000}"/>
    <cellStyle name="Normal 63 3 3 3 2 2" xfId="24180" xr:uid="{00000000-0005-0000-0000-0000C9B10000}"/>
    <cellStyle name="Normal 63 3 3 3 2 2 2" xfId="49733" xr:uid="{00000000-0005-0000-0000-0000CAB10000}"/>
    <cellStyle name="Normal 63 3 3 3 2 3" xfId="39484" xr:uid="{00000000-0005-0000-0000-0000CBB10000}"/>
    <cellStyle name="Normal 63 3 3 3 3" xfId="10350" xr:uid="{00000000-0005-0000-0000-0000CCB10000}"/>
    <cellStyle name="Normal 63 3 3 3 3 2" xfId="35907" xr:uid="{00000000-0005-0000-0000-0000CDB10000}"/>
    <cellStyle name="Normal 63 3 3 3 4" xfId="19173" xr:uid="{00000000-0005-0000-0000-0000CEB10000}"/>
    <cellStyle name="Normal 63 3 3 3 4 2" xfId="44726" xr:uid="{00000000-0005-0000-0000-0000CFB10000}"/>
    <cellStyle name="Normal 63 3 3 3 5" xfId="30663" xr:uid="{00000000-0005-0000-0000-0000D0B10000}"/>
    <cellStyle name="Normal 63 3 3 4" xfId="2523" xr:uid="{00000000-0005-0000-0000-0000D1B10000}"/>
    <cellStyle name="Normal 63 3 3 4 2" xfId="11888" xr:uid="{00000000-0005-0000-0000-0000D2B10000}"/>
    <cellStyle name="Normal 63 3 3 4 2 2" xfId="37443" xr:uid="{00000000-0005-0000-0000-0000D3B10000}"/>
    <cellStyle name="Normal 63 3 3 4 3" xfId="21892" xr:uid="{00000000-0005-0000-0000-0000D4B10000}"/>
    <cellStyle name="Normal 63 3 3 4 3 2" xfId="47445" xr:uid="{00000000-0005-0000-0000-0000D5B10000}"/>
    <cellStyle name="Normal 63 3 3 4 4" xfId="28375" xr:uid="{00000000-0005-0000-0000-0000D6B10000}"/>
    <cellStyle name="Normal 63 3 3 5" xfId="6547" xr:uid="{00000000-0005-0000-0000-0000D7B10000}"/>
    <cellStyle name="Normal 63 3 3 5 2" xfId="15374" xr:uid="{00000000-0005-0000-0000-0000D8B10000}"/>
    <cellStyle name="Normal 63 3 3 5 2 2" xfId="40929" xr:uid="{00000000-0005-0000-0000-0000D9B10000}"/>
    <cellStyle name="Normal 63 3 3 5 3" xfId="25625" xr:uid="{00000000-0005-0000-0000-0000DAB10000}"/>
    <cellStyle name="Normal 63 3 3 5 3 2" xfId="51178" xr:uid="{00000000-0005-0000-0000-0000DBB10000}"/>
    <cellStyle name="Normal 63 3 3 5 4" xfId="32108" xr:uid="{00000000-0005-0000-0000-0000DCB10000}"/>
    <cellStyle name="Normal 63 3 3 6" xfId="7993" xr:uid="{00000000-0005-0000-0000-0000DDB10000}"/>
    <cellStyle name="Normal 63 3 3 6 2" xfId="20374" xr:uid="{00000000-0005-0000-0000-0000DEB10000}"/>
    <cellStyle name="Normal 63 3 3 6 2 2" xfId="45927" xr:uid="{00000000-0005-0000-0000-0000DFB10000}"/>
    <cellStyle name="Normal 63 3 3 6 3" xfId="33550" xr:uid="{00000000-0005-0000-0000-0000E0B10000}"/>
    <cellStyle name="Normal 63 3 3 7" xfId="16885" xr:uid="{00000000-0005-0000-0000-0000E1B10000}"/>
    <cellStyle name="Normal 63 3 3 7 2" xfId="42438" xr:uid="{00000000-0005-0000-0000-0000E2B10000}"/>
    <cellStyle name="Normal 63 3 3 8" xfId="26857" xr:uid="{00000000-0005-0000-0000-0000E3B10000}"/>
    <cellStyle name="Normal 63 3 4" xfId="1314" xr:uid="{00000000-0005-0000-0000-0000E4B10000}"/>
    <cellStyle name="Normal 63 3 4 2" xfId="3743" xr:uid="{00000000-0005-0000-0000-0000E5B10000}"/>
    <cellStyle name="Normal 63 3 4 2 2" xfId="12879" xr:uid="{00000000-0005-0000-0000-0000E6B10000}"/>
    <cellStyle name="Normal 63 3 4 2 2 2" xfId="23098" xr:uid="{00000000-0005-0000-0000-0000E7B10000}"/>
    <cellStyle name="Normal 63 3 4 2 2 2 2" xfId="48651" xr:uid="{00000000-0005-0000-0000-0000E8B10000}"/>
    <cellStyle name="Normal 63 3 4 2 2 3" xfId="38434" xr:uid="{00000000-0005-0000-0000-0000E9B10000}"/>
    <cellStyle name="Normal 63 3 4 2 3" xfId="9300" xr:uid="{00000000-0005-0000-0000-0000EAB10000}"/>
    <cellStyle name="Normal 63 3 4 2 3 2" xfId="34857" xr:uid="{00000000-0005-0000-0000-0000EBB10000}"/>
    <cellStyle name="Normal 63 3 4 2 4" xfId="18091" xr:uid="{00000000-0005-0000-0000-0000ECB10000}"/>
    <cellStyle name="Normal 63 3 4 2 4 2" xfId="43644" xr:uid="{00000000-0005-0000-0000-0000EDB10000}"/>
    <cellStyle name="Normal 63 3 4 2 5" xfId="29581" xr:uid="{00000000-0005-0000-0000-0000EEB10000}"/>
    <cellStyle name="Normal 63 3 4 3" xfId="5406" xr:uid="{00000000-0005-0000-0000-0000EFB10000}"/>
    <cellStyle name="Normal 63 3 4 3 2" xfId="14243" xr:uid="{00000000-0005-0000-0000-0000F0B10000}"/>
    <cellStyle name="Normal 63 3 4 3 2 2" xfId="24494" xr:uid="{00000000-0005-0000-0000-0000F1B10000}"/>
    <cellStyle name="Normal 63 3 4 3 2 2 2" xfId="50047" xr:uid="{00000000-0005-0000-0000-0000F2B10000}"/>
    <cellStyle name="Normal 63 3 4 3 2 3" xfId="39798" xr:uid="{00000000-0005-0000-0000-0000F3B10000}"/>
    <cellStyle name="Normal 63 3 4 3 3" xfId="10664" xr:uid="{00000000-0005-0000-0000-0000F4B10000}"/>
    <cellStyle name="Normal 63 3 4 3 3 2" xfId="36221" xr:uid="{00000000-0005-0000-0000-0000F5B10000}"/>
    <cellStyle name="Normal 63 3 4 3 4" xfId="19487" xr:uid="{00000000-0005-0000-0000-0000F6B10000}"/>
    <cellStyle name="Normal 63 3 4 3 4 2" xfId="45040" xr:uid="{00000000-0005-0000-0000-0000F7B10000}"/>
    <cellStyle name="Normal 63 3 4 3 5" xfId="30977" xr:uid="{00000000-0005-0000-0000-0000F8B10000}"/>
    <cellStyle name="Normal 63 3 4 4" xfId="1817" xr:uid="{00000000-0005-0000-0000-0000F9B10000}"/>
    <cellStyle name="Normal 63 3 4 4 2" xfId="11185" xr:uid="{00000000-0005-0000-0000-0000FAB10000}"/>
    <cellStyle name="Normal 63 3 4 4 2 2" xfId="36740" xr:uid="{00000000-0005-0000-0000-0000FBB10000}"/>
    <cellStyle name="Normal 63 3 4 4 3" xfId="21189" xr:uid="{00000000-0005-0000-0000-0000FCB10000}"/>
    <cellStyle name="Normal 63 3 4 4 3 2" xfId="46742" xr:uid="{00000000-0005-0000-0000-0000FDB10000}"/>
    <cellStyle name="Normal 63 3 4 4 4" xfId="27672" xr:uid="{00000000-0005-0000-0000-0000FEB10000}"/>
    <cellStyle name="Normal 63 3 4 5" xfId="6861" xr:uid="{00000000-0005-0000-0000-0000FFB10000}"/>
    <cellStyle name="Normal 63 3 4 5 2" xfId="15688" xr:uid="{00000000-0005-0000-0000-000000B20000}"/>
    <cellStyle name="Normal 63 3 4 5 2 2" xfId="41243" xr:uid="{00000000-0005-0000-0000-000001B20000}"/>
    <cellStyle name="Normal 63 3 4 5 3" xfId="25939" xr:uid="{00000000-0005-0000-0000-000002B20000}"/>
    <cellStyle name="Normal 63 3 4 5 3 2" xfId="51492" xr:uid="{00000000-0005-0000-0000-000003B20000}"/>
    <cellStyle name="Normal 63 3 4 5 4" xfId="32422" xr:uid="{00000000-0005-0000-0000-000004B20000}"/>
    <cellStyle name="Normal 63 3 4 6" xfId="8307" xr:uid="{00000000-0005-0000-0000-000005B20000}"/>
    <cellStyle name="Normal 63 3 4 6 2" xfId="20697" xr:uid="{00000000-0005-0000-0000-000006B20000}"/>
    <cellStyle name="Normal 63 3 4 6 2 2" xfId="46250" xr:uid="{00000000-0005-0000-0000-000007B20000}"/>
    <cellStyle name="Normal 63 3 4 6 3" xfId="33864" xr:uid="{00000000-0005-0000-0000-000008B20000}"/>
    <cellStyle name="Normal 63 3 4 7" xfId="16182" xr:uid="{00000000-0005-0000-0000-000009B20000}"/>
    <cellStyle name="Normal 63 3 4 7 2" xfId="41735" xr:uid="{00000000-0005-0000-0000-00000AB20000}"/>
    <cellStyle name="Normal 63 3 4 8" xfId="27180" xr:uid="{00000000-0005-0000-0000-00000BB20000}"/>
    <cellStyle name="Normal 63 3 5" xfId="2711" xr:uid="{00000000-0005-0000-0000-00000CB20000}"/>
    <cellStyle name="Normal 63 3 5 2" xfId="12028" xr:uid="{00000000-0005-0000-0000-00000DB20000}"/>
    <cellStyle name="Normal 63 3 5 2 2" xfId="22072" xr:uid="{00000000-0005-0000-0000-00000EB20000}"/>
    <cellStyle name="Normal 63 3 5 2 2 2" xfId="47625" xr:uid="{00000000-0005-0000-0000-00000FB20000}"/>
    <cellStyle name="Normal 63 3 5 2 3" xfId="37583" xr:uid="{00000000-0005-0000-0000-000010B20000}"/>
    <cellStyle name="Normal 63 3 5 3" xfId="8551" xr:uid="{00000000-0005-0000-0000-000011B20000}"/>
    <cellStyle name="Normal 63 3 5 3 2" xfId="34108" xr:uid="{00000000-0005-0000-0000-000012B20000}"/>
    <cellStyle name="Normal 63 3 5 4" xfId="17065" xr:uid="{00000000-0005-0000-0000-000013B20000}"/>
    <cellStyle name="Normal 63 3 5 4 2" xfId="42618" xr:uid="{00000000-0005-0000-0000-000014B20000}"/>
    <cellStyle name="Normal 63 3 5 5" xfId="28555" xr:uid="{00000000-0005-0000-0000-000015B20000}"/>
    <cellStyle name="Normal 63 3 6" xfId="4362" xr:uid="{00000000-0005-0000-0000-000016B20000}"/>
    <cellStyle name="Normal 63 3 6 2" xfId="13200" xr:uid="{00000000-0005-0000-0000-000017B20000}"/>
    <cellStyle name="Normal 63 3 6 2 2" xfId="23451" xr:uid="{00000000-0005-0000-0000-000018B20000}"/>
    <cellStyle name="Normal 63 3 6 2 2 2" xfId="49004" xr:uid="{00000000-0005-0000-0000-000019B20000}"/>
    <cellStyle name="Normal 63 3 6 2 3" xfId="38755" xr:uid="{00000000-0005-0000-0000-00001AB20000}"/>
    <cellStyle name="Normal 63 3 6 3" xfId="9621" xr:uid="{00000000-0005-0000-0000-00001BB20000}"/>
    <cellStyle name="Normal 63 3 6 3 2" xfId="35178" xr:uid="{00000000-0005-0000-0000-00001CB20000}"/>
    <cellStyle name="Normal 63 3 6 4" xfId="18444" xr:uid="{00000000-0005-0000-0000-00001DB20000}"/>
    <cellStyle name="Normal 63 3 6 4 2" xfId="43997" xr:uid="{00000000-0005-0000-0000-00001EB20000}"/>
    <cellStyle name="Normal 63 3 6 5" xfId="29934" xr:uid="{00000000-0005-0000-0000-00001FB20000}"/>
    <cellStyle name="Normal 63 3 7" xfId="1634" xr:uid="{00000000-0005-0000-0000-000020B20000}"/>
    <cellStyle name="Normal 63 3 7 2" xfId="11011" xr:uid="{00000000-0005-0000-0000-000021B20000}"/>
    <cellStyle name="Normal 63 3 7 2 2" xfId="36566" xr:uid="{00000000-0005-0000-0000-000022B20000}"/>
    <cellStyle name="Normal 63 3 7 3" xfId="21015" xr:uid="{00000000-0005-0000-0000-000023B20000}"/>
    <cellStyle name="Normal 63 3 7 3 2" xfId="46568" xr:uid="{00000000-0005-0000-0000-000024B20000}"/>
    <cellStyle name="Normal 63 3 7 4" xfId="27498" xr:uid="{00000000-0005-0000-0000-000025B20000}"/>
    <cellStyle name="Normal 63 3 8" xfId="5818" xr:uid="{00000000-0005-0000-0000-000026B20000}"/>
    <cellStyle name="Normal 63 3 8 2" xfId="14645" xr:uid="{00000000-0005-0000-0000-000027B20000}"/>
    <cellStyle name="Normal 63 3 8 2 2" xfId="40200" xr:uid="{00000000-0005-0000-0000-000028B20000}"/>
    <cellStyle name="Normal 63 3 8 3" xfId="24896" xr:uid="{00000000-0005-0000-0000-000029B20000}"/>
    <cellStyle name="Normal 63 3 8 3 2" xfId="50449" xr:uid="{00000000-0005-0000-0000-00002AB20000}"/>
    <cellStyle name="Normal 63 3 8 4" xfId="31379" xr:uid="{00000000-0005-0000-0000-00002BB20000}"/>
    <cellStyle name="Normal 63 3 9" xfId="7262" xr:uid="{00000000-0005-0000-0000-00002CB20000}"/>
    <cellStyle name="Normal 63 3 9 2" xfId="19671" xr:uid="{00000000-0005-0000-0000-00002DB20000}"/>
    <cellStyle name="Normal 63 3 9 2 2" xfId="45224" xr:uid="{00000000-0005-0000-0000-00002EB20000}"/>
    <cellStyle name="Normal 63 3 9 3" xfId="32819" xr:uid="{00000000-0005-0000-0000-00002FB20000}"/>
    <cellStyle name="Normal 63 3_Degree data" xfId="4038" xr:uid="{00000000-0005-0000-0000-000030B20000}"/>
    <cellStyle name="Normal 63 4" xfId="460" xr:uid="{00000000-0005-0000-0000-000031B20000}"/>
    <cellStyle name="Normal 63 4 10" xfId="26389" xr:uid="{00000000-0005-0000-0000-000032B20000}"/>
    <cellStyle name="Normal 63 4 2" xfId="933" xr:uid="{00000000-0005-0000-0000-000033B20000}"/>
    <cellStyle name="Normal 63 4 2 2" xfId="3415" xr:uid="{00000000-0005-0000-0000-000034B20000}"/>
    <cellStyle name="Normal 63 4 2 2 2" xfId="12557" xr:uid="{00000000-0005-0000-0000-000035B20000}"/>
    <cellStyle name="Normal 63 4 2 2 2 2" xfId="22776" xr:uid="{00000000-0005-0000-0000-000036B20000}"/>
    <cellStyle name="Normal 63 4 2 2 2 2 2" xfId="48329" xr:uid="{00000000-0005-0000-0000-000037B20000}"/>
    <cellStyle name="Normal 63 4 2 2 2 3" xfId="38112" xr:uid="{00000000-0005-0000-0000-000038B20000}"/>
    <cellStyle name="Normal 63 4 2 2 3" xfId="8979" xr:uid="{00000000-0005-0000-0000-000039B20000}"/>
    <cellStyle name="Normal 63 4 2 2 3 2" xfId="34536" xr:uid="{00000000-0005-0000-0000-00003AB20000}"/>
    <cellStyle name="Normal 63 4 2 2 4" xfId="17769" xr:uid="{00000000-0005-0000-0000-00003BB20000}"/>
    <cellStyle name="Normal 63 4 2 2 4 2" xfId="43322" xr:uid="{00000000-0005-0000-0000-00003CB20000}"/>
    <cellStyle name="Normal 63 4 2 2 5" xfId="29259" xr:uid="{00000000-0005-0000-0000-00003DB20000}"/>
    <cellStyle name="Normal 63 4 2 3" xfId="4744" xr:uid="{00000000-0005-0000-0000-00003EB20000}"/>
    <cellStyle name="Normal 63 4 2 3 2" xfId="13582" xr:uid="{00000000-0005-0000-0000-00003FB20000}"/>
    <cellStyle name="Normal 63 4 2 3 2 2" xfId="23833" xr:uid="{00000000-0005-0000-0000-000040B20000}"/>
    <cellStyle name="Normal 63 4 2 3 2 2 2" xfId="49386" xr:uid="{00000000-0005-0000-0000-000041B20000}"/>
    <cellStyle name="Normal 63 4 2 3 2 3" xfId="39137" xr:uid="{00000000-0005-0000-0000-000042B20000}"/>
    <cellStyle name="Normal 63 4 2 3 3" xfId="10003" xr:uid="{00000000-0005-0000-0000-000043B20000}"/>
    <cellStyle name="Normal 63 4 2 3 3 2" xfId="35560" xr:uid="{00000000-0005-0000-0000-000044B20000}"/>
    <cellStyle name="Normal 63 4 2 3 4" xfId="18826" xr:uid="{00000000-0005-0000-0000-000045B20000}"/>
    <cellStyle name="Normal 63 4 2 3 4 2" xfId="44379" xr:uid="{00000000-0005-0000-0000-000046B20000}"/>
    <cellStyle name="Normal 63 4 2 3 5" xfId="30316" xr:uid="{00000000-0005-0000-0000-000047B20000}"/>
    <cellStyle name="Normal 63 4 2 4" xfId="2524" xr:uid="{00000000-0005-0000-0000-000048B20000}"/>
    <cellStyle name="Normal 63 4 2 4 2" xfId="11889" xr:uid="{00000000-0005-0000-0000-000049B20000}"/>
    <cellStyle name="Normal 63 4 2 4 2 2" xfId="37444" xr:uid="{00000000-0005-0000-0000-00004AB20000}"/>
    <cellStyle name="Normal 63 4 2 4 3" xfId="21893" xr:uid="{00000000-0005-0000-0000-00004BB20000}"/>
    <cellStyle name="Normal 63 4 2 4 3 2" xfId="47446" xr:uid="{00000000-0005-0000-0000-00004CB20000}"/>
    <cellStyle name="Normal 63 4 2 4 4" xfId="28376" xr:uid="{00000000-0005-0000-0000-00004DB20000}"/>
    <cellStyle name="Normal 63 4 2 5" xfId="6200" xr:uid="{00000000-0005-0000-0000-00004EB20000}"/>
    <cellStyle name="Normal 63 4 2 5 2" xfId="15027" xr:uid="{00000000-0005-0000-0000-00004FB20000}"/>
    <cellStyle name="Normal 63 4 2 5 2 2" xfId="40582" xr:uid="{00000000-0005-0000-0000-000050B20000}"/>
    <cellStyle name="Normal 63 4 2 5 3" xfId="25278" xr:uid="{00000000-0005-0000-0000-000051B20000}"/>
    <cellStyle name="Normal 63 4 2 5 3 2" xfId="50831" xr:uid="{00000000-0005-0000-0000-000052B20000}"/>
    <cellStyle name="Normal 63 4 2 5 4" xfId="31761" xr:uid="{00000000-0005-0000-0000-000053B20000}"/>
    <cellStyle name="Normal 63 4 2 6" xfId="7646" xr:uid="{00000000-0005-0000-0000-000054B20000}"/>
    <cellStyle name="Normal 63 4 2 6 2" xfId="20375" xr:uid="{00000000-0005-0000-0000-000055B20000}"/>
    <cellStyle name="Normal 63 4 2 6 2 2" xfId="45928" xr:uid="{00000000-0005-0000-0000-000056B20000}"/>
    <cellStyle name="Normal 63 4 2 6 3" xfId="33203" xr:uid="{00000000-0005-0000-0000-000057B20000}"/>
    <cellStyle name="Normal 63 4 2 7" xfId="16886" xr:uid="{00000000-0005-0000-0000-000058B20000}"/>
    <cellStyle name="Normal 63 4 2 7 2" xfId="42439" xr:uid="{00000000-0005-0000-0000-000059B20000}"/>
    <cellStyle name="Normal 63 4 2 8" xfId="26858" xr:uid="{00000000-0005-0000-0000-00005AB20000}"/>
    <cellStyle name="Normal 63 4 3" xfId="1232" xr:uid="{00000000-0005-0000-0000-00005BB20000}"/>
    <cellStyle name="Normal 63 4 3 2" xfId="3661" xr:uid="{00000000-0005-0000-0000-00005CB20000}"/>
    <cellStyle name="Normal 63 4 3 2 2" xfId="12797" xr:uid="{00000000-0005-0000-0000-00005DB20000}"/>
    <cellStyle name="Normal 63 4 3 2 2 2" xfId="23016" xr:uid="{00000000-0005-0000-0000-00005EB20000}"/>
    <cellStyle name="Normal 63 4 3 2 2 2 2" xfId="48569" xr:uid="{00000000-0005-0000-0000-00005FB20000}"/>
    <cellStyle name="Normal 63 4 3 2 2 3" xfId="38352" xr:uid="{00000000-0005-0000-0000-000060B20000}"/>
    <cellStyle name="Normal 63 4 3 2 3" xfId="9218" xr:uid="{00000000-0005-0000-0000-000061B20000}"/>
    <cellStyle name="Normal 63 4 3 2 3 2" xfId="34775" xr:uid="{00000000-0005-0000-0000-000062B20000}"/>
    <cellStyle name="Normal 63 4 3 2 4" xfId="18009" xr:uid="{00000000-0005-0000-0000-000063B20000}"/>
    <cellStyle name="Normal 63 4 3 2 4 2" xfId="43562" xr:uid="{00000000-0005-0000-0000-000064B20000}"/>
    <cellStyle name="Normal 63 4 3 2 5" xfId="29499" xr:uid="{00000000-0005-0000-0000-000065B20000}"/>
    <cellStyle name="Normal 63 4 3 3" xfId="5093" xr:uid="{00000000-0005-0000-0000-000066B20000}"/>
    <cellStyle name="Normal 63 4 3 3 2" xfId="13930" xr:uid="{00000000-0005-0000-0000-000067B20000}"/>
    <cellStyle name="Normal 63 4 3 3 2 2" xfId="24181" xr:uid="{00000000-0005-0000-0000-000068B20000}"/>
    <cellStyle name="Normal 63 4 3 3 2 2 2" xfId="49734" xr:uid="{00000000-0005-0000-0000-000069B20000}"/>
    <cellStyle name="Normal 63 4 3 3 2 3" xfId="39485" xr:uid="{00000000-0005-0000-0000-00006AB20000}"/>
    <cellStyle name="Normal 63 4 3 3 3" xfId="10351" xr:uid="{00000000-0005-0000-0000-00006BB20000}"/>
    <cellStyle name="Normal 63 4 3 3 3 2" xfId="35908" xr:uid="{00000000-0005-0000-0000-00006CB20000}"/>
    <cellStyle name="Normal 63 4 3 3 4" xfId="19174" xr:uid="{00000000-0005-0000-0000-00006DB20000}"/>
    <cellStyle name="Normal 63 4 3 3 4 2" xfId="44727" xr:uid="{00000000-0005-0000-0000-00006EB20000}"/>
    <cellStyle name="Normal 63 4 3 3 5" xfId="30664" xr:uid="{00000000-0005-0000-0000-00006FB20000}"/>
    <cellStyle name="Normal 63 4 3 4" xfId="2055" xr:uid="{00000000-0005-0000-0000-000070B20000}"/>
    <cellStyle name="Normal 63 4 3 4 2" xfId="11420" xr:uid="{00000000-0005-0000-0000-000071B20000}"/>
    <cellStyle name="Normal 63 4 3 4 2 2" xfId="36975" xr:uid="{00000000-0005-0000-0000-000072B20000}"/>
    <cellStyle name="Normal 63 4 3 4 3" xfId="21424" xr:uid="{00000000-0005-0000-0000-000073B20000}"/>
    <cellStyle name="Normal 63 4 3 4 3 2" xfId="46977" xr:uid="{00000000-0005-0000-0000-000074B20000}"/>
    <cellStyle name="Normal 63 4 3 4 4" xfId="27907" xr:uid="{00000000-0005-0000-0000-000075B20000}"/>
    <cellStyle name="Normal 63 4 3 5" xfId="6548" xr:uid="{00000000-0005-0000-0000-000076B20000}"/>
    <cellStyle name="Normal 63 4 3 5 2" xfId="15375" xr:uid="{00000000-0005-0000-0000-000077B20000}"/>
    <cellStyle name="Normal 63 4 3 5 2 2" xfId="40930" xr:uid="{00000000-0005-0000-0000-000078B20000}"/>
    <cellStyle name="Normal 63 4 3 5 3" xfId="25626" xr:uid="{00000000-0005-0000-0000-000079B20000}"/>
    <cellStyle name="Normal 63 4 3 5 3 2" xfId="51179" xr:uid="{00000000-0005-0000-0000-00007AB20000}"/>
    <cellStyle name="Normal 63 4 3 5 4" xfId="32109" xr:uid="{00000000-0005-0000-0000-00007BB20000}"/>
    <cellStyle name="Normal 63 4 3 6" xfId="7994" xr:uid="{00000000-0005-0000-0000-00007CB20000}"/>
    <cellStyle name="Normal 63 4 3 6 2" xfId="20615" xr:uid="{00000000-0005-0000-0000-00007DB20000}"/>
    <cellStyle name="Normal 63 4 3 6 2 2" xfId="46168" xr:uid="{00000000-0005-0000-0000-00007EB20000}"/>
    <cellStyle name="Normal 63 4 3 6 3" xfId="33551" xr:uid="{00000000-0005-0000-0000-00007FB20000}"/>
    <cellStyle name="Normal 63 4 3 7" xfId="16417" xr:uid="{00000000-0005-0000-0000-000080B20000}"/>
    <cellStyle name="Normal 63 4 3 7 2" xfId="41970" xr:uid="{00000000-0005-0000-0000-000081B20000}"/>
    <cellStyle name="Normal 63 4 3 8" xfId="27098" xr:uid="{00000000-0005-0000-0000-000082B20000}"/>
    <cellStyle name="Normal 63 4 4" xfId="2946" xr:uid="{00000000-0005-0000-0000-000083B20000}"/>
    <cellStyle name="Normal 63 4 4 2" xfId="5324" xr:uid="{00000000-0005-0000-0000-000084B20000}"/>
    <cellStyle name="Normal 63 4 4 2 2" xfId="14161" xr:uid="{00000000-0005-0000-0000-000085B20000}"/>
    <cellStyle name="Normal 63 4 4 2 2 2" xfId="24412" xr:uid="{00000000-0005-0000-0000-000086B20000}"/>
    <cellStyle name="Normal 63 4 4 2 2 2 2" xfId="49965" xr:uid="{00000000-0005-0000-0000-000087B20000}"/>
    <cellStyle name="Normal 63 4 4 2 2 3" xfId="39716" xr:uid="{00000000-0005-0000-0000-000088B20000}"/>
    <cellStyle name="Normal 63 4 4 2 3" xfId="10582" xr:uid="{00000000-0005-0000-0000-000089B20000}"/>
    <cellStyle name="Normal 63 4 4 2 3 2" xfId="36139" xr:uid="{00000000-0005-0000-0000-00008AB20000}"/>
    <cellStyle name="Normal 63 4 4 2 4" xfId="19405" xr:uid="{00000000-0005-0000-0000-00008BB20000}"/>
    <cellStyle name="Normal 63 4 4 2 4 2" xfId="44958" xr:uid="{00000000-0005-0000-0000-00008CB20000}"/>
    <cellStyle name="Normal 63 4 4 2 5" xfId="30895" xr:uid="{00000000-0005-0000-0000-00008DB20000}"/>
    <cellStyle name="Normal 63 4 4 3" xfId="6779" xr:uid="{00000000-0005-0000-0000-00008EB20000}"/>
    <cellStyle name="Normal 63 4 4 3 2" xfId="15606" xr:uid="{00000000-0005-0000-0000-00008FB20000}"/>
    <cellStyle name="Normal 63 4 4 3 2 2" xfId="41161" xr:uid="{00000000-0005-0000-0000-000090B20000}"/>
    <cellStyle name="Normal 63 4 4 3 3" xfId="25857" xr:uid="{00000000-0005-0000-0000-000091B20000}"/>
    <cellStyle name="Normal 63 4 4 3 3 2" xfId="51410" xr:uid="{00000000-0005-0000-0000-000092B20000}"/>
    <cellStyle name="Normal 63 4 4 3 4" xfId="32340" xr:uid="{00000000-0005-0000-0000-000093B20000}"/>
    <cellStyle name="Normal 63 4 4 4" xfId="8225" xr:uid="{00000000-0005-0000-0000-000094B20000}"/>
    <cellStyle name="Normal 63 4 4 4 2" xfId="22307" xr:uid="{00000000-0005-0000-0000-000095B20000}"/>
    <cellStyle name="Normal 63 4 4 4 2 2" xfId="47860" xr:uid="{00000000-0005-0000-0000-000096B20000}"/>
    <cellStyle name="Normal 63 4 4 4 3" xfId="33782" xr:uid="{00000000-0005-0000-0000-000097B20000}"/>
    <cellStyle name="Normal 63 4 4 5" xfId="17300" xr:uid="{00000000-0005-0000-0000-000098B20000}"/>
    <cellStyle name="Normal 63 4 4 5 2" xfId="42853" xr:uid="{00000000-0005-0000-0000-000099B20000}"/>
    <cellStyle name="Normal 63 4 4 6" xfId="28790" xr:uid="{00000000-0005-0000-0000-00009AB20000}"/>
    <cellStyle name="Normal 63 4 5" xfId="4280" xr:uid="{00000000-0005-0000-0000-00009BB20000}"/>
    <cellStyle name="Normal 63 4 5 2" xfId="13118" xr:uid="{00000000-0005-0000-0000-00009CB20000}"/>
    <cellStyle name="Normal 63 4 5 2 2" xfId="23369" xr:uid="{00000000-0005-0000-0000-00009DB20000}"/>
    <cellStyle name="Normal 63 4 5 2 2 2" xfId="48922" xr:uid="{00000000-0005-0000-0000-00009EB20000}"/>
    <cellStyle name="Normal 63 4 5 2 3" xfId="38673" xr:uid="{00000000-0005-0000-0000-00009FB20000}"/>
    <cellStyle name="Normal 63 4 5 3" xfId="9539" xr:uid="{00000000-0005-0000-0000-0000A0B20000}"/>
    <cellStyle name="Normal 63 4 5 3 2" xfId="35096" xr:uid="{00000000-0005-0000-0000-0000A1B20000}"/>
    <cellStyle name="Normal 63 4 5 4" xfId="18362" xr:uid="{00000000-0005-0000-0000-0000A2B20000}"/>
    <cellStyle name="Normal 63 4 5 4 2" xfId="43915" xr:uid="{00000000-0005-0000-0000-0000A3B20000}"/>
    <cellStyle name="Normal 63 4 5 5" xfId="29852" xr:uid="{00000000-0005-0000-0000-0000A4B20000}"/>
    <cellStyle name="Normal 63 4 6" xfId="1552" xr:uid="{00000000-0005-0000-0000-0000A5B20000}"/>
    <cellStyle name="Normal 63 4 6 2" xfId="10929" xr:uid="{00000000-0005-0000-0000-0000A6B20000}"/>
    <cellStyle name="Normal 63 4 6 2 2" xfId="36484" xr:uid="{00000000-0005-0000-0000-0000A7B20000}"/>
    <cellStyle name="Normal 63 4 6 3" xfId="20933" xr:uid="{00000000-0005-0000-0000-0000A8B20000}"/>
    <cellStyle name="Normal 63 4 6 3 2" xfId="46486" xr:uid="{00000000-0005-0000-0000-0000A9B20000}"/>
    <cellStyle name="Normal 63 4 6 4" xfId="27416" xr:uid="{00000000-0005-0000-0000-0000AAB20000}"/>
    <cellStyle name="Normal 63 4 7" xfId="5736" xr:uid="{00000000-0005-0000-0000-0000ABB20000}"/>
    <cellStyle name="Normal 63 4 7 2" xfId="14563" xr:uid="{00000000-0005-0000-0000-0000ACB20000}"/>
    <cellStyle name="Normal 63 4 7 2 2" xfId="40118" xr:uid="{00000000-0005-0000-0000-0000ADB20000}"/>
    <cellStyle name="Normal 63 4 7 3" xfId="24814" xr:uid="{00000000-0005-0000-0000-0000AEB20000}"/>
    <cellStyle name="Normal 63 4 7 3 2" xfId="50367" xr:uid="{00000000-0005-0000-0000-0000AFB20000}"/>
    <cellStyle name="Normal 63 4 7 4" xfId="31297" xr:uid="{00000000-0005-0000-0000-0000B0B20000}"/>
    <cellStyle name="Normal 63 4 8" xfId="7180" xr:uid="{00000000-0005-0000-0000-0000B1B20000}"/>
    <cellStyle name="Normal 63 4 8 2" xfId="19906" xr:uid="{00000000-0005-0000-0000-0000B2B20000}"/>
    <cellStyle name="Normal 63 4 8 2 2" xfId="45459" xr:uid="{00000000-0005-0000-0000-0000B3B20000}"/>
    <cellStyle name="Normal 63 4 8 3" xfId="32737" xr:uid="{00000000-0005-0000-0000-0000B4B20000}"/>
    <cellStyle name="Normal 63 4 9" xfId="15926" xr:uid="{00000000-0005-0000-0000-0000B5B20000}"/>
    <cellStyle name="Normal 63 4 9 2" xfId="41479" xr:uid="{00000000-0005-0000-0000-0000B6B20000}"/>
    <cellStyle name="Normal 63 4_Degree data" xfId="4039" xr:uid="{00000000-0005-0000-0000-0000B7B20000}"/>
    <cellStyle name="Normal 63 5" xfId="324" xr:uid="{00000000-0005-0000-0000-0000B8B20000}"/>
    <cellStyle name="Normal 63 5 2" xfId="2810" xr:uid="{00000000-0005-0000-0000-0000B9B20000}"/>
    <cellStyle name="Normal 63 5 2 2" xfId="12110" xr:uid="{00000000-0005-0000-0000-0000BAB20000}"/>
    <cellStyle name="Normal 63 5 2 2 2" xfId="22171" xr:uid="{00000000-0005-0000-0000-0000BBB20000}"/>
    <cellStyle name="Normal 63 5 2 2 2 2" xfId="47724" xr:uid="{00000000-0005-0000-0000-0000BCB20000}"/>
    <cellStyle name="Normal 63 5 2 2 3" xfId="37665" xr:uid="{00000000-0005-0000-0000-0000BDB20000}"/>
    <cellStyle name="Normal 63 5 2 3" xfId="8470" xr:uid="{00000000-0005-0000-0000-0000BEB20000}"/>
    <cellStyle name="Normal 63 5 2 3 2" xfId="34027" xr:uid="{00000000-0005-0000-0000-0000BFB20000}"/>
    <cellStyle name="Normal 63 5 2 4" xfId="17164" xr:uid="{00000000-0005-0000-0000-0000C0B20000}"/>
    <cellStyle name="Normal 63 5 2 4 2" xfId="42717" xr:uid="{00000000-0005-0000-0000-0000C1B20000}"/>
    <cellStyle name="Normal 63 5 2 5" xfId="28654" xr:uid="{00000000-0005-0000-0000-0000C2B20000}"/>
    <cellStyle name="Normal 63 5 3" xfId="4740" xr:uid="{00000000-0005-0000-0000-0000C3B20000}"/>
    <cellStyle name="Normal 63 5 3 2" xfId="13578" xr:uid="{00000000-0005-0000-0000-0000C4B20000}"/>
    <cellStyle name="Normal 63 5 3 2 2" xfId="23829" xr:uid="{00000000-0005-0000-0000-0000C5B20000}"/>
    <cellStyle name="Normal 63 5 3 2 2 2" xfId="49382" xr:uid="{00000000-0005-0000-0000-0000C6B20000}"/>
    <cellStyle name="Normal 63 5 3 2 3" xfId="39133" xr:uid="{00000000-0005-0000-0000-0000C7B20000}"/>
    <cellStyle name="Normal 63 5 3 3" xfId="9999" xr:uid="{00000000-0005-0000-0000-0000C8B20000}"/>
    <cellStyle name="Normal 63 5 3 3 2" xfId="35556" xr:uid="{00000000-0005-0000-0000-0000C9B20000}"/>
    <cellStyle name="Normal 63 5 3 4" xfId="18822" xr:uid="{00000000-0005-0000-0000-0000CAB20000}"/>
    <cellStyle name="Normal 63 5 3 4 2" xfId="44375" xr:uid="{00000000-0005-0000-0000-0000CBB20000}"/>
    <cellStyle name="Normal 63 5 3 5" xfId="30312" xr:uid="{00000000-0005-0000-0000-0000CCB20000}"/>
    <cellStyle name="Normal 63 5 4" xfId="1919" xr:uid="{00000000-0005-0000-0000-0000CDB20000}"/>
    <cellStyle name="Normal 63 5 4 2" xfId="11284" xr:uid="{00000000-0005-0000-0000-0000CEB20000}"/>
    <cellStyle name="Normal 63 5 4 2 2" xfId="36839" xr:uid="{00000000-0005-0000-0000-0000CFB20000}"/>
    <cellStyle name="Normal 63 5 4 3" xfId="21288" xr:uid="{00000000-0005-0000-0000-0000D0B20000}"/>
    <cellStyle name="Normal 63 5 4 3 2" xfId="46841" xr:uid="{00000000-0005-0000-0000-0000D1B20000}"/>
    <cellStyle name="Normal 63 5 4 4" xfId="27771" xr:uid="{00000000-0005-0000-0000-0000D2B20000}"/>
    <cellStyle name="Normal 63 5 5" xfId="6196" xr:uid="{00000000-0005-0000-0000-0000D3B20000}"/>
    <cellStyle name="Normal 63 5 5 2" xfId="15023" xr:uid="{00000000-0005-0000-0000-0000D4B20000}"/>
    <cellStyle name="Normal 63 5 5 2 2" xfId="40578" xr:uid="{00000000-0005-0000-0000-0000D5B20000}"/>
    <cellStyle name="Normal 63 5 5 3" xfId="25274" xr:uid="{00000000-0005-0000-0000-0000D6B20000}"/>
    <cellStyle name="Normal 63 5 5 3 2" xfId="50827" xr:uid="{00000000-0005-0000-0000-0000D7B20000}"/>
    <cellStyle name="Normal 63 5 5 4" xfId="31757" xr:uid="{00000000-0005-0000-0000-0000D8B20000}"/>
    <cellStyle name="Normal 63 5 6" xfId="7642" xr:uid="{00000000-0005-0000-0000-0000D9B20000}"/>
    <cellStyle name="Normal 63 5 6 2" xfId="19770" xr:uid="{00000000-0005-0000-0000-0000DAB20000}"/>
    <cellStyle name="Normal 63 5 6 2 2" xfId="45323" xr:uid="{00000000-0005-0000-0000-0000DBB20000}"/>
    <cellStyle name="Normal 63 5 6 3" xfId="33199" xr:uid="{00000000-0005-0000-0000-0000DCB20000}"/>
    <cellStyle name="Normal 63 5 7" xfId="16281" xr:uid="{00000000-0005-0000-0000-0000DDB20000}"/>
    <cellStyle name="Normal 63 5 7 2" xfId="41834" xr:uid="{00000000-0005-0000-0000-0000DEB20000}"/>
    <cellStyle name="Normal 63 5 8" xfId="26253" xr:uid="{00000000-0005-0000-0000-0000DFB20000}"/>
    <cellStyle name="Normal 63 6" xfId="929" xr:uid="{00000000-0005-0000-0000-0000E0B20000}"/>
    <cellStyle name="Normal 63 6 2" xfId="3411" xr:uid="{00000000-0005-0000-0000-0000E1B20000}"/>
    <cellStyle name="Normal 63 6 2 2" xfId="12553" xr:uid="{00000000-0005-0000-0000-0000E2B20000}"/>
    <cellStyle name="Normal 63 6 2 2 2" xfId="22772" xr:uid="{00000000-0005-0000-0000-0000E3B20000}"/>
    <cellStyle name="Normal 63 6 2 2 2 2" xfId="48325" xr:uid="{00000000-0005-0000-0000-0000E4B20000}"/>
    <cellStyle name="Normal 63 6 2 2 3" xfId="38108" xr:uid="{00000000-0005-0000-0000-0000E5B20000}"/>
    <cellStyle name="Normal 63 6 2 3" xfId="8975" xr:uid="{00000000-0005-0000-0000-0000E6B20000}"/>
    <cellStyle name="Normal 63 6 2 3 2" xfId="34532" xr:uid="{00000000-0005-0000-0000-0000E7B20000}"/>
    <cellStyle name="Normal 63 6 2 4" xfId="17765" xr:uid="{00000000-0005-0000-0000-0000E8B20000}"/>
    <cellStyle name="Normal 63 6 2 4 2" xfId="43318" xr:uid="{00000000-0005-0000-0000-0000E9B20000}"/>
    <cellStyle name="Normal 63 6 2 5" xfId="29255" xr:uid="{00000000-0005-0000-0000-0000EAB20000}"/>
    <cellStyle name="Normal 63 6 3" xfId="5089" xr:uid="{00000000-0005-0000-0000-0000EBB20000}"/>
    <cellStyle name="Normal 63 6 3 2" xfId="13926" xr:uid="{00000000-0005-0000-0000-0000ECB20000}"/>
    <cellStyle name="Normal 63 6 3 2 2" xfId="24177" xr:uid="{00000000-0005-0000-0000-0000EDB20000}"/>
    <cellStyle name="Normal 63 6 3 2 2 2" xfId="49730" xr:uid="{00000000-0005-0000-0000-0000EEB20000}"/>
    <cellStyle name="Normal 63 6 3 2 3" xfId="39481" xr:uid="{00000000-0005-0000-0000-0000EFB20000}"/>
    <cellStyle name="Normal 63 6 3 3" xfId="10347" xr:uid="{00000000-0005-0000-0000-0000F0B20000}"/>
    <cellStyle name="Normal 63 6 3 3 2" xfId="35904" xr:uid="{00000000-0005-0000-0000-0000F1B20000}"/>
    <cellStyle name="Normal 63 6 3 4" xfId="19170" xr:uid="{00000000-0005-0000-0000-0000F2B20000}"/>
    <cellStyle name="Normal 63 6 3 4 2" xfId="44723" xr:uid="{00000000-0005-0000-0000-0000F3B20000}"/>
    <cellStyle name="Normal 63 6 3 5" xfId="30660" xr:uid="{00000000-0005-0000-0000-0000F4B20000}"/>
    <cellStyle name="Normal 63 6 4" xfId="2520" xr:uid="{00000000-0005-0000-0000-0000F5B20000}"/>
    <cellStyle name="Normal 63 6 4 2" xfId="11885" xr:uid="{00000000-0005-0000-0000-0000F6B20000}"/>
    <cellStyle name="Normal 63 6 4 2 2" xfId="37440" xr:uid="{00000000-0005-0000-0000-0000F7B20000}"/>
    <cellStyle name="Normal 63 6 4 3" xfId="21889" xr:uid="{00000000-0005-0000-0000-0000F8B20000}"/>
    <cellStyle name="Normal 63 6 4 3 2" xfId="47442" xr:uid="{00000000-0005-0000-0000-0000F9B20000}"/>
    <cellStyle name="Normal 63 6 4 4" xfId="28372" xr:uid="{00000000-0005-0000-0000-0000FAB20000}"/>
    <cellStyle name="Normal 63 6 5" xfId="6544" xr:uid="{00000000-0005-0000-0000-0000FBB20000}"/>
    <cellStyle name="Normal 63 6 5 2" xfId="15371" xr:uid="{00000000-0005-0000-0000-0000FCB20000}"/>
    <cellStyle name="Normal 63 6 5 2 2" xfId="40926" xr:uid="{00000000-0005-0000-0000-0000FDB20000}"/>
    <cellStyle name="Normal 63 6 5 3" xfId="25622" xr:uid="{00000000-0005-0000-0000-0000FEB20000}"/>
    <cellStyle name="Normal 63 6 5 3 2" xfId="51175" xr:uid="{00000000-0005-0000-0000-0000FFB20000}"/>
    <cellStyle name="Normal 63 6 5 4" xfId="32105" xr:uid="{00000000-0005-0000-0000-000000B30000}"/>
    <cellStyle name="Normal 63 6 6" xfId="7990" xr:uid="{00000000-0005-0000-0000-000001B30000}"/>
    <cellStyle name="Normal 63 6 6 2" xfId="20371" xr:uid="{00000000-0005-0000-0000-000002B30000}"/>
    <cellStyle name="Normal 63 6 6 2 2" xfId="45924" xr:uid="{00000000-0005-0000-0000-000003B30000}"/>
    <cellStyle name="Normal 63 6 6 3" xfId="33547" xr:uid="{00000000-0005-0000-0000-000004B30000}"/>
    <cellStyle name="Normal 63 6 7" xfId="16882" xr:uid="{00000000-0005-0000-0000-000005B30000}"/>
    <cellStyle name="Normal 63 6 7 2" xfId="42435" xr:uid="{00000000-0005-0000-0000-000006B30000}"/>
    <cellStyle name="Normal 63 6 8" xfId="26854" xr:uid="{00000000-0005-0000-0000-000007B30000}"/>
    <cellStyle name="Normal 63 7" xfId="1096" xr:uid="{00000000-0005-0000-0000-000008B30000}"/>
    <cellStyle name="Normal 63 7 2" xfId="3525" xr:uid="{00000000-0005-0000-0000-000009B30000}"/>
    <cellStyle name="Normal 63 7 2 2" xfId="12661" xr:uid="{00000000-0005-0000-0000-00000AB30000}"/>
    <cellStyle name="Normal 63 7 2 2 2" xfId="22880" xr:uid="{00000000-0005-0000-0000-00000BB30000}"/>
    <cellStyle name="Normal 63 7 2 2 2 2" xfId="48433" xr:uid="{00000000-0005-0000-0000-00000CB30000}"/>
    <cellStyle name="Normal 63 7 2 2 3" xfId="38216" xr:uid="{00000000-0005-0000-0000-00000DB30000}"/>
    <cellStyle name="Normal 63 7 2 3" xfId="9082" xr:uid="{00000000-0005-0000-0000-00000EB30000}"/>
    <cellStyle name="Normal 63 7 2 3 2" xfId="34639" xr:uid="{00000000-0005-0000-0000-00000FB30000}"/>
    <cellStyle name="Normal 63 7 2 4" xfId="17873" xr:uid="{00000000-0005-0000-0000-000010B30000}"/>
    <cellStyle name="Normal 63 7 2 4 2" xfId="43426" xr:uid="{00000000-0005-0000-0000-000011B30000}"/>
    <cellStyle name="Normal 63 7 2 5" xfId="29363" xr:uid="{00000000-0005-0000-0000-000012B30000}"/>
    <cellStyle name="Normal 63 7 3" xfId="5188" xr:uid="{00000000-0005-0000-0000-000013B30000}"/>
    <cellStyle name="Normal 63 7 3 2" xfId="14025" xr:uid="{00000000-0005-0000-0000-000014B30000}"/>
    <cellStyle name="Normal 63 7 3 2 2" xfId="24276" xr:uid="{00000000-0005-0000-0000-000015B30000}"/>
    <cellStyle name="Normal 63 7 3 2 2 2" xfId="49829" xr:uid="{00000000-0005-0000-0000-000016B30000}"/>
    <cellStyle name="Normal 63 7 3 2 3" xfId="39580" xr:uid="{00000000-0005-0000-0000-000017B30000}"/>
    <cellStyle name="Normal 63 7 3 3" xfId="10446" xr:uid="{00000000-0005-0000-0000-000018B30000}"/>
    <cellStyle name="Normal 63 7 3 3 2" xfId="36003" xr:uid="{00000000-0005-0000-0000-000019B30000}"/>
    <cellStyle name="Normal 63 7 3 4" xfId="19269" xr:uid="{00000000-0005-0000-0000-00001AB30000}"/>
    <cellStyle name="Normal 63 7 3 4 2" xfId="44822" xr:uid="{00000000-0005-0000-0000-00001BB30000}"/>
    <cellStyle name="Normal 63 7 3 5" xfId="30759" xr:uid="{00000000-0005-0000-0000-00001CB30000}"/>
    <cellStyle name="Normal 63 7 4" xfId="1728" xr:uid="{00000000-0005-0000-0000-00001DB30000}"/>
    <cellStyle name="Normal 63 7 4 2" xfId="11102" xr:uid="{00000000-0005-0000-0000-00001EB30000}"/>
    <cellStyle name="Normal 63 7 4 2 2" xfId="36657" xr:uid="{00000000-0005-0000-0000-00001FB30000}"/>
    <cellStyle name="Normal 63 7 4 3" xfId="21106" xr:uid="{00000000-0005-0000-0000-000020B30000}"/>
    <cellStyle name="Normal 63 7 4 3 2" xfId="46659" xr:uid="{00000000-0005-0000-0000-000021B30000}"/>
    <cellStyle name="Normal 63 7 4 4" xfId="27589" xr:uid="{00000000-0005-0000-0000-000022B30000}"/>
    <cellStyle name="Normal 63 7 5" xfId="6643" xr:uid="{00000000-0005-0000-0000-000023B30000}"/>
    <cellStyle name="Normal 63 7 5 2" xfId="15470" xr:uid="{00000000-0005-0000-0000-000024B30000}"/>
    <cellStyle name="Normal 63 7 5 2 2" xfId="41025" xr:uid="{00000000-0005-0000-0000-000025B30000}"/>
    <cellStyle name="Normal 63 7 5 3" xfId="25721" xr:uid="{00000000-0005-0000-0000-000026B30000}"/>
    <cellStyle name="Normal 63 7 5 3 2" xfId="51274" xr:uid="{00000000-0005-0000-0000-000027B30000}"/>
    <cellStyle name="Normal 63 7 5 4" xfId="32204" xr:uid="{00000000-0005-0000-0000-000028B30000}"/>
    <cellStyle name="Normal 63 7 6" xfId="8089" xr:uid="{00000000-0005-0000-0000-000029B30000}"/>
    <cellStyle name="Normal 63 7 6 2" xfId="20479" xr:uid="{00000000-0005-0000-0000-00002AB30000}"/>
    <cellStyle name="Normal 63 7 6 2 2" xfId="46032" xr:uid="{00000000-0005-0000-0000-00002BB30000}"/>
    <cellStyle name="Normal 63 7 6 3" xfId="33646" xr:uid="{00000000-0005-0000-0000-00002CB30000}"/>
    <cellStyle name="Normal 63 7 7" xfId="16099" xr:uid="{00000000-0005-0000-0000-00002DB30000}"/>
    <cellStyle name="Normal 63 7 7 2" xfId="41652" xr:uid="{00000000-0005-0000-0000-00002EB30000}"/>
    <cellStyle name="Normal 63 7 8" xfId="26962" xr:uid="{00000000-0005-0000-0000-00002FB30000}"/>
    <cellStyle name="Normal 63 8" xfId="2628" xr:uid="{00000000-0005-0000-0000-000030B30000}"/>
    <cellStyle name="Normal 63 8 2" xfId="11967" xr:uid="{00000000-0005-0000-0000-000031B30000}"/>
    <cellStyle name="Normal 63 8 2 2" xfId="21990" xr:uid="{00000000-0005-0000-0000-000032B30000}"/>
    <cellStyle name="Normal 63 8 2 2 2" xfId="47543" xr:uid="{00000000-0005-0000-0000-000033B30000}"/>
    <cellStyle name="Normal 63 8 2 3" xfId="37522" xr:uid="{00000000-0005-0000-0000-000034B30000}"/>
    <cellStyle name="Normal 63 8 3" xfId="8562" xr:uid="{00000000-0005-0000-0000-000035B30000}"/>
    <cellStyle name="Normal 63 8 3 2" xfId="34119" xr:uid="{00000000-0005-0000-0000-000036B30000}"/>
    <cellStyle name="Normal 63 8 4" xfId="16983" xr:uid="{00000000-0005-0000-0000-000037B30000}"/>
    <cellStyle name="Normal 63 8 4 2" xfId="42536" xr:uid="{00000000-0005-0000-0000-000038B30000}"/>
    <cellStyle name="Normal 63 8 5" xfId="28473" xr:uid="{00000000-0005-0000-0000-000039B30000}"/>
    <cellStyle name="Normal 63 9" xfId="4142" xr:uid="{00000000-0005-0000-0000-00003AB30000}"/>
    <cellStyle name="Normal 63 9 2" xfId="12980" xr:uid="{00000000-0005-0000-0000-00003BB30000}"/>
    <cellStyle name="Normal 63 9 2 2" xfId="23231" xr:uid="{00000000-0005-0000-0000-00003CB30000}"/>
    <cellStyle name="Normal 63 9 2 2 2" xfId="48784" xr:uid="{00000000-0005-0000-0000-00003DB30000}"/>
    <cellStyle name="Normal 63 9 2 3" xfId="38535" xr:uid="{00000000-0005-0000-0000-00003EB30000}"/>
    <cellStyle name="Normal 63 9 3" xfId="9401" xr:uid="{00000000-0005-0000-0000-00003FB30000}"/>
    <cellStyle name="Normal 63 9 3 2" xfId="34958" xr:uid="{00000000-0005-0000-0000-000040B30000}"/>
    <cellStyle name="Normal 63 9 4" xfId="18224" xr:uid="{00000000-0005-0000-0000-000041B30000}"/>
    <cellStyle name="Normal 63 9 4 2" xfId="43777" xr:uid="{00000000-0005-0000-0000-000042B30000}"/>
    <cellStyle name="Normal 63 9 5" xfId="29714" xr:uid="{00000000-0005-0000-0000-000043B30000}"/>
    <cellStyle name="Normal 63_Degree data" xfId="4035" xr:uid="{00000000-0005-0000-0000-000044B30000}"/>
    <cellStyle name="Normal 64" xfId="129" xr:uid="{00000000-0005-0000-0000-000045B30000}"/>
    <cellStyle name="Normal 64 2" xfId="934" xr:uid="{00000000-0005-0000-0000-000046B30000}"/>
    <cellStyle name="Normal 64 3" xfId="1735" xr:uid="{00000000-0005-0000-0000-000047B30000}"/>
    <cellStyle name="Normal 64_Degree data" xfId="4040" xr:uid="{00000000-0005-0000-0000-000048B30000}"/>
    <cellStyle name="Normal 65" xfId="131" xr:uid="{00000000-0005-0000-0000-000049B30000}"/>
    <cellStyle name="Normal 65 2" xfId="935" xr:uid="{00000000-0005-0000-0000-00004AB30000}"/>
    <cellStyle name="Normal 65 3" xfId="1737" xr:uid="{00000000-0005-0000-0000-00004BB30000}"/>
    <cellStyle name="Normal 65_Degree data" xfId="4041" xr:uid="{00000000-0005-0000-0000-00004CB30000}"/>
    <cellStyle name="Normal 66" xfId="130" xr:uid="{00000000-0005-0000-0000-00004DB30000}"/>
    <cellStyle name="Normal 66 2" xfId="936" xr:uid="{00000000-0005-0000-0000-00004EB30000}"/>
    <cellStyle name="Normal 66 3" xfId="1736" xr:uid="{00000000-0005-0000-0000-00004FB30000}"/>
    <cellStyle name="Normal 66_Degree data" xfId="4042" xr:uid="{00000000-0005-0000-0000-000050B30000}"/>
    <cellStyle name="Normal 67" xfId="167" xr:uid="{00000000-0005-0000-0000-000051B30000}"/>
    <cellStyle name="Normal 67 2" xfId="937" xr:uid="{00000000-0005-0000-0000-000052B30000}"/>
    <cellStyle name="Normal 67 3" xfId="1769" xr:uid="{00000000-0005-0000-0000-000053B30000}"/>
    <cellStyle name="Normal 67_Degree data" xfId="4043" xr:uid="{00000000-0005-0000-0000-000054B30000}"/>
    <cellStyle name="Normal 68" xfId="168" xr:uid="{00000000-0005-0000-0000-000055B30000}"/>
    <cellStyle name="Normal 68 2" xfId="938" xr:uid="{00000000-0005-0000-0000-000056B30000}"/>
    <cellStyle name="Normal 68 3" xfId="1770" xr:uid="{00000000-0005-0000-0000-000057B30000}"/>
    <cellStyle name="Normal 68_Degree data" xfId="4044" xr:uid="{00000000-0005-0000-0000-000058B30000}"/>
    <cellStyle name="Normal 69" xfId="198" xr:uid="{00000000-0005-0000-0000-000059B30000}"/>
    <cellStyle name="Normal 69 2" xfId="939" xr:uid="{00000000-0005-0000-0000-00005AB30000}"/>
    <cellStyle name="Normal 69 3" xfId="1799" xr:uid="{00000000-0005-0000-0000-00005BB30000}"/>
    <cellStyle name="Normal 69_Degree data" xfId="4045" xr:uid="{00000000-0005-0000-0000-00005CB30000}"/>
    <cellStyle name="Normal 7" xfId="42" xr:uid="{00000000-0005-0000-0000-00005DB30000}"/>
    <cellStyle name="Normal 7 10" xfId="940" xr:uid="{00000000-0005-0000-0000-00005EB30000}"/>
    <cellStyle name="Normal 7 10 2" xfId="3416" xr:uid="{00000000-0005-0000-0000-00005FB30000}"/>
    <cellStyle name="Normal 7 10 2 2" xfId="12558" xr:uid="{00000000-0005-0000-0000-000060B30000}"/>
    <cellStyle name="Normal 7 10 2 2 2" xfId="22777" xr:uid="{00000000-0005-0000-0000-000061B30000}"/>
    <cellStyle name="Normal 7 10 2 2 2 2" xfId="48330" xr:uid="{00000000-0005-0000-0000-000062B30000}"/>
    <cellStyle name="Normal 7 10 2 2 3" xfId="38113" xr:uid="{00000000-0005-0000-0000-000063B30000}"/>
    <cellStyle name="Normal 7 10 2 3" xfId="8980" xr:uid="{00000000-0005-0000-0000-000064B30000}"/>
    <cellStyle name="Normal 7 10 2 3 2" xfId="34537" xr:uid="{00000000-0005-0000-0000-000065B30000}"/>
    <cellStyle name="Normal 7 10 2 4" xfId="17770" xr:uid="{00000000-0005-0000-0000-000066B30000}"/>
    <cellStyle name="Normal 7 10 2 4 2" xfId="43323" xr:uid="{00000000-0005-0000-0000-000067B30000}"/>
    <cellStyle name="Normal 7 10 2 5" xfId="29260" xr:uid="{00000000-0005-0000-0000-000068B30000}"/>
    <cellStyle name="Normal 7 10 3" xfId="4746" xr:uid="{00000000-0005-0000-0000-000069B30000}"/>
    <cellStyle name="Normal 7 10 3 2" xfId="13583" xr:uid="{00000000-0005-0000-0000-00006AB30000}"/>
    <cellStyle name="Normal 7 10 3 2 2" xfId="23834" xr:uid="{00000000-0005-0000-0000-00006BB30000}"/>
    <cellStyle name="Normal 7 10 3 2 2 2" xfId="49387" xr:uid="{00000000-0005-0000-0000-00006CB30000}"/>
    <cellStyle name="Normal 7 10 3 2 3" xfId="39138" xr:uid="{00000000-0005-0000-0000-00006DB30000}"/>
    <cellStyle name="Normal 7 10 3 3" xfId="10004" xr:uid="{00000000-0005-0000-0000-00006EB30000}"/>
    <cellStyle name="Normal 7 10 3 3 2" xfId="35561" xr:uid="{00000000-0005-0000-0000-00006FB30000}"/>
    <cellStyle name="Normal 7 10 3 4" xfId="18827" xr:uid="{00000000-0005-0000-0000-000070B30000}"/>
    <cellStyle name="Normal 7 10 3 4 2" xfId="44380" xr:uid="{00000000-0005-0000-0000-000071B30000}"/>
    <cellStyle name="Normal 7 10 3 5" xfId="30317" xr:uid="{00000000-0005-0000-0000-000072B30000}"/>
    <cellStyle name="Normal 7 10 4" xfId="2525" xr:uid="{00000000-0005-0000-0000-000073B30000}"/>
    <cellStyle name="Normal 7 10 4 2" xfId="11890" xr:uid="{00000000-0005-0000-0000-000074B30000}"/>
    <cellStyle name="Normal 7 10 4 2 2" xfId="37445" xr:uid="{00000000-0005-0000-0000-000075B30000}"/>
    <cellStyle name="Normal 7 10 4 3" xfId="21894" xr:uid="{00000000-0005-0000-0000-000076B30000}"/>
    <cellStyle name="Normal 7 10 4 3 2" xfId="47447" xr:uid="{00000000-0005-0000-0000-000077B30000}"/>
    <cellStyle name="Normal 7 10 4 4" xfId="28377" xr:uid="{00000000-0005-0000-0000-000078B30000}"/>
    <cellStyle name="Normal 7 10 5" xfId="6201" xr:uid="{00000000-0005-0000-0000-000079B30000}"/>
    <cellStyle name="Normal 7 10 5 2" xfId="15028" xr:uid="{00000000-0005-0000-0000-00007AB30000}"/>
    <cellStyle name="Normal 7 10 5 2 2" xfId="40583" xr:uid="{00000000-0005-0000-0000-00007BB30000}"/>
    <cellStyle name="Normal 7 10 5 3" xfId="25279" xr:uid="{00000000-0005-0000-0000-00007CB30000}"/>
    <cellStyle name="Normal 7 10 5 3 2" xfId="50832" xr:uid="{00000000-0005-0000-0000-00007DB30000}"/>
    <cellStyle name="Normal 7 10 5 4" xfId="31762" xr:uid="{00000000-0005-0000-0000-00007EB30000}"/>
    <cellStyle name="Normal 7 10 6" xfId="7647" xr:uid="{00000000-0005-0000-0000-00007FB30000}"/>
    <cellStyle name="Normal 7 10 6 2" xfId="20376" xr:uid="{00000000-0005-0000-0000-000080B30000}"/>
    <cellStyle name="Normal 7 10 6 2 2" xfId="45929" xr:uid="{00000000-0005-0000-0000-000081B30000}"/>
    <cellStyle name="Normal 7 10 6 3" xfId="33204" xr:uid="{00000000-0005-0000-0000-000082B30000}"/>
    <cellStyle name="Normal 7 10 7" xfId="16887" xr:uid="{00000000-0005-0000-0000-000083B30000}"/>
    <cellStyle name="Normal 7 10 7 2" xfId="42440" xr:uid="{00000000-0005-0000-0000-000084B30000}"/>
    <cellStyle name="Normal 7 10 8" xfId="26859" xr:uid="{00000000-0005-0000-0000-000085B30000}"/>
    <cellStyle name="Normal 7 11" xfId="1045" xr:uid="{00000000-0005-0000-0000-000086B30000}"/>
    <cellStyle name="Normal 7 11 2" xfId="3474" xr:uid="{00000000-0005-0000-0000-000087B30000}"/>
    <cellStyle name="Normal 7 11 2 2" xfId="12610" xr:uid="{00000000-0005-0000-0000-000088B30000}"/>
    <cellStyle name="Normal 7 11 2 2 2" xfId="22829" xr:uid="{00000000-0005-0000-0000-000089B30000}"/>
    <cellStyle name="Normal 7 11 2 2 2 2" xfId="48382" xr:uid="{00000000-0005-0000-0000-00008AB30000}"/>
    <cellStyle name="Normal 7 11 2 2 3" xfId="38165" xr:uid="{00000000-0005-0000-0000-00008BB30000}"/>
    <cellStyle name="Normal 7 11 2 3" xfId="9032" xr:uid="{00000000-0005-0000-0000-00008CB30000}"/>
    <cellStyle name="Normal 7 11 2 3 2" xfId="34589" xr:uid="{00000000-0005-0000-0000-00008DB30000}"/>
    <cellStyle name="Normal 7 11 2 4" xfId="17822" xr:uid="{00000000-0005-0000-0000-00008EB30000}"/>
    <cellStyle name="Normal 7 11 2 4 2" xfId="43375" xr:uid="{00000000-0005-0000-0000-00008FB30000}"/>
    <cellStyle name="Normal 7 11 2 5" xfId="29312" xr:uid="{00000000-0005-0000-0000-000090B30000}"/>
    <cellStyle name="Normal 7 11 3" xfId="5094" xr:uid="{00000000-0005-0000-0000-000091B30000}"/>
    <cellStyle name="Normal 7 11 3 2" xfId="13931" xr:uid="{00000000-0005-0000-0000-000092B30000}"/>
    <cellStyle name="Normal 7 11 3 2 2" xfId="24182" xr:uid="{00000000-0005-0000-0000-000093B30000}"/>
    <cellStyle name="Normal 7 11 3 2 2 2" xfId="49735" xr:uid="{00000000-0005-0000-0000-000094B30000}"/>
    <cellStyle name="Normal 7 11 3 2 3" xfId="39486" xr:uid="{00000000-0005-0000-0000-000095B30000}"/>
    <cellStyle name="Normal 7 11 3 3" xfId="10352" xr:uid="{00000000-0005-0000-0000-000096B30000}"/>
    <cellStyle name="Normal 7 11 3 3 2" xfId="35909" xr:uid="{00000000-0005-0000-0000-000097B30000}"/>
    <cellStyle name="Normal 7 11 3 4" xfId="19175" xr:uid="{00000000-0005-0000-0000-000098B30000}"/>
    <cellStyle name="Normal 7 11 3 4 2" xfId="44728" xr:uid="{00000000-0005-0000-0000-000099B30000}"/>
    <cellStyle name="Normal 7 11 3 5" xfId="30665" xr:uid="{00000000-0005-0000-0000-00009AB30000}"/>
    <cellStyle name="Normal 7 11 4" xfId="1709" xr:uid="{00000000-0005-0000-0000-00009BB30000}"/>
    <cellStyle name="Normal 7 11 4 2" xfId="11086" xr:uid="{00000000-0005-0000-0000-00009CB30000}"/>
    <cellStyle name="Normal 7 11 4 2 2" xfId="36641" xr:uid="{00000000-0005-0000-0000-00009DB30000}"/>
    <cellStyle name="Normal 7 11 4 3" xfId="21090" xr:uid="{00000000-0005-0000-0000-00009EB30000}"/>
    <cellStyle name="Normal 7 11 4 3 2" xfId="46643" xr:uid="{00000000-0005-0000-0000-00009FB30000}"/>
    <cellStyle name="Normal 7 11 4 4" xfId="27573" xr:uid="{00000000-0005-0000-0000-0000A0B30000}"/>
    <cellStyle name="Normal 7 11 5" xfId="6549" xr:uid="{00000000-0005-0000-0000-0000A1B30000}"/>
    <cellStyle name="Normal 7 11 5 2" xfId="15376" xr:uid="{00000000-0005-0000-0000-0000A2B30000}"/>
    <cellStyle name="Normal 7 11 5 2 2" xfId="40931" xr:uid="{00000000-0005-0000-0000-0000A3B30000}"/>
    <cellStyle name="Normal 7 11 5 3" xfId="25627" xr:uid="{00000000-0005-0000-0000-0000A4B30000}"/>
    <cellStyle name="Normal 7 11 5 3 2" xfId="51180" xr:uid="{00000000-0005-0000-0000-0000A5B30000}"/>
    <cellStyle name="Normal 7 11 5 4" xfId="32110" xr:uid="{00000000-0005-0000-0000-0000A6B30000}"/>
    <cellStyle name="Normal 7 11 6" xfId="7995" xr:uid="{00000000-0005-0000-0000-0000A7B30000}"/>
    <cellStyle name="Normal 7 11 6 2" xfId="20428" xr:uid="{00000000-0005-0000-0000-0000A8B30000}"/>
    <cellStyle name="Normal 7 11 6 2 2" xfId="45981" xr:uid="{00000000-0005-0000-0000-0000A9B30000}"/>
    <cellStyle name="Normal 7 11 6 3" xfId="33552" xr:uid="{00000000-0005-0000-0000-0000AAB30000}"/>
    <cellStyle name="Normal 7 11 7" xfId="16083" xr:uid="{00000000-0005-0000-0000-0000ABB30000}"/>
    <cellStyle name="Normal 7 11 7 2" xfId="41636" xr:uid="{00000000-0005-0000-0000-0000ACB30000}"/>
    <cellStyle name="Normal 7 11 8" xfId="26911" xr:uid="{00000000-0005-0000-0000-0000ADB30000}"/>
    <cellStyle name="Normal 7 12" xfId="2609" xr:uid="{00000000-0005-0000-0000-0000AEB30000}"/>
    <cellStyle name="Normal 7 12 2" xfId="5137" xr:uid="{00000000-0005-0000-0000-0000AFB30000}"/>
    <cellStyle name="Normal 7 12 2 2" xfId="13974" xr:uid="{00000000-0005-0000-0000-0000B0B30000}"/>
    <cellStyle name="Normal 7 12 2 2 2" xfId="24225" xr:uid="{00000000-0005-0000-0000-0000B1B30000}"/>
    <cellStyle name="Normal 7 12 2 2 2 2" xfId="49778" xr:uid="{00000000-0005-0000-0000-0000B2B30000}"/>
    <cellStyle name="Normal 7 12 2 2 3" xfId="39529" xr:uid="{00000000-0005-0000-0000-0000B3B30000}"/>
    <cellStyle name="Normal 7 12 2 3" xfId="10395" xr:uid="{00000000-0005-0000-0000-0000B4B30000}"/>
    <cellStyle name="Normal 7 12 2 3 2" xfId="35952" xr:uid="{00000000-0005-0000-0000-0000B5B30000}"/>
    <cellStyle name="Normal 7 12 2 4" xfId="19218" xr:uid="{00000000-0005-0000-0000-0000B6B30000}"/>
    <cellStyle name="Normal 7 12 2 4 2" xfId="44771" xr:uid="{00000000-0005-0000-0000-0000B7B30000}"/>
    <cellStyle name="Normal 7 12 2 5" xfId="30708" xr:uid="{00000000-0005-0000-0000-0000B8B30000}"/>
    <cellStyle name="Normal 7 12 3" xfId="6592" xr:uid="{00000000-0005-0000-0000-0000B9B30000}"/>
    <cellStyle name="Normal 7 12 3 2" xfId="15419" xr:uid="{00000000-0005-0000-0000-0000BAB30000}"/>
    <cellStyle name="Normal 7 12 3 2 2" xfId="40974" xr:uid="{00000000-0005-0000-0000-0000BBB30000}"/>
    <cellStyle name="Normal 7 12 3 3" xfId="25670" xr:uid="{00000000-0005-0000-0000-0000BCB30000}"/>
    <cellStyle name="Normal 7 12 3 3 2" xfId="51223" xr:uid="{00000000-0005-0000-0000-0000BDB30000}"/>
    <cellStyle name="Normal 7 12 3 4" xfId="32153" xr:uid="{00000000-0005-0000-0000-0000BEB30000}"/>
    <cellStyle name="Normal 7 12 4" xfId="8038" xr:uid="{00000000-0005-0000-0000-0000BFB30000}"/>
    <cellStyle name="Normal 7 12 4 2" xfId="21973" xr:uid="{00000000-0005-0000-0000-0000C0B30000}"/>
    <cellStyle name="Normal 7 12 4 2 2" xfId="47526" xr:uid="{00000000-0005-0000-0000-0000C1B30000}"/>
    <cellStyle name="Normal 7 12 4 3" xfId="33595" xr:uid="{00000000-0005-0000-0000-0000C2B30000}"/>
    <cellStyle name="Normal 7 12 5" xfId="16966" xr:uid="{00000000-0005-0000-0000-0000C3B30000}"/>
    <cellStyle name="Normal 7 12 5 2" xfId="42519" xr:uid="{00000000-0005-0000-0000-0000C4B30000}"/>
    <cellStyle name="Normal 7 12 6" xfId="28456" xr:uid="{00000000-0005-0000-0000-0000C5B30000}"/>
    <cellStyle name="Normal 7 13" xfId="4091" xr:uid="{00000000-0005-0000-0000-0000C6B30000}"/>
    <cellStyle name="Normal 7 13 2" xfId="5549" xr:uid="{00000000-0005-0000-0000-0000C7B30000}"/>
    <cellStyle name="Normal 7 13 2 2" xfId="14376" xr:uid="{00000000-0005-0000-0000-0000C8B30000}"/>
    <cellStyle name="Normal 7 13 2 2 2" xfId="39931" xr:uid="{00000000-0005-0000-0000-0000C9B30000}"/>
    <cellStyle name="Normal 7 13 2 3" xfId="24627" xr:uid="{00000000-0005-0000-0000-0000CAB30000}"/>
    <cellStyle name="Normal 7 13 2 3 2" xfId="50180" xr:uid="{00000000-0005-0000-0000-0000CBB30000}"/>
    <cellStyle name="Normal 7 13 2 4" xfId="31110" xr:uid="{00000000-0005-0000-0000-0000CCB30000}"/>
    <cellStyle name="Normal 7 13 3" xfId="6993" xr:uid="{00000000-0005-0000-0000-0000CDB30000}"/>
    <cellStyle name="Normal 7 13 3 2" xfId="23180" xr:uid="{00000000-0005-0000-0000-0000CEB30000}"/>
    <cellStyle name="Normal 7 13 3 2 2" xfId="48733" xr:uid="{00000000-0005-0000-0000-0000CFB30000}"/>
    <cellStyle name="Normal 7 13 3 3" xfId="32550" xr:uid="{00000000-0005-0000-0000-0000D0B30000}"/>
    <cellStyle name="Normal 7 13 4" xfId="18173" xr:uid="{00000000-0005-0000-0000-0000D1B30000}"/>
    <cellStyle name="Normal 7 13 4 2" xfId="43726" xr:uid="{00000000-0005-0000-0000-0000D2B30000}"/>
    <cellStyle name="Normal 7 13 5" xfId="29663" xr:uid="{00000000-0005-0000-0000-0000D3B30000}"/>
    <cellStyle name="Normal 7 14" xfId="1397" xr:uid="{00000000-0005-0000-0000-0000D4B30000}"/>
    <cellStyle name="Normal 7 14 2" xfId="10774" xr:uid="{00000000-0005-0000-0000-0000D5B30000}"/>
    <cellStyle name="Normal 7 14 2 2" xfId="36329" xr:uid="{00000000-0005-0000-0000-0000D6B30000}"/>
    <cellStyle name="Normal 7 14 3" xfId="20778" xr:uid="{00000000-0005-0000-0000-0000D7B30000}"/>
    <cellStyle name="Normal 7 14 3 2" xfId="46331" xr:uid="{00000000-0005-0000-0000-0000D8B30000}"/>
    <cellStyle name="Normal 7 14 4" xfId="27261" xr:uid="{00000000-0005-0000-0000-0000D9B30000}"/>
    <cellStyle name="Normal 7 15" xfId="5509" xr:uid="{00000000-0005-0000-0000-0000DAB30000}"/>
    <cellStyle name="Normal 7 15 2" xfId="14336" xr:uid="{00000000-0005-0000-0000-0000DBB30000}"/>
    <cellStyle name="Normal 7 15 2 2" xfId="39891" xr:uid="{00000000-0005-0000-0000-0000DCB30000}"/>
    <cellStyle name="Normal 7 15 3" xfId="24587" xr:uid="{00000000-0005-0000-0000-0000DDB30000}"/>
    <cellStyle name="Normal 7 15 3 2" xfId="50140" xr:uid="{00000000-0005-0000-0000-0000DEB30000}"/>
    <cellStyle name="Normal 7 15 4" xfId="31070" xr:uid="{00000000-0005-0000-0000-0000DFB30000}"/>
    <cellStyle name="Normal 7 16" xfId="6948" xr:uid="{00000000-0005-0000-0000-0000E0B30000}"/>
    <cellStyle name="Normal 7 16 2" xfId="19573" xr:uid="{00000000-0005-0000-0000-0000E1B30000}"/>
    <cellStyle name="Normal 7 16 2 2" xfId="45126" xr:uid="{00000000-0005-0000-0000-0000E2B30000}"/>
    <cellStyle name="Normal 7 16 3" xfId="32506" xr:uid="{00000000-0005-0000-0000-0000E3B30000}"/>
    <cellStyle name="Normal 7 17" xfId="15771" xr:uid="{00000000-0005-0000-0000-0000E4B30000}"/>
    <cellStyle name="Normal 7 17 2" xfId="41324" xr:uid="{00000000-0005-0000-0000-0000E5B30000}"/>
    <cellStyle name="Normal 7 18" xfId="26056" xr:uid="{00000000-0005-0000-0000-0000E6B30000}"/>
    <cellStyle name="Normal 7 2" xfId="113" xr:uid="{00000000-0005-0000-0000-0000E7B30000}"/>
    <cellStyle name="Normal 7 2 10" xfId="4103" xr:uid="{00000000-0005-0000-0000-0000E8B30000}"/>
    <cellStyle name="Normal 7 2 10 2" xfId="5561" xr:uid="{00000000-0005-0000-0000-0000E9B30000}"/>
    <cellStyle name="Normal 7 2 10 2 2" xfId="14388" xr:uid="{00000000-0005-0000-0000-0000EAB30000}"/>
    <cellStyle name="Normal 7 2 10 2 2 2" xfId="39943" xr:uid="{00000000-0005-0000-0000-0000EBB30000}"/>
    <cellStyle name="Normal 7 2 10 2 3" xfId="24639" xr:uid="{00000000-0005-0000-0000-0000ECB30000}"/>
    <cellStyle name="Normal 7 2 10 2 3 2" xfId="50192" xr:uid="{00000000-0005-0000-0000-0000EDB30000}"/>
    <cellStyle name="Normal 7 2 10 2 4" xfId="31122" xr:uid="{00000000-0005-0000-0000-0000EEB30000}"/>
    <cellStyle name="Normal 7 2 10 3" xfId="7005" xr:uid="{00000000-0005-0000-0000-0000EFB30000}"/>
    <cellStyle name="Normal 7 2 10 3 2" xfId="23192" xr:uid="{00000000-0005-0000-0000-0000F0B30000}"/>
    <cellStyle name="Normal 7 2 10 3 2 2" xfId="48745" xr:uid="{00000000-0005-0000-0000-0000F1B30000}"/>
    <cellStyle name="Normal 7 2 10 3 3" xfId="32562" xr:uid="{00000000-0005-0000-0000-0000F2B30000}"/>
    <cellStyle name="Normal 7 2 10 4" xfId="18185" xr:uid="{00000000-0005-0000-0000-0000F3B30000}"/>
    <cellStyle name="Normal 7 2 10 4 2" xfId="43738" xr:uid="{00000000-0005-0000-0000-0000F4B30000}"/>
    <cellStyle name="Normal 7 2 10 5" xfId="29675" xr:uid="{00000000-0005-0000-0000-0000F5B30000}"/>
    <cellStyle name="Normal 7 2 11" xfId="1422" xr:uid="{00000000-0005-0000-0000-0000F6B30000}"/>
    <cellStyle name="Normal 7 2 11 2" xfId="10799" xr:uid="{00000000-0005-0000-0000-0000F7B30000}"/>
    <cellStyle name="Normal 7 2 11 2 2" xfId="36354" xr:uid="{00000000-0005-0000-0000-0000F8B30000}"/>
    <cellStyle name="Normal 7 2 11 3" xfId="20803" xr:uid="{00000000-0005-0000-0000-0000F9B30000}"/>
    <cellStyle name="Normal 7 2 11 3 2" xfId="46356" xr:uid="{00000000-0005-0000-0000-0000FAB30000}"/>
    <cellStyle name="Normal 7 2 11 4" xfId="27286" xr:uid="{00000000-0005-0000-0000-0000FBB30000}"/>
    <cellStyle name="Normal 7 2 12" xfId="5531" xr:uid="{00000000-0005-0000-0000-0000FCB30000}"/>
    <cellStyle name="Normal 7 2 12 2" xfId="14358" xr:uid="{00000000-0005-0000-0000-0000FDB30000}"/>
    <cellStyle name="Normal 7 2 12 2 2" xfId="39913" xr:uid="{00000000-0005-0000-0000-0000FEB30000}"/>
    <cellStyle name="Normal 7 2 12 3" xfId="24609" xr:uid="{00000000-0005-0000-0000-0000FFB30000}"/>
    <cellStyle name="Normal 7 2 12 3 2" xfId="50162" xr:uid="{00000000-0005-0000-0000-000000B40000}"/>
    <cellStyle name="Normal 7 2 12 4" xfId="31092" xr:uid="{00000000-0005-0000-0000-000001B40000}"/>
    <cellStyle name="Normal 7 2 13" xfId="6975" xr:uid="{00000000-0005-0000-0000-000002B40000}"/>
    <cellStyle name="Normal 7 2 13 2" xfId="19586" xr:uid="{00000000-0005-0000-0000-000003B40000}"/>
    <cellStyle name="Normal 7 2 13 2 2" xfId="45139" xr:uid="{00000000-0005-0000-0000-000004B40000}"/>
    <cellStyle name="Normal 7 2 13 3" xfId="32532" xr:uid="{00000000-0005-0000-0000-000005B40000}"/>
    <cellStyle name="Normal 7 2 14" xfId="15796" xr:uid="{00000000-0005-0000-0000-000006B40000}"/>
    <cellStyle name="Normal 7 2 14 2" xfId="41349" xr:uid="{00000000-0005-0000-0000-000007B40000}"/>
    <cellStyle name="Normal 7 2 15" xfId="26069" xr:uid="{00000000-0005-0000-0000-000008B40000}"/>
    <cellStyle name="Normal 7 2 2" xfId="157" xr:uid="{00000000-0005-0000-0000-000009B40000}"/>
    <cellStyle name="Normal 7 2 2 10" xfId="5663" xr:uid="{00000000-0005-0000-0000-00000AB40000}"/>
    <cellStyle name="Normal 7 2 2 10 2" xfId="14490" xr:uid="{00000000-0005-0000-0000-00000BB40000}"/>
    <cellStyle name="Normal 7 2 2 10 2 2" xfId="40045" xr:uid="{00000000-0005-0000-0000-00000CB40000}"/>
    <cellStyle name="Normal 7 2 2 10 3" xfId="24741" xr:uid="{00000000-0005-0000-0000-00000DB40000}"/>
    <cellStyle name="Normal 7 2 2 10 3 2" xfId="50294" xr:uid="{00000000-0005-0000-0000-00000EB40000}"/>
    <cellStyle name="Normal 7 2 2 10 4" xfId="31224" xr:uid="{00000000-0005-0000-0000-00000FB40000}"/>
    <cellStyle name="Normal 7 2 2 11" xfId="7107" xr:uid="{00000000-0005-0000-0000-000010B40000}"/>
    <cellStyle name="Normal 7 2 2 11 2" xfId="19616" xr:uid="{00000000-0005-0000-0000-000011B40000}"/>
    <cellStyle name="Normal 7 2 2 11 2 2" xfId="45169" xr:uid="{00000000-0005-0000-0000-000012B40000}"/>
    <cellStyle name="Normal 7 2 2 11 3" xfId="32664" xr:uid="{00000000-0005-0000-0000-000013B40000}"/>
    <cellStyle name="Normal 7 2 2 12" xfId="15853" xr:uid="{00000000-0005-0000-0000-000014B40000}"/>
    <cellStyle name="Normal 7 2 2 12 2" xfId="41406" xr:uid="{00000000-0005-0000-0000-000015B40000}"/>
    <cellStyle name="Normal 7 2 2 13" xfId="26099" xr:uid="{00000000-0005-0000-0000-000016B40000}"/>
    <cellStyle name="Normal 7 2 2 2" xfId="269" xr:uid="{00000000-0005-0000-0000-000017B40000}"/>
    <cellStyle name="Normal 7 2 2 2 10" xfId="16057" xr:uid="{00000000-0005-0000-0000-000018B40000}"/>
    <cellStyle name="Normal 7 2 2 2 10 2" xfId="41610" xr:uid="{00000000-0005-0000-0000-000019B40000}"/>
    <cellStyle name="Normal 7 2 2 2 11" xfId="26203" xr:uid="{00000000-0005-0000-0000-00001AB40000}"/>
    <cellStyle name="Normal 7 2 2 2 2" xfId="591" xr:uid="{00000000-0005-0000-0000-00001BB40000}"/>
    <cellStyle name="Normal 7 2 2 2 2 2" xfId="3077" xr:uid="{00000000-0005-0000-0000-00001CB40000}"/>
    <cellStyle name="Normal 7 2 2 2 2 2 2" xfId="12224" xr:uid="{00000000-0005-0000-0000-00001DB40000}"/>
    <cellStyle name="Normal 7 2 2 2 2 2 2 2" xfId="22438" xr:uid="{00000000-0005-0000-0000-00001EB40000}"/>
    <cellStyle name="Normal 7 2 2 2 2 2 2 2 2" xfId="47991" xr:uid="{00000000-0005-0000-0000-00001FB40000}"/>
    <cellStyle name="Normal 7 2 2 2 2 2 2 3" xfId="37779" xr:uid="{00000000-0005-0000-0000-000020B40000}"/>
    <cellStyle name="Normal 7 2 2 2 2 2 3" xfId="8646" xr:uid="{00000000-0005-0000-0000-000021B40000}"/>
    <cellStyle name="Normal 7 2 2 2 2 2 3 2" xfId="34203" xr:uid="{00000000-0005-0000-0000-000022B40000}"/>
    <cellStyle name="Normal 7 2 2 2 2 2 4" xfId="17431" xr:uid="{00000000-0005-0000-0000-000023B40000}"/>
    <cellStyle name="Normal 7 2 2 2 2 2 4 2" xfId="42984" xr:uid="{00000000-0005-0000-0000-000024B40000}"/>
    <cellStyle name="Normal 7 2 2 2 2 2 5" xfId="28921" xr:uid="{00000000-0005-0000-0000-000025B40000}"/>
    <cellStyle name="Normal 7 2 2 2 2 3" xfId="4749" xr:uid="{00000000-0005-0000-0000-000026B40000}"/>
    <cellStyle name="Normal 7 2 2 2 2 3 2" xfId="13586" xr:uid="{00000000-0005-0000-0000-000027B40000}"/>
    <cellStyle name="Normal 7 2 2 2 2 3 2 2" xfId="23837" xr:uid="{00000000-0005-0000-0000-000028B40000}"/>
    <cellStyle name="Normal 7 2 2 2 2 3 2 2 2" xfId="49390" xr:uid="{00000000-0005-0000-0000-000029B40000}"/>
    <cellStyle name="Normal 7 2 2 2 2 3 2 3" xfId="39141" xr:uid="{00000000-0005-0000-0000-00002AB40000}"/>
    <cellStyle name="Normal 7 2 2 2 2 3 3" xfId="10007" xr:uid="{00000000-0005-0000-0000-00002BB40000}"/>
    <cellStyle name="Normal 7 2 2 2 2 3 3 2" xfId="35564" xr:uid="{00000000-0005-0000-0000-00002CB40000}"/>
    <cellStyle name="Normal 7 2 2 2 2 3 4" xfId="18830" xr:uid="{00000000-0005-0000-0000-00002DB40000}"/>
    <cellStyle name="Normal 7 2 2 2 2 3 4 2" xfId="44383" xr:uid="{00000000-0005-0000-0000-00002EB40000}"/>
    <cellStyle name="Normal 7 2 2 2 2 3 5" xfId="30320" xr:uid="{00000000-0005-0000-0000-00002FB40000}"/>
    <cellStyle name="Normal 7 2 2 2 2 4" xfId="2186" xr:uid="{00000000-0005-0000-0000-000030B40000}"/>
    <cellStyle name="Normal 7 2 2 2 2 4 2" xfId="11551" xr:uid="{00000000-0005-0000-0000-000031B40000}"/>
    <cellStyle name="Normal 7 2 2 2 2 4 2 2" xfId="37106" xr:uid="{00000000-0005-0000-0000-000032B40000}"/>
    <cellStyle name="Normal 7 2 2 2 2 4 3" xfId="21555" xr:uid="{00000000-0005-0000-0000-000033B40000}"/>
    <cellStyle name="Normal 7 2 2 2 2 4 3 2" xfId="47108" xr:uid="{00000000-0005-0000-0000-000034B40000}"/>
    <cellStyle name="Normal 7 2 2 2 2 4 4" xfId="28038" xr:uid="{00000000-0005-0000-0000-000035B40000}"/>
    <cellStyle name="Normal 7 2 2 2 2 5" xfId="6204" xr:uid="{00000000-0005-0000-0000-000036B40000}"/>
    <cellStyle name="Normal 7 2 2 2 2 5 2" xfId="15031" xr:uid="{00000000-0005-0000-0000-000037B40000}"/>
    <cellStyle name="Normal 7 2 2 2 2 5 2 2" xfId="40586" xr:uid="{00000000-0005-0000-0000-000038B40000}"/>
    <cellStyle name="Normal 7 2 2 2 2 5 3" xfId="25282" xr:uid="{00000000-0005-0000-0000-000039B40000}"/>
    <cellStyle name="Normal 7 2 2 2 2 5 3 2" xfId="50835" xr:uid="{00000000-0005-0000-0000-00003AB40000}"/>
    <cellStyle name="Normal 7 2 2 2 2 5 4" xfId="31765" xr:uid="{00000000-0005-0000-0000-00003BB40000}"/>
    <cellStyle name="Normal 7 2 2 2 2 6" xfId="7650" xr:uid="{00000000-0005-0000-0000-00003CB40000}"/>
    <cellStyle name="Normal 7 2 2 2 2 6 2" xfId="20037" xr:uid="{00000000-0005-0000-0000-00003DB40000}"/>
    <cellStyle name="Normal 7 2 2 2 2 6 2 2" xfId="45590" xr:uid="{00000000-0005-0000-0000-00003EB40000}"/>
    <cellStyle name="Normal 7 2 2 2 2 6 3" xfId="33207" xr:uid="{00000000-0005-0000-0000-00003FB40000}"/>
    <cellStyle name="Normal 7 2 2 2 2 7" xfId="16548" xr:uid="{00000000-0005-0000-0000-000040B40000}"/>
    <cellStyle name="Normal 7 2 2 2 2 7 2" xfId="42101" xr:uid="{00000000-0005-0000-0000-000041B40000}"/>
    <cellStyle name="Normal 7 2 2 2 2 8" xfId="26520" xr:uid="{00000000-0005-0000-0000-000042B40000}"/>
    <cellStyle name="Normal 7 2 2 2 3" xfId="943" xr:uid="{00000000-0005-0000-0000-000043B40000}"/>
    <cellStyle name="Normal 7 2 2 2 3 2" xfId="3419" xr:uid="{00000000-0005-0000-0000-000044B40000}"/>
    <cellStyle name="Normal 7 2 2 2 3 2 2" xfId="12561" xr:uid="{00000000-0005-0000-0000-000045B40000}"/>
    <cellStyle name="Normal 7 2 2 2 3 2 2 2" xfId="22780" xr:uid="{00000000-0005-0000-0000-000046B40000}"/>
    <cellStyle name="Normal 7 2 2 2 3 2 2 2 2" xfId="48333" xr:uid="{00000000-0005-0000-0000-000047B40000}"/>
    <cellStyle name="Normal 7 2 2 2 3 2 2 3" xfId="38116" xr:uid="{00000000-0005-0000-0000-000048B40000}"/>
    <cellStyle name="Normal 7 2 2 2 3 2 3" xfId="8983" xr:uid="{00000000-0005-0000-0000-000049B40000}"/>
    <cellStyle name="Normal 7 2 2 2 3 2 3 2" xfId="34540" xr:uid="{00000000-0005-0000-0000-00004AB40000}"/>
    <cellStyle name="Normal 7 2 2 2 3 2 4" xfId="17773" xr:uid="{00000000-0005-0000-0000-00004BB40000}"/>
    <cellStyle name="Normal 7 2 2 2 3 2 4 2" xfId="43326" xr:uid="{00000000-0005-0000-0000-00004CB40000}"/>
    <cellStyle name="Normal 7 2 2 2 3 2 5" xfId="29263" xr:uid="{00000000-0005-0000-0000-00004DB40000}"/>
    <cellStyle name="Normal 7 2 2 2 3 3" xfId="5097" xr:uid="{00000000-0005-0000-0000-00004EB40000}"/>
    <cellStyle name="Normal 7 2 2 2 3 3 2" xfId="13934" xr:uid="{00000000-0005-0000-0000-00004FB40000}"/>
    <cellStyle name="Normal 7 2 2 2 3 3 2 2" xfId="24185" xr:uid="{00000000-0005-0000-0000-000050B40000}"/>
    <cellStyle name="Normal 7 2 2 2 3 3 2 2 2" xfId="49738" xr:uid="{00000000-0005-0000-0000-000051B40000}"/>
    <cellStyle name="Normal 7 2 2 2 3 3 2 3" xfId="39489" xr:uid="{00000000-0005-0000-0000-000052B40000}"/>
    <cellStyle name="Normal 7 2 2 2 3 3 3" xfId="10355" xr:uid="{00000000-0005-0000-0000-000053B40000}"/>
    <cellStyle name="Normal 7 2 2 2 3 3 3 2" xfId="35912" xr:uid="{00000000-0005-0000-0000-000054B40000}"/>
    <cellStyle name="Normal 7 2 2 2 3 3 4" xfId="19178" xr:uid="{00000000-0005-0000-0000-000055B40000}"/>
    <cellStyle name="Normal 7 2 2 2 3 3 4 2" xfId="44731" xr:uid="{00000000-0005-0000-0000-000056B40000}"/>
    <cellStyle name="Normal 7 2 2 2 3 3 5" xfId="30668" xr:uid="{00000000-0005-0000-0000-000057B40000}"/>
    <cellStyle name="Normal 7 2 2 2 3 4" xfId="2528" xr:uid="{00000000-0005-0000-0000-000058B40000}"/>
    <cellStyle name="Normal 7 2 2 2 3 4 2" xfId="11893" xr:uid="{00000000-0005-0000-0000-000059B40000}"/>
    <cellStyle name="Normal 7 2 2 2 3 4 2 2" xfId="37448" xr:uid="{00000000-0005-0000-0000-00005AB40000}"/>
    <cellStyle name="Normal 7 2 2 2 3 4 3" xfId="21897" xr:uid="{00000000-0005-0000-0000-00005BB40000}"/>
    <cellStyle name="Normal 7 2 2 2 3 4 3 2" xfId="47450" xr:uid="{00000000-0005-0000-0000-00005CB40000}"/>
    <cellStyle name="Normal 7 2 2 2 3 4 4" xfId="28380" xr:uid="{00000000-0005-0000-0000-00005DB40000}"/>
    <cellStyle name="Normal 7 2 2 2 3 5" xfId="6552" xr:uid="{00000000-0005-0000-0000-00005EB40000}"/>
    <cellStyle name="Normal 7 2 2 2 3 5 2" xfId="15379" xr:uid="{00000000-0005-0000-0000-00005FB40000}"/>
    <cellStyle name="Normal 7 2 2 2 3 5 2 2" xfId="40934" xr:uid="{00000000-0005-0000-0000-000060B40000}"/>
    <cellStyle name="Normal 7 2 2 2 3 5 3" xfId="25630" xr:uid="{00000000-0005-0000-0000-000061B40000}"/>
    <cellStyle name="Normal 7 2 2 2 3 5 3 2" xfId="51183" xr:uid="{00000000-0005-0000-0000-000062B40000}"/>
    <cellStyle name="Normal 7 2 2 2 3 5 4" xfId="32113" xr:uid="{00000000-0005-0000-0000-000063B40000}"/>
    <cellStyle name="Normal 7 2 2 2 3 6" xfId="7998" xr:uid="{00000000-0005-0000-0000-000064B40000}"/>
    <cellStyle name="Normal 7 2 2 2 3 6 2" xfId="20379" xr:uid="{00000000-0005-0000-0000-000065B40000}"/>
    <cellStyle name="Normal 7 2 2 2 3 6 2 2" xfId="45932" xr:uid="{00000000-0005-0000-0000-000066B40000}"/>
    <cellStyle name="Normal 7 2 2 2 3 6 3" xfId="33555" xr:uid="{00000000-0005-0000-0000-000067B40000}"/>
    <cellStyle name="Normal 7 2 2 2 3 7" xfId="16890" xr:uid="{00000000-0005-0000-0000-000068B40000}"/>
    <cellStyle name="Normal 7 2 2 2 3 7 2" xfId="42443" xr:uid="{00000000-0005-0000-0000-000069B40000}"/>
    <cellStyle name="Normal 7 2 2 2 3 8" xfId="26862" xr:uid="{00000000-0005-0000-0000-00006AB40000}"/>
    <cellStyle name="Normal 7 2 2 2 4" xfId="1363" xr:uid="{00000000-0005-0000-0000-00006BB40000}"/>
    <cellStyle name="Normal 7 2 2 2 4 2" xfId="3792" xr:uid="{00000000-0005-0000-0000-00006CB40000}"/>
    <cellStyle name="Normal 7 2 2 2 4 2 2" xfId="12928" xr:uid="{00000000-0005-0000-0000-00006DB40000}"/>
    <cellStyle name="Normal 7 2 2 2 4 2 2 2" xfId="23147" xr:uid="{00000000-0005-0000-0000-00006EB40000}"/>
    <cellStyle name="Normal 7 2 2 2 4 2 2 2 2" xfId="48700" xr:uid="{00000000-0005-0000-0000-00006FB40000}"/>
    <cellStyle name="Normal 7 2 2 2 4 2 2 3" xfId="38483" xr:uid="{00000000-0005-0000-0000-000070B40000}"/>
    <cellStyle name="Normal 7 2 2 2 4 2 3" xfId="9349" xr:uid="{00000000-0005-0000-0000-000071B40000}"/>
    <cellStyle name="Normal 7 2 2 2 4 2 3 2" xfId="34906" xr:uid="{00000000-0005-0000-0000-000072B40000}"/>
    <cellStyle name="Normal 7 2 2 2 4 2 4" xfId="18140" xr:uid="{00000000-0005-0000-0000-000073B40000}"/>
    <cellStyle name="Normal 7 2 2 2 4 2 4 2" xfId="43693" xr:uid="{00000000-0005-0000-0000-000074B40000}"/>
    <cellStyle name="Normal 7 2 2 2 4 2 5" xfId="29630" xr:uid="{00000000-0005-0000-0000-000075B40000}"/>
    <cellStyle name="Normal 7 2 2 2 4 3" xfId="5455" xr:uid="{00000000-0005-0000-0000-000076B40000}"/>
    <cellStyle name="Normal 7 2 2 2 4 3 2" xfId="14292" xr:uid="{00000000-0005-0000-0000-000077B40000}"/>
    <cellStyle name="Normal 7 2 2 2 4 3 2 2" xfId="24543" xr:uid="{00000000-0005-0000-0000-000078B40000}"/>
    <cellStyle name="Normal 7 2 2 2 4 3 2 2 2" xfId="50096" xr:uid="{00000000-0005-0000-0000-000079B40000}"/>
    <cellStyle name="Normal 7 2 2 2 4 3 2 3" xfId="39847" xr:uid="{00000000-0005-0000-0000-00007AB40000}"/>
    <cellStyle name="Normal 7 2 2 2 4 3 3" xfId="10713" xr:uid="{00000000-0005-0000-0000-00007BB40000}"/>
    <cellStyle name="Normal 7 2 2 2 4 3 3 2" xfId="36270" xr:uid="{00000000-0005-0000-0000-00007CB40000}"/>
    <cellStyle name="Normal 7 2 2 2 4 3 4" xfId="19536" xr:uid="{00000000-0005-0000-0000-00007DB40000}"/>
    <cellStyle name="Normal 7 2 2 2 4 3 4 2" xfId="45089" xr:uid="{00000000-0005-0000-0000-00007EB40000}"/>
    <cellStyle name="Normal 7 2 2 2 4 3 5" xfId="31026" xr:uid="{00000000-0005-0000-0000-00007FB40000}"/>
    <cellStyle name="Normal 7 2 2 2 4 4" xfId="1866" xr:uid="{00000000-0005-0000-0000-000080B40000}"/>
    <cellStyle name="Normal 7 2 2 2 4 4 2" xfId="11234" xr:uid="{00000000-0005-0000-0000-000081B40000}"/>
    <cellStyle name="Normal 7 2 2 2 4 4 2 2" xfId="36789" xr:uid="{00000000-0005-0000-0000-000082B40000}"/>
    <cellStyle name="Normal 7 2 2 2 4 4 3" xfId="21238" xr:uid="{00000000-0005-0000-0000-000083B40000}"/>
    <cellStyle name="Normal 7 2 2 2 4 4 3 2" xfId="46791" xr:uid="{00000000-0005-0000-0000-000084B40000}"/>
    <cellStyle name="Normal 7 2 2 2 4 4 4" xfId="27721" xr:uid="{00000000-0005-0000-0000-000085B40000}"/>
    <cellStyle name="Normal 7 2 2 2 4 5" xfId="6910" xr:uid="{00000000-0005-0000-0000-000086B40000}"/>
    <cellStyle name="Normal 7 2 2 2 4 5 2" xfId="15737" xr:uid="{00000000-0005-0000-0000-000087B40000}"/>
    <cellStyle name="Normal 7 2 2 2 4 5 2 2" xfId="41292" xr:uid="{00000000-0005-0000-0000-000088B40000}"/>
    <cellStyle name="Normal 7 2 2 2 4 5 3" xfId="25988" xr:uid="{00000000-0005-0000-0000-000089B40000}"/>
    <cellStyle name="Normal 7 2 2 2 4 5 3 2" xfId="51541" xr:uid="{00000000-0005-0000-0000-00008AB40000}"/>
    <cellStyle name="Normal 7 2 2 2 4 5 4" xfId="32471" xr:uid="{00000000-0005-0000-0000-00008BB40000}"/>
    <cellStyle name="Normal 7 2 2 2 4 6" xfId="8356" xr:uid="{00000000-0005-0000-0000-00008CB40000}"/>
    <cellStyle name="Normal 7 2 2 2 4 6 2" xfId="20746" xr:uid="{00000000-0005-0000-0000-00008DB40000}"/>
    <cellStyle name="Normal 7 2 2 2 4 6 2 2" xfId="46299" xr:uid="{00000000-0005-0000-0000-00008EB40000}"/>
    <cellStyle name="Normal 7 2 2 2 4 6 3" xfId="33913" xr:uid="{00000000-0005-0000-0000-00008FB40000}"/>
    <cellStyle name="Normal 7 2 2 2 4 7" xfId="16231" xr:uid="{00000000-0005-0000-0000-000090B40000}"/>
    <cellStyle name="Normal 7 2 2 2 4 7 2" xfId="41784" xr:uid="{00000000-0005-0000-0000-000091B40000}"/>
    <cellStyle name="Normal 7 2 2 2 4 8" xfId="27229" xr:uid="{00000000-0005-0000-0000-000092B40000}"/>
    <cellStyle name="Normal 7 2 2 2 5" xfId="2760" xr:uid="{00000000-0005-0000-0000-000093B40000}"/>
    <cellStyle name="Normal 7 2 2 2 5 2" xfId="12077" xr:uid="{00000000-0005-0000-0000-000094B40000}"/>
    <cellStyle name="Normal 7 2 2 2 5 2 2" xfId="22121" xr:uid="{00000000-0005-0000-0000-000095B40000}"/>
    <cellStyle name="Normal 7 2 2 2 5 2 2 2" xfId="47674" xr:uid="{00000000-0005-0000-0000-000096B40000}"/>
    <cellStyle name="Normal 7 2 2 2 5 2 3" xfId="37632" xr:uid="{00000000-0005-0000-0000-000097B40000}"/>
    <cellStyle name="Normal 7 2 2 2 5 3" xfId="8639" xr:uid="{00000000-0005-0000-0000-000098B40000}"/>
    <cellStyle name="Normal 7 2 2 2 5 3 2" xfId="34196" xr:uid="{00000000-0005-0000-0000-000099B40000}"/>
    <cellStyle name="Normal 7 2 2 2 5 4" xfId="17114" xr:uid="{00000000-0005-0000-0000-00009AB40000}"/>
    <cellStyle name="Normal 7 2 2 2 5 4 2" xfId="42667" xr:uid="{00000000-0005-0000-0000-00009BB40000}"/>
    <cellStyle name="Normal 7 2 2 2 5 5" xfId="28604" xr:uid="{00000000-0005-0000-0000-00009CB40000}"/>
    <cellStyle name="Normal 7 2 2 2 6" xfId="4411" xr:uid="{00000000-0005-0000-0000-00009DB40000}"/>
    <cellStyle name="Normal 7 2 2 2 6 2" xfId="13249" xr:uid="{00000000-0005-0000-0000-00009EB40000}"/>
    <cellStyle name="Normal 7 2 2 2 6 2 2" xfId="23500" xr:uid="{00000000-0005-0000-0000-00009FB40000}"/>
    <cellStyle name="Normal 7 2 2 2 6 2 2 2" xfId="49053" xr:uid="{00000000-0005-0000-0000-0000A0B40000}"/>
    <cellStyle name="Normal 7 2 2 2 6 2 3" xfId="38804" xr:uid="{00000000-0005-0000-0000-0000A1B40000}"/>
    <cellStyle name="Normal 7 2 2 2 6 3" xfId="9670" xr:uid="{00000000-0005-0000-0000-0000A2B40000}"/>
    <cellStyle name="Normal 7 2 2 2 6 3 2" xfId="35227" xr:uid="{00000000-0005-0000-0000-0000A3B40000}"/>
    <cellStyle name="Normal 7 2 2 2 6 4" xfId="18493" xr:uid="{00000000-0005-0000-0000-0000A4B40000}"/>
    <cellStyle name="Normal 7 2 2 2 6 4 2" xfId="44046" xr:uid="{00000000-0005-0000-0000-0000A5B40000}"/>
    <cellStyle name="Normal 7 2 2 2 6 5" xfId="29983" xr:uid="{00000000-0005-0000-0000-0000A6B40000}"/>
    <cellStyle name="Normal 7 2 2 2 7" xfId="1683" xr:uid="{00000000-0005-0000-0000-0000A7B40000}"/>
    <cellStyle name="Normal 7 2 2 2 7 2" xfId="11060" xr:uid="{00000000-0005-0000-0000-0000A8B40000}"/>
    <cellStyle name="Normal 7 2 2 2 7 2 2" xfId="36615" xr:uid="{00000000-0005-0000-0000-0000A9B40000}"/>
    <cellStyle name="Normal 7 2 2 2 7 3" xfId="21064" xr:uid="{00000000-0005-0000-0000-0000AAB40000}"/>
    <cellStyle name="Normal 7 2 2 2 7 3 2" xfId="46617" xr:uid="{00000000-0005-0000-0000-0000ABB40000}"/>
    <cellStyle name="Normal 7 2 2 2 7 4" xfId="27547" xr:uid="{00000000-0005-0000-0000-0000ACB40000}"/>
    <cellStyle name="Normal 7 2 2 2 8" xfId="5867" xr:uid="{00000000-0005-0000-0000-0000ADB40000}"/>
    <cellStyle name="Normal 7 2 2 2 8 2" xfId="14694" xr:uid="{00000000-0005-0000-0000-0000AEB40000}"/>
    <cellStyle name="Normal 7 2 2 2 8 2 2" xfId="40249" xr:uid="{00000000-0005-0000-0000-0000AFB40000}"/>
    <cellStyle name="Normal 7 2 2 2 8 3" xfId="24945" xr:uid="{00000000-0005-0000-0000-0000B0B40000}"/>
    <cellStyle name="Normal 7 2 2 2 8 3 2" xfId="50498" xr:uid="{00000000-0005-0000-0000-0000B1B40000}"/>
    <cellStyle name="Normal 7 2 2 2 8 4" xfId="31428" xr:uid="{00000000-0005-0000-0000-0000B2B40000}"/>
    <cellStyle name="Normal 7 2 2 2 9" xfId="7311" xr:uid="{00000000-0005-0000-0000-0000B3B40000}"/>
    <cellStyle name="Normal 7 2 2 2 9 2" xfId="19720" xr:uid="{00000000-0005-0000-0000-0000B4B40000}"/>
    <cellStyle name="Normal 7 2 2 2 9 2 2" xfId="45273" xr:uid="{00000000-0005-0000-0000-0000B5B40000}"/>
    <cellStyle name="Normal 7 2 2 2 9 3" xfId="32868" xr:uid="{00000000-0005-0000-0000-0000B6B40000}"/>
    <cellStyle name="Normal 7 2 2 2_Degree data" xfId="4049" xr:uid="{00000000-0005-0000-0000-0000B7B40000}"/>
    <cellStyle name="Normal 7 2 2 3" xfId="487" xr:uid="{00000000-0005-0000-0000-0000B8B40000}"/>
    <cellStyle name="Normal 7 2 2 3 10" xfId="26416" xr:uid="{00000000-0005-0000-0000-0000B9B40000}"/>
    <cellStyle name="Normal 7 2 2 3 2" xfId="944" xr:uid="{00000000-0005-0000-0000-0000BAB40000}"/>
    <cellStyle name="Normal 7 2 2 3 2 2" xfId="3420" xr:uid="{00000000-0005-0000-0000-0000BBB40000}"/>
    <cellStyle name="Normal 7 2 2 3 2 2 2" xfId="12562" xr:uid="{00000000-0005-0000-0000-0000BCB40000}"/>
    <cellStyle name="Normal 7 2 2 3 2 2 2 2" xfId="22781" xr:uid="{00000000-0005-0000-0000-0000BDB40000}"/>
    <cellStyle name="Normal 7 2 2 3 2 2 2 2 2" xfId="48334" xr:uid="{00000000-0005-0000-0000-0000BEB40000}"/>
    <cellStyle name="Normal 7 2 2 3 2 2 2 3" xfId="38117" xr:uid="{00000000-0005-0000-0000-0000BFB40000}"/>
    <cellStyle name="Normal 7 2 2 3 2 2 3" xfId="8984" xr:uid="{00000000-0005-0000-0000-0000C0B40000}"/>
    <cellStyle name="Normal 7 2 2 3 2 2 3 2" xfId="34541" xr:uid="{00000000-0005-0000-0000-0000C1B40000}"/>
    <cellStyle name="Normal 7 2 2 3 2 2 4" xfId="17774" xr:uid="{00000000-0005-0000-0000-0000C2B40000}"/>
    <cellStyle name="Normal 7 2 2 3 2 2 4 2" xfId="43327" xr:uid="{00000000-0005-0000-0000-0000C3B40000}"/>
    <cellStyle name="Normal 7 2 2 3 2 2 5" xfId="29264" xr:uid="{00000000-0005-0000-0000-0000C4B40000}"/>
    <cellStyle name="Normal 7 2 2 3 2 3" xfId="4750" xr:uid="{00000000-0005-0000-0000-0000C5B40000}"/>
    <cellStyle name="Normal 7 2 2 3 2 3 2" xfId="13587" xr:uid="{00000000-0005-0000-0000-0000C6B40000}"/>
    <cellStyle name="Normal 7 2 2 3 2 3 2 2" xfId="23838" xr:uid="{00000000-0005-0000-0000-0000C7B40000}"/>
    <cellStyle name="Normal 7 2 2 3 2 3 2 2 2" xfId="49391" xr:uid="{00000000-0005-0000-0000-0000C8B40000}"/>
    <cellStyle name="Normal 7 2 2 3 2 3 2 3" xfId="39142" xr:uid="{00000000-0005-0000-0000-0000C9B40000}"/>
    <cellStyle name="Normal 7 2 2 3 2 3 3" xfId="10008" xr:uid="{00000000-0005-0000-0000-0000CAB40000}"/>
    <cellStyle name="Normal 7 2 2 3 2 3 3 2" xfId="35565" xr:uid="{00000000-0005-0000-0000-0000CBB40000}"/>
    <cellStyle name="Normal 7 2 2 3 2 3 4" xfId="18831" xr:uid="{00000000-0005-0000-0000-0000CCB40000}"/>
    <cellStyle name="Normal 7 2 2 3 2 3 4 2" xfId="44384" xr:uid="{00000000-0005-0000-0000-0000CDB40000}"/>
    <cellStyle name="Normal 7 2 2 3 2 3 5" xfId="30321" xr:uid="{00000000-0005-0000-0000-0000CEB40000}"/>
    <cellStyle name="Normal 7 2 2 3 2 4" xfId="2529" xr:uid="{00000000-0005-0000-0000-0000CFB40000}"/>
    <cellStyle name="Normal 7 2 2 3 2 4 2" xfId="11894" xr:uid="{00000000-0005-0000-0000-0000D0B40000}"/>
    <cellStyle name="Normal 7 2 2 3 2 4 2 2" xfId="37449" xr:uid="{00000000-0005-0000-0000-0000D1B40000}"/>
    <cellStyle name="Normal 7 2 2 3 2 4 3" xfId="21898" xr:uid="{00000000-0005-0000-0000-0000D2B40000}"/>
    <cellStyle name="Normal 7 2 2 3 2 4 3 2" xfId="47451" xr:uid="{00000000-0005-0000-0000-0000D3B40000}"/>
    <cellStyle name="Normal 7 2 2 3 2 4 4" xfId="28381" xr:uid="{00000000-0005-0000-0000-0000D4B40000}"/>
    <cellStyle name="Normal 7 2 2 3 2 5" xfId="6205" xr:uid="{00000000-0005-0000-0000-0000D5B40000}"/>
    <cellStyle name="Normal 7 2 2 3 2 5 2" xfId="15032" xr:uid="{00000000-0005-0000-0000-0000D6B40000}"/>
    <cellStyle name="Normal 7 2 2 3 2 5 2 2" xfId="40587" xr:uid="{00000000-0005-0000-0000-0000D7B40000}"/>
    <cellStyle name="Normal 7 2 2 3 2 5 3" xfId="25283" xr:uid="{00000000-0005-0000-0000-0000D8B40000}"/>
    <cellStyle name="Normal 7 2 2 3 2 5 3 2" xfId="50836" xr:uid="{00000000-0005-0000-0000-0000D9B40000}"/>
    <cellStyle name="Normal 7 2 2 3 2 5 4" xfId="31766" xr:uid="{00000000-0005-0000-0000-0000DAB40000}"/>
    <cellStyle name="Normal 7 2 2 3 2 6" xfId="7651" xr:uid="{00000000-0005-0000-0000-0000DBB40000}"/>
    <cellStyle name="Normal 7 2 2 3 2 6 2" xfId="20380" xr:uid="{00000000-0005-0000-0000-0000DCB40000}"/>
    <cellStyle name="Normal 7 2 2 3 2 6 2 2" xfId="45933" xr:uid="{00000000-0005-0000-0000-0000DDB40000}"/>
    <cellStyle name="Normal 7 2 2 3 2 6 3" xfId="33208" xr:uid="{00000000-0005-0000-0000-0000DEB40000}"/>
    <cellStyle name="Normal 7 2 2 3 2 7" xfId="16891" xr:uid="{00000000-0005-0000-0000-0000DFB40000}"/>
    <cellStyle name="Normal 7 2 2 3 2 7 2" xfId="42444" xr:uid="{00000000-0005-0000-0000-0000E0B40000}"/>
    <cellStyle name="Normal 7 2 2 3 2 8" xfId="26863" xr:uid="{00000000-0005-0000-0000-0000E1B40000}"/>
    <cellStyle name="Normal 7 2 2 3 3" xfId="1259" xr:uid="{00000000-0005-0000-0000-0000E2B40000}"/>
    <cellStyle name="Normal 7 2 2 3 3 2" xfId="3688" xr:uid="{00000000-0005-0000-0000-0000E3B40000}"/>
    <cellStyle name="Normal 7 2 2 3 3 2 2" xfId="12824" xr:uid="{00000000-0005-0000-0000-0000E4B40000}"/>
    <cellStyle name="Normal 7 2 2 3 3 2 2 2" xfId="23043" xr:uid="{00000000-0005-0000-0000-0000E5B40000}"/>
    <cellStyle name="Normal 7 2 2 3 3 2 2 2 2" xfId="48596" xr:uid="{00000000-0005-0000-0000-0000E6B40000}"/>
    <cellStyle name="Normal 7 2 2 3 3 2 2 3" xfId="38379" xr:uid="{00000000-0005-0000-0000-0000E7B40000}"/>
    <cellStyle name="Normal 7 2 2 3 3 2 3" xfId="9245" xr:uid="{00000000-0005-0000-0000-0000E8B40000}"/>
    <cellStyle name="Normal 7 2 2 3 3 2 3 2" xfId="34802" xr:uid="{00000000-0005-0000-0000-0000E9B40000}"/>
    <cellStyle name="Normal 7 2 2 3 3 2 4" xfId="18036" xr:uid="{00000000-0005-0000-0000-0000EAB40000}"/>
    <cellStyle name="Normal 7 2 2 3 3 2 4 2" xfId="43589" xr:uid="{00000000-0005-0000-0000-0000EBB40000}"/>
    <cellStyle name="Normal 7 2 2 3 3 2 5" xfId="29526" xr:uid="{00000000-0005-0000-0000-0000ECB40000}"/>
    <cellStyle name="Normal 7 2 2 3 3 3" xfId="5098" xr:uid="{00000000-0005-0000-0000-0000EDB40000}"/>
    <cellStyle name="Normal 7 2 2 3 3 3 2" xfId="13935" xr:uid="{00000000-0005-0000-0000-0000EEB40000}"/>
    <cellStyle name="Normal 7 2 2 3 3 3 2 2" xfId="24186" xr:uid="{00000000-0005-0000-0000-0000EFB40000}"/>
    <cellStyle name="Normal 7 2 2 3 3 3 2 2 2" xfId="49739" xr:uid="{00000000-0005-0000-0000-0000F0B40000}"/>
    <cellStyle name="Normal 7 2 2 3 3 3 2 3" xfId="39490" xr:uid="{00000000-0005-0000-0000-0000F1B40000}"/>
    <cellStyle name="Normal 7 2 2 3 3 3 3" xfId="10356" xr:uid="{00000000-0005-0000-0000-0000F2B40000}"/>
    <cellStyle name="Normal 7 2 2 3 3 3 3 2" xfId="35913" xr:uid="{00000000-0005-0000-0000-0000F3B40000}"/>
    <cellStyle name="Normal 7 2 2 3 3 3 4" xfId="19179" xr:uid="{00000000-0005-0000-0000-0000F4B40000}"/>
    <cellStyle name="Normal 7 2 2 3 3 3 4 2" xfId="44732" xr:uid="{00000000-0005-0000-0000-0000F5B40000}"/>
    <cellStyle name="Normal 7 2 2 3 3 3 5" xfId="30669" xr:uid="{00000000-0005-0000-0000-0000F6B40000}"/>
    <cellStyle name="Normal 7 2 2 3 3 4" xfId="2082" xr:uid="{00000000-0005-0000-0000-0000F7B40000}"/>
    <cellStyle name="Normal 7 2 2 3 3 4 2" xfId="11447" xr:uid="{00000000-0005-0000-0000-0000F8B40000}"/>
    <cellStyle name="Normal 7 2 2 3 3 4 2 2" xfId="37002" xr:uid="{00000000-0005-0000-0000-0000F9B40000}"/>
    <cellStyle name="Normal 7 2 2 3 3 4 3" xfId="21451" xr:uid="{00000000-0005-0000-0000-0000FAB40000}"/>
    <cellStyle name="Normal 7 2 2 3 3 4 3 2" xfId="47004" xr:uid="{00000000-0005-0000-0000-0000FBB40000}"/>
    <cellStyle name="Normal 7 2 2 3 3 4 4" xfId="27934" xr:uid="{00000000-0005-0000-0000-0000FCB40000}"/>
    <cellStyle name="Normal 7 2 2 3 3 5" xfId="6553" xr:uid="{00000000-0005-0000-0000-0000FDB40000}"/>
    <cellStyle name="Normal 7 2 2 3 3 5 2" xfId="15380" xr:uid="{00000000-0005-0000-0000-0000FEB40000}"/>
    <cellStyle name="Normal 7 2 2 3 3 5 2 2" xfId="40935" xr:uid="{00000000-0005-0000-0000-0000FFB40000}"/>
    <cellStyle name="Normal 7 2 2 3 3 5 3" xfId="25631" xr:uid="{00000000-0005-0000-0000-000000B50000}"/>
    <cellStyle name="Normal 7 2 2 3 3 5 3 2" xfId="51184" xr:uid="{00000000-0005-0000-0000-000001B50000}"/>
    <cellStyle name="Normal 7 2 2 3 3 5 4" xfId="32114" xr:uid="{00000000-0005-0000-0000-000002B50000}"/>
    <cellStyle name="Normal 7 2 2 3 3 6" xfId="7999" xr:uid="{00000000-0005-0000-0000-000003B50000}"/>
    <cellStyle name="Normal 7 2 2 3 3 6 2" xfId="20642" xr:uid="{00000000-0005-0000-0000-000004B50000}"/>
    <cellStyle name="Normal 7 2 2 3 3 6 2 2" xfId="46195" xr:uid="{00000000-0005-0000-0000-000005B50000}"/>
    <cellStyle name="Normal 7 2 2 3 3 6 3" xfId="33556" xr:uid="{00000000-0005-0000-0000-000006B50000}"/>
    <cellStyle name="Normal 7 2 2 3 3 7" xfId="16444" xr:uid="{00000000-0005-0000-0000-000007B50000}"/>
    <cellStyle name="Normal 7 2 2 3 3 7 2" xfId="41997" xr:uid="{00000000-0005-0000-0000-000008B50000}"/>
    <cellStyle name="Normal 7 2 2 3 3 8" xfId="27125" xr:uid="{00000000-0005-0000-0000-000009B50000}"/>
    <cellStyle name="Normal 7 2 2 3 4" xfId="2973" xr:uid="{00000000-0005-0000-0000-00000AB50000}"/>
    <cellStyle name="Normal 7 2 2 3 4 2" xfId="5351" xr:uid="{00000000-0005-0000-0000-00000BB50000}"/>
    <cellStyle name="Normal 7 2 2 3 4 2 2" xfId="14188" xr:uid="{00000000-0005-0000-0000-00000CB50000}"/>
    <cellStyle name="Normal 7 2 2 3 4 2 2 2" xfId="24439" xr:uid="{00000000-0005-0000-0000-00000DB50000}"/>
    <cellStyle name="Normal 7 2 2 3 4 2 2 2 2" xfId="49992" xr:uid="{00000000-0005-0000-0000-00000EB50000}"/>
    <cellStyle name="Normal 7 2 2 3 4 2 2 3" xfId="39743" xr:uid="{00000000-0005-0000-0000-00000FB50000}"/>
    <cellStyle name="Normal 7 2 2 3 4 2 3" xfId="10609" xr:uid="{00000000-0005-0000-0000-000010B50000}"/>
    <cellStyle name="Normal 7 2 2 3 4 2 3 2" xfId="36166" xr:uid="{00000000-0005-0000-0000-000011B50000}"/>
    <cellStyle name="Normal 7 2 2 3 4 2 4" xfId="19432" xr:uid="{00000000-0005-0000-0000-000012B50000}"/>
    <cellStyle name="Normal 7 2 2 3 4 2 4 2" xfId="44985" xr:uid="{00000000-0005-0000-0000-000013B50000}"/>
    <cellStyle name="Normal 7 2 2 3 4 2 5" xfId="30922" xr:uid="{00000000-0005-0000-0000-000014B50000}"/>
    <cellStyle name="Normal 7 2 2 3 4 3" xfId="6806" xr:uid="{00000000-0005-0000-0000-000015B50000}"/>
    <cellStyle name="Normal 7 2 2 3 4 3 2" xfId="15633" xr:uid="{00000000-0005-0000-0000-000016B50000}"/>
    <cellStyle name="Normal 7 2 2 3 4 3 2 2" xfId="41188" xr:uid="{00000000-0005-0000-0000-000017B50000}"/>
    <cellStyle name="Normal 7 2 2 3 4 3 3" xfId="25884" xr:uid="{00000000-0005-0000-0000-000018B50000}"/>
    <cellStyle name="Normal 7 2 2 3 4 3 3 2" xfId="51437" xr:uid="{00000000-0005-0000-0000-000019B50000}"/>
    <cellStyle name="Normal 7 2 2 3 4 3 4" xfId="32367" xr:uid="{00000000-0005-0000-0000-00001AB50000}"/>
    <cellStyle name="Normal 7 2 2 3 4 4" xfId="8252" xr:uid="{00000000-0005-0000-0000-00001BB50000}"/>
    <cellStyle name="Normal 7 2 2 3 4 4 2" xfId="22334" xr:uid="{00000000-0005-0000-0000-00001CB50000}"/>
    <cellStyle name="Normal 7 2 2 3 4 4 2 2" xfId="47887" xr:uid="{00000000-0005-0000-0000-00001DB50000}"/>
    <cellStyle name="Normal 7 2 2 3 4 4 3" xfId="33809" xr:uid="{00000000-0005-0000-0000-00001EB50000}"/>
    <cellStyle name="Normal 7 2 2 3 4 5" xfId="17327" xr:uid="{00000000-0005-0000-0000-00001FB50000}"/>
    <cellStyle name="Normal 7 2 2 3 4 5 2" xfId="42880" xr:uid="{00000000-0005-0000-0000-000020B50000}"/>
    <cellStyle name="Normal 7 2 2 3 4 6" xfId="28817" xr:uid="{00000000-0005-0000-0000-000021B50000}"/>
    <cellStyle name="Normal 7 2 2 3 5" xfId="4307" xr:uid="{00000000-0005-0000-0000-000022B50000}"/>
    <cellStyle name="Normal 7 2 2 3 5 2" xfId="13145" xr:uid="{00000000-0005-0000-0000-000023B50000}"/>
    <cellStyle name="Normal 7 2 2 3 5 2 2" xfId="23396" xr:uid="{00000000-0005-0000-0000-000024B50000}"/>
    <cellStyle name="Normal 7 2 2 3 5 2 2 2" xfId="48949" xr:uid="{00000000-0005-0000-0000-000025B50000}"/>
    <cellStyle name="Normal 7 2 2 3 5 2 3" xfId="38700" xr:uid="{00000000-0005-0000-0000-000026B50000}"/>
    <cellStyle name="Normal 7 2 2 3 5 3" xfId="9566" xr:uid="{00000000-0005-0000-0000-000027B50000}"/>
    <cellStyle name="Normal 7 2 2 3 5 3 2" xfId="35123" xr:uid="{00000000-0005-0000-0000-000028B50000}"/>
    <cellStyle name="Normal 7 2 2 3 5 4" xfId="18389" xr:uid="{00000000-0005-0000-0000-000029B50000}"/>
    <cellStyle name="Normal 7 2 2 3 5 4 2" xfId="43942" xr:uid="{00000000-0005-0000-0000-00002AB50000}"/>
    <cellStyle name="Normal 7 2 2 3 5 5" xfId="29879" xr:uid="{00000000-0005-0000-0000-00002BB50000}"/>
    <cellStyle name="Normal 7 2 2 3 6" xfId="1579" xr:uid="{00000000-0005-0000-0000-00002CB50000}"/>
    <cellStyle name="Normal 7 2 2 3 6 2" xfId="10956" xr:uid="{00000000-0005-0000-0000-00002DB50000}"/>
    <cellStyle name="Normal 7 2 2 3 6 2 2" xfId="36511" xr:uid="{00000000-0005-0000-0000-00002EB50000}"/>
    <cellStyle name="Normal 7 2 2 3 6 3" xfId="20960" xr:uid="{00000000-0005-0000-0000-00002FB50000}"/>
    <cellStyle name="Normal 7 2 2 3 6 3 2" xfId="46513" xr:uid="{00000000-0005-0000-0000-000030B50000}"/>
    <cellStyle name="Normal 7 2 2 3 6 4" xfId="27443" xr:uid="{00000000-0005-0000-0000-000031B50000}"/>
    <cellStyle name="Normal 7 2 2 3 7" xfId="5763" xr:uid="{00000000-0005-0000-0000-000032B50000}"/>
    <cellStyle name="Normal 7 2 2 3 7 2" xfId="14590" xr:uid="{00000000-0005-0000-0000-000033B50000}"/>
    <cellStyle name="Normal 7 2 2 3 7 2 2" xfId="40145" xr:uid="{00000000-0005-0000-0000-000034B50000}"/>
    <cellStyle name="Normal 7 2 2 3 7 3" xfId="24841" xr:uid="{00000000-0005-0000-0000-000035B50000}"/>
    <cellStyle name="Normal 7 2 2 3 7 3 2" xfId="50394" xr:uid="{00000000-0005-0000-0000-000036B50000}"/>
    <cellStyle name="Normal 7 2 2 3 7 4" xfId="31324" xr:uid="{00000000-0005-0000-0000-000037B50000}"/>
    <cellStyle name="Normal 7 2 2 3 8" xfId="7207" xr:uid="{00000000-0005-0000-0000-000038B50000}"/>
    <cellStyle name="Normal 7 2 2 3 8 2" xfId="19933" xr:uid="{00000000-0005-0000-0000-000039B50000}"/>
    <cellStyle name="Normal 7 2 2 3 8 2 2" xfId="45486" xr:uid="{00000000-0005-0000-0000-00003AB50000}"/>
    <cellStyle name="Normal 7 2 2 3 8 3" xfId="32764" xr:uid="{00000000-0005-0000-0000-00003BB50000}"/>
    <cellStyle name="Normal 7 2 2 3 9" xfId="15953" xr:uid="{00000000-0005-0000-0000-00003CB50000}"/>
    <cellStyle name="Normal 7 2 2 3 9 2" xfId="41506" xr:uid="{00000000-0005-0000-0000-00003DB50000}"/>
    <cellStyle name="Normal 7 2 2 3_Degree data" xfId="4050" xr:uid="{00000000-0005-0000-0000-00003EB50000}"/>
    <cellStyle name="Normal 7 2 2 4" xfId="387" xr:uid="{00000000-0005-0000-0000-00003FB50000}"/>
    <cellStyle name="Normal 7 2 2 4 2" xfId="2873" xr:uid="{00000000-0005-0000-0000-000040B50000}"/>
    <cellStyle name="Normal 7 2 2 4 2 2" xfId="12161" xr:uid="{00000000-0005-0000-0000-000041B50000}"/>
    <cellStyle name="Normal 7 2 2 4 2 2 2" xfId="22234" xr:uid="{00000000-0005-0000-0000-000042B50000}"/>
    <cellStyle name="Normal 7 2 2 4 2 2 2 2" xfId="47787" xr:uid="{00000000-0005-0000-0000-000043B50000}"/>
    <cellStyle name="Normal 7 2 2 4 2 2 3" xfId="37716" xr:uid="{00000000-0005-0000-0000-000044B50000}"/>
    <cellStyle name="Normal 7 2 2 4 2 3" xfId="8598" xr:uid="{00000000-0005-0000-0000-000045B50000}"/>
    <cellStyle name="Normal 7 2 2 4 2 3 2" xfId="34155" xr:uid="{00000000-0005-0000-0000-000046B50000}"/>
    <cellStyle name="Normal 7 2 2 4 2 4" xfId="17227" xr:uid="{00000000-0005-0000-0000-000047B50000}"/>
    <cellStyle name="Normal 7 2 2 4 2 4 2" xfId="42780" xr:uid="{00000000-0005-0000-0000-000048B50000}"/>
    <cellStyle name="Normal 7 2 2 4 2 5" xfId="28717" xr:uid="{00000000-0005-0000-0000-000049B50000}"/>
    <cellStyle name="Normal 7 2 2 4 3" xfId="4748" xr:uid="{00000000-0005-0000-0000-00004AB50000}"/>
    <cellStyle name="Normal 7 2 2 4 3 2" xfId="13585" xr:uid="{00000000-0005-0000-0000-00004BB50000}"/>
    <cellStyle name="Normal 7 2 2 4 3 2 2" xfId="23836" xr:uid="{00000000-0005-0000-0000-00004CB50000}"/>
    <cellStyle name="Normal 7 2 2 4 3 2 2 2" xfId="49389" xr:uid="{00000000-0005-0000-0000-00004DB50000}"/>
    <cellStyle name="Normal 7 2 2 4 3 2 3" xfId="39140" xr:uid="{00000000-0005-0000-0000-00004EB50000}"/>
    <cellStyle name="Normal 7 2 2 4 3 3" xfId="10006" xr:uid="{00000000-0005-0000-0000-00004FB50000}"/>
    <cellStyle name="Normal 7 2 2 4 3 3 2" xfId="35563" xr:uid="{00000000-0005-0000-0000-000050B50000}"/>
    <cellStyle name="Normal 7 2 2 4 3 4" xfId="18829" xr:uid="{00000000-0005-0000-0000-000051B50000}"/>
    <cellStyle name="Normal 7 2 2 4 3 4 2" xfId="44382" xr:uid="{00000000-0005-0000-0000-000052B50000}"/>
    <cellStyle name="Normal 7 2 2 4 3 5" xfId="30319" xr:uid="{00000000-0005-0000-0000-000053B50000}"/>
    <cellStyle name="Normal 7 2 2 4 4" xfId="1982" xr:uid="{00000000-0005-0000-0000-000054B50000}"/>
    <cellStyle name="Normal 7 2 2 4 4 2" xfId="11347" xr:uid="{00000000-0005-0000-0000-000055B50000}"/>
    <cellStyle name="Normal 7 2 2 4 4 2 2" xfId="36902" xr:uid="{00000000-0005-0000-0000-000056B50000}"/>
    <cellStyle name="Normal 7 2 2 4 4 3" xfId="21351" xr:uid="{00000000-0005-0000-0000-000057B50000}"/>
    <cellStyle name="Normal 7 2 2 4 4 3 2" xfId="46904" xr:uid="{00000000-0005-0000-0000-000058B50000}"/>
    <cellStyle name="Normal 7 2 2 4 4 4" xfId="27834" xr:uid="{00000000-0005-0000-0000-000059B50000}"/>
    <cellStyle name="Normal 7 2 2 4 5" xfId="6203" xr:uid="{00000000-0005-0000-0000-00005AB50000}"/>
    <cellStyle name="Normal 7 2 2 4 5 2" xfId="15030" xr:uid="{00000000-0005-0000-0000-00005BB50000}"/>
    <cellStyle name="Normal 7 2 2 4 5 2 2" xfId="40585" xr:uid="{00000000-0005-0000-0000-00005CB50000}"/>
    <cellStyle name="Normal 7 2 2 4 5 3" xfId="25281" xr:uid="{00000000-0005-0000-0000-00005DB50000}"/>
    <cellStyle name="Normal 7 2 2 4 5 3 2" xfId="50834" xr:uid="{00000000-0005-0000-0000-00005EB50000}"/>
    <cellStyle name="Normal 7 2 2 4 5 4" xfId="31764" xr:uid="{00000000-0005-0000-0000-00005FB50000}"/>
    <cellStyle name="Normal 7 2 2 4 6" xfId="7649" xr:uid="{00000000-0005-0000-0000-000060B50000}"/>
    <cellStyle name="Normal 7 2 2 4 6 2" xfId="19833" xr:uid="{00000000-0005-0000-0000-000061B50000}"/>
    <cellStyle name="Normal 7 2 2 4 6 2 2" xfId="45386" xr:uid="{00000000-0005-0000-0000-000062B50000}"/>
    <cellStyle name="Normal 7 2 2 4 6 3" xfId="33206" xr:uid="{00000000-0005-0000-0000-000063B50000}"/>
    <cellStyle name="Normal 7 2 2 4 7" xfId="16344" xr:uid="{00000000-0005-0000-0000-000064B50000}"/>
    <cellStyle name="Normal 7 2 2 4 7 2" xfId="41897" xr:uid="{00000000-0005-0000-0000-000065B50000}"/>
    <cellStyle name="Normal 7 2 2 4 8" xfId="26316" xr:uid="{00000000-0005-0000-0000-000066B50000}"/>
    <cellStyle name="Normal 7 2 2 5" xfId="942" xr:uid="{00000000-0005-0000-0000-000067B50000}"/>
    <cellStyle name="Normal 7 2 2 5 2" xfId="3418" xr:uid="{00000000-0005-0000-0000-000068B50000}"/>
    <cellStyle name="Normal 7 2 2 5 2 2" xfId="12560" xr:uid="{00000000-0005-0000-0000-000069B50000}"/>
    <cellStyle name="Normal 7 2 2 5 2 2 2" xfId="22779" xr:uid="{00000000-0005-0000-0000-00006AB50000}"/>
    <cellStyle name="Normal 7 2 2 5 2 2 2 2" xfId="48332" xr:uid="{00000000-0005-0000-0000-00006BB50000}"/>
    <cellStyle name="Normal 7 2 2 5 2 2 3" xfId="38115" xr:uid="{00000000-0005-0000-0000-00006CB50000}"/>
    <cellStyle name="Normal 7 2 2 5 2 3" xfId="8982" xr:uid="{00000000-0005-0000-0000-00006DB50000}"/>
    <cellStyle name="Normal 7 2 2 5 2 3 2" xfId="34539" xr:uid="{00000000-0005-0000-0000-00006EB50000}"/>
    <cellStyle name="Normal 7 2 2 5 2 4" xfId="17772" xr:uid="{00000000-0005-0000-0000-00006FB50000}"/>
    <cellStyle name="Normal 7 2 2 5 2 4 2" xfId="43325" xr:uid="{00000000-0005-0000-0000-000070B50000}"/>
    <cellStyle name="Normal 7 2 2 5 2 5" xfId="29262" xr:uid="{00000000-0005-0000-0000-000071B50000}"/>
    <cellStyle name="Normal 7 2 2 5 3" xfId="5096" xr:uid="{00000000-0005-0000-0000-000072B50000}"/>
    <cellStyle name="Normal 7 2 2 5 3 2" xfId="13933" xr:uid="{00000000-0005-0000-0000-000073B50000}"/>
    <cellStyle name="Normal 7 2 2 5 3 2 2" xfId="24184" xr:uid="{00000000-0005-0000-0000-000074B50000}"/>
    <cellStyle name="Normal 7 2 2 5 3 2 2 2" xfId="49737" xr:uid="{00000000-0005-0000-0000-000075B50000}"/>
    <cellStyle name="Normal 7 2 2 5 3 2 3" xfId="39488" xr:uid="{00000000-0005-0000-0000-000076B50000}"/>
    <cellStyle name="Normal 7 2 2 5 3 3" xfId="10354" xr:uid="{00000000-0005-0000-0000-000077B50000}"/>
    <cellStyle name="Normal 7 2 2 5 3 3 2" xfId="35911" xr:uid="{00000000-0005-0000-0000-000078B50000}"/>
    <cellStyle name="Normal 7 2 2 5 3 4" xfId="19177" xr:uid="{00000000-0005-0000-0000-000079B50000}"/>
    <cellStyle name="Normal 7 2 2 5 3 4 2" xfId="44730" xr:uid="{00000000-0005-0000-0000-00007AB50000}"/>
    <cellStyle name="Normal 7 2 2 5 3 5" xfId="30667" xr:uid="{00000000-0005-0000-0000-00007BB50000}"/>
    <cellStyle name="Normal 7 2 2 5 4" xfId="2527" xr:uid="{00000000-0005-0000-0000-00007CB50000}"/>
    <cellStyle name="Normal 7 2 2 5 4 2" xfId="11892" xr:uid="{00000000-0005-0000-0000-00007DB50000}"/>
    <cellStyle name="Normal 7 2 2 5 4 2 2" xfId="37447" xr:uid="{00000000-0005-0000-0000-00007EB50000}"/>
    <cellStyle name="Normal 7 2 2 5 4 3" xfId="21896" xr:uid="{00000000-0005-0000-0000-00007FB50000}"/>
    <cellStyle name="Normal 7 2 2 5 4 3 2" xfId="47449" xr:uid="{00000000-0005-0000-0000-000080B50000}"/>
    <cellStyle name="Normal 7 2 2 5 4 4" xfId="28379" xr:uid="{00000000-0005-0000-0000-000081B50000}"/>
    <cellStyle name="Normal 7 2 2 5 5" xfId="6551" xr:uid="{00000000-0005-0000-0000-000082B50000}"/>
    <cellStyle name="Normal 7 2 2 5 5 2" xfId="15378" xr:uid="{00000000-0005-0000-0000-000083B50000}"/>
    <cellStyle name="Normal 7 2 2 5 5 2 2" xfId="40933" xr:uid="{00000000-0005-0000-0000-000084B50000}"/>
    <cellStyle name="Normal 7 2 2 5 5 3" xfId="25629" xr:uid="{00000000-0005-0000-0000-000085B50000}"/>
    <cellStyle name="Normal 7 2 2 5 5 3 2" xfId="51182" xr:uid="{00000000-0005-0000-0000-000086B50000}"/>
    <cellStyle name="Normal 7 2 2 5 5 4" xfId="32112" xr:uid="{00000000-0005-0000-0000-000087B50000}"/>
    <cellStyle name="Normal 7 2 2 5 6" xfId="7997" xr:uid="{00000000-0005-0000-0000-000088B50000}"/>
    <cellStyle name="Normal 7 2 2 5 6 2" xfId="20378" xr:uid="{00000000-0005-0000-0000-000089B50000}"/>
    <cellStyle name="Normal 7 2 2 5 6 2 2" xfId="45931" xr:uid="{00000000-0005-0000-0000-00008AB50000}"/>
    <cellStyle name="Normal 7 2 2 5 6 3" xfId="33554" xr:uid="{00000000-0005-0000-0000-00008BB50000}"/>
    <cellStyle name="Normal 7 2 2 5 7" xfId="16889" xr:uid="{00000000-0005-0000-0000-00008CB50000}"/>
    <cellStyle name="Normal 7 2 2 5 7 2" xfId="42442" xr:uid="{00000000-0005-0000-0000-00008DB50000}"/>
    <cellStyle name="Normal 7 2 2 5 8" xfId="26861" xr:uid="{00000000-0005-0000-0000-00008EB50000}"/>
    <cellStyle name="Normal 7 2 2 6" xfId="1159" xr:uid="{00000000-0005-0000-0000-00008FB50000}"/>
    <cellStyle name="Normal 7 2 2 6 2" xfId="3588" xr:uid="{00000000-0005-0000-0000-000090B50000}"/>
    <cellStyle name="Normal 7 2 2 6 2 2" xfId="12724" xr:uid="{00000000-0005-0000-0000-000091B50000}"/>
    <cellStyle name="Normal 7 2 2 6 2 2 2" xfId="22943" xr:uid="{00000000-0005-0000-0000-000092B50000}"/>
    <cellStyle name="Normal 7 2 2 6 2 2 2 2" xfId="48496" xr:uid="{00000000-0005-0000-0000-000093B50000}"/>
    <cellStyle name="Normal 7 2 2 6 2 2 3" xfId="38279" xr:uid="{00000000-0005-0000-0000-000094B50000}"/>
    <cellStyle name="Normal 7 2 2 6 2 3" xfId="9145" xr:uid="{00000000-0005-0000-0000-000095B50000}"/>
    <cellStyle name="Normal 7 2 2 6 2 3 2" xfId="34702" xr:uid="{00000000-0005-0000-0000-000096B50000}"/>
    <cellStyle name="Normal 7 2 2 6 2 4" xfId="17936" xr:uid="{00000000-0005-0000-0000-000097B50000}"/>
    <cellStyle name="Normal 7 2 2 6 2 4 2" xfId="43489" xr:uid="{00000000-0005-0000-0000-000098B50000}"/>
    <cellStyle name="Normal 7 2 2 6 2 5" xfId="29426" xr:uid="{00000000-0005-0000-0000-000099B50000}"/>
    <cellStyle name="Normal 7 2 2 6 3" xfId="5251" xr:uid="{00000000-0005-0000-0000-00009AB50000}"/>
    <cellStyle name="Normal 7 2 2 6 3 2" xfId="14088" xr:uid="{00000000-0005-0000-0000-00009BB50000}"/>
    <cellStyle name="Normal 7 2 2 6 3 2 2" xfId="24339" xr:uid="{00000000-0005-0000-0000-00009CB50000}"/>
    <cellStyle name="Normal 7 2 2 6 3 2 2 2" xfId="49892" xr:uid="{00000000-0005-0000-0000-00009DB50000}"/>
    <cellStyle name="Normal 7 2 2 6 3 2 3" xfId="39643" xr:uid="{00000000-0005-0000-0000-00009EB50000}"/>
    <cellStyle name="Normal 7 2 2 6 3 3" xfId="10509" xr:uid="{00000000-0005-0000-0000-00009FB50000}"/>
    <cellStyle name="Normal 7 2 2 6 3 3 2" xfId="36066" xr:uid="{00000000-0005-0000-0000-0000A0B50000}"/>
    <cellStyle name="Normal 7 2 2 6 3 4" xfId="19332" xr:uid="{00000000-0005-0000-0000-0000A1B50000}"/>
    <cellStyle name="Normal 7 2 2 6 3 4 2" xfId="44885" xr:uid="{00000000-0005-0000-0000-0000A2B50000}"/>
    <cellStyle name="Normal 7 2 2 6 3 5" xfId="30822" xr:uid="{00000000-0005-0000-0000-0000A3B50000}"/>
    <cellStyle name="Normal 7 2 2 6 4" xfId="1759" xr:uid="{00000000-0005-0000-0000-0000A4B50000}"/>
    <cellStyle name="Normal 7 2 2 6 4 2" xfId="11130" xr:uid="{00000000-0005-0000-0000-0000A5B50000}"/>
    <cellStyle name="Normal 7 2 2 6 4 2 2" xfId="36685" xr:uid="{00000000-0005-0000-0000-0000A6B50000}"/>
    <cellStyle name="Normal 7 2 2 6 4 3" xfId="21134" xr:uid="{00000000-0005-0000-0000-0000A7B50000}"/>
    <cellStyle name="Normal 7 2 2 6 4 3 2" xfId="46687" xr:uid="{00000000-0005-0000-0000-0000A8B50000}"/>
    <cellStyle name="Normal 7 2 2 6 4 4" xfId="27617" xr:uid="{00000000-0005-0000-0000-0000A9B50000}"/>
    <cellStyle name="Normal 7 2 2 6 5" xfId="6706" xr:uid="{00000000-0005-0000-0000-0000AAB50000}"/>
    <cellStyle name="Normal 7 2 2 6 5 2" xfId="15533" xr:uid="{00000000-0005-0000-0000-0000ABB50000}"/>
    <cellStyle name="Normal 7 2 2 6 5 2 2" xfId="41088" xr:uid="{00000000-0005-0000-0000-0000ACB50000}"/>
    <cellStyle name="Normal 7 2 2 6 5 3" xfId="25784" xr:uid="{00000000-0005-0000-0000-0000ADB50000}"/>
    <cellStyle name="Normal 7 2 2 6 5 3 2" xfId="51337" xr:uid="{00000000-0005-0000-0000-0000AEB50000}"/>
    <cellStyle name="Normal 7 2 2 6 5 4" xfId="32267" xr:uid="{00000000-0005-0000-0000-0000AFB50000}"/>
    <cellStyle name="Normal 7 2 2 6 6" xfId="8152" xr:uid="{00000000-0005-0000-0000-0000B0B50000}"/>
    <cellStyle name="Normal 7 2 2 6 6 2" xfId="20542" xr:uid="{00000000-0005-0000-0000-0000B1B50000}"/>
    <cellStyle name="Normal 7 2 2 6 6 2 2" xfId="46095" xr:uid="{00000000-0005-0000-0000-0000B2B50000}"/>
    <cellStyle name="Normal 7 2 2 6 6 3" xfId="33709" xr:uid="{00000000-0005-0000-0000-0000B3B50000}"/>
    <cellStyle name="Normal 7 2 2 6 7" xfId="16127" xr:uid="{00000000-0005-0000-0000-0000B4B50000}"/>
    <cellStyle name="Normal 7 2 2 6 7 2" xfId="41680" xr:uid="{00000000-0005-0000-0000-0000B5B50000}"/>
    <cellStyle name="Normal 7 2 2 6 8" xfId="27025" xr:uid="{00000000-0005-0000-0000-0000B6B50000}"/>
    <cellStyle name="Normal 7 2 2 7" xfId="2656" xr:uid="{00000000-0005-0000-0000-0000B7B50000}"/>
    <cellStyle name="Normal 7 2 2 7 2" xfId="11976" xr:uid="{00000000-0005-0000-0000-0000B8B50000}"/>
    <cellStyle name="Normal 7 2 2 7 2 2" xfId="22017" xr:uid="{00000000-0005-0000-0000-0000B9B50000}"/>
    <cellStyle name="Normal 7 2 2 7 2 2 2" xfId="47570" xr:uid="{00000000-0005-0000-0000-0000BAB50000}"/>
    <cellStyle name="Normal 7 2 2 7 2 3" xfId="37531" xr:uid="{00000000-0005-0000-0000-0000BBB50000}"/>
    <cellStyle name="Normal 7 2 2 7 3" xfId="8569" xr:uid="{00000000-0005-0000-0000-0000BCB50000}"/>
    <cellStyle name="Normal 7 2 2 7 3 2" xfId="34126" xr:uid="{00000000-0005-0000-0000-0000BDB50000}"/>
    <cellStyle name="Normal 7 2 2 7 4" xfId="17010" xr:uid="{00000000-0005-0000-0000-0000BEB50000}"/>
    <cellStyle name="Normal 7 2 2 7 4 2" xfId="42563" xr:uid="{00000000-0005-0000-0000-0000BFB50000}"/>
    <cellStyle name="Normal 7 2 2 7 5" xfId="28500" xr:uid="{00000000-0005-0000-0000-0000C0B50000}"/>
    <cellStyle name="Normal 7 2 2 8" xfId="4207" xr:uid="{00000000-0005-0000-0000-0000C1B50000}"/>
    <cellStyle name="Normal 7 2 2 8 2" xfId="13045" xr:uid="{00000000-0005-0000-0000-0000C2B50000}"/>
    <cellStyle name="Normal 7 2 2 8 2 2" xfId="23296" xr:uid="{00000000-0005-0000-0000-0000C3B50000}"/>
    <cellStyle name="Normal 7 2 2 8 2 2 2" xfId="48849" xr:uid="{00000000-0005-0000-0000-0000C4B50000}"/>
    <cellStyle name="Normal 7 2 2 8 2 3" xfId="38600" xr:uid="{00000000-0005-0000-0000-0000C5B50000}"/>
    <cellStyle name="Normal 7 2 2 8 3" xfId="9466" xr:uid="{00000000-0005-0000-0000-0000C6B50000}"/>
    <cellStyle name="Normal 7 2 2 8 3 2" xfId="35023" xr:uid="{00000000-0005-0000-0000-0000C7B50000}"/>
    <cellStyle name="Normal 7 2 2 8 4" xfId="18289" xr:uid="{00000000-0005-0000-0000-0000C8B50000}"/>
    <cellStyle name="Normal 7 2 2 8 4 2" xfId="43842" xr:uid="{00000000-0005-0000-0000-0000C9B50000}"/>
    <cellStyle name="Normal 7 2 2 8 5" xfId="29779" xr:uid="{00000000-0005-0000-0000-0000CAB50000}"/>
    <cellStyle name="Normal 7 2 2 9" xfId="1479" xr:uid="{00000000-0005-0000-0000-0000CBB50000}"/>
    <cellStyle name="Normal 7 2 2 9 2" xfId="10856" xr:uid="{00000000-0005-0000-0000-0000CCB50000}"/>
    <cellStyle name="Normal 7 2 2 9 2 2" xfId="36411" xr:uid="{00000000-0005-0000-0000-0000CDB50000}"/>
    <cellStyle name="Normal 7 2 2 9 3" xfId="20860" xr:uid="{00000000-0005-0000-0000-0000CEB50000}"/>
    <cellStyle name="Normal 7 2 2 9 3 2" xfId="46413" xr:uid="{00000000-0005-0000-0000-0000CFB50000}"/>
    <cellStyle name="Normal 7 2 2 9 4" xfId="27343" xr:uid="{00000000-0005-0000-0000-0000D0B50000}"/>
    <cellStyle name="Normal 7 2 2_Degree data" xfId="4048" xr:uid="{00000000-0005-0000-0000-0000D1B50000}"/>
    <cellStyle name="Normal 7 2 3" xfId="204" xr:uid="{00000000-0005-0000-0000-0000D2B50000}"/>
    <cellStyle name="Normal 7 2 3 10" xfId="7150" xr:uid="{00000000-0005-0000-0000-0000D3B50000}"/>
    <cellStyle name="Normal 7 2 3 10 2" xfId="19659" xr:uid="{00000000-0005-0000-0000-0000D4B50000}"/>
    <cellStyle name="Normal 7 2 3 10 2 2" xfId="45212" xr:uid="{00000000-0005-0000-0000-0000D5B50000}"/>
    <cellStyle name="Normal 7 2 3 10 3" xfId="32707" xr:uid="{00000000-0005-0000-0000-0000D6B50000}"/>
    <cellStyle name="Normal 7 2 3 11" xfId="15896" xr:uid="{00000000-0005-0000-0000-0000D7B50000}"/>
    <cellStyle name="Normal 7 2 3 11 2" xfId="41449" xr:uid="{00000000-0005-0000-0000-0000D8B50000}"/>
    <cellStyle name="Normal 7 2 3 12" xfId="26142" xr:uid="{00000000-0005-0000-0000-0000D9B50000}"/>
    <cellStyle name="Normal 7 2 3 2" xfId="530" xr:uid="{00000000-0005-0000-0000-0000DAB50000}"/>
    <cellStyle name="Normal 7 2 3 2 10" xfId="26459" xr:uid="{00000000-0005-0000-0000-0000DBB50000}"/>
    <cellStyle name="Normal 7 2 3 2 2" xfId="946" xr:uid="{00000000-0005-0000-0000-0000DCB50000}"/>
    <cellStyle name="Normal 7 2 3 2 2 2" xfId="3422" xr:uid="{00000000-0005-0000-0000-0000DDB50000}"/>
    <cellStyle name="Normal 7 2 3 2 2 2 2" xfId="12564" xr:uid="{00000000-0005-0000-0000-0000DEB50000}"/>
    <cellStyle name="Normal 7 2 3 2 2 2 2 2" xfId="22783" xr:uid="{00000000-0005-0000-0000-0000DFB50000}"/>
    <cellStyle name="Normal 7 2 3 2 2 2 2 2 2" xfId="48336" xr:uid="{00000000-0005-0000-0000-0000E0B50000}"/>
    <cellStyle name="Normal 7 2 3 2 2 2 2 3" xfId="38119" xr:uid="{00000000-0005-0000-0000-0000E1B50000}"/>
    <cellStyle name="Normal 7 2 3 2 2 2 3" xfId="8986" xr:uid="{00000000-0005-0000-0000-0000E2B50000}"/>
    <cellStyle name="Normal 7 2 3 2 2 2 3 2" xfId="34543" xr:uid="{00000000-0005-0000-0000-0000E3B50000}"/>
    <cellStyle name="Normal 7 2 3 2 2 2 4" xfId="17776" xr:uid="{00000000-0005-0000-0000-0000E4B50000}"/>
    <cellStyle name="Normal 7 2 3 2 2 2 4 2" xfId="43329" xr:uid="{00000000-0005-0000-0000-0000E5B50000}"/>
    <cellStyle name="Normal 7 2 3 2 2 2 5" xfId="29266" xr:uid="{00000000-0005-0000-0000-0000E6B50000}"/>
    <cellStyle name="Normal 7 2 3 2 2 3" xfId="4752" xr:uid="{00000000-0005-0000-0000-0000E7B50000}"/>
    <cellStyle name="Normal 7 2 3 2 2 3 2" xfId="13589" xr:uid="{00000000-0005-0000-0000-0000E8B50000}"/>
    <cellStyle name="Normal 7 2 3 2 2 3 2 2" xfId="23840" xr:uid="{00000000-0005-0000-0000-0000E9B50000}"/>
    <cellStyle name="Normal 7 2 3 2 2 3 2 2 2" xfId="49393" xr:uid="{00000000-0005-0000-0000-0000EAB50000}"/>
    <cellStyle name="Normal 7 2 3 2 2 3 2 3" xfId="39144" xr:uid="{00000000-0005-0000-0000-0000EBB50000}"/>
    <cellStyle name="Normal 7 2 3 2 2 3 3" xfId="10010" xr:uid="{00000000-0005-0000-0000-0000ECB50000}"/>
    <cellStyle name="Normal 7 2 3 2 2 3 3 2" xfId="35567" xr:uid="{00000000-0005-0000-0000-0000EDB50000}"/>
    <cellStyle name="Normal 7 2 3 2 2 3 4" xfId="18833" xr:uid="{00000000-0005-0000-0000-0000EEB50000}"/>
    <cellStyle name="Normal 7 2 3 2 2 3 4 2" xfId="44386" xr:uid="{00000000-0005-0000-0000-0000EFB50000}"/>
    <cellStyle name="Normal 7 2 3 2 2 3 5" xfId="30323" xr:uid="{00000000-0005-0000-0000-0000F0B50000}"/>
    <cellStyle name="Normal 7 2 3 2 2 4" xfId="2531" xr:uid="{00000000-0005-0000-0000-0000F1B50000}"/>
    <cellStyle name="Normal 7 2 3 2 2 4 2" xfId="11896" xr:uid="{00000000-0005-0000-0000-0000F2B50000}"/>
    <cellStyle name="Normal 7 2 3 2 2 4 2 2" xfId="37451" xr:uid="{00000000-0005-0000-0000-0000F3B50000}"/>
    <cellStyle name="Normal 7 2 3 2 2 4 3" xfId="21900" xr:uid="{00000000-0005-0000-0000-0000F4B50000}"/>
    <cellStyle name="Normal 7 2 3 2 2 4 3 2" xfId="47453" xr:uid="{00000000-0005-0000-0000-0000F5B50000}"/>
    <cellStyle name="Normal 7 2 3 2 2 4 4" xfId="28383" xr:uid="{00000000-0005-0000-0000-0000F6B50000}"/>
    <cellStyle name="Normal 7 2 3 2 2 5" xfId="6207" xr:uid="{00000000-0005-0000-0000-0000F7B50000}"/>
    <cellStyle name="Normal 7 2 3 2 2 5 2" xfId="15034" xr:uid="{00000000-0005-0000-0000-0000F8B50000}"/>
    <cellStyle name="Normal 7 2 3 2 2 5 2 2" xfId="40589" xr:uid="{00000000-0005-0000-0000-0000F9B50000}"/>
    <cellStyle name="Normal 7 2 3 2 2 5 3" xfId="25285" xr:uid="{00000000-0005-0000-0000-0000FAB50000}"/>
    <cellStyle name="Normal 7 2 3 2 2 5 3 2" xfId="50838" xr:uid="{00000000-0005-0000-0000-0000FBB50000}"/>
    <cellStyle name="Normal 7 2 3 2 2 5 4" xfId="31768" xr:uid="{00000000-0005-0000-0000-0000FCB50000}"/>
    <cellStyle name="Normal 7 2 3 2 2 6" xfId="7653" xr:uid="{00000000-0005-0000-0000-0000FDB50000}"/>
    <cellStyle name="Normal 7 2 3 2 2 6 2" xfId="20382" xr:uid="{00000000-0005-0000-0000-0000FEB50000}"/>
    <cellStyle name="Normal 7 2 3 2 2 6 2 2" xfId="45935" xr:uid="{00000000-0005-0000-0000-0000FFB50000}"/>
    <cellStyle name="Normal 7 2 3 2 2 6 3" xfId="33210" xr:uid="{00000000-0005-0000-0000-000000B60000}"/>
    <cellStyle name="Normal 7 2 3 2 2 7" xfId="16893" xr:uid="{00000000-0005-0000-0000-000001B60000}"/>
    <cellStyle name="Normal 7 2 3 2 2 7 2" xfId="42446" xr:uid="{00000000-0005-0000-0000-000002B60000}"/>
    <cellStyle name="Normal 7 2 3 2 2 8" xfId="26865" xr:uid="{00000000-0005-0000-0000-000003B60000}"/>
    <cellStyle name="Normal 7 2 3 2 3" xfId="1302" xr:uid="{00000000-0005-0000-0000-000004B60000}"/>
    <cellStyle name="Normal 7 2 3 2 3 2" xfId="3731" xr:uid="{00000000-0005-0000-0000-000005B60000}"/>
    <cellStyle name="Normal 7 2 3 2 3 2 2" xfId="12867" xr:uid="{00000000-0005-0000-0000-000006B60000}"/>
    <cellStyle name="Normal 7 2 3 2 3 2 2 2" xfId="23086" xr:uid="{00000000-0005-0000-0000-000007B60000}"/>
    <cellStyle name="Normal 7 2 3 2 3 2 2 2 2" xfId="48639" xr:uid="{00000000-0005-0000-0000-000008B60000}"/>
    <cellStyle name="Normal 7 2 3 2 3 2 2 3" xfId="38422" xr:uid="{00000000-0005-0000-0000-000009B60000}"/>
    <cellStyle name="Normal 7 2 3 2 3 2 3" xfId="9288" xr:uid="{00000000-0005-0000-0000-00000AB60000}"/>
    <cellStyle name="Normal 7 2 3 2 3 2 3 2" xfId="34845" xr:uid="{00000000-0005-0000-0000-00000BB60000}"/>
    <cellStyle name="Normal 7 2 3 2 3 2 4" xfId="18079" xr:uid="{00000000-0005-0000-0000-00000CB60000}"/>
    <cellStyle name="Normal 7 2 3 2 3 2 4 2" xfId="43632" xr:uid="{00000000-0005-0000-0000-00000DB60000}"/>
    <cellStyle name="Normal 7 2 3 2 3 2 5" xfId="29569" xr:uid="{00000000-0005-0000-0000-00000EB60000}"/>
    <cellStyle name="Normal 7 2 3 2 3 3" xfId="5100" xr:uid="{00000000-0005-0000-0000-00000FB60000}"/>
    <cellStyle name="Normal 7 2 3 2 3 3 2" xfId="13937" xr:uid="{00000000-0005-0000-0000-000010B60000}"/>
    <cellStyle name="Normal 7 2 3 2 3 3 2 2" xfId="24188" xr:uid="{00000000-0005-0000-0000-000011B60000}"/>
    <cellStyle name="Normal 7 2 3 2 3 3 2 2 2" xfId="49741" xr:uid="{00000000-0005-0000-0000-000012B60000}"/>
    <cellStyle name="Normal 7 2 3 2 3 3 2 3" xfId="39492" xr:uid="{00000000-0005-0000-0000-000013B60000}"/>
    <cellStyle name="Normal 7 2 3 2 3 3 3" xfId="10358" xr:uid="{00000000-0005-0000-0000-000014B60000}"/>
    <cellStyle name="Normal 7 2 3 2 3 3 3 2" xfId="35915" xr:uid="{00000000-0005-0000-0000-000015B60000}"/>
    <cellStyle name="Normal 7 2 3 2 3 3 4" xfId="19181" xr:uid="{00000000-0005-0000-0000-000016B60000}"/>
    <cellStyle name="Normal 7 2 3 2 3 3 4 2" xfId="44734" xr:uid="{00000000-0005-0000-0000-000017B60000}"/>
    <cellStyle name="Normal 7 2 3 2 3 3 5" xfId="30671" xr:uid="{00000000-0005-0000-0000-000018B60000}"/>
    <cellStyle name="Normal 7 2 3 2 3 4" xfId="2125" xr:uid="{00000000-0005-0000-0000-000019B60000}"/>
    <cellStyle name="Normal 7 2 3 2 3 4 2" xfId="11490" xr:uid="{00000000-0005-0000-0000-00001AB60000}"/>
    <cellStyle name="Normal 7 2 3 2 3 4 2 2" xfId="37045" xr:uid="{00000000-0005-0000-0000-00001BB60000}"/>
    <cellStyle name="Normal 7 2 3 2 3 4 3" xfId="21494" xr:uid="{00000000-0005-0000-0000-00001CB60000}"/>
    <cellStyle name="Normal 7 2 3 2 3 4 3 2" xfId="47047" xr:uid="{00000000-0005-0000-0000-00001DB60000}"/>
    <cellStyle name="Normal 7 2 3 2 3 4 4" xfId="27977" xr:uid="{00000000-0005-0000-0000-00001EB60000}"/>
    <cellStyle name="Normal 7 2 3 2 3 5" xfId="6555" xr:uid="{00000000-0005-0000-0000-00001FB60000}"/>
    <cellStyle name="Normal 7 2 3 2 3 5 2" xfId="15382" xr:uid="{00000000-0005-0000-0000-000020B60000}"/>
    <cellStyle name="Normal 7 2 3 2 3 5 2 2" xfId="40937" xr:uid="{00000000-0005-0000-0000-000021B60000}"/>
    <cellStyle name="Normal 7 2 3 2 3 5 3" xfId="25633" xr:uid="{00000000-0005-0000-0000-000022B60000}"/>
    <cellStyle name="Normal 7 2 3 2 3 5 3 2" xfId="51186" xr:uid="{00000000-0005-0000-0000-000023B60000}"/>
    <cellStyle name="Normal 7 2 3 2 3 5 4" xfId="32116" xr:uid="{00000000-0005-0000-0000-000024B60000}"/>
    <cellStyle name="Normal 7 2 3 2 3 6" xfId="8001" xr:uid="{00000000-0005-0000-0000-000025B60000}"/>
    <cellStyle name="Normal 7 2 3 2 3 6 2" xfId="20685" xr:uid="{00000000-0005-0000-0000-000026B60000}"/>
    <cellStyle name="Normal 7 2 3 2 3 6 2 2" xfId="46238" xr:uid="{00000000-0005-0000-0000-000027B60000}"/>
    <cellStyle name="Normal 7 2 3 2 3 6 3" xfId="33558" xr:uid="{00000000-0005-0000-0000-000028B60000}"/>
    <cellStyle name="Normal 7 2 3 2 3 7" xfId="16487" xr:uid="{00000000-0005-0000-0000-000029B60000}"/>
    <cellStyle name="Normal 7 2 3 2 3 7 2" xfId="42040" xr:uid="{00000000-0005-0000-0000-00002AB60000}"/>
    <cellStyle name="Normal 7 2 3 2 3 8" xfId="27168" xr:uid="{00000000-0005-0000-0000-00002BB60000}"/>
    <cellStyle name="Normal 7 2 3 2 4" xfId="3016" xr:uid="{00000000-0005-0000-0000-00002CB60000}"/>
    <cellStyle name="Normal 7 2 3 2 4 2" xfId="5394" xr:uid="{00000000-0005-0000-0000-00002DB60000}"/>
    <cellStyle name="Normal 7 2 3 2 4 2 2" xfId="14231" xr:uid="{00000000-0005-0000-0000-00002EB60000}"/>
    <cellStyle name="Normal 7 2 3 2 4 2 2 2" xfId="24482" xr:uid="{00000000-0005-0000-0000-00002FB60000}"/>
    <cellStyle name="Normal 7 2 3 2 4 2 2 2 2" xfId="50035" xr:uid="{00000000-0005-0000-0000-000030B60000}"/>
    <cellStyle name="Normal 7 2 3 2 4 2 2 3" xfId="39786" xr:uid="{00000000-0005-0000-0000-000031B60000}"/>
    <cellStyle name="Normal 7 2 3 2 4 2 3" xfId="10652" xr:uid="{00000000-0005-0000-0000-000032B60000}"/>
    <cellStyle name="Normal 7 2 3 2 4 2 3 2" xfId="36209" xr:uid="{00000000-0005-0000-0000-000033B60000}"/>
    <cellStyle name="Normal 7 2 3 2 4 2 4" xfId="19475" xr:uid="{00000000-0005-0000-0000-000034B60000}"/>
    <cellStyle name="Normal 7 2 3 2 4 2 4 2" xfId="45028" xr:uid="{00000000-0005-0000-0000-000035B60000}"/>
    <cellStyle name="Normal 7 2 3 2 4 2 5" xfId="30965" xr:uid="{00000000-0005-0000-0000-000036B60000}"/>
    <cellStyle name="Normal 7 2 3 2 4 3" xfId="6849" xr:uid="{00000000-0005-0000-0000-000037B60000}"/>
    <cellStyle name="Normal 7 2 3 2 4 3 2" xfId="15676" xr:uid="{00000000-0005-0000-0000-000038B60000}"/>
    <cellStyle name="Normal 7 2 3 2 4 3 2 2" xfId="41231" xr:uid="{00000000-0005-0000-0000-000039B60000}"/>
    <cellStyle name="Normal 7 2 3 2 4 3 3" xfId="25927" xr:uid="{00000000-0005-0000-0000-00003AB60000}"/>
    <cellStyle name="Normal 7 2 3 2 4 3 3 2" xfId="51480" xr:uid="{00000000-0005-0000-0000-00003BB60000}"/>
    <cellStyle name="Normal 7 2 3 2 4 3 4" xfId="32410" xr:uid="{00000000-0005-0000-0000-00003CB60000}"/>
    <cellStyle name="Normal 7 2 3 2 4 4" xfId="8295" xr:uid="{00000000-0005-0000-0000-00003DB60000}"/>
    <cellStyle name="Normal 7 2 3 2 4 4 2" xfId="22377" xr:uid="{00000000-0005-0000-0000-00003EB60000}"/>
    <cellStyle name="Normal 7 2 3 2 4 4 2 2" xfId="47930" xr:uid="{00000000-0005-0000-0000-00003FB60000}"/>
    <cellStyle name="Normal 7 2 3 2 4 4 3" xfId="33852" xr:uid="{00000000-0005-0000-0000-000040B60000}"/>
    <cellStyle name="Normal 7 2 3 2 4 5" xfId="17370" xr:uid="{00000000-0005-0000-0000-000041B60000}"/>
    <cellStyle name="Normal 7 2 3 2 4 5 2" xfId="42923" xr:uid="{00000000-0005-0000-0000-000042B60000}"/>
    <cellStyle name="Normal 7 2 3 2 4 6" xfId="28860" xr:uid="{00000000-0005-0000-0000-000043B60000}"/>
    <cellStyle name="Normal 7 2 3 2 5" xfId="4350" xr:uid="{00000000-0005-0000-0000-000044B60000}"/>
    <cellStyle name="Normal 7 2 3 2 5 2" xfId="13188" xr:uid="{00000000-0005-0000-0000-000045B60000}"/>
    <cellStyle name="Normal 7 2 3 2 5 2 2" xfId="23439" xr:uid="{00000000-0005-0000-0000-000046B60000}"/>
    <cellStyle name="Normal 7 2 3 2 5 2 2 2" xfId="48992" xr:uid="{00000000-0005-0000-0000-000047B60000}"/>
    <cellStyle name="Normal 7 2 3 2 5 2 3" xfId="38743" xr:uid="{00000000-0005-0000-0000-000048B60000}"/>
    <cellStyle name="Normal 7 2 3 2 5 3" xfId="9609" xr:uid="{00000000-0005-0000-0000-000049B60000}"/>
    <cellStyle name="Normal 7 2 3 2 5 3 2" xfId="35166" xr:uid="{00000000-0005-0000-0000-00004AB60000}"/>
    <cellStyle name="Normal 7 2 3 2 5 4" xfId="18432" xr:uid="{00000000-0005-0000-0000-00004BB60000}"/>
    <cellStyle name="Normal 7 2 3 2 5 4 2" xfId="43985" xr:uid="{00000000-0005-0000-0000-00004CB60000}"/>
    <cellStyle name="Normal 7 2 3 2 5 5" xfId="29922" xr:uid="{00000000-0005-0000-0000-00004DB60000}"/>
    <cellStyle name="Normal 7 2 3 2 6" xfId="1622" xr:uid="{00000000-0005-0000-0000-00004EB60000}"/>
    <cellStyle name="Normal 7 2 3 2 6 2" xfId="10999" xr:uid="{00000000-0005-0000-0000-00004FB60000}"/>
    <cellStyle name="Normal 7 2 3 2 6 2 2" xfId="36554" xr:uid="{00000000-0005-0000-0000-000050B60000}"/>
    <cellStyle name="Normal 7 2 3 2 6 3" xfId="21003" xr:uid="{00000000-0005-0000-0000-000051B60000}"/>
    <cellStyle name="Normal 7 2 3 2 6 3 2" xfId="46556" xr:uid="{00000000-0005-0000-0000-000052B60000}"/>
    <cellStyle name="Normal 7 2 3 2 6 4" xfId="27486" xr:uid="{00000000-0005-0000-0000-000053B60000}"/>
    <cellStyle name="Normal 7 2 3 2 7" xfId="5806" xr:uid="{00000000-0005-0000-0000-000054B60000}"/>
    <cellStyle name="Normal 7 2 3 2 7 2" xfId="14633" xr:uid="{00000000-0005-0000-0000-000055B60000}"/>
    <cellStyle name="Normal 7 2 3 2 7 2 2" xfId="40188" xr:uid="{00000000-0005-0000-0000-000056B60000}"/>
    <cellStyle name="Normal 7 2 3 2 7 3" xfId="24884" xr:uid="{00000000-0005-0000-0000-000057B60000}"/>
    <cellStyle name="Normal 7 2 3 2 7 3 2" xfId="50437" xr:uid="{00000000-0005-0000-0000-000058B60000}"/>
    <cellStyle name="Normal 7 2 3 2 7 4" xfId="31367" xr:uid="{00000000-0005-0000-0000-000059B60000}"/>
    <cellStyle name="Normal 7 2 3 2 8" xfId="7250" xr:uid="{00000000-0005-0000-0000-00005AB60000}"/>
    <cellStyle name="Normal 7 2 3 2 8 2" xfId="19976" xr:uid="{00000000-0005-0000-0000-00005BB60000}"/>
    <cellStyle name="Normal 7 2 3 2 8 2 2" xfId="45529" xr:uid="{00000000-0005-0000-0000-00005CB60000}"/>
    <cellStyle name="Normal 7 2 3 2 8 3" xfId="32807" xr:uid="{00000000-0005-0000-0000-00005DB60000}"/>
    <cellStyle name="Normal 7 2 3 2 9" xfId="15996" xr:uid="{00000000-0005-0000-0000-00005EB60000}"/>
    <cellStyle name="Normal 7 2 3 2 9 2" xfId="41549" xr:uid="{00000000-0005-0000-0000-00005FB60000}"/>
    <cellStyle name="Normal 7 2 3 2_Degree data" xfId="4052" xr:uid="{00000000-0005-0000-0000-000060B60000}"/>
    <cellStyle name="Normal 7 2 3 3" xfId="430" xr:uid="{00000000-0005-0000-0000-000061B60000}"/>
    <cellStyle name="Normal 7 2 3 3 2" xfId="2916" xr:uid="{00000000-0005-0000-0000-000062B60000}"/>
    <cellStyle name="Normal 7 2 3 3 2 2" xfId="12204" xr:uid="{00000000-0005-0000-0000-000063B60000}"/>
    <cellStyle name="Normal 7 2 3 3 2 2 2" xfId="22277" xr:uid="{00000000-0005-0000-0000-000064B60000}"/>
    <cellStyle name="Normal 7 2 3 3 2 2 2 2" xfId="47830" xr:uid="{00000000-0005-0000-0000-000065B60000}"/>
    <cellStyle name="Normal 7 2 3 3 2 2 3" xfId="37759" xr:uid="{00000000-0005-0000-0000-000066B60000}"/>
    <cellStyle name="Normal 7 2 3 3 2 3" xfId="8581" xr:uid="{00000000-0005-0000-0000-000067B60000}"/>
    <cellStyle name="Normal 7 2 3 3 2 3 2" xfId="34138" xr:uid="{00000000-0005-0000-0000-000068B60000}"/>
    <cellStyle name="Normal 7 2 3 3 2 4" xfId="17270" xr:uid="{00000000-0005-0000-0000-000069B60000}"/>
    <cellStyle name="Normal 7 2 3 3 2 4 2" xfId="42823" xr:uid="{00000000-0005-0000-0000-00006AB60000}"/>
    <cellStyle name="Normal 7 2 3 3 2 5" xfId="28760" xr:uid="{00000000-0005-0000-0000-00006BB60000}"/>
    <cellStyle name="Normal 7 2 3 3 3" xfId="4751" xr:uid="{00000000-0005-0000-0000-00006CB60000}"/>
    <cellStyle name="Normal 7 2 3 3 3 2" xfId="13588" xr:uid="{00000000-0005-0000-0000-00006DB60000}"/>
    <cellStyle name="Normal 7 2 3 3 3 2 2" xfId="23839" xr:uid="{00000000-0005-0000-0000-00006EB60000}"/>
    <cellStyle name="Normal 7 2 3 3 3 2 2 2" xfId="49392" xr:uid="{00000000-0005-0000-0000-00006FB60000}"/>
    <cellStyle name="Normal 7 2 3 3 3 2 3" xfId="39143" xr:uid="{00000000-0005-0000-0000-000070B60000}"/>
    <cellStyle name="Normal 7 2 3 3 3 3" xfId="10009" xr:uid="{00000000-0005-0000-0000-000071B60000}"/>
    <cellStyle name="Normal 7 2 3 3 3 3 2" xfId="35566" xr:uid="{00000000-0005-0000-0000-000072B60000}"/>
    <cellStyle name="Normal 7 2 3 3 3 4" xfId="18832" xr:uid="{00000000-0005-0000-0000-000073B60000}"/>
    <cellStyle name="Normal 7 2 3 3 3 4 2" xfId="44385" xr:uid="{00000000-0005-0000-0000-000074B60000}"/>
    <cellStyle name="Normal 7 2 3 3 3 5" xfId="30322" xr:uid="{00000000-0005-0000-0000-000075B60000}"/>
    <cellStyle name="Normal 7 2 3 3 4" xfId="2025" xr:uid="{00000000-0005-0000-0000-000076B60000}"/>
    <cellStyle name="Normal 7 2 3 3 4 2" xfId="11390" xr:uid="{00000000-0005-0000-0000-000077B60000}"/>
    <cellStyle name="Normal 7 2 3 3 4 2 2" xfId="36945" xr:uid="{00000000-0005-0000-0000-000078B60000}"/>
    <cellStyle name="Normal 7 2 3 3 4 3" xfId="21394" xr:uid="{00000000-0005-0000-0000-000079B60000}"/>
    <cellStyle name="Normal 7 2 3 3 4 3 2" xfId="46947" xr:uid="{00000000-0005-0000-0000-00007AB60000}"/>
    <cellStyle name="Normal 7 2 3 3 4 4" xfId="27877" xr:uid="{00000000-0005-0000-0000-00007BB60000}"/>
    <cellStyle name="Normal 7 2 3 3 5" xfId="6206" xr:uid="{00000000-0005-0000-0000-00007CB60000}"/>
    <cellStyle name="Normal 7 2 3 3 5 2" xfId="15033" xr:uid="{00000000-0005-0000-0000-00007DB60000}"/>
    <cellStyle name="Normal 7 2 3 3 5 2 2" xfId="40588" xr:uid="{00000000-0005-0000-0000-00007EB60000}"/>
    <cellStyle name="Normal 7 2 3 3 5 3" xfId="25284" xr:uid="{00000000-0005-0000-0000-00007FB60000}"/>
    <cellStyle name="Normal 7 2 3 3 5 3 2" xfId="50837" xr:uid="{00000000-0005-0000-0000-000080B60000}"/>
    <cellStyle name="Normal 7 2 3 3 5 4" xfId="31767" xr:uid="{00000000-0005-0000-0000-000081B60000}"/>
    <cellStyle name="Normal 7 2 3 3 6" xfId="7652" xr:uid="{00000000-0005-0000-0000-000082B60000}"/>
    <cellStyle name="Normal 7 2 3 3 6 2" xfId="19876" xr:uid="{00000000-0005-0000-0000-000083B60000}"/>
    <cellStyle name="Normal 7 2 3 3 6 2 2" xfId="45429" xr:uid="{00000000-0005-0000-0000-000084B60000}"/>
    <cellStyle name="Normal 7 2 3 3 6 3" xfId="33209" xr:uid="{00000000-0005-0000-0000-000085B60000}"/>
    <cellStyle name="Normal 7 2 3 3 7" xfId="16387" xr:uid="{00000000-0005-0000-0000-000086B60000}"/>
    <cellStyle name="Normal 7 2 3 3 7 2" xfId="41940" xr:uid="{00000000-0005-0000-0000-000087B60000}"/>
    <cellStyle name="Normal 7 2 3 3 8" xfId="26359" xr:uid="{00000000-0005-0000-0000-000088B60000}"/>
    <cellStyle name="Normal 7 2 3 4" xfId="945" xr:uid="{00000000-0005-0000-0000-000089B60000}"/>
    <cellStyle name="Normal 7 2 3 4 2" xfId="3421" xr:uid="{00000000-0005-0000-0000-00008AB60000}"/>
    <cellStyle name="Normal 7 2 3 4 2 2" xfId="12563" xr:uid="{00000000-0005-0000-0000-00008BB60000}"/>
    <cellStyle name="Normal 7 2 3 4 2 2 2" xfId="22782" xr:uid="{00000000-0005-0000-0000-00008CB60000}"/>
    <cellStyle name="Normal 7 2 3 4 2 2 2 2" xfId="48335" xr:uid="{00000000-0005-0000-0000-00008DB60000}"/>
    <cellStyle name="Normal 7 2 3 4 2 2 3" xfId="38118" xr:uid="{00000000-0005-0000-0000-00008EB60000}"/>
    <cellStyle name="Normal 7 2 3 4 2 3" xfId="8985" xr:uid="{00000000-0005-0000-0000-00008FB60000}"/>
    <cellStyle name="Normal 7 2 3 4 2 3 2" xfId="34542" xr:uid="{00000000-0005-0000-0000-000090B60000}"/>
    <cellStyle name="Normal 7 2 3 4 2 4" xfId="17775" xr:uid="{00000000-0005-0000-0000-000091B60000}"/>
    <cellStyle name="Normal 7 2 3 4 2 4 2" xfId="43328" xr:uid="{00000000-0005-0000-0000-000092B60000}"/>
    <cellStyle name="Normal 7 2 3 4 2 5" xfId="29265" xr:uid="{00000000-0005-0000-0000-000093B60000}"/>
    <cellStyle name="Normal 7 2 3 4 3" xfId="5099" xr:uid="{00000000-0005-0000-0000-000094B60000}"/>
    <cellStyle name="Normal 7 2 3 4 3 2" xfId="13936" xr:uid="{00000000-0005-0000-0000-000095B60000}"/>
    <cellStyle name="Normal 7 2 3 4 3 2 2" xfId="24187" xr:uid="{00000000-0005-0000-0000-000096B60000}"/>
    <cellStyle name="Normal 7 2 3 4 3 2 2 2" xfId="49740" xr:uid="{00000000-0005-0000-0000-000097B60000}"/>
    <cellStyle name="Normal 7 2 3 4 3 2 3" xfId="39491" xr:uid="{00000000-0005-0000-0000-000098B60000}"/>
    <cellStyle name="Normal 7 2 3 4 3 3" xfId="10357" xr:uid="{00000000-0005-0000-0000-000099B60000}"/>
    <cellStyle name="Normal 7 2 3 4 3 3 2" xfId="35914" xr:uid="{00000000-0005-0000-0000-00009AB60000}"/>
    <cellStyle name="Normal 7 2 3 4 3 4" xfId="19180" xr:uid="{00000000-0005-0000-0000-00009BB60000}"/>
    <cellStyle name="Normal 7 2 3 4 3 4 2" xfId="44733" xr:uid="{00000000-0005-0000-0000-00009CB60000}"/>
    <cellStyle name="Normal 7 2 3 4 3 5" xfId="30670" xr:uid="{00000000-0005-0000-0000-00009DB60000}"/>
    <cellStyle name="Normal 7 2 3 4 4" xfId="2530" xr:uid="{00000000-0005-0000-0000-00009EB60000}"/>
    <cellStyle name="Normal 7 2 3 4 4 2" xfId="11895" xr:uid="{00000000-0005-0000-0000-00009FB60000}"/>
    <cellStyle name="Normal 7 2 3 4 4 2 2" xfId="37450" xr:uid="{00000000-0005-0000-0000-0000A0B60000}"/>
    <cellStyle name="Normal 7 2 3 4 4 3" xfId="21899" xr:uid="{00000000-0005-0000-0000-0000A1B60000}"/>
    <cellStyle name="Normal 7 2 3 4 4 3 2" xfId="47452" xr:uid="{00000000-0005-0000-0000-0000A2B60000}"/>
    <cellStyle name="Normal 7 2 3 4 4 4" xfId="28382" xr:uid="{00000000-0005-0000-0000-0000A3B60000}"/>
    <cellStyle name="Normal 7 2 3 4 5" xfId="6554" xr:uid="{00000000-0005-0000-0000-0000A4B60000}"/>
    <cellStyle name="Normal 7 2 3 4 5 2" xfId="15381" xr:uid="{00000000-0005-0000-0000-0000A5B60000}"/>
    <cellStyle name="Normal 7 2 3 4 5 2 2" xfId="40936" xr:uid="{00000000-0005-0000-0000-0000A6B60000}"/>
    <cellStyle name="Normal 7 2 3 4 5 3" xfId="25632" xr:uid="{00000000-0005-0000-0000-0000A7B60000}"/>
    <cellStyle name="Normal 7 2 3 4 5 3 2" xfId="51185" xr:uid="{00000000-0005-0000-0000-0000A8B60000}"/>
    <cellStyle name="Normal 7 2 3 4 5 4" xfId="32115" xr:uid="{00000000-0005-0000-0000-0000A9B60000}"/>
    <cellStyle name="Normal 7 2 3 4 6" xfId="8000" xr:uid="{00000000-0005-0000-0000-0000AAB60000}"/>
    <cellStyle name="Normal 7 2 3 4 6 2" xfId="20381" xr:uid="{00000000-0005-0000-0000-0000ABB60000}"/>
    <cellStyle name="Normal 7 2 3 4 6 2 2" xfId="45934" xr:uid="{00000000-0005-0000-0000-0000ACB60000}"/>
    <cellStyle name="Normal 7 2 3 4 6 3" xfId="33557" xr:uid="{00000000-0005-0000-0000-0000ADB60000}"/>
    <cellStyle name="Normal 7 2 3 4 7" xfId="16892" xr:uid="{00000000-0005-0000-0000-0000AEB60000}"/>
    <cellStyle name="Normal 7 2 3 4 7 2" xfId="42445" xr:uid="{00000000-0005-0000-0000-0000AFB60000}"/>
    <cellStyle name="Normal 7 2 3 4 8" xfId="26864" xr:uid="{00000000-0005-0000-0000-0000B0B60000}"/>
    <cellStyle name="Normal 7 2 3 5" xfId="1202" xr:uid="{00000000-0005-0000-0000-0000B1B60000}"/>
    <cellStyle name="Normal 7 2 3 5 2" xfId="3631" xr:uid="{00000000-0005-0000-0000-0000B2B60000}"/>
    <cellStyle name="Normal 7 2 3 5 2 2" xfId="12767" xr:uid="{00000000-0005-0000-0000-0000B3B60000}"/>
    <cellStyle name="Normal 7 2 3 5 2 2 2" xfId="22986" xr:uid="{00000000-0005-0000-0000-0000B4B60000}"/>
    <cellStyle name="Normal 7 2 3 5 2 2 2 2" xfId="48539" xr:uid="{00000000-0005-0000-0000-0000B5B60000}"/>
    <cellStyle name="Normal 7 2 3 5 2 2 3" xfId="38322" xr:uid="{00000000-0005-0000-0000-0000B6B60000}"/>
    <cellStyle name="Normal 7 2 3 5 2 3" xfId="9188" xr:uid="{00000000-0005-0000-0000-0000B7B60000}"/>
    <cellStyle name="Normal 7 2 3 5 2 3 2" xfId="34745" xr:uid="{00000000-0005-0000-0000-0000B8B60000}"/>
    <cellStyle name="Normal 7 2 3 5 2 4" xfId="17979" xr:uid="{00000000-0005-0000-0000-0000B9B60000}"/>
    <cellStyle name="Normal 7 2 3 5 2 4 2" xfId="43532" xr:uid="{00000000-0005-0000-0000-0000BAB60000}"/>
    <cellStyle name="Normal 7 2 3 5 2 5" xfId="29469" xr:uid="{00000000-0005-0000-0000-0000BBB60000}"/>
    <cellStyle name="Normal 7 2 3 5 3" xfId="5294" xr:uid="{00000000-0005-0000-0000-0000BCB60000}"/>
    <cellStyle name="Normal 7 2 3 5 3 2" xfId="14131" xr:uid="{00000000-0005-0000-0000-0000BDB60000}"/>
    <cellStyle name="Normal 7 2 3 5 3 2 2" xfId="24382" xr:uid="{00000000-0005-0000-0000-0000BEB60000}"/>
    <cellStyle name="Normal 7 2 3 5 3 2 2 2" xfId="49935" xr:uid="{00000000-0005-0000-0000-0000BFB60000}"/>
    <cellStyle name="Normal 7 2 3 5 3 2 3" xfId="39686" xr:uid="{00000000-0005-0000-0000-0000C0B60000}"/>
    <cellStyle name="Normal 7 2 3 5 3 3" xfId="10552" xr:uid="{00000000-0005-0000-0000-0000C1B60000}"/>
    <cellStyle name="Normal 7 2 3 5 3 3 2" xfId="36109" xr:uid="{00000000-0005-0000-0000-0000C2B60000}"/>
    <cellStyle name="Normal 7 2 3 5 3 4" xfId="19375" xr:uid="{00000000-0005-0000-0000-0000C3B60000}"/>
    <cellStyle name="Normal 7 2 3 5 3 4 2" xfId="44928" xr:uid="{00000000-0005-0000-0000-0000C4B60000}"/>
    <cellStyle name="Normal 7 2 3 5 3 5" xfId="30865" xr:uid="{00000000-0005-0000-0000-0000C5B60000}"/>
    <cellStyle name="Normal 7 2 3 5 4" xfId="1805" xr:uid="{00000000-0005-0000-0000-0000C6B60000}"/>
    <cellStyle name="Normal 7 2 3 5 4 2" xfId="11173" xr:uid="{00000000-0005-0000-0000-0000C7B60000}"/>
    <cellStyle name="Normal 7 2 3 5 4 2 2" xfId="36728" xr:uid="{00000000-0005-0000-0000-0000C8B60000}"/>
    <cellStyle name="Normal 7 2 3 5 4 3" xfId="21177" xr:uid="{00000000-0005-0000-0000-0000C9B60000}"/>
    <cellStyle name="Normal 7 2 3 5 4 3 2" xfId="46730" xr:uid="{00000000-0005-0000-0000-0000CAB60000}"/>
    <cellStyle name="Normal 7 2 3 5 4 4" xfId="27660" xr:uid="{00000000-0005-0000-0000-0000CBB60000}"/>
    <cellStyle name="Normal 7 2 3 5 5" xfId="6749" xr:uid="{00000000-0005-0000-0000-0000CCB60000}"/>
    <cellStyle name="Normal 7 2 3 5 5 2" xfId="15576" xr:uid="{00000000-0005-0000-0000-0000CDB60000}"/>
    <cellStyle name="Normal 7 2 3 5 5 2 2" xfId="41131" xr:uid="{00000000-0005-0000-0000-0000CEB60000}"/>
    <cellStyle name="Normal 7 2 3 5 5 3" xfId="25827" xr:uid="{00000000-0005-0000-0000-0000CFB60000}"/>
    <cellStyle name="Normal 7 2 3 5 5 3 2" xfId="51380" xr:uid="{00000000-0005-0000-0000-0000D0B60000}"/>
    <cellStyle name="Normal 7 2 3 5 5 4" xfId="32310" xr:uid="{00000000-0005-0000-0000-0000D1B60000}"/>
    <cellStyle name="Normal 7 2 3 5 6" xfId="8195" xr:uid="{00000000-0005-0000-0000-0000D2B60000}"/>
    <cellStyle name="Normal 7 2 3 5 6 2" xfId="20585" xr:uid="{00000000-0005-0000-0000-0000D3B60000}"/>
    <cellStyle name="Normal 7 2 3 5 6 2 2" xfId="46138" xr:uid="{00000000-0005-0000-0000-0000D4B60000}"/>
    <cellStyle name="Normal 7 2 3 5 6 3" xfId="33752" xr:uid="{00000000-0005-0000-0000-0000D5B60000}"/>
    <cellStyle name="Normal 7 2 3 5 7" xfId="16170" xr:uid="{00000000-0005-0000-0000-0000D6B60000}"/>
    <cellStyle name="Normal 7 2 3 5 7 2" xfId="41723" xr:uid="{00000000-0005-0000-0000-0000D7B60000}"/>
    <cellStyle name="Normal 7 2 3 5 8" xfId="27068" xr:uid="{00000000-0005-0000-0000-0000D8B60000}"/>
    <cellStyle name="Normal 7 2 3 6" xfId="2699" xr:uid="{00000000-0005-0000-0000-0000D9B60000}"/>
    <cellStyle name="Normal 7 2 3 6 2" xfId="12016" xr:uid="{00000000-0005-0000-0000-0000DAB60000}"/>
    <cellStyle name="Normal 7 2 3 6 2 2" xfId="22060" xr:uid="{00000000-0005-0000-0000-0000DBB60000}"/>
    <cellStyle name="Normal 7 2 3 6 2 2 2" xfId="47613" xr:uid="{00000000-0005-0000-0000-0000DCB60000}"/>
    <cellStyle name="Normal 7 2 3 6 2 3" xfId="37571" xr:uid="{00000000-0005-0000-0000-0000DDB60000}"/>
    <cellStyle name="Normal 7 2 3 6 3" xfId="8493" xr:uid="{00000000-0005-0000-0000-0000DEB60000}"/>
    <cellStyle name="Normal 7 2 3 6 3 2" xfId="34050" xr:uid="{00000000-0005-0000-0000-0000DFB60000}"/>
    <cellStyle name="Normal 7 2 3 6 4" xfId="17053" xr:uid="{00000000-0005-0000-0000-0000E0B60000}"/>
    <cellStyle name="Normal 7 2 3 6 4 2" xfId="42606" xr:uid="{00000000-0005-0000-0000-0000E1B60000}"/>
    <cellStyle name="Normal 7 2 3 6 5" xfId="28543" xr:uid="{00000000-0005-0000-0000-0000E2B60000}"/>
    <cellStyle name="Normal 7 2 3 7" xfId="4250" xr:uid="{00000000-0005-0000-0000-0000E3B60000}"/>
    <cellStyle name="Normal 7 2 3 7 2" xfId="13088" xr:uid="{00000000-0005-0000-0000-0000E4B60000}"/>
    <cellStyle name="Normal 7 2 3 7 2 2" xfId="23339" xr:uid="{00000000-0005-0000-0000-0000E5B60000}"/>
    <cellStyle name="Normal 7 2 3 7 2 2 2" xfId="48892" xr:uid="{00000000-0005-0000-0000-0000E6B60000}"/>
    <cellStyle name="Normal 7 2 3 7 2 3" xfId="38643" xr:uid="{00000000-0005-0000-0000-0000E7B60000}"/>
    <cellStyle name="Normal 7 2 3 7 3" xfId="9509" xr:uid="{00000000-0005-0000-0000-0000E8B60000}"/>
    <cellStyle name="Normal 7 2 3 7 3 2" xfId="35066" xr:uid="{00000000-0005-0000-0000-0000E9B60000}"/>
    <cellStyle name="Normal 7 2 3 7 4" xfId="18332" xr:uid="{00000000-0005-0000-0000-0000EAB60000}"/>
    <cellStyle name="Normal 7 2 3 7 4 2" xfId="43885" xr:uid="{00000000-0005-0000-0000-0000EBB60000}"/>
    <cellStyle name="Normal 7 2 3 7 5" xfId="29822" xr:uid="{00000000-0005-0000-0000-0000ECB60000}"/>
    <cellStyle name="Normal 7 2 3 8" xfId="1522" xr:uid="{00000000-0005-0000-0000-0000EDB60000}"/>
    <cellStyle name="Normal 7 2 3 8 2" xfId="10899" xr:uid="{00000000-0005-0000-0000-0000EEB60000}"/>
    <cellStyle name="Normal 7 2 3 8 2 2" xfId="36454" xr:uid="{00000000-0005-0000-0000-0000EFB60000}"/>
    <cellStyle name="Normal 7 2 3 8 3" xfId="20903" xr:uid="{00000000-0005-0000-0000-0000F0B60000}"/>
    <cellStyle name="Normal 7 2 3 8 3 2" xfId="46456" xr:uid="{00000000-0005-0000-0000-0000F1B60000}"/>
    <cellStyle name="Normal 7 2 3 8 4" xfId="27386" xr:uid="{00000000-0005-0000-0000-0000F2B60000}"/>
    <cellStyle name="Normal 7 2 3 9" xfId="5706" xr:uid="{00000000-0005-0000-0000-0000F3B60000}"/>
    <cellStyle name="Normal 7 2 3 9 2" xfId="14533" xr:uid="{00000000-0005-0000-0000-0000F4B60000}"/>
    <cellStyle name="Normal 7 2 3 9 2 2" xfId="40088" xr:uid="{00000000-0005-0000-0000-0000F5B60000}"/>
    <cellStyle name="Normal 7 2 3 9 3" xfId="24784" xr:uid="{00000000-0005-0000-0000-0000F6B60000}"/>
    <cellStyle name="Normal 7 2 3 9 3 2" xfId="50337" xr:uid="{00000000-0005-0000-0000-0000F7B60000}"/>
    <cellStyle name="Normal 7 2 3 9 4" xfId="31267" xr:uid="{00000000-0005-0000-0000-0000F8B60000}"/>
    <cellStyle name="Normal 7 2 3_Degree data" xfId="4051" xr:uid="{00000000-0005-0000-0000-0000F9B60000}"/>
    <cellStyle name="Normal 7 2 4" xfId="239" xr:uid="{00000000-0005-0000-0000-0000FAB60000}"/>
    <cellStyle name="Normal 7 2 4 10" xfId="7077" xr:uid="{00000000-0005-0000-0000-0000FBB60000}"/>
    <cellStyle name="Normal 7 2 4 10 2" xfId="19691" xr:uid="{00000000-0005-0000-0000-0000FCB60000}"/>
    <cellStyle name="Normal 7 2 4 10 2 2" xfId="45244" xr:uid="{00000000-0005-0000-0000-0000FDB60000}"/>
    <cellStyle name="Normal 7 2 4 10 3" xfId="32634" xr:uid="{00000000-0005-0000-0000-0000FEB60000}"/>
    <cellStyle name="Normal 7 2 4 11" xfId="15823" xr:uid="{00000000-0005-0000-0000-0000FFB60000}"/>
    <cellStyle name="Normal 7 2 4 11 2" xfId="41376" xr:uid="{00000000-0005-0000-0000-000000B70000}"/>
    <cellStyle name="Normal 7 2 4 12" xfId="26174" xr:uid="{00000000-0005-0000-0000-000001B70000}"/>
    <cellStyle name="Normal 7 2 4 2" xfId="562" xr:uid="{00000000-0005-0000-0000-000002B70000}"/>
    <cellStyle name="Normal 7 2 4 2 10" xfId="26491" xr:uid="{00000000-0005-0000-0000-000003B70000}"/>
    <cellStyle name="Normal 7 2 4 2 2" xfId="948" xr:uid="{00000000-0005-0000-0000-000004B70000}"/>
    <cellStyle name="Normal 7 2 4 2 2 2" xfId="3424" xr:uid="{00000000-0005-0000-0000-000005B70000}"/>
    <cellStyle name="Normal 7 2 4 2 2 2 2" xfId="12566" xr:uid="{00000000-0005-0000-0000-000006B70000}"/>
    <cellStyle name="Normal 7 2 4 2 2 2 2 2" xfId="22785" xr:uid="{00000000-0005-0000-0000-000007B70000}"/>
    <cellStyle name="Normal 7 2 4 2 2 2 2 2 2" xfId="48338" xr:uid="{00000000-0005-0000-0000-000008B70000}"/>
    <cellStyle name="Normal 7 2 4 2 2 2 2 3" xfId="38121" xr:uid="{00000000-0005-0000-0000-000009B70000}"/>
    <cellStyle name="Normal 7 2 4 2 2 2 3" xfId="8988" xr:uid="{00000000-0005-0000-0000-00000AB70000}"/>
    <cellStyle name="Normal 7 2 4 2 2 2 3 2" xfId="34545" xr:uid="{00000000-0005-0000-0000-00000BB70000}"/>
    <cellStyle name="Normal 7 2 4 2 2 2 4" xfId="17778" xr:uid="{00000000-0005-0000-0000-00000CB70000}"/>
    <cellStyle name="Normal 7 2 4 2 2 2 4 2" xfId="43331" xr:uid="{00000000-0005-0000-0000-00000DB70000}"/>
    <cellStyle name="Normal 7 2 4 2 2 2 5" xfId="29268" xr:uid="{00000000-0005-0000-0000-00000EB70000}"/>
    <cellStyle name="Normal 7 2 4 2 2 3" xfId="4754" xr:uid="{00000000-0005-0000-0000-00000FB70000}"/>
    <cellStyle name="Normal 7 2 4 2 2 3 2" xfId="13591" xr:uid="{00000000-0005-0000-0000-000010B70000}"/>
    <cellStyle name="Normal 7 2 4 2 2 3 2 2" xfId="23842" xr:uid="{00000000-0005-0000-0000-000011B70000}"/>
    <cellStyle name="Normal 7 2 4 2 2 3 2 2 2" xfId="49395" xr:uid="{00000000-0005-0000-0000-000012B70000}"/>
    <cellStyle name="Normal 7 2 4 2 2 3 2 3" xfId="39146" xr:uid="{00000000-0005-0000-0000-000013B70000}"/>
    <cellStyle name="Normal 7 2 4 2 2 3 3" xfId="10012" xr:uid="{00000000-0005-0000-0000-000014B70000}"/>
    <cellStyle name="Normal 7 2 4 2 2 3 3 2" xfId="35569" xr:uid="{00000000-0005-0000-0000-000015B70000}"/>
    <cellStyle name="Normal 7 2 4 2 2 3 4" xfId="18835" xr:uid="{00000000-0005-0000-0000-000016B70000}"/>
    <cellStyle name="Normal 7 2 4 2 2 3 4 2" xfId="44388" xr:uid="{00000000-0005-0000-0000-000017B70000}"/>
    <cellStyle name="Normal 7 2 4 2 2 3 5" xfId="30325" xr:uid="{00000000-0005-0000-0000-000018B70000}"/>
    <cellStyle name="Normal 7 2 4 2 2 4" xfId="2533" xr:uid="{00000000-0005-0000-0000-000019B70000}"/>
    <cellStyle name="Normal 7 2 4 2 2 4 2" xfId="11898" xr:uid="{00000000-0005-0000-0000-00001AB70000}"/>
    <cellStyle name="Normal 7 2 4 2 2 4 2 2" xfId="37453" xr:uid="{00000000-0005-0000-0000-00001BB70000}"/>
    <cellStyle name="Normal 7 2 4 2 2 4 3" xfId="21902" xr:uid="{00000000-0005-0000-0000-00001CB70000}"/>
    <cellStyle name="Normal 7 2 4 2 2 4 3 2" xfId="47455" xr:uid="{00000000-0005-0000-0000-00001DB70000}"/>
    <cellStyle name="Normal 7 2 4 2 2 4 4" xfId="28385" xr:uid="{00000000-0005-0000-0000-00001EB70000}"/>
    <cellStyle name="Normal 7 2 4 2 2 5" xfId="6209" xr:uid="{00000000-0005-0000-0000-00001FB70000}"/>
    <cellStyle name="Normal 7 2 4 2 2 5 2" xfId="15036" xr:uid="{00000000-0005-0000-0000-000020B70000}"/>
    <cellStyle name="Normal 7 2 4 2 2 5 2 2" xfId="40591" xr:uid="{00000000-0005-0000-0000-000021B70000}"/>
    <cellStyle name="Normal 7 2 4 2 2 5 3" xfId="25287" xr:uid="{00000000-0005-0000-0000-000022B70000}"/>
    <cellStyle name="Normal 7 2 4 2 2 5 3 2" xfId="50840" xr:uid="{00000000-0005-0000-0000-000023B70000}"/>
    <cellStyle name="Normal 7 2 4 2 2 5 4" xfId="31770" xr:uid="{00000000-0005-0000-0000-000024B70000}"/>
    <cellStyle name="Normal 7 2 4 2 2 6" xfId="7655" xr:uid="{00000000-0005-0000-0000-000025B70000}"/>
    <cellStyle name="Normal 7 2 4 2 2 6 2" xfId="20384" xr:uid="{00000000-0005-0000-0000-000026B70000}"/>
    <cellStyle name="Normal 7 2 4 2 2 6 2 2" xfId="45937" xr:uid="{00000000-0005-0000-0000-000027B70000}"/>
    <cellStyle name="Normal 7 2 4 2 2 6 3" xfId="33212" xr:uid="{00000000-0005-0000-0000-000028B70000}"/>
    <cellStyle name="Normal 7 2 4 2 2 7" xfId="16895" xr:uid="{00000000-0005-0000-0000-000029B70000}"/>
    <cellStyle name="Normal 7 2 4 2 2 7 2" xfId="42448" xr:uid="{00000000-0005-0000-0000-00002AB70000}"/>
    <cellStyle name="Normal 7 2 4 2 2 8" xfId="26867" xr:uid="{00000000-0005-0000-0000-00002BB70000}"/>
    <cellStyle name="Normal 7 2 4 2 3" xfId="1334" xr:uid="{00000000-0005-0000-0000-00002CB70000}"/>
    <cellStyle name="Normal 7 2 4 2 3 2" xfId="3763" xr:uid="{00000000-0005-0000-0000-00002DB70000}"/>
    <cellStyle name="Normal 7 2 4 2 3 2 2" xfId="12899" xr:uid="{00000000-0005-0000-0000-00002EB70000}"/>
    <cellStyle name="Normal 7 2 4 2 3 2 2 2" xfId="23118" xr:uid="{00000000-0005-0000-0000-00002FB70000}"/>
    <cellStyle name="Normal 7 2 4 2 3 2 2 2 2" xfId="48671" xr:uid="{00000000-0005-0000-0000-000030B70000}"/>
    <cellStyle name="Normal 7 2 4 2 3 2 2 3" xfId="38454" xr:uid="{00000000-0005-0000-0000-000031B70000}"/>
    <cellStyle name="Normal 7 2 4 2 3 2 3" xfId="9320" xr:uid="{00000000-0005-0000-0000-000032B70000}"/>
    <cellStyle name="Normal 7 2 4 2 3 2 3 2" xfId="34877" xr:uid="{00000000-0005-0000-0000-000033B70000}"/>
    <cellStyle name="Normal 7 2 4 2 3 2 4" xfId="18111" xr:uid="{00000000-0005-0000-0000-000034B70000}"/>
    <cellStyle name="Normal 7 2 4 2 3 2 4 2" xfId="43664" xr:uid="{00000000-0005-0000-0000-000035B70000}"/>
    <cellStyle name="Normal 7 2 4 2 3 2 5" xfId="29601" xr:uid="{00000000-0005-0000-0000-000036B70000}"/>
    <cellStyle name="Normal 7 2 4 2 3 3" xfId="5102" xr:uid="{00000000-0005-0000-0000-000037B70000}"/>
    <cellStyle name="Normal 7 2 4 2 3 3 2" xfId="13939" xr:uid="{00000000-0005-0000-0000-000038B70000}"/>
    <cellStyle name="Normal 7 2 4 2 3 3 2 2" xfId="24190" xr:uid="{00000000-0005-0000-0000-000039B70000}"/>
    <cellStyle name="Normal 7 2 4 2 3 3 2 2 2" xfId="49743" xr:uid="{00000000-0005-0000-0000-00003AB70000}"/>
    <cellStyle name="Normal 7 2 4 2 3 3 2 3" xfId="39494" xr:uid="{00000000-0005-0000-0000-00003BB70000}"/>
    <cellStyle name="Normal 7 2 4 2 3 3 3" xfId="10360" xr:uid="{00000000-0005-0000-0000-00003CB70000}"/>
    <cellStyle name="Normal 7 2 4 2 3 3 3 2" xfId="35917" xr:uid="{00000000-0005-0000-0000-00003DB70000}"/>
    <cellStyle name="Normal 7 2 4 2 3 3 4" xfId="19183" xr:uid="{00000000-0005-0000-0000-00003EB70000}"/>
    <cellStyle name="Normal 7 2 4 2 3 3 4 2" xfId="44736" xr:uid="{00000000-0005-0000-0000-00003FB70000}"/>
    <cellStyle name="Normal 7 2 4 2 3 3 5" xfId="30673" xr:uid="{00000000-0005-0000-0000-000040B70000}"/>
    <cellStyle name="Normal 7 2 4 2 3 4" xfId="2157" xr:uid="{00000000-0005-0000-0000-000041B70000}"/>
    <cellStyle name="Normal 7 2 4 2 3 4 2" xfId="11522" xr:uid="{00000000-0005-0000-0000-000042B70000}"/>
    <cellStyle name="Normal 7 2 4 2 3 4 2 2" xfId="37077" xr:uid="{00000000-0005-0000-0000-000043B70000}"/>
    <cellStyle name="Normal 7 2 4 2 3 4 3" xfId="21526" xr:uid="{00000000-0005-0000-0000-000044B70000}"/>
    <cellStyle name="Normal 7 2 4 2 3 4 3 2" xfId="47079" xr:uid="{00000000-0005-0000-0000-000045B70000}"/>
    <cellStyle name="Normal 7 2 4 2 3 4 4" xfId="28009" xr:uid="{00000000-0005-0000-0000-000046B70000}"/>
    <cellStyle name="Normal 7 2 4 2 3 5" xfId="6557" xr:uid="{00000000-0005-0000-0000-000047B70000}"/>
    <cellStyle name="Normal 7 2 4 2 3 5 2" xfId="15384" xr:uid="{00000000-0005-0000-0000-000048B70000}"/>
    <cellStyle name="Normal 7 2 4 2 3 5 2 2" xfId="40939" xr:uid="{00000000-0005-0000-0000-000049B70000}"/>
    <cellStyle name="Normal 7 2 4 2 3 5 3" xfId="25635" xr:uid="{00000000-0005-0000-0000-00004AB70000}"/>
    <cellStyle name="Normal 7 2 4 2 3 5 3 2" xfId="51188" xr:uid="{00000000-0005-0000-0000-00004BB70000}"/>
    <cellStyle name="Normal 7 2 4 2 3 5 4" xfId="32118" xr:uid="{00000000-0005-0000-0000-00004CB70000}"/>
    <cellStyle name="Normal 7 2 4 2 3 6" xfId="8003" xr:uid="{00000000-0005-0000-0000-00004DB70000}"/>
    <cellStyle name="Normal 7 2 4 2 3 6 2" xfId="20717" xr:uid="{00000000-0005-0000-0000-00004EB70000}"/>
    <cellStyle name="Normal 7 2 4 2 3 6 2 2" xfId="46270" xr:uid="{00000000-0005-0000-0000-00004FB70000}"/>
    <cellStyle name="Normal 7 2 4 2 3 6 3" xfId="33560" xr:uid="{00000000-0005-0000-0000-000050B70000}"/>
    <cellStyle name="Normal 7 2 4 2 3 7" xfId="16519" xr:uid="{00000000-0005-0000-0000-000051B70000}"/>
    <cellStyle name="Normal 7 2 4 2 3 7 2" xfId="42072" xr:uid="{00000000-0005-0000-0000-000052B70000}"/>
    <cellStyle name="Normal 7 2 4 2 3 8" xfId="27200" xr:uid="{00000000-0005-0000-0000-000053B70000}"/>
    <cellStyle name="Normal 7 2 4 2 4" xfId="3048" xr:uid="{00000000-0005-0000-0000-000054B70000}"/>
    <cellStyle name="Normal 7 2 4 2 4 2" xfId="5426" xr:uid="{00000000-0005-0000-0000-000055B70000}"/>
    <cellStyle name="Normal 7 2 4 2 4 2 2" xfId="14263" xr:uid="{00000000-0005-0000-0000-000056B70000}"/>
    <cellStyle name="Normal 7 2 4 2 4 2 2 2" xfId="24514" xr:uid="{00000000-0005-0000-0000-000057B70000}"/>
    <cellStyle name="Normal 7 2 4 2 4 2 2 2 2" xfId="50067" xr:uid="{00000000-0005-0000-0000-000058B70000}"/>
    <cellStyle name="Normal 7 2 4 2 4 2 2 3" xfId="39818" xr:uid="{00000000-0005-0000-0000-000059B70000}"/>
    <cellStyle name="Normal 7 2 4 2 4 2 3" xfId="10684" xr:uid="{00000000-0005-0000-0000-00005AB70000}"/>
    <cellStyle name="Normal 7 2 4 2 4 2 3 2" xfId="36241" xr:uid="{00000000-0005-0000-0000-00005BB70000}"/>
    <cellStyle name="Normal 7 2 4 2 4 2 4" xfId="19507" xr:uid="{00000000-0005-0000-0000-00005CB70000}"/>
    <cellStyle name="Normal 7 2 4 2 4 2 4 2" xfId="45060" xr:uid="{00000000-0005-0000-0000-00005DB70000}"/>
    <cellStyle name="Normal 7 2 4 2 4 2 5" xfId="30997" xr:uid="{00000000-0005-0000-0000-00005EB70000}"/>
    <cellStyle name="Normal 7 2 4 2 4 3" xfId="6881" xr:uid="{00000000-0005-0000-0000-00005FB70000}"/>
    <cellStyle name="Normal 7 2 4 2 4 3 2" xfId="15708" xr:uid="{00000000-0005-0000-0000-000060B70000}"/>
    <cellStyle name="Normal 7 2 4 2 4 3 2 2" xfId="41263" xr:uid="{00000000-0005-0000-0000-000061B70000}"/>
    <cellStyle name="Normal 7 2 4 2 4 3 3" xfId="25959" xr:uid="{00000000-0005-0000-0000-000062B70000}"/>
    <cellStyle name="Normal 7 2 4 2 4 3 3 2" xfId="51512" xr:uid="{00000000-0005-0000-0000-000063B70000}"/>
    <cellStyle name="Normal 7 2 4 2 4 3 4" xfId="32442" xr:uid="{00000000-0005-0000-0000-000064B70000}"/>
    <cellStyle name="Normal 7 2 4 2 4 4" xfId="8327" xr:uid="{00000000-0005-0000-0000-000065B70000}"/>
    <cellStyle name="Normal 7 2 4 2 4 4 2" xfId="22409" xr:uid="{00000000-0005-0000-0000-000066B70000}"/>
    <cellStyle name="Normal 7 2 4 2 4 4 2 2" xfId="47962" xr:uid="{00000000-0005-0000-0000-000067B70000}"/>
    <cellStyle name="Normal 7 2 4 2 4 4 3" xfId="33884" xr:uid="{00000000-0005-0000-0000-000068B70000}"/>
    <cellStyle name="Normal 7 2 4 2 4 5" xfId="17402" xr:uid="{00000000-0005-0000-0000-000069B70000}"/>
    <cellStyle name="Normal 7 2 4 2 4 5 2" xfId="42955" xr:uid="{00000000-0005-0000-0000-00006AB70000}"/>
    <cellStyle name="Normal 7 2 4 2 4 6" xfId="28892" xr:uid="{00000000-0005-0000-0000-00006BB70000}"/>
    <cellStyle name="Normal 7 2 4 2 5" xfId="4382" xr:uid="{00000000-0005-0000-0000-00006CB70000}"/>
    <cellStyle name="Normal 7 2 4 2 5 2" xfId="13220" xr:uid="{00000000-0005-0000-0000-00006DB70000}"/>
    <cellStyle name="Normal 7 2 4 2 5 2 2" xfId="23471" xr:uid="{00000000-0005-0000-0000-00006EB70000}"/>
    <cellStyle name="Normal 7 2 4 2 5 2 2 2" xfId="49024" xr:uid="{00000000-0005-0000-0000-00006FB70000}"/>
    <cellStyle name="Normal 7 2 4 2 5 2 3" xfId="38775" xr:uid="{00000000-0005-0000-0000-000070B70000}"/>
    <cellStyle name="Normal 7 2 4 2 5 3" xfId="9641" xr:uid="{00000000-0005-0000-0000-000071B70000}"/>
    <cellStyle name="Normal 7 2 4 2 5 3 2" xfId="35198" xr:uid="{00000000-0005-0000-0000-000072B70000}"/>
    <cellStyle name="Normal 7 2 4 2 5 4" xfId="18464" xr:uid="{00000000-0005-0000-0000-000073B70000}"/>
    <cellStyle name="Normal 7 2 4 2 5 4 2" xfId="44017" xr:uid="{00000000-0005-0000-0000-000074B70000}"/>
    <cellStyle name="Normal 7 2 4 2 5 5" xfId="29954" xr:uid="{00000000-0005-0000-0000-000075B70000}"/>
    <cellStyle name="Normal 7 2 4 2 6" xfId="1654" xr:uid="{00000000-0005-0000-0000-000076B70000}"/>
    <cellStyle name="Normal 7 2 4 2 6 2" xfId="11031" xr:uid="{00000000-0005-0000-0000-000077B70000}"/>
    <cellStyle name="Normal 7 2 4 2 6 2 2" xfId="36586" xr:uid="{00000000-0005-0000-0000-000078B70000}"/>
    <cellStyle name="Normal 7 2 4 2 6 3" xfId="21035" xr:uid="{00000000-0005-0000-0000-000079B70000}"/>
    <cellStyle name="Normal 7 2 4 2 6 3 2" xfId="46588" xr:uid="{00000000-0005-0000-0000-00007AB70000}"/>
    <cellStyle name="Normal 7 2 4 2 6 4" xfId="27518" xr:uid="{00000000-0005-0000-0000-00007BB70000}"/>
    <cellStyle name="Normal 7 2 4 2 7" xfId="5838" xr:uid="{00000000-0005-0000-0000-00007CB70000}"/>
    <cellStyle name="Normal 7 2 4 2 7 2" xfId="14665" xr:uid="{00000000-0005-0000-0000-00007DB70000}"/>
    <cellStyle name="Normal 7 2 4 2 7 2 2" xfId="40220" xr:uid="{00000000-0005-0000-0000-00007EB70000}"/>
    <cellStyle name="Normal 7 2 4 2 7 3" xfId="24916" xr:uid="{00000000-0005-0000-0000-00007FB70000}"/>
    <cellStyle name="Normal 7 2 4 2 7 3 2" xfId="50469" xr:uid="{00000000-0005-0000-0000-000080B70000}"/>
    <cellStyle name="Normal 7 2 4 2 7 4" xfId="31399" xr:uid="{00000000-0005-0000-0000-000081B70000}"/>
    <cellStyle name="Normal 7 2 4 2 8" xfId="7282" xr:uid="{00000000-0005-0000-0000-000082B70000}"/>
    <cellStyle name="Normal 7 2 4 2 8 2" xfId="20008" xr:uid="{00000000-0005-0000-0000-000083B70000}"/>
    <cellStyle name="Normal 7 2 4 2 8 2 2" xfId="45561" xr:uid="{00000000-0005-0000-0000-000084B70000}"/>
    <cellStyle name="Normal 7 2 4 2 8 3" xfId="32839" xr:uid="{00000000-0005-0000-0000-000085B70000}"/>
    <cellStyle name="Normal 7 2 4 2 9" xfId="16028" xr:uid="{00000000-0005-0000-0000-000086B70000}"/>
    <cellStyle name="Normal 7 2 4 2 9 2" xfId="41581" xr:uid="{00000000-0005-0000-0000-000087B70000}"/>
    <cellStyle name="Normal 7 2 4 2_Degree data" xfId="4054" xr:uid="{00000000-0005-0000-0000-000088B70000}"/>
    <cellStyle name="Normal 7 2 4 3" xfId="357" xr:uid="{00000000-0005-0000-0000-000089B70000}"/>
    <cellStyle name="Normal 7 2 4 3 2" xfId="2843" xr:uid="{00000000-0005-0000-0000-00008AB70000}"/>
    <cellStyle name="Normal 7 2 4 3 2 2" xfId="12131" xr:uid="{00000000-0005-0000-0000-00008BB70000}"/>
    <cellStyle name="Normal 7 2 4 3 2 2 2" xfId="22204" xr:uid="{00000000-0005-0000-0000-00008CB70000}"/>
    <cellStyle name="Normal 7 2 4 3 2 2 2 2" xfId="47757" xr:uid="{00000000-0005-0000-0000-00008DB70000}"/>
    <cellStyle name="Normal 7 2 4 3 2 2 3" xfId="37686" xr:uid="{00000000-0005-0000-0000-00008EB70000}"/>
    <cellStyle name="Normal 7 2 4 3 2 3" xfId="8401" xr:uid="{00000000-0005-0000-0000-00008FB70000}"/>
    <cellStyle name="Normal 7 2 4 3 2 3 2" xfId="33958" xr:uid="{00000000-0005-0000-0000-000090B70000}"/>
    <cellStyle name="Normal 7 2 4 3 2 4" xfId="17197" xr:uid="{00000000-0005-0000-0000-000091B70000}"/>
    <cellStyle name="Normal 7 2 4 3 2 4 2" xfId="42750" xr:uid="{00000000-0005-0000-0000-000092B70000}"/>
    <cellStyle name="Normal 7 2 4 3 2 5" xfId="28687" xr:uid="{00000000-0005-0000-0000-000093B70000}"/>
    <cellStyle name="Normal 7 2 4 3 3" xfId="4753" xr:uid="{00000000-0005-0000-0000-000094B70000}"/>
    <cellStyle name="Normal 7 2 4 3 3 2" xfId="13590" xr:uid="{00000000-0005-0000-0000-000095B70000}"/>
    <cellStyle name="Normal 7 2 4 3 3 2 2" xfId="23841" xr:uid="{00000000-0005-0000-0000-000096B70000}"/>
    <cellStyle name="Normal 7 2 4 3 3 2 2 2" xfId="49394" xr:uid="{00000000-0005-0000-0000-000097B70000}"/>
    <cellStyle name="Normal 7 2 4 3 3 2 3" xfId="39145" xr:uid="{00000000-0005-0000-0000-000098B70000}"/>
    <cellStyle name="Normal 7 2 4 3 3 3" xfId="10011" xr:uid="{00000000-0005-0000-0000-000099B70000}"/>
    <cellStyle name="Normal 7 2 4 3 3 3 2" xfId="35568" xr:uid="{00000000-0005-0000-0000-00009AB70000}"/>
    <cellStyle name="Normal 7 2 4 3 3 4" xfId="18834" xr:uid="{00000000-0005-0000-0000-00009BB70000}"/>
    <cellStyle name="Normal 7 2 4 3 3 4 2" xfId="44387" xr:uid="{00000000-0005-0000-0000-00009CB70000}"/>
    <cellStyle name="Normal 7 2 4 3 3 5" xfId="30324" xr:uid="{00000000-0005-0000-0000-00009DB70000}"/>
    <cellStyle name="Normal 7 2 4 3 4" xfId="1952" xr:uid="{00000000-0005-0000-0000-00009EB70000}"/>
    <cellStyle name="Normal 7 2 4 3 4 2" xfId="11317" xr:uid="{00000000-0005-0000-0000-00009FB70000}"/>
    <cellStyle name="Normal 7 2 4 3 4 2 2" xfId="36872" xr:uid="{00000000-0005-0000-0000-0000A0B70000}"/>
    <cellStyle name="Normal 7 2 4 3 4 3" xfId="21321" xr:uid="{00000000-0005-0000-0000-0000A1B70000}"/>
    <cellStyle name="Normal 7 2 4 3 4 3 2" xfId="46874" xr:uid="{00000000-0005-0000-0000-0000A2B70000}"/>
    <cellStyle name="Normal 7 2 4 3 4 4" xfId="27804" xr:uid="{00000000-0005-0000-0000-0000A3B70000}"/>
    <cellStyle name="Normal 7 2 4 3 5" xfId="6208" xr:uid="{00000000-0005-0000-0000-0000A4B70000}"/>
    <cellStyle name="Normal 7 2 4 3 5 2" xfId="15035" xr:uid="{00000000-0005-0000-0000-0000A5B70000}"/>
    <cellStyle name="Normal 7 2 4 3 5 2 2" xfId="40590" xr:uid="{00000000-0005-0000-0000-0000A6B70000}"/>
    <cellStyle name="Normal 7 2 4 3 5 3" xfId="25286" xr:uid="{00000000-0005-0000-0000-0000A7B70000}"/>
    <cellStyle name="Normal 7 2 4 3 5 3 2" xfId="50839" xr:uid="{00000000-0005-0000-0000-0000A8B70000}"/>
    <cellStyle name="Normal 7 2 4 3 5 4" xfId="31769" xr:uid="{00000000-0005-0000-0000-0000A9B70000}"/>
    <cellStyle name="Normal 7 2 4 3 6" xfId="7654" xr:uid="{00000000-0005-0000-0000-0000AAB70000}"/>
    <cellStyle name="Normal 7 2 4 3 6 2" xfId="19803" xr:uid="{00000000-0005-0000-0000-0000ABB70000}"/>
    <cellStyle name="Normal 7 2 4 3 6 2 2" xfId="45356" xr:uid="{00000000-0005-0000-0000-0000ACB70000}"/>
    <cellStyle name="Normal 7 2 4 3 6 3" xfId="33211" xr:uid="{00000000-0005-0000-0000-0000ADB70000}"/>
    <cellStyle name="Normal 7 2 4 3 7" xfId="16314" xr:uid="{00000000-0005-0000-0000-0000AEB70000}"/>
    <cellStyle name="Normal 7 2 4 3 7 2" xfId="41867" xr:uid="{00000000-0005-0000-0000-0000AFB70000}"/>
    <cellStyle name="Normal 7 2 4 3 8" xfId="26286" xr:uid="{00000000-0005-0000-0000-0000B0B70000}"/>
    <cellStyle name="Normal 7 2 4 4" xfId="947" xr:uid="{00000000-0005-0000-0000-0000B1B70000}"/>
    <cellStyle name="Normal 7 2 4 4 2" xfId="3423" xr:uid="{00000000-0005-0000-0000-0000B2B70000}"/>
    <cellStyle name="Normal 7 2 4 4 2 2" xfId="12565" xr:uid="{00000000-0005-0000-0000-0000B3B70000}"/>
    <cellStyle name="Normal 7 2 4 4 2 2 2" xfId="22784" xr:uid="{00000000-0005-0000-0000-0000B4B70000}"/>
    <cellStyle name="Normal 7 2 4 4 2 2 2 2" xfId="48337" xr:uid="{00000000-0005-0000-0000-0000B5B70000}"/>
    <cellStyle name="Normal 7 2 4 4 2 2 3" xfId="38120" xr:uid="{00000000-0005-0000-0000-0000B6B70000}"/>
    <cellStyle name="Normal 7 2 4 4 2 3" xfId="8987" xr:uid="{00000000-0005-0000-0000-0000B7B70000}"/>
    <cellStyle name="Normal 7 2 4 4 2 3 2" xfId="34544" xr:uid="{00000000-0005-0000-0000-0000B8B70000}"/>
    <cellStyle name="Normal 7 2 4 4 2 4" xfId="17777" xr:uid="{00000000-0005-0000-0000-0000B9B70000}"/>
    <cellStyle name="Normal 7 2 4 4 2 4 2" xfId="43330" xr:uid="{00000000-0005-0000-0000-0000BAB70000}"/>
    <cellStyle name="Normal 7 2 4 4 2 5" xfId="29267" xr:uid="{00000000-0005-0000-0000-0000BBB70000}"/>
    <cellStyle name="Normal 7 2 4 4 3" xfId="5101" xr:uid="{00000000-0005-0000-0000-0000BCB70000}"/>
    <cellStyle name="Normal 7 2 4 4 3 2" xfId="13938" xr:uid="{00000000-0005-0000-0000-0000BDB70000}"/>
    <cellStyle name="Normal 7 2 4 4 3 2 2" xfId="24189" xr:uid="{00000000-0005-0000-0000-0000BEB70000}"/>
    <cellStyle name="Normal 7 2 4 4 3 2 2 2" xfId="49742" xr:uid="{00000000-0005-0000-0000-0000BFB70000}"/>
    <cellStyle name="Normal 7 2 4 4 3 2 3" xfId="39493" xr:uid="{00000000-0005-0000-0000-0000C0B70000}"/>
    <cellStyle name="Normal 7 2 4 4 3 3" xfId="10359" xr:uid="{00000000-0005-0000-0000-0000C1B70000}"/>
    <cellStyle name="Normal 7 2 4 4 3 3 2" xfId="35916" xr:uid="{00000000-0005-0000-0000-0000C2B70000}"/>
    <cellStyle name="Normal 7 2 4 4 3 4" xfId="19182" xr:uid="{00000000-0005-0000-0000-0000C3B70000}"/>
    <cellStyle name="Normal 7 2 4 4 3 4 2" xfId="44735" xr:uid="{00000000-0005-0000-0000-0000C4B70000}"/>
    <cellStyle name="Normal 7 2 4 4 3 5" xfId="30672" xr:uid="{00000000-0005-0000-0000-0000C5B70000}"/>
    <cellStyle name="Normal 7 2 4 4 4" xfId="2532" xr:uid="{00000000-0005-0000-0000-0000C6B70000}"/>
    <cellStyle name="Normal 7 2 4 4 4 2" xfId="11897" xr:uid="{00000000-0005-0000-0000-0000C7B70000}"/>
    <cellStyle name="Normal 7 2 4 4 4 2 2" xfId="37452" xr:uid="{00000000-0005-0000-0000-0000C8B70000}"/>
    <cellStyle name="Normal 7 2 4 4 4 3" xfId="21901" xr:uid="{00000000-0005-0000-0000-0000C9B70000}"/>
    <cellStyle name="Normal 7 2 4 4 4 3 2" xfId="47454" xr:uid="{00000000-0005-0000-0000-0000CAB70000}"/>
    <cellStyle name="Normal 7 2 4 4 4 4" xfId="28384" xr:uid="{00000000-0005-0000-0000-0000CBB70000}"/>
    <cellStyle name="Normal 7 2 4 4 5" xfId="6556" xr:uid="{00000000-0005-0000-0000-0000CCB70000}"/>
    <cellStyle name="Normal 7 2 4 4 5 2" xfId="15383" xr:uid="{00000000-0005-0000-0000-0000CDB70000}"/>
    <cellStyle name="Normal 7 2 4 4 5 2 2" xfId="40938" xr:uid="{00000000-0005-0000-0000-0000CEB70000}"/>
    <cellStyle name="Normal 7 2 4 4 5 3" xfId="25634" xr:uid="{00000000-0005-0000-0000-0000CFB70000}"/>
    <cellStyle name="Normal 7 2 4 4 5 3 2" xfId="51187" xr:uid="{00000000-0005-0000-0000-0000D0B70000}"/>
    <cellStyle name="Normal 7 2 4 4 5 4" xfId="32117" xr:uid="{00000000-0005-0000-0000-0000D1B70000}"/>
    <cellStyle name="Normal 7 2 4 4 6" xfId="8002" xr:uid="{00000000-0005-0000-0000-0000D2B70000}"/>
    <cellStyle name="Normal 7 2 4 4 6 2" xfId="20383" xr:uid="{00000000-0005-0000-0000-0000D3B70000}"/>
    <cellStyle name="Normal 7 2 4 4 6 2 2" xfId="45936" xr:uid="{00000000-0005-0000-0000-0000D4B70000}"/>
    <cellStyle name="Normal 7 2 4 4 6 3" xfId="33559" xr:uid="{00000000-0005-0000-0000-0000D5B70000}"/>
    <cellStyle name="Normal 7 2 4 4 7" xfId="16894" xr:uid="{00000000-0005-0000-0000-0000D6B70000}"/>
    <cellStyle name="Normal 7 2 4 4 7 2" xfId="42447" xr:uid="{00000000-0005-0000-0000-0000D7B70000}"/>
    <cellStyle name="Normal 7 2 4 4 8" xfId="26866" xr:uid="{00000000-0005-0000-0000-0000D8B70000}"/>
    <cellStyle name="Normal 7 2 4 5" xfId="1129" xr:uid="{00000000-0005-0000-0000-0000D9B70000}"/>
    <cellStyle name="Normal 7 2 4 5 2" xfId="3558" xr:uid="{00000000-0005-0000-0000-0000DAB70000}"/>
    <cellStyle name="Normal 7 2 4 5 2 2" xfId="12694" xr:uid="{00000000-0005-0000-0000-0000DBB70000}"/>
    <cellStyle name="Normal 7 2 4 5 2 2 2" xfId="22913" xr:uid="{00000000-0005-0000-0000-0000DCB70000}"/>
    <cellStyle name="Normal 7 2 4 5 2 2 2 2" xfId="48466" xr:uid="{00000000-0005-0000-0000-0000DDB70000}"/>
    <cellStyle name="Normal 7 2 4 5 2 2 3" xfId="38249" xr:uid="{00000000-0005-0000-0000-0000DEB70000}"/>
    <cellStyle name="Normal 7 2 4 5 2 3" xfId="9115" xr:uid="{00000000-0005-0000-0000-0000DFB70000}"/>
    <cellStyle name="Normal 7 2 4 5 2 3 2" xfId="34672" xr:uid="{00000000-0005-0000-0000-0000E0B70000}"/>
    <cellStyle name="Normal 7 2 4 5 2 4" xfId="17906" xr:uid="{00000000-0005-0000-0000-0000E1B70000}"/>
    <cellStyle name="Normal 7 2 4 5 2 4 2" xfId="43459" xr:uid="{00000000-0005-0000-0000-0000E2B70000}"/>
    <cellStyle name="Normal 7 2 4 5 2 5" xfId="29396" xr:uid="{00000000-0005-0000-0000-0000E3B70000}"/>
    <cellStyle name="Normal 7 2 4 5 3" xfId="5221" xr:uid="{00000000-0005-0000-0000-0000E4B70000}"/>
    <cellStyle name="Normal 7 2 4 5 3 2" xfId="14058" xr:uid="{00000000-0005-0000-0000-0000E5B70000}"/>
    <cellStyle name="Normal 7 2 4 5 3 2 2" xfId="24309" xr:uid="{00000000-0005-0000-0000-0000E6B70000}"/>
    <cellStyle name="Normal 7 2 4 5 3 2 2 2" xfId="49862" xr:uid="{00000000-0005-0000-0000-0000E7B70000}"/>
    <cellStyle name="Normal 7 2 4 5 3 2 3" xfId="39613" xr:uid="{00000000-0005-0000-0000-0000E8B70000}"/>
    <cellStyle name="Normal 7 2 4 5 3 3" xfId="10479" xr:uid="{00000000-0005-0000-0000-0000E9B70000}"/>
    <cellStyle name="Normal 7 2 4 5 3 3 2" xfId="36036" xr:uid="{00000000-0005-0000-0000-0000EAB70000}"/>
    <cellStyle name="Normal 7 2 4 5 3 4" xfId="19302" xr:uid="{00000000-0005-0000-0000-0000EBB70000}"/>
    <cellStyle name="Normal 7 2 4 5 3 4 2" xfId="44855" xr:uid="{00000000-0005-0000-0000-0000ECB70000}"/>
    <cellStyle name="Normal 7 2 4 5 3 5" xfId="30792" xr:uid="{00000000-0005-0000-0000-0000EDB70000}"/>
    <cellStyle name="Normal 7 2 4 5 4" xfId="1837" xr:uid="{00000000-0005-0000-0000-0000EEB70000}"/>
    <cellStyle name="Normal 7 2 4 5 4 2" xfId="11205" xr:uid="{00000000-0005-0000-0000-0000EFB70000}"/>
    <cellStyle name="Normal 7 2 4 5 4 2 2" xfId="36760" xr:uid="{00000000-0005-0000-0000-0000F0B70000}"/>
    <cellStyle name="Normal 7 2 4 5 4 3" xfId="21209" xr:uid="{00000000-0005-0000-0000-0000F1B70000}"/>
    <cellStyle name="Normal 7 2 4 5 4 3 2" xfId="46762" xr:uid="{00000000-0005-0000-0000-0000F2B70000}"/>
    <cellStyle name="Normal 7 2 4 5 4 4" xfId="27692" xr:uid="{00000000-0005-0000-0000-0000F3B70000}"/>
    <cellStyle name="Normal 7 2 4 5 5" xfId="6676" xr:uid="{00000000-0005-0000-0000-0000F4B70000}"/>
    <cellStyle name="Normal 7 2 4 5 5 2" xfId="15503" xr:uid="{00000000-0005-0000-0000-0000F5B70000}"/>
    <cellStyle name="Normal 7 2 4 5 5 2 2" xfId="41058" xr:uid="{00000000-0005-0000-0000-0000F6B70000}"/>
    <cellStyle name="Normal 7 2 4 5 5 3" xfId="25754" xr:uid="{00000000-0005-0000-0000-0000F7B70000}"/>
    <cellStyle name="Normal 7 2 4 5 5 3 2" xfId="51307" xr:uid="{00000000-0005-0000-0000-0000F8B70000}"/>
    <cellStyle name="Normal 7 2 4 5 5 4" xfId="32237" xr:uid="{00000000-0005-0000-0000-0000F9B70000}"/>
    <cellStyle name="Normal 7 2 4 5 6" xfId="8122" xr:uid="{00000000-0005-0000-0000-0000FAB70000}"/>
    <cellStyle name="Normal 7 2 4 5 6 2" xfId="20512" xr:uid="{00000000-0005-0000-0000-0000FBB70000}"/>
    <cellStyle name="Normal 7 2 4 5 6 2 2" xfId="46065" xr:uid="{00000000-0005-0000-0000-0000FCB70000}"/>
    <cellStyle name="Normal 7 2 4 5 6 3" xfId="33679" xr:uid="{00000000-0005-0000-0000-0000FDB70000}"/>
    <cellStyle name="Normal 7 2 4 5 7" xfId="16202" xr:uid="{00000000-0005-0000-0000-0000FEB70000}"/>
    <cellStyle name="Normal 7 2 4 5 7 2" xfId="41755" xr:uid="{00000000-0005-0000-0000-0000FFB70000}"/>
    <cellStyle name="Normal 7 2 4 5 8" xfId="26995" xr:uid="{00000000-0005-0000-0000-000000B80000}"/>
    <cellStyle name="Normal 7 2 4 6" xfId="2731" xr:uid="{00000000-0005-0000-0000-000001B80000}"/>
    <cellStyle name="Normal 7 2 4 6 2" xfId="12048" xr:uid="{00000000-0005-0000-0000-000002B80000}"/>
    <cellStyle name="Normal 7 2 4 6 2 2" xfId="22092" xr:uid="{00000000-0005-0000-0000-000003B80000}"/>
    <cellStyle name="Normal 7 2 4 6 2 2 2" xfId="47645" xr:uid="{00000000-0005-0000-0000-000004B80000}"/>
    <cellStyle name="Normal 7 2 4 6 2 3" xfId="37603" xr:uid="{00000000-0005-0000-0000-000005B80000}"/>
    <cellStyle name="Normal 7 2 4 6 3" xfId="8486" xr:uid="{00000000-0005-0000-0000-000006B80000}"/>
    <cellStyle name="Normal 7 2 4 6 3 2" xfId="34043" xr:uid="{00000000-0005-0000-0000-000007B80000}"/>
    <cellStyle name="Normal 7 2 4 6 4" xfId="17085" xr:uid="{00000000-0005-0000-0000-000008B80000}"/>
    <cellStyle name="Normal 7 2 4 6 4 2" xfId="42638" xr:uid="{00000000-0005-0000-0000-000009B80000}"/>
    <cellStyle name="Normal 7 2 4 6 5" xfId="28575" xr:uid="{00000000-0005-0000-0000-00000AB80000}"/>
    <cellStyle name="Normal 7 2 4 7" xfId="4177" xr:uid="{00000000-0005-0000-0000-00000BB80000}"/>
    <cellStyle name="Normal 7 2 4 7 2" xfId="13015" xr:uid="{00000000-0005-0000-0000-00000CB80000}"/>
    <cellStyle name="Normal 7 2 4 7 2 2" xfId="23266" xr:uid="{00000000-0005-0000-0000-00000DB80000}"/>
    <cellStyle name="Normal 7 2 4 7 2 2 2" xfId="48819" xr:uid="{00000000-0005-0000-0000-00000EB80000}"/>
    <cellStyle name="Normal 7 2 4 7 2 3" xfId="38570" xr:uid="{00000000-0005-0000-0000-00000FB80000}"/>
    <cellStyle name="Normal 7 2 4 7 3" xfId="9436" xr:uid="{00000000-0005-0000-0000-000010B80000}"/>
    <cellStyle name="Normal 7 2 4 7 3 2" xfId="34993" xr:uid="{00000000-0005-0000-0000-000011B80000}"/>
    <cellStyle name="Normal 7 2 4 7 4" xfId="18259" xr:uid="{00000000-0005-0000-0000-000012B80000}"/>
    <cellStyle name="Normal 7 2 4 7 4 2" xfId="43812" xr:uid="{00000000-0005-0000-0000-000013B80000}"/>
    <cellStyle name="Normal 7 2 4 7 5" xfId="29749" xr:uid="{00000000-0005-0000-0000-000014B80000}"/>
    <cellStyle name="Normal 7 2 4 8" xfId="1449" xr:uid="{00000000-0005-0000-0000-000015B80000}"/>
    <cellStyle name="Normal 7 2 4 8 2" xfId="10826" xr:uid="{00000000-0005-0000-0000-000016B80000}"/>
    <cellStyle name="Normal 7 2 4 8 2 2" xfId="36381" xr:uid="{00000000-0005-0000-0000-000017B80000}"/>
    <cellStyle name="Normal 7 2 4 8 3" xfId="20830" xr:uid="{00000000-0005-0000-0000-000018B80000}"/>
    <cellStyle name="Normal 7 2 4 8 3 2" xfId="46383" xr:uid="{00000000-0005-0000-0000-000019B80000}"/>
    <cellStyle name="Normal 7 2 4 8 4" xfId="27313" xr:uid="{00000000-0005-0000-0000-00001AB80000}"/>
    <cellStyle name="Normal 7 2 4 9" xfId="5633" xr:uid="{00000000-0005-0000-0000-00001BB80000}"/>
    <cellStyle name="Normal 7 2 4 9 2" xfId="14460" xr:uid="{00000000-0005-0000-0000-00001CB80000}"/>
    <cellStyle name="Normal 7 2 4 9 2 2" xfId="40015" xr:uid="{00000000-0005-0000-0000-00001DB80000}"/>
    <cellStyle name="Normal 7 2 4 9 3" xfId="24711" xr:uid="{00000000-0005-0000-0000-00001EB80000}"/>
    <cellStyle name="Normal 7 2 4 9 3 2" xfId="50264" xr:uid="{00000000-0005-0000-0000-00001FB80000}"/>
    <cellStyle name="Normal 7 2 4 9 4" xfId="31194" xr:uid="{00000000-0005-0000-0000-000020B80000}"/>
    <cellStyle name="Normal 7 2 4_Degree data" xfId="4053" xr:uid="{00000000-0005-0000-0000-000021B80000}"/>
    <cellStyle name="Normal 7 2 5" xfId="457" xr:uid="{00000000-0005-0000-0000-000022B80000}"/>
    <cellStyle name="Normal 7 2 5 10" xfId="26386" xr:uid="{00000000-0005-0000-0000-000023B80000}"/>
    <cellStyle name="Normal 7 2 5 2" xfId="949" xr:uid="{00000000-0005-0000-0000-000024B80000}"/>
    <cellStyle name="Normal 7 2 5 2 2" xfId="3425" xr:uid="{00000000-0005-0000-0000-000025B80000}"/>
    <cellStyle name="Normal 7 2 5 2 2 2" xfId="12567" xr:uid="{00000000-0005-0000-0000-000026B80000}"/>
    <cellStyle name="Normal 7 2 5 2 2 2 2" xfId="22786" xr:uid="{00000000-0005-0000-0000-000027B80000}"/>
    <cellStyle name="Normal 7 2 5 2 2 2 2 2" xfId="48339" xr:uid="{00000000-0005-0000-0000-000028B80000}"/>
    <cellStyle name="Normal 7 2 5 2 2 2 3" xfId="38122" xr:uid="{00000000-0005-0000-0000-000029B80000}"/>
    <cellStyle name="Normal 7 2 5 2 2 3" xfId="8989" xr:uid="{00000000-0005-0000-0000-00002AB80000}"/>
    <cellStyle name="Normal 7 2 5 2 2 3 2" xfId="34546" xr:uid="{00000000-0005-0000-0000-00002BB80000}"/>
    <cellStyle name="Normal 7 2 5 2 2 4" xfId="17779" xr:uid="{00000000-0005-0000-0000-00002CB80000}"/>
    <cellStyle name="Normal 7 2 5 2 2 4 2" xfId="43332" xr:uid="{00000000-0005-0000-0000-00002DB80000}"/>
    <cellStyle name="Normal 7 2 5 2 2 5" xfId="29269" xr:uid="{00000000-0005-0000-0000-00002EB80000}"/>
    <cellStyle name="Normal 7 2 5 2 3" xfId="4755" xr:uid="{00000000-0005-0000-0000-00002FB80000}"/>
    <cellStyle name="Normal 7 2 5 2 3 2" xfId="13592" xr:uid="{00000000-0005-0000-0000-000030B80000}"/>
    <cellStyle name="Normal 7 2 5 2 3 2 2" xfId="23843" xr:uid="{00000000-0005-0000-0000-000031B80000}"/>
    <cellStyle name="Normal 7 2 5 2 3 2 2 2" xfId="49396" xr:uid="{00000000-0005-0000-0000-000032B80000}"/>
    <cellStyle name="Normal 7 2 5 2 3 2 3" xfId="39147" xr:uid="{00000000-0005-0000-0000-000033B80000}"/>
    <cellStyle name="Normal 7 2 5 2 3 3" xfId="10013" xr:uid="{00000000-0005-0000-0000-000034B80000}"/>
    <cellStyle name="Normal 7 2 5 2 3 3 2" xfId="35570" xr:uid="{00000000-0005-0000-0000-000035B80000}"/>
    <cellStyle name="Normal 7 2 5 2 3 4" xfId="18836" xr:uid="{00000000-0005-0000-0000-000036B80000}"/>
    <cellStyle name="Normal 7 2 5 2 3 4 2" xfId="44389" xr:uid="{00000000-0005-0000-0000-000037B80000}"/>
    <cellStyle name="Normal 7 2 5 2 3 5" xfId="30326" xr:uid="{00000000-0005-0000-0000-000038B80000}"/>
    <cellStyle name="Normal 7 2 5 2 4" xfId="2534" xr:uid="{00000000-0005-0000-0000-000039B80000}"/>
    <cellStyle name="Normal 7 2 5 2 4 2" xfId="11899" xr:uid="{00000000-0005-0000-0000-00003AB80000}"/>
    <cellStyle name="Normal 7 2 5 2 4 2 2" xfId="37454" xr:uid="{00000000-0005-0000-0000-00003BB80000}"/>
    <cellStyle name="Normal 7 2 5 2 4 3" xfId="21903" xr:uid="{00000000-0005-0000-0000-00003CB80000}"/>
    <cellStyle name="Normal 7 2 5 2 4 3 2" xfId="47456" xr:uid="{00000000-0005-0000-0000-00003DB80000}"/>
    <cellStyle name="Normal 7 2 5 2 4 4" xfId="28386" xr:uid="{00000000-0005-0000-0000-00003EB80000}"/>
    <cellStyle name="Normal 7 2 5 2 5" xfId="6210" xr:uid="{00000000-0005-0000-0000-00003FB80000}"/>
    <cellStyle name="Normal 7 2 5 2 5 2" xfId="15037" xr:uid="{00000000-0005-0000-0000-000040B80000}"/>
    <cellStyle name="Normal 7 2 5 2 5 2 2" xfId="40592" xr:uid="{00000000-0005-0000-0000-000041B80000}"/>
    <cellStyle name="Normal 7 2 5 2 5 3" xfId="25288" xr:uid="{00000000-0005-0000-0000-000042B80000}"/>
    <cellStyle name="Normal 7 2 5 2 5 3 2" xfId="50841" xr:uid="{00000000-0005-0000-0000-000043B80000}"/>
    <cellStyle name="Normal 7 2 5 2 5 4" xfId="31771" xr:uid="{00000000-0005-0000-0000-000044B80000}"/>
    <cellStyle name="Normal 7 2 5 2 6" xfId="7656" xr:uid="{00000000-0005-0000-0000-000045B80000}"/>
    <cellStyle name="Normal 7 2 5 2 6 2" xfId="20385" xr:uid="{00000000-0005-0000-0000-000046B80000}"/>
    <cellStyle name="Normal 7 2 5 2 6 2 2" xfId="45938" xr:uid="{00000000-0005-0000-0000-000047B80000}"/>
    <cellStyle name="Normal 7 2 5 2 6 3" xfId="33213" xr:uid="{00000000-0005-0000-0000-000048B80000}"/>
    <cellStyle name="Normal 7 2 5 2 7" xfId="16896" xr:uid="{00000000-0005-0000-0000-000049B80000}"/>
    <cellStyle name="Normal 7 2 5 2 7 2" xfId="42449" xr:uid="{00000000-0005-0000-0000-00004AB80000}"/>
    <cellStyle name="Normal 7 2 5 2 8" xfId="26868" xr:uid="{00000000-0005-0000-0000-00004BB80000}"/>
    <cellStyle name="Normal 7 2 5 3" xfId="1229" xr:uid="{00000000-0005-0000-0000-00004CB80000}"/>
    <cellStyle name="Normal 7 2 5 3 2" xfId="3658" xr:uid="{00000000-0005-0000-0000-00004DB80000}"/>
    <cellStyle name="Normal 7 2 5 3 2 2" xfId="12794" xr:uid="{00000000-0005-0000-0000-00004EB80000}"/>
    <cellStyle name="Normal 7 2 5 3 2 2 2" xfId="23013" xr:uid="{00000000-0005-0000-0000-00004FB80000}"/>
    <cellStyle name="Normal 7 2 5 3 2 2 2 2" xfId="48566" xr:uid="{00000000-0005-0000-0000-000050B80000}"/>
    <cellStyle name="Normal 7 2 5 3 2 2 3" xfId="38349" xr:uid="{00000000-0005-0000-0000-000051B80000}"/>
    <cellStyle name="Normal 7 2 5 3 2 3" xfId="9215" xr:uid="{00000000-0005-0000-0000-000052B80000}"/>
    <cellStyle name="Normal 7 2 5 3 2 3 2" xfId="34772" xr:uid="{00000000-0005-0000-0000-000053B80000}"/>
    <cellStyle name="Normal 7 2 5 3 2 4" xfId="18006" xr:uid="{00000000-0005-0000-0000-000054B80000}"/>
    <cellStyle name="Normal 7 2 5 3 2 4 2" xfId="43559" xr:uid="{00000000-0005-0000-0000-000055B80000}"/>
    <cellStyle name="Normal 7 2 5 3 2 5" xfId="29496" xr:uid="{00000000-0005-0000-0000-000056B80000}"/>
    <cellStyle name="Normal 7 2 5 3 3" xfId="5103" xr:uid="{00000000-0005-0000-0000-000057B80000}"/>
    <cellStyle name="Normal 7 2 5 3 3 2" xfId="13940" xr:uid="{00000000-0005-0000-0000-000058B80000}"/>
    <cellStyle name="Normal 7 2 5 3 3 2 2" xfId="24191" xr:uid="{00000000-0005-0000-0000-000059B80000}"/>
    <cellStyle name="Normal 7 2 5 3 3 2 2 2" xfId="49744" xr:uid="{00000000-0005-0000-0000-00005AB80000}"/>
    <cellStyle name="Normal 7 2 5 3 3 2 3" xfId="39495" xr:uid="{00000000-0005-0000-0000-00005BB80000}"/>
    <cellStyle name="Normal 7 2 5 3 3 3" xfId="10361" xr:uid="{00000000-0005-0000-0000-00005CB80000}"/>
    <cellStyle name="Normal 7 2 5 3 3 3 2" xfId="35918" xr:uid="{00000000-0005-0000-0000-00005DB80000}"/>
    <cellStyle name="Normal 7 2 5 3 3 4" xfId="19184" xr:uid="{00000000-0005-0000-0000-00005EB80000}"/>
    <cellStyle name="Normal 7 2 5 3 3 4 2" xfId="44737" xr:uid="{00000000-0005-0000-0000-00005FB80000}"/>
    <cellStyle name="Normal 7 2 5 3 3 5" xfId="30674" xr:uid="{00000000-0005-0000-0000-000060B80000}"/>
    <cellStyle name="Normal 7 2 5 3 4" xfId="2052" xr:uid="{00000000-0005-0000-0000-000061B80000}"/>
    <cellStyle name="Normal 7 2 5 3 4 2" xfId="11417" xr:uid="{00000000-0005-0000-0000-000062B80000}"/>
    <cellStyle name="Normal 7 2 5 3 4 2 2" xfId="36972" xr:uid="{00000000-0005-0000-0000-000063B80000}"/>
    <cellStyle name="Normal 7 2 5 3 4 3" xfId="21421" xr:uid="{00000000-0005-0000-0000-000064B80000}"/>
    <cellStyle name="Normal 7 2 5 3 4 3 2" xfId="46974" xr:uid="{00000000-0005-0000-0000-000065B80000}"/>
    <cellStyle name="Normal 7 2 5 3 4 4" xfId="27904" xr:uid="{00000000-0005-0000-0000-000066B80000}"/>
    <cellStyle name="Normal 7 2 5 3 5" xfId="6558" xr:uid="{00000000-0005-0000-0000-000067B80000}"/>
    <cellStyle name="Normal 7 2 5 3 5 2" xfId="15385" xr:uid="{00000000-0005-0000-0000-000068B80000}"/>
    <cellStyle name="Normal 7 2 5 3 5 2 2" xfId="40940" xr:uid="{00000000-0005-0000-0000-000069B80000}"/>
    <cellStyle name="Normal 7 2 5 3 5 3" xfId="25636" xr:uid="{00000000-0005-0000-0000-00006AB80000}"/>
    <cellStyle name="Normal 7 2 5 3 5 3 2" xfId="51189" xr:uid="{00000000-0005-0000-0000-00006BB80000}"/>
    <cellStyle name="Normal 7 2 5 3 5 4" xfId="32119" xr:uid="{00000000-0005-0000-0000-00006CB80000}"/>
    <cellStyle name="Normal 7 2 5 3 6" xfId="8004" xr:uid="{00000000-0005-0000-0000-00006DB80000}"/>
    <cellStyle name="Normal 7 2 5 3 6 2" xfId="20612" xr:uid="{00000000-0005-0000-0000-00006EB80000}"/>
    <cellStyle name="Normal 7 2 5 3 6 2 2" xfId="46165" xr:uid="{00000000-0005-0000-0000-00006FB80000}"/>
    <cellStyle name="Normal 7 2 5 3 6 3" xfId="33561" xr:uid="{00000000-0005-0000-0000-000070B80000}"/>
    <cellStyle name="Normal 7 2 5 3 7" xfId="16414" xr:uid="{00000000-0005-0000-0000-000071B80000}"/>
    <cellStyle name="Normal 7 2 5 3 7 2" xfId="41967" xr:uid="{00000000-0005-0000-0000-000072B80000}"/>
    <cellStyle name="Normal 7 2 5 3 8" xfId="27095" xr:uid="{00000000-0005-0000-0000-000073B80000}"/>
    <cellStyle name="Normal 7 2 5 4" xfId="2943" xr:uid="{00000000-0005-0000-0000-000074B80000}"/>
    <cellStyle name="Normal 7 2 5 4 2" xfId="5321" xr:uid="{00000000-0005-0000-0000-000075B80000}"/>
    <cellStyle name="Normal 7 2 5 4 2 2" xfId="14158" xr:uid="{00000000-0005-0000-0000-000076B80000}"/>
    <cellStyle name="Normal 7 2 5 4 2 2 2" xfId="24409" xr:uid="{00000000-0005-0000-0000-000077B80000}"/>
    <cellStyle name="Normal 7 2 5 4 2 2 2 2" xfId="49962" xr:uid="{00000000-0005-0000-0000-000078B80000}"/>
    <cellStyle name="Normal 7 2 5 4 2 2 3" xfId="39713" xr:uid="{00000000-0005-0000-0000-000079B80000}"/>
    <cellStyle name="Normal 7 2 5 4 2 3" xfId="10579" xr:uid="{00000000-0005-0000-0000-00007AB80000}"/>
    <cellStyle name="Normal 7 2 5 4 2 3 2" xfId="36136" xr:uid="{00000000-0005-0000-0000-00007BB80000}"/>
    <cellStyle name="Normal 7 2 5 4 2 4" xfId="19402" xr:uid="{00000000-0005-0000-0000-00007CB80000}"/>
    <cellStyle name="Normal 7 2 5 4 2 4 2" xfId="44955" xr:uid="{00000000-0005-0000-0000-00007DB80000}"/>
    <cellStyle name="Normal 7 2 5 4 2 5" xfId="30892" xr:uid="{00000000-0005-0000-0000-00007EB80000}"/>
    <cellStyle name="Normal 7 2 5 4 3" xfId="6776" xr:uid="{00000000-0005-0000-0000-00007FB80000}"/>
    <cellStyle name="Normal 7 2 5 4 3 2" xfId="15603" xr:uid="{00000000-0005-0000-0000-000080B80000}"/>
    <cellStyle name="Normal 7 2 5 4 3 2 2" xfId="41158" xr:uid="{00000000-0005-0000-0000-000081B80000}"/>
    <cellStyle name="Normal 7 2 5 4 3 3" xfId="25854" xr:uid="{00000000-0005-0000-0000-000082B80000}"/>
    <cellStyle name="Normal 7 2 5 4 3 3 2" xfId="51407" xr:uid="{00000000-0005-0000-0000-000083B80000}"/>
    <cellStyle name="Normal 7 2 5 4 3 4" xfId="32337" xr:uid="{00000000-0005-0000-0000-000084B80000}"/>
    <cellStyle name="Normal 7 2 5 4 4" xfId="8222" xr:uid="{00000000-0005-0000-0000-000085B80000}"/>
    <cellStyle name="Normal 7 2 5 4 4 2" xfId="22304" xr:uid="{00000000-0005-0000-0000-000086B80000}"/>
    <cellStyle name="Normal 7 2 5 4 4 2 2" xfId="47857" xr:uid="{00000000-0005-0000-0000-000087B80000}"/>
    <cellStyle name="Normal 7 2 5 4 4 3" xfId="33779" xr:uid="{00000000-0005-0000-0000-000088B80000}"/>
    <cellStyle name="Normal 7 2 5 4 5" xfId="17297" xr:uid="{00000000-0005-0000-0000-000089B80000}"/>
    <cellStyle name="Normal 7 2 5 4 5 2" xfId="42850" xr:uid="{00000000-0005-0000-0000-00008AB80000}"/>
    <cellStyle name="Normal 7 2 5 4 6" xfId="28787" xr:uid="{00000000-0005-0000-0000-00008BB80000}"/>
    <cellStyle name="Normal 7 2 5 5" xfId="4277" xr:uid="{00000000-0005-0000-0000-00008CB80000}"/>
    <cellStyle name="Normal 7 2 5 5 2" xfId="13115" xr:uid="{00000000-0005-0000-0000-00008DB80000}"/>
    <cellStyle name="Normal 7 2 5 5 2 2" xfId="23366" xr:uid="{00000000-0005-0000-0000-00008EB80000}"/>
    <cellStyle name="Normal 7 2 5 5 2 2 2" xfId="48919" xr:uid="{00000000-0005-0000-0000-00008FB80000}"/>
    <cellStyle name="Normal 7 2 5 5 2 3" xfId="38670" xr:uid="{00000000-0005-0000-0000-000090B80000}"/>
    <cellStyle name="Normal 7 2 5 5 3" xfId="9536" xr:uid="{00000000-0005-0000-0000-000091B80000}"/>
    <cellStyle name="Normal 7 2 5 5 3 2" xfId="35093" xr:uid="{00000000-0005-0000-0000-000092B80000}"/>
    <cellStyle name="Normal 7 2 5 5 4" xfId="18359" xr:uid="{00000000-0005-0000-0000-000093B80000}"/>
    <cellStyle name="Normal 7 2 5 5 4 2" xfId="43912" xr:uid="{00000000-0005-0000-0000-000094B80000}"/>
    <cellStyle name="Normal 7 2 5 5 5" xfId="29849" xr:uid="{00000000-0005-0000-0000-000095B80000}"/>
    <cellStyle name="Normal 7 2 5 6" xfId="1549" xr:uid="{00000000-0005-0000-0000-000096B80000}"/>
    <cellStyle name="Normal 7 2 5 6 2" xfId="10926" xr:uid="{00000000-0005-0000-0000-000097B80000}"/>
    <cellStyle name="Normal 7 2 5 6 2 2" xfId="36481" xr:uid="{00000000-0005-0000-0000-000098B80000}"/>
    <cellStyle name="Normal 7 2 5 6 3" xfId="20930" xr:uid="{00000000-0005-0000-0000-000099B80000}"/>
    <cellStyle name="Normal 7 2 5 6 3 2" xfId="46483" xr:uid="{00000000-0005-0000-0000-00009AB80000}"/>
    <cellStyle name="Normal 7 2 5 6 4" xfId="27413" xr:uid="{00000000-0005-0000-0000-00009BB80000}"/>
    <cellStyle name="Normal 7 2 5 7" xfId="5733" xr:uid="{00000000-0005-0000-0000-00009CB80000}"/>
    <cellStyle name="Normal 7 2 5 7 2" xfId="14560" xr:uid="{00000000-0005-0000-0000-00009DB80000}"/>
    <cellStyle name="Normal 7 2 5 7 2 2" xfId="40115" xr:uid="{00000000-0005-0000-0000-00009EB80000}"/>
    <cellStyle name="Normal 7 2 5 7 3" xfId="24811" xr:uid="{00000000-0005-0000-0000-00009FB80000}"/>
    <cellStyle name="Normal 7 2 5 7 3 2" xfId="50364" xr:uid="{00000000-0005-0000-0000-0000A0B80000}"/>
    <cellStyle name="Normal 7 2 5 7 4" xfId="31294" xr:uid="{00000000-0005-0000-0000-0000A1B80000}"/>
    <cellStyle name="Normal 7 2 5 8" xfId="7177" xr:uid="{00000000-0005-0000-0000-0000A2B80000}"/>
    <cellStyle name="Normal 7 2 5 8 2" xfId="19903" xr:uid="{00000000-0005-0000-0000-0000A3B80000}"/>
    <cellStyle name="Normal 7 2 5 8 2 2" xfId="45456" xr:uid="{00000000-0005-0000-0000-0000A4B80000}"/>
    <cellStyle name="Normal 7 2 5 8 3" xfId="32734" xr:uid="{00000000-0005-0000-0000-0000A5B80000}"/>
    <cellStyle name="Normal 7 2 5 9" xfId="15923" xr:uid="{00000000-0005-0000-0000-0000A6B80000}"/>
    <cellStyle name="Normal 7 2 5 9 2" xfId="41476" xr:uid="{00000000-0005-0000-0000-0000A7B80000}"/>
    <cellStyle name="Normal 7 2 5_Degree data" xfId="4055" xr:uid="{00000000-0005-0000-0000-0000A8B80000}"/>
    <cellStyle name="Normal 7 2 6" xfId="330" xr:uid="{00000000-0005-0000-0000-0000A9B80000}"/>
    <cellStyle name="Normal 7 2 6 10" xfId="26259" xr:uid="{00000000-0005-0000-0000-0000AAB80000}"/>
    <cellStyle name="Normal 7 2 6 2" xfId="950" xr:uid="{00000000-0005-0000-0000-0000ABB80000}"/>
    <cellStyle name="Normal 7 2 6 2 2" xfId="3426" xr:uid="{00000000-0005-0000-0000-0000ACB80000}"/>
    <cellStyle name="Normal 7 2 6 2 2 2" xfId="12568" xr:uid="{00000000-0005-0000-0000-0000ADB80000}"/>
    <cellStyle name="Normal 7 2 6 2 2 2 2" xfId="22787" xr:uid="{00000000-0005-0000-0000-0000AEB80000}"/>
    <cellStyle name="Normal 7 2 6 2 2 2 2 2" xfId="48340" xr:uid="{00000000-0005-0000-0000-0000AFB80000}"/>
    <cellStyle name="Normal 7 2 6 2 2 2 3" xfId="38123" xr:uid="{00000000-0005-0000-0000-0000B0B80000}"/>
    <cellStyle name="Normal 7 2 6 2 2 3" xfId="8990" xr:uid="{00000000-0005-0000-0000-0000B1B80000}"/>
    <cellStyle name="Normal 7 2 6 2 2 3 2" xfId="34547" xr:uid="{00000000-0005-0000-0000-0000B2B80000}"/>
    <cellStyle name="Normal 7 2 6 2 2 4" xfId="17780" xr:uid="{00000000-0005-0000-0000-0000B3B80000}"/>
    <cellStyle name="Normal 7 2 6 2 2 4 2" xfId="43333" xr:uid="{00000000-0005-0000-0000-0000B4B80000}"/>
    <cellStyle name="Normal 7 2 6 2 2 5" xfId="29270" xr:uid="{00000000-0005-0000-0000-0000B5B80000}"/>
    <cellStyle name="Normal 7 2 6 2 3" xfId="4756" xr:uid="{00000000-0005-0000-0000-0000B6B80000}"/>
    <cellStyle name="Normal 7 2 6 2 3 2" xfId="13593" xr:uid="{00000000-0005-0000-0000-0000B7B80000}"/>
    <cellStyle name="Normal 7 2 6 2 3 2 2" xfId="23844" xr:uid="{00000000-0005-0000-0000-0000B8B80000}"/>
    <cellStyle name="Normal 7 2 6 2 3 2 2 2" xfId="49397" xr:uid="{00000000-0005-0000-0000-0000B9B80000}"/>
    <cellStyle name="Normal 7 2 6 2 3 2 3" xfId="39148" xr:uid="{00000000-0005-0000-0000-0000BAB80000}"/>
    <cellStyle name="Normal 7 2 6 2 3 3" xfId="10014" xr:uid="{00000000-0005-0000-0000-0000BBB80000}"/>
    <cellStyle name="Normal 7 2 6 2 3 3 2" xfId="35571" xr:uid="{00000000-0005-0000-0000-0000BCB80000}"/>
    <cellStyle name="Normal 7 2 6 2 3 4" xfId="18837" xr:uid="{00000000-0005-0000-0000-0000BDB80000}"/>
    <cellStyle name="Normal 7 2 6 2 3 4 2" xfId="44390" xr:uid="{00000000-0005-0000-0000-0000BEB80000}"/>
    <cellStyle name="Normal 7 2 6 2 3 5" xfId="30327" xr:uid="{00000000-0005-0000-0000-0000BFB80000}"/>
    <cellStyle name="Normal 7 2 6 2 4" xfId="2535" xr:uid="{00000000-0005-0000-0000-0000C0B80000}"/>
    <cellStyle name="Normal 7 2 6 2 4 2" xfId="11900" xr:uid="{00000000-0005-0000-0000-0000C1B80000}"/>
    <cellStyle name="Normal 7 2 6 2 4 2 2" xfId="37455" xr:uid="{00000000-0005-0000-0000-0000C2B80000}"/>
    <cellStyle name="Normal 7 2 6 2 4 3" xfId="21904" xr:uid="{00000000-0005-0000-0000-0000C3B80000}"/>
    <cellStyle name="Normal 7 2 6 2 4 3 2" xfId="47457" xr:uid="{00000000-0005-0000-0000-0000C4B80000}"/>
    <cellStyle name="Normal 7 2 6 2 4 4" xfId="28387" xr:uid="{00000000-0005-0000-0000-0000C5B80000}"/>
    <cellStyle name="Normal 7 2 6 2 5" xfId="6211" xr:uid="{00000000-0005-0000-0000-0000C6B80000}"/>
    <cellStyle name="Normal 7 2 6 2 5 2" xfId="15038" xr:uid="{00000000-0005-0000-0000-0000C7B80000}"/>
    <cellStyle name="Normal 7 2 6 2 5 2 2" xfId="40593" xr:uid="{00000000-0005-0000-0000-0000C8B80000}"/>
    <cellStyle name="Normal 7 2 6 2 5 3" xfId="25289" xr:uid="{00000000-0005-0000-0000-0000C9B80000}"/>
    <cellStyle name="Normal 7 2 6 2 5 3 2" xfId="50842" xr:uid="{00000000-0005-0000-0000-0000CAB80000}"/>
    <cellStyle name="Normal 7 2 6 2 5 4" xfId="31772" xr:uid="{00000000-0005-0000-0000-0000CBB80000}"/>
    <cellStyle name="Normal 7 2 6 2 6" xfId="7657" xr:uid="{00000000-0005-0000-0000-0000CCB80000}"/>
    <cellStyle name="Normal 7 2 6 2 6 2" xfId="20386" xr:uid="{00000000-0005-0000-0000-0000CDB80000}"/>
    <cellStyle name="Normal 7 2 6 2 6 2 2" xfId="45939" xr:uid="{00000000-0005-0000-0000-0000CEB80000}"/>
    <cellStyle name="Normal 7 2 6 2 6 3" xfId="33214" xr:uid="{00000000-0005-0000-0000-0000CFB80000}"/>
    <cellStyle name="Normal 7 2 6 2 7" xfId="16897" xr:uid="{00000000-0005-0000-0000-0000D0B80000}"/>
    <cellStyle name="Normal 7 2 6 2 7 2" xfId="42450" xr:uid="{00000000-0005-0000-0000-0000D1B80000}"/>
    <cellStyle name="Normal 7 2 6 2 8" xfId="26869" xr:uid="{00000000-0005-0000-0000-0000D2B80000}"/>
    <cellStyle name="Normal 7 2 6 3" xfId="1102" xr:uid="{00000000-0005-0000-0000-0000D3B80000}"/>
    <cellStyle name="Normal 7 2 6 3 2" xfId="3531" xr:uid="{00000000-0005-0000-0000-0000D4B80000}"/>
    <cellStyle name="Normal 7 2 6 3 2 2" xfId="12667" xr:uid="{00000000-0005-0000-0000-0000D5B80000}"/>
    <cellStyle name="Normal 7 2 6 3 2 2 2" xfId="22886" xr:uid="{00000000-0005-0000-0000-0000D6B80000}"/>
    <cellStyle name="Normal 7 2 6 3 2 2 2 2" xfId="48439" xr:uid="{00000000-0005-0000-0000-0000D7B80000}"/>
    <cellStyle name="Normal 7 2 6 3 2 2 3" xfId="38222" xr:uid="{00000000-0005-0000-0000-0000D8B80000}"/>
    <cellStyle name="Normal 7 2 6 3 2 3" xfId="9088" xr:uid="{00000000-0005-0000-0000-0000D9B80000}"/>
    <cellStyle name="Normal 7 2 6 3 2 3 2" xfId="34645" xr:uid="{00000000-0005-0000-0000-0000DAB80000}"/>
    <cellStyle name="Normal 7 2 6 3 2 4" xfId="17879" xr:uid="{00000000-0005-0000-0000-0000DBB80000}"/>
    <cellStyle name="Normal 7 2 6 3 2 4 2" xfId="43432" xr:uid="{00000000-0005-0000-0000-0000DCB80000}"/>
    <cellStyle name="Normal 7 2 6 3 2 5" xfId="29369" xr:uid="{00000000-0005-0000-0000-0000DDB80000}"/>
    <cellStyle name="Normal 7 2 6 3 3" xfId="5104" xr:uid="{00000000-0005-0000-0000-0000DEB80000}"/>
    <cellStyle name="Normal 7 2 6 3 3 2" xfId="13941" xr:uid="{00000000-0005-0000-0000-0000DFB80000}"/>
    <cellStyle name="Normal 7 2 6 3 3 2 2" xfId="24192" xr:uid="{00000000-0005-0000-0000-0000E0B80000}"/>
    <cellStyle name="Normal 7 2 6 3 3 2 2 2" xfId="49745" xr:uid="{00000000-0005-0000-0000-0000E1B80000}"/>
    <cellStyle name="Normal 7 2 6 3 3 2 3" xfId="39496" xr:uid="{00000000-0005-0000-0000-0000E2B80000}"/>
    <cellStyle name="Normal 7 2 6 3 3 3" xfId="10362" xr:uid="{00000000-0005-0000-0000-0000E3B80000}"/>
    <cellStyle name="Normal 7 2 6 3 3 3 2" xfId="35919" xr:uid="{00000000-0005-0000-0000-0000E4B80000}"/>
    <cellStyle name="Normal 7 2 6 3 3 4" xfId="19185" xr:uid="{00000000-0005-0000-0000-0000E5B80000}"/>
    <cellStyle name="Normal 7 2 6 3 3 4 2" xfId="44738" xr:uid="{00000000-0005-0000-0000-0000E6B80000}"/>
    <cellStyle name="Normal 7 2 6 3 3 5" xfId="30675" xr:uid="{00000000-0005-0000-0000-0000E7B80000}"/>
    <cellStyle name="Normal 7 2 6 3 4" xfId="2598" xr:uid="{00000000-0005-0000-0000-0000E8B80000}"/>
    <cellStyle name="Normal 7 2 6 3 4 2" xfId="11962" xr:uid="{00000000-0005-0000-0000-0000E9B80000}"/>
    <cellStyle name="Normal 7 2 6 3 4 2 2" xfId="37517" xr:uid="{00000000-0005-0000-0000-0000EAB80000}"/>
    <cellStyle name="Normal 7 2 6 3 4 3" xfId="21966" xr:uid="{00000000-0005-0000-0000-0000EBB80000}"/>
    <cellStyle name="Normal 7 2 6 3 4 3 2" xfId="47519" xr:uid="{00000000-0005-0000-0000-0000ECB80000}"/>
    <cellStyle name="Normal 7 2 6 3 4 4" xfId="28449" xr:uid="{00000000-0005-0000-0000-0000EDB80000}"/>
    <cellStyle name="Normal 7 2 6 3 5" xfId="6559" xr:uid="{00000000-0005-0000-0000-0000EEB80000}"/>
    <cellStyle name="Normal 7 2 6 3 5 2" xfId="15386" xr:uid="{00000000-0005-0000-0000-0000EFB80000}"/>
    <cellStyle name="Normal 7 2 6 3 5 2 2" xfId="40941" xr:uid="{00000000-0005-0000-0000-0000F0B80000}"/>
    <cellStyle name="Normal 7 2 6 3 5 3" xfId="25637" xr:uid="{00000000-0005-0000-0000-0000F1B80000}"/>
    <cellStyle name="Normal 7 2 6 3 5 3 2" xfId="51190" xr:uid="{00000000-0005-0000-0000-0000F2B80000}"/>
    <cellStyle name="Normal 7 2 6 3 5 4" xfId="32120" xr:uid="{00000000-0005-0000-0000-0000F3B80000}"/>
    <cellStyle name="Normal 7 2 6 3 6" xfId="8005" xr:uid="{00000000-0005-0000-0000-0000F4B80000}"/>
    <cellStyle name="Normal 7 2 6 3 6 2" xfId="20485" xr:uid="{00000000-0005-0000-0000-0000F5B80000}"/>
    <cellStyle name="Normal 7 2 6 3 6 2 2" xfId="46038" xr:uid="{00000000-0005-0000-0000-0000F6B80000}"/>
    <cellStyle name="Normal 7 2 6 3 6 3" xfId="33562" xr:uid="{00000000-0005-0000-0000-0000F7B80000}"/>
    <cellStyle name="Normal 7 2 6 3 7" xfId="16959" xr:uid="{00000000-0005-0000-0000-0000F8B80000}"/>
    <cellStyle name="Normal 7 2 6 3 7 2" xfId="42512" xr:uid="{00000000-0005-0000-0000-0000F9B80000}"/>
    <cellStyle name="Normal 7 2 6 3 8" xfId="26968" xr:uid="{00000000-0005-0000-0000-0000FAB80000}"/>
    <cellStyle name="Normal 7 2 6 4" xfId="2816" xr:uid="{00000000-0005-0000-0000-0000FBB80000}"/>
    <cellStyle name="Normal 7 2 6 4 2" xfId="5194" xr:uid="{00000000-0005-0000-0000-0000FCB80000}"/>
    <cellStyle name="Normal 7 2 6 4 2 2" xfId="14031" xr:uid="{00000000-0005-0000-0000-0000FDB80000}"/>
    <cellStyle name="Normal 7 2 6 4 2 2 2" xfId="24282" xr:uid="{00000000-0005-0000-0000-0000FEB80000}"/>
    <cellStyle name="Normal 7 2 6 4 2 2 2 2" xfId="49835" xr:uid="{00000000-0005-0000-0000-0000FFB80000}"/>
    <cellStyle name="Normal 7 2 6 4 2 2 3" xfId="39586" xr:uid="{00000000-0005-0000-0000-000000B90000}"/>
    <cellStyle name="Normal 7 2 6 4 2 3" xfId="10452" xr:uid="{00000000-0005-0000-0000-000001B90000}"/>
    <cellStyle name="Normal 7 2 6 4 2 3 2" xfId="36009" xr:uid="{00000000-0005-0000-0000-000002B90000}"/>
    <cellStyle name="Normal 7 2 6 4 2 4" xfId="19275" xr:uid="{00000000-0005-0000-0000-000003B90000}"/>
    <cellStyle name="Normal 7 2 6 4 2 4 2" xfId="44828" xr:uid="{00000000-0005-0000-0000-000004B90000}"/>
    <cellStyle name="Normal 7 2 6 4 2 5" xfId="30765" xr:uid="{00000000-0005-0000-0000-000005B90000}"/>
    <cellStyle name="Normal 7 2 6 4 3" xfId="6649" xr:uid="{00000000-0005-0000-0000-000006B90000}"/>
    <cellStyle name="Normal 7 2 6 4 3 2" xfId="15476" xr:uid="{00000000-0005-0000-0000-000007B90000}"/>
    <cellStyle name="Normal 7 2 6 4 3 2 2" xfId="41031" xr:uid="{00000000-0005-0000-0000-000008B90000}"/>
    <cellStyle name="Normal 7 2 6 4 3 3" xfId="25727" xr:uid="{00000000-0005-0000-0000-000009B90000}"/>
    <cellStyle name="Normal 7 2 6 4 3 3 2" xfId="51280" xr:uid="{00000000-0005-0000-0000-00000AB90000}"/>
    <cellStyle name="Normal 7 2 6 4 3 4" xfId="32210" xr:uid="{00000000-0005-0000-0000-00000BB90000}"/>
    <cellStyle name="Normal 7 2 6 4 4" xfId="8095" xr:uid="{00000000-0005-0000-0000-00000CB90000}"/>
    <cellStyle name="Normal 7 2 6 4 4 2" xfId="22177" xr:uid="{00000000-0005-0000-0000-00000DB90000}"/>
    <cellStyle name="Normal 7 2 6 4 4 2 2" xfId="47730" xr:uid="{00000000-0005-0000-0000-00000EB90000}"/>
    <cellStyle name="Normal 7 2 6 4 4 3" xfId="33652" xr:uid="{00000000-0005-0000-0000-00000FB90000}"/>
    <cellStyle name="Normal 7 2 6 4 5" xfId="17170" xr:uid="{00000000-0005-0000-0000-000010B90000}"/>
    <cellStyle name="Normal 7 2 6 4 5 2" xfId="42723" xr:uid="{00000000-0005-0000-0000-000011B90000}"/>
    <cellStyle name="Normal 7 2 6 4 6" xfId="28660" xr:uid="{00000000-0005-0000-0000-000012B90000}"/>
    <cellStyle name="Normal 7 2 6 5" xfId="4148" xr:uid="{00000000-0005-0000-0000-000013B90000}"/>
    <cellStyle name="Normal 7 2 6 5 2" xfId="12986" xr:uid="{00000000-0005-0000-0000-000014B90000}"/>
    <cellStyle name="Normal 7 2 6 5 2 2" xfId="23237" xr:uid="{00000000-0005-0000-0000-000015B90000}"/>
    <cellStyle name="Normal 7 2 6 5 2 2 2" xfId="48790" xr:uid="{00000000-0005-0000-0000-000016B90000}"/>
    <cellStyle name="Normal 7 2 6 5 2 3" xfId="38541" xr:uid="{00000000-0005-0000-0000-000017B90000}"/>
    <cellStyle name="Normal 7 2 6 5 3" xfId="9407" xr:uid="{00000000-0005-0000-0000-000018B90000}"/>
    <cellStyle name="Normal 7 2 6 5 3 2" xfId="34964" xr:uid="{00000000-0005-0000-0000-000019B90000}"/>
    <cellStyle name="Normal 7 2 6 5 4" xfId="18230" xr:uid="{00000000-0005-0000-0000-00001AB90000}"/>
    <cellStyle name="Normal 7 2 6 5 4 2" xfId="43783" xr:uid="{00000000-0005-0000-0000-00001BB90000}"/>
    <cellStyle name="Normal 7 2 6 5 5" xfId="29720" xr:uid="{00000000-0005-0000-0000-00001CB90000}"/>
    <cellStyle name="Normal 7 2 6 6" xfId="1925" xr:uid="{00000000-0005-0000-0000-00001DB90000}"/>
    <cellStyle name="Normal 7 2 6 6 2" xfId="11290" xr:uid="{00000000-0005-0000-0000-00001EB90000}"/>
    <cellStyle name="Normal 7 2 6 6 2 2" xfId="36845" xr:uid="{00000000-0005-0000-0000-00001FB90000}"/>
    <cellStyle name="Normal 7 2 6 6 3" xfId="21294" xr:uid="{00000000-0005-0000-0000-000020B90000}"/>
    <cellStyle name="Normal 7 2 6 6 3 2" xfId="46847" xr:uid="{00000000-0005-0000-0000-000021B90000}"/>
    <cellStyle name="Normal 7 2 6 6 4" xfId="27777" xr:uid="{00000000-0005-0000-0000-000022B90000}"/>
    <cellStyle name="Normal 7 2 6 7" xfId="5606" xr:uid="{00000000-0005-0000-0000-000023B90000}"/>
    <cellStyle name="Normal 7 2 6 7 2" xfId="14433" xr:uid="{00000000-0005-0000-0000-000024B90000}"/>
    <cellStyle name="Normal 7 2 6 7 2 2" xfId="39988" xr:uid="{00000000-0005-0000-0000-000025B90000}"/>
    <cellStyle name="Normal 7 2 6 7 3" xfId="24684" xr:uid="{00000000-0005-0000-0000-000026B90000}"/>
    <cellStyle name="Normal 7 2 6 7 3 2" xfId="50237" xr:uid="{00000000-0005-0000-0000-000027B90000}"/>
    <cellStyle name="Normal 7 2 6 7 4" xfId="31167" xr:uid="{00000000-0005-0000-0000-000028B90000}"/>
    <cellStyle name="Normal 7 2 6 8" xfId="7050" xr:uid="{00000000-0005-0000-0000-000029B90000}"/>
    <cellStyle name="Normal 7 2 6 8 2" xfId="19776" xr:uid="{00000000-0005-0000-0000-00002AB90000}"/>
    <cellStyle name="Normal 7 2 6 8 2 2" xfId="45329" xr:uid="{00000000-0005-0000-0000-00002BB90000}"/>
    <cellStyle name="Normal 7 2 6 8 3" xfId="32607" xr:uid="{00000000-0005-0000-0000-00002CB90000}"/>
    <cellStyle name="Normal 7 2 6 9" xfId="16287" xr:uid="{00000000-0005-0000-0000-00002DB90000}"/>
    <cellStyle name="Normal 7 2 6 9 2" xfId="41840" xr:uid="{00000000-0005-0000-0000-00002EB90000}"/>
    <cellStyle name="Normal 7 2 6_Degree data" xfId="4056" xr:uid="{00000000-0005-0000-0000-00002FB90000}"/>
    <cellStyle name="Normal 7 2 7" xfId="941" xr:uid="{00000000-0005-0000-0000-000030B90000}"/>
    <cellStyle name="Normal 7 2 7 2" xfId="3417" xr:uid="{00000000-0005-0000-0000-000031B90000}"/>
    <cellStyle name="Normal 7 2 7 2 2" xfId="12559" xr:uid="{00000000-0005-0000-0000-000032B90000}"/>
    <cellStyle name="Normal 7 2 7 2 2 2" xfId="22778" xr:uid="{00000000-0005-0000-0000-000033B90000}"/>
    <cellStyle name="Normal 7 2 7 2 2 2 2" xfId="48331" xr:uid="{00000000-0005-0000-0000-000034B90000}"/>
    <cellStyle name="Normal 7 2 7 2 2 3" xfId="38114" xr:uid="{00000000-0005-0000-0000-000035B90000}"/>
    <cellStyle name="Normal 7 2 7 2 3" xfId="8981" xr:uid="{00000000-0005-0000-0000-000036B90000}"/>
    <cellStyle name="Normal 7 2 7 2 3 2" xfId="34538" xr:uid="{00000000-0005-0000-0000-000037B90000}"/>
    <cellStyle name="Normal 7 2 7 2 4" xfId="17771" xr:uid="{00000000-0005-0000-0000-000038B90000}"/>
    <cellStyle name="Normal 7 2 7 2 4 2" xfId="43324" xr:uid="{00000000-0005-0000-0000-000039B90000}"/>
    <cellStyle name="Normal 7 2 7 2 5" xfId="29261" xr:uid="{00000000-0005-0000-0000-00003AB90000}"/>
    <cellStyle name="Normal 7 2 7 3" xfId="4747" xr:uid="{00000000-0005-0000-0000-00003BB90000}"/>
    <cellStyle name="Normal 7 2 7 3 2" xfId="13584" xr:uid="{00000000-0005-0000-0000-00003CB90000}"/>
    <cellStyle name="Normal 7 2 7 3 2 2" xfId="23835" xr:uid="{00000000-0005-0000-0000-00003DB90000}"/>
    <cellStyle name="Normal 7 2 7 3 2 2 2" xfId="49388" xr:uid="{00000000-0005-0000-0000-00003EB90000}"/>
    <cellStyle name="Normal 7 2 7 3 2 3" xfId="39139" xr:uid="{00000000-0005-0000-0000-00003FB90000}"/>
    <cellStyle name="Normal 7 2 7 3 3" xfId="10005" xr:uid="{00000000-0005-0000-0000-000040B90000}"/>
    <cellStyle name="Normal 7 2 7 3 3 2" xfId="35562" xr:uid="{00000000-0005-0000-0000-000041B90000}"/>
    <cellStyle name="Normal 7 2 7 3 4" xfId="18828" xr:uid="{00000000-0005-0000-0000-000042B90000}"/>
    <cellStyle name="Normal 7 2 7 3 4 2" xfId="44381" xr:uid="{00000000-0005-0000-0000-000043B90000}"/>
    <cellStyle name="Normal 7 2 7 3 5" xfId="30318" xr:uid="{00000000-0005-0000-0000-000044B90000}"/>
    <cellStyle name="Normal 7 2 7 4" xfId="2526" xr:uid="{00000000-0005-0000-0000-000045B90000}"/>
    <cellStyle name="Normal 7 2 7 4 2" xfId="11891" xr:uid="{00000000-0005-0000-0000-000046B90000}"/>
    <cellStyle name="Normal 7 2 7 4 2 2" xfId="37446" xr:uid="{00000000-0005-0000-0000-000047B90000}"/>
    <cellStyle name="Normal 7 2 7 4 3" xfId="21895" xr:uid="{00000000-0005-0000-0000-000048B90000}"/>
    <cellStyle name="Normal 7 2 7 4 3 2" xfId="47448" xr:uid="{00000000-0005-0000-0000-000049B90000}"/>
    <cellStyle name="Normal 7 2 7 4 4" xfId="28378" xr:uid="{00000000-0005-0000-0000-00004AB90000}"/>
    <cellStyle name="Normal 7 2 7 5" xfId="6202" xr:uid="{00000000-0005-0000-0000-00004BB90000}"/>
    <cellStyle name="Normal 7 2 7 5 2" xfId="15029" xr:uid="{00000000-0005-0000-0000-00004CB90000}"/>
    <cellStyle name="Normal 7 2 7 5 2 2" xfId="40584" xr:uid="{00000000-0005-0000-0000-00004DB90000}"/>
    <cellStyle name="Normal 7 2 7 5 3" xfId="25280" xr:uid="{00000000-0005-0000-0000-00004EB90000}"/>
    <cellStyle name="Normal 7 2 7 5 3 2" xfId="50833" xr:uid="{00000000-0005-0000-0000-00004FB90000}"/>
    <cellStyle name="Normal 7 2 7 5 4" xfId="31763" xr:uid="{00000000-0005-0000-0000-000050B90000}"/>
    <cellStyle name="Normal 7 2 7 6" xfId="7648" xr:uid="{00000000-0005-0000-0000-000051B90000}"/>
    <cellStyle name="Normal 7 2 7 6 2" xfId="20377" xr:uid="{00000000-0005-0000-0000-000052B90000}"/>
    <cellStyle name="Normal 7 2 7 6 2 2" xfId="45930" xr:uid="{00000000-0005-0000-0000-000053B90000}"/>
    <cellStyle name="Normal 7 2 7 6 3" xfId="33205" xr:uid="{00000000-0005-0000-0000-000054B90000}"/>
    <cellStyle name="Normal 7 2 7 7" xfId="16888" xr:uid="{00000000-0005-0000-0000-000055B90000}"/>
    <cellStyle name="Normal 7 2 7 7 2" xfId="42441" xr:uid="{00000000-0005-0000-0000-000056B90000}"/>
    <cellStyle name="Normal 7 2 7 8" xfId="26860" xr:uid="{00000000-0005-0000-0000-000057B90000}"/>
    <cellStyle name="Normal 7 2 8" xfId="1057" xr:uid="{00000000-0005-0000-0000-000058B90000}"/>
    <cellStyle name="Normal 7 2 8 2" xfId="3486" xr:uid="{00000000-0005-0000-0000-000059B90000}"/>
    <cellStyle name="Normal 7 2 8 2 2" xfId="12622" xr:uid="{00000000-0005-0000-0000-00005AB90000}"/>
    <cellStyle name="Normal 7 2 8 2 2 2" xfId="22841" xr:uid="{00000000-0005-0000-0000-00005BB90000}"/>
    <cellStyle name="Normal 7 2 8 2 2 2 2" xfId="48394" xr:uid="{00000000-0005-0000-0000-00005CB90000}"/>
    <cellStyle name="Normal 7 2 8 2 2 3" xfId="38177" xr:uid="{00000000-0005-0000-0000-00005DB90000}"/>
    <cellStyle name="Normal 7 2 8 2 3" xfId="9044" xr:uid="{00000000-0005-0000-0000-00005EB90000}"/>
    <cellStyle name="Normal 7 2 8 2 3 2" xfId="34601" xr:uid="{00000000-0005-0000-0000-00005FB90000}"/>
    <cellStyle name="Normal 7 2 8 2 4" xfId="17834" xr:uid="{00000000-0005-0000-0000-000060B90000}"/>
    <cellStyle name="Normal 7 2 8 2 4 2" xfId="43387" xr:uid="{00000000-0005-0000-0000-000061B90000}"/>
    <cellStyle name="Normal 7 2 8 2 5" xfId="29324" xr:uid="{00000000-0005-0000-0000-000062B90000}"/>
    <cellStyle name="Normal 7 2 8 3" xfId="5095" xr:uid="{00000000-0005-0000-0000-000063B90000}"/>
    <cellStyle name="Normal 7 2 8 3 2" xfId="13932" xr:uid="{00000000-0005-0000-0000-000064B90000}"/>
    <cellStyle name="Normal 7 2 8 3 2 2" xfId="24183" xr:uid="{00000000-0005-0000-0000-000065B90000}"/>
    <cellStyle name="Normal 7 2 8 3 2 2 2" xfId="49736" xr:uid="{00000000-0005-0000-0000-000066B90000}"/>
    <cellStyle name="Normal 7 2 8 3 2 3" xfId="39487" xr:uid="{00000000-0005-0000-0000-000067B90000}"/>
    <cellStyle name="Normal 7 2 8 3 3" xfId="10353" xr:uid="{00000000-0005-0000-0000-000068B90000}"/>
    <cellStyle name="Normal 7 2 8 3 3 2" xfId="35910" xr:uid="{00000000-0005-0000-0000-000069B90000}"/>
    <cellStyle name="Normal 7 2 8 3 4" xfId="19176" xr:uid="{00000000-0005-0000-0000-00006AB90000}"/>
    <cellStyle name="Normal 7 2 8 3 4 2" xfId="44729" xr:uid="{00000000-0005-0000-0000-00006BB90000}"/>
    <cellStyle name="Normal 7 2 8 3 5" xfId="30666" xr:uid="{00000000-0005-0000-0000-00006CB90000}"/>
    <cellStyle name="Normal 7 2 8 4" xfId="1725" xr:uid="{00000000-0005-0000-0000-00006DB90000}"/>
    <cellStyle name="Normal 7 2 8 4 2" xfId="11099" xr:uid="{00000000-0005-0000-0000-00006EB90000}"/>
    <cellStyle name="Normal 7 2 8 4 2 2" xfId="36654" xr:uid="{00000000-0005-0000-0000-00006FB90000}"/>
    <cellStyle name="Normal 7 2 8 4 3" xfId="21103" xr:uid="{00000000-0005-0000-0000-000070B90000}"/>
    <cellStyle name="Normal 7 2 8 4 3 2" xfId="46656" xr:uid="{00000000-0005-0000-0000-000071B90000}"/>
    <cellStyle name="Normal 7 2 8 4 4" xfId="27586" xr:uid="{00000000-0005-0000-0000-000072B90000}"/>
    <cellStyle name="Normal 7 2 8 5" xfId="6550" xr:uid="{00000000-0005-0000-0000-000073B90000}"/>
    <cellStyle name="Normal 7 2 8 5 2" xfId="15377" xr:uid="{00000000-0005-0000-0000-000074B90000}"/>
    <cellStyle name="Normal 7 2 8 5 2 2" xfId="40932" xr:uid="{00000000-0005-0000-0000-000075B90000}"/>
    <cellStyle name="Normal 7 2 8 5 3" xfId="25628" xr:uid="{00000000-0005-0000-0000-000076B90000}"/>
    <cellStyle name="Normal 7 2 8 5 3 2" xfId="51181" xr:uid="{00000000-0005-0000-0000-000077B90000}"/>
    <cellStyle name="Normal 7 2 8 5 4" xfId="32111" xr:uid="{00000000-0005-0000-0000-000078B90000}"/>
    <cellStyle name="Normal 7 2 8 6" xfId="7996" xr:uid="{00000000-0005-0000-0000-000079B90000}"/>
    <cellStyle name="Normal 7 2 8 6 2" xfId="20440" xr:uid="{00000000-0005-0000-0000-00007AB90000}"/>
    <cellStyle name="Normal 7 2 8 6 2 2" xfId="45993" xr:uid="{00000000-0005-0000-0000-00007BB90000}"/>
    <cellStyle name="Normal 7 2 8 6 3" xfId="33553" xr:uid="{00000000-0005-0000-0000-00007CB90000}"/>
    <cellStyle name="Normal 7 2 8 7" xfId="16096" xr:uid="{00000000-0005-0000-0000-00007DB90000}"/>
    <cellStyle name="Normal 7 2 8 7 2" xfId="41649" xr:uid="{00000000-0005-0000-0000-00007EB90000}"/>
    <cellStyle name="Normal 7 2 8 8" xfId="26923" xr:uid="{00000000-0005-0000-0000-00007FB90000}"/>
    <cellStyle name="Normal 7 2 9" xfId="2623" xr:uid="{00000000-0005-0000-0000-000080B90000}"/>
    <cellStyle name="Normal 7 2 9 2" xfId="5149" xr:uid="{00000000-0005-0000-0000-000081B90000}"/>
    <cellStyle name="Normal 7 2 9 2 2" xfId="13986" xr:uid="{00000000-0005-0000-0000-000082B90000}"/>
    <cellStyle name="Normal 7 2 9 2 2 2" xfId="24237" xr:uid="{00000000-0005-0000-0000-000083B90000}"/>
    <cellStyle name="Normal 7 2 9 2 2 2 2" xfId="49790" xr:uid="{00000000-0005-0000-0000-000084B90000}"/>
    <cellStyle name="Normal 7 2 9 2 2 3" xfId="39541" xr:uid="{00000000-0005-0000-0000-000085B90000}"/>
    <cellStyle name="Normal 7 2 9 2 3" xfId="10407" xr:uid="{00000000-0005-0000-0000-000086B90000}"/>
    <cellStyle name="Normal 7 2 9 2 3 2" xfId="35964" xr:uid="{00000000-0005-0000-0000-000087B90000}"/>
    <cellStyle name="Normal 7 2 9 2 4" xfId="19230" xr:uid="{00000000-0005-0000-0000-000088B90000}"/>
    <cellStyle name="Normal 7 2 9 2 4 2" xfId="44783" xr:uid="{00000000-0005-0000-0000-000089B90000}"/>
    <cellStyle name="Normal 7 2 9 2 5" xfId="30720" xr:uid="{00000000-0005-0000-0000-00008AB90000}"/>
    <cellStyle name="Normal 7 2 9 3" xfId="6604" xr:uid="{00000000-0005-0000-0000-00008BB90000}"/>
    <cellStyle name="Normal 7 2 9 3 2" xfId="15431" xr:uid="{00000000-0005-0000-0000-00008CB90000}"/>
    <cellStyle name="Normal 7 2 9 3 2 2" xfId="40986" xr:uid="{00000000-0005-0000-0000-00008DB90000}"/>
    <cellStyle name="Normal 7 2 9 3 3" xfId="25682" xr:uid="{00000000-0005-0000-0000-00008EB90000}"/>
    <cellStyle name="Normal 7 2 9 3 3 2" xfId="51235" xr:uid="{00000000-0005-0000-0000-00008FB90000}"/>
    <cellStyle name="Normal 7 2 9 3 4" xfId="32165" xr:uid="{00000000-0005-0000-0000-000090B90000}"/>
    <cellStyle name="Normal 7 2 9 4" xfId="8050" xr:uid="{00000000-0005-0000-0000-000091B90000}"/>
    <cellStyle name="Normal 7 2 9 4 2" xfId="21986" xr:uid="{00000000-0005-0000-0000-000092B90000}"/>
    <cellStyle name="Normal 7 2 9 4 2 2" xfId="47539" xr:uid="{00000000-0005-0000-0000-000093B90000}"/>
    <cellStyle name="Normal 7 2 9 4 3" xfId="33607" xr:uid="{00000000-0005-0000-0000-000094B90000}"/>
    <cellStyle name="Normal 7 2 9 5" xfId="16979" xr:uid="{00000000-0005-0000-0000-000095B90000}"/>
    <cellStyle name="Normal 7 2 9 5 2" xfId="42532" xr:uid="{00000000-0005-0000-0000-000096B90000}"/>
    <cellStyle name="Normal 7 2 9 6" xfId="28469" xr:uid="{00000000-0005-0000-0000-000097B90000}"/>
    <cellStyle name="Normal 7 2_Degree data" xfId="4047" xr:uid="{00000000-0005-0000-0000-000098B90000}"/>
    <cellStyle name="Normal 7 3" xfId="128" xr:uid="{00000000-0005-0000-0000-000099B90000}"/>
    <cellStyle name="Normal 7 3 10" xfId="4111" xr:uid="{00000000-0005-0000-0000-00009AB90000}"/>
    <cellStyle name="Normal 7 3 10 2" xfId="5569" xr:uid="{00000000-0005-0000-0000-00009BB90000}"/>
    <cellStyle name="Normal 7 3 10 2 2" xfId="14396" xr:uid="{00000000-0005-0000-0000-00009CB90000}"/>
    <cellStyle name="Normal 7 3 10 2 2 2" xfId="39951" xr:uid="{00000000-0005-0000-0000-00009DB90000}"/>
    <cellStyle name="Normal 7 3 10 2 3" xfId="24647" xr:uid="{00000000-0005-0000-0000-00009EB90000}"/>
    <cellStyle name="Normal 7 3 10 2 3 2" xfId="50200" xr:uid="{00000000-0005-0000-0000-00009FB90000}"/>
    <cellStyle name="Normal 7 3 10 2 4" xfId="31130" xr:uid="{00000000-0005-0000-0000-0000A0B90000}"/>
    <cellStyle name="Normal 7 3 10 3" xfId="7013" xr:uid="{00000000-0005-0000-0000-0000A1B90000}"/>
    <cellStyle name="Normal 7 3 10 3 2" xfId="23200" xr:uid="{00000000-0005-0000-0000-0000A2B90000}"/>
    <cellStyle name="Normal 7 3 10 3 2 2" xfId="48753" xr:uid="{00000000-0005-0000-0000-0000A3B90000}"/>
    <cellStyle name="Normal 7 3 10 3 3" xfId="32570" xr:uid="{00000000-0005-0000-0000-0000A4B90000}"/>
    <cellStyle name="Normal 7 3 10 4" xfId="18193" xr:uid="{00000000-0005-0000-0000-0000A5B90000}"/>
    <cellStyle name="Normal 7 3 10 4 2" xfId="43746" xr:uid="{00000000-0005-0000-0000-0000A6B90000}"/>
    <cellStyle name="Normal 7 3 10 5" xfId="29683" xr:uid="{00000000-0005-0000-0000-0000A7B90000}"/>
    <cellStyle name="Normal 7 3 11" xfId="1430" xr:uid="{00000000-0005-0000-0000-0000A8B90000}"/>
    <cellStyle name="Normal 7 3 11 2" xfId="10807" xr:uid="{00000000-0005-0000-0000-0000A9B90000}"/>
    <cellStyle name="Normal 7 3 11 2 2" xfId="36362" xr:uid="{00000000-0005-0000-0000-0000AAB90000}"/>
    <cellStyle name="Normal 7 3 11 3" xfId="20811" xr:uid="{00000000-0005-0000-0000-0000ABB90000}"/>
    <cellStyle name="Normal 7 3 11 3 2" xfId="46364" xr:uid="{00000000-0005-0000-0000-0000ACB90000}"/>
    <cellStyle name="Normal 7 3 11 4" xfId="27294" xr:uid="{00000000-0005-0000-0000-0000ADB90000}"/>
    <cellStyle name="Normal 7 3 12" xfId="5539" xr:uid="{00000000-0005-0000-0000-0000AEB90000}"/>
    <cellStyle name="Normal 7 3 12 2" xfId="14366" xr:uid="{00000000-0005-0000-0000-0000AFB90000}"/>
    <cellStyle name="Normal 7 3 12 2 2" xfId="39921" xr:uid="{00000000-0005-0000-0000-0000B0B90000}"/>
    <cellStyle name="Normal 7 3 12 3" xfId="24617" xr:uid="{00000000-0005-0000-0000-0000B1B90000}"/>
    <cellStyle name="Normal 7 3 12 3 2" xfId="50170" xr:uid="{00000000-0005-0000-0000-0000B2B90000}"/>
    <cellStyle name="Normal 7 3 12 4" xfId="31100" xr:uid="{00000000-0005-0000-0000-0000B3B90000}"/>
    <cellStyle name="Normal 7 3 13" xfId="6983" xr:uid="{00000000-0005-0000-0000-0000B4B90000}"/>
    <cellStyle name="Normal 7 3 13 2" xfId="19595" xr:uid="{00000000-0005-0000-0000-0000B5B90000}"/>
    <cellStyle name="Normal 7 3 13 2 2" xfId="45148" xr:uid="{00000000-0005-0000-0000-0000B6B90000}"/>
    <cellStyle name="Normal 7 3 13 3" xfId="32540" xr:uid="{00000000-0005-0000-0000-0000B7B90000}"/>
    <cellStyle name="Normal 7 3 14" xfId="15804" xr:uid="{00000000-0005-0000-0000-0000B8B90000}"/>
    <cellStyle name="Normal 7 3 14 2" xfId="41357" xr:uid="{00000000-0005-0000-0000-0000B9B90000}"/>
    <cellStyle name="Normal 7 3 15" xfId="26078" xr:uid="{00000000-0005-0000-0000-0000BAB90000}"/>
    <cellStyle name="Normal 7 3 2" xfId="165" xr:uid="{00000000-0005-0000-0000-0000BBB90000}"/>
    <cellStyle name="Normal 7 3 2 10" xfId="5671" xr:uid="{00000000-0005-0000-0000-0000BCB90000}"/>
    <cellStyle name="Normal 7 3 2 10 2" xfId="14498" xr:uid="{00000000-0005-0000-0000-0000BDB90000}"/>
    <cellStyle name="Normal 7 3 2 10 2 2" xfId="40053" xr:uid="{00000000-0005-0000-0000-0000BEB90000}"/>
    <cellStyle name="Normal 7 3 2 10 3" xfId="24749" xr:uid="{00000000-0005-0000-0000-0000BFB90000}"/>
    <cellStyle name="Normal 7 3 2 10 3 2" xfId="50302" xr:uid="{00000000-0005-0000-0000-0000C0B90000}"/>
    <cellStyle name="Normal 7 3 2 10 4" xfId="31232" xr:uid="{00000000-0005-0000-0000-0000C1B90000}"/>
    <cellStyle name="Normal 7 3 2 11" xfId="7115" xr:uid="{00000000-0005-0000-0000-0000C2B90000}"/>
    <cellStyle name="Normal 7 3 2 11 2" xfId="19624" xr:uid="{00000000-0005-0000-0000-0000C3B90000}"/>
    <cellStyle name="Normal 7 3 2 11 2 2" xfId="45177" xr:uid="{00000000-0005-0000-0000-0000C4B90000}"/>
    <cellStyle name="Normal 7 3 2 11 3" xfId="32672" xr:uid="{00000000-0005-0000-0000-0000C5B90000}"/>
    <cellStyle name="Normal 7 3 2 12" xfId="15861" xr:uid="{00000000-0005-0000-0000-0000C6B90000}"/>
    <cellStyle name="Normal 7 3 2 12 2" xfId="41414" xr:uid="{00000000-0005-0000-0000-0000C7B90000}"/>
    <cellStyle name="Normal 7 3 2 13" xfId="26107" xr:uid="{00000000-0005-0000-0000-0000C8B90000}"/>
    <cellStyle name="Normal 7 3 2 2" xfId="277" xr:uid="{00000000-0005-0000-0000-0000C9B90000}"/>
    <cellStyle name="Normal 7 3 2 2 10" xfId="16065" xr:uid="{00000000-0005-0000-0000-0000CAB90000}"/>
    <cellStyle name="Normal 7 3 2 2 10 2" xfId="41618" xr:uid="{00000000-0005-0000-0000-0000CBB90000}"/>
    <cellStyle name="Normal 7 3 2 2 11" xfId="26211" xr:uid="{00000000-0005-0000-0000-0000CCB90000}"/>
    <cellStyle name="Normal 7 3 2 2 2" xfId="599" xr:uid="{00000000-0005-0000-0000-0000CDB90000}"/>
    <cellStyle name="Normal 7 3 2 2 2 2" xfId="3085" xr:uid="{00000000-0005-0000-0000-0000CEB90000}"/>
    <cellStyle name="Normal 7 3 2 2 2 2 2" xfId="12228" xr:uid="{00000000-0005-0000-0000-0000CFB90000}"/>
    <cellStyle name="Normal 7 3 2 2 2 2 2 2" xfId="22446" xr:uid="{00000000-0005-0000-0000-0000D0B90000}"/>
    <cellStyle name="Normal 7 3 2 2 2 2 2 2 2" xfId="47999" xr:uid="{00000000-0005-0000-0000-0000D1B90000}"/>
    <cellStyle name="Normal 7 3 2 2 2 2 2 3" xfId="37783" xr:uid="{00000000-0005-0000-0000-0000D2B90000}"/>
    <cellStyle name="Normal 7 3 2 2 2 2 3" xfId="8650" xr:uid="{00000000-0005-0000-0000-0000D3B90000}"/>
    <cellStyle name="Normal 7 3 2 2 2 2 3 2" xfId="34207" xr:uid="{00000000-0005-0000-0000-0000D4B90000}"/>
    <cellStyle name="Normal 7 3 2 2 2 2 4" xfId="17439" xr:uid="{00000000-0005-0000-0000-0000D5B90000}"/>
    <cellStyle name="Normal 7 3 2 2 2 2 4 2" xfId="42992" xr:uid="{00000000-0005-0000-0000-0000D6B90000}"/>
    <cellStyle name="Normal 7 3 2 2 2 2 5" xfId="28929" xr:uid="{00000000-0005-0000-0000-0000D7B90000}"/>
    <cellStyle name="Normal 7 3 2 2 2 3" xfId="4759" xr:uid="{00000000-0005-0000-0000-0000D8B90000}"/>
    <cellStyle name="Normal 7 3 2 2 2 3 2" xfId="13596" xr:uid="{00000000-0005-0000-0000-0000D9B90000}"/>
    <cellStyle name="Normal 7 3 2 2 2 3 2 2" xfId="23847" xr:uid="{00000000-0005-0000-0000-0000DAB90000}"/>
    <cellStyle name="Normal 7 3 2 2 2 3 2 2 2" xfId="49400" xr:uid="{00000000-0005-0000-0000-0000DBB90000}"/>
    <cellStyle name="Normal 7 3 2 2 2 3 2 3" xfId="39151" xr:uid="{00000000-0005-0000-0000-0000DCB90000}"/>
    <cellStyle name="Normal 7 3 2 2 2 3 3" xfId="10017" xr:uid="{00000000-0005-0000-0000-0000DDB90000}"/>
    <cellStyle name="Normal 7 3 2 2 2 3 3 2" xfId="35574" xr:uid="{00000000-0005-0000-0000-0000DEB90000}"/>
    <cellStyle name="Normal 7 3 2 2 2 3 4" xfId="18840" xr:uid="{00000000-0005-0000-0000-0000DFB90000}"/>
    <cellStyle name="Normal 7 3 2 2 2 3 4 2" xfId="44393" xr:uid="{00000000-0005-0000-0000-0000E0B90000}"/>
    <cellStyle name="Normal 7 3 2 2 2 3 5" xfId="30330" xr:uid="{00000000-0005-0000-0000-0000E1B90000}"/>
    <cellStyle name="Normal 7 3 2 2 2 4" xfId="2194" xr:uid="{00000000-0005-0000-0000-0000E2B90000}"/>
    <cellStyle name="Normal 7 3 2 2 2 4 2" xfId="11559" xr:uid="{00000000-0005-0000-0000-0000E3B90000}"/>
    <cellStyle name="Normal 7 3 2 2 2 4 2 2" xfId="37114" xr:uid="{00000000-0005-0000-0000-0000E4B90000}"/>
    <cellStyle name="Normal 7 3 2 2 2 4 3" xfId="21563" xr:uid="{00000000-0005-0000-0000-0000E5B90000}"/>
    <cellStyle name="Normal 7 3 2 2 2 4 3 2" xfId="47116" xr:uid="{00000000-0005-0000-0000-0000E6B90000}"/>
    <cellStyle name="Normal 7 3 2 2 2 4 4" xfId="28046" xr:uid="{00000000-0005-0000-0000-0000E7B90000}"/>
    <cellStyle name="Normal 7 3 2 2 2 5" xfId="6214" xr:uid="{00000000-0005-0000-0000-0000E8B90000}"/>
    <cellStyle name="Normal 7 3 2 2 2 5 2" xfId="15041" xr:uid="{00000000-0005-0000-0000-0000E9B90000}"/>
    <cellStyle name="Normal 7 3 2 2 2 5 2 2" xfId="40596" xr:uid="{00000000-0005-0000-0000-0000EAB90000}"/>
    <cellStyle name="Normal 7 3 2 2 2 5 3" xfId="25292" xr:uid="{00000000-0005-0000-0000-0000EBB90000}"/>
    <cellStyle name="Normal 7 3 2 2 2 5 3 2" xfId="50845" xr:uid="{00000000-0005-0000-0000-0000ECB90000}"/>
    <cellStyle name="Normal 7 3 2 2 2 5 4" xfId="31775" xr:uid="{00000000-0005-0000-0000-0000EDB90000}"/>
    <cellStyle name="Normal 7 3 2 2 2 6" xfId="7660" xr:uid="{00000000-0005-0000-0000-0000EEB90000}"/>
    <cellStyle name="Normal 7 3 2 2 2 6 2" xfId="20045" xr:uid="{00000000-0005-0000-0000-0000EFB90000}"/>
    <cellStyle name="Normal 7 3 2 2 2 6 2 2" xfId="45598" xr:uid="{00000000-0005-0000-0000-0000F0B90000}"/>
    <cellStyle name="Normal 7 3 2 2 2 6 3" xfId="33217" xr:uid="{00000000-0005-0000-0000-0000F1B90000}"/>
    <cellStyle name="Normal 7 3 2 2 2 7" xfId="16556" xr:uid="{00000000-0005-0000-0000-0000F2B90000}"/>
    <cellStyle name="Normal 7 3 2 2 2 7 2" xfId="42109" xr:uid="{00000000-0005-0000-0000-0000F3B90000}"/>
    <cellStyle name="Normal 7 3 2 2 2 8" xfId="26528" xr:uid="{00000000-0005-0000-0000-0000F4B90000}"/>
    <cellStyle name="Normal 7 3 2 2 3" xfId="953" xr:uid="{00000000-0005-0000-0000-0000F5B90000}"/>
    <cellStyle name="Normal 7 3 2 2 3 2" xfId="3429" xr:uid="{00000000-0005-0000-0000-0000F6B90000}"/>
    <cellStyle name="Normal 7 3 2 2 3 2 2" xfId="12571" xr:uid="{00000000-0005-0000-0000-0000F7B90000}"/>
    <cellStyle name="Normal 7 3 2 2 3 2 2 2" xfId="22790" xr:uid="{00000000-0005-0000-0000-0000F8B90000}"/>
    <cellStyle name="Normal 7 3 2 2 3 2 2 2 2" xfId="48343" xr:uid="{00000000-0005-0000-0000-0000F9B90000}"/>
    <cellStyle name="Normal 7 3 2 2 3 2 2 3" xfId="38126" xr:uid="{00000000-0005-0000-0000-0000FAB90000}"/>
    <cellStyle name="Normal 7 3 2 2 3 2 3" xfId="8993" xr:uid="{00000000-0005-0000-0000-0000FBB90000}"/>
    <cellStyle name="Normal 7 3 2 2 3 2 3 2" xfId="34550" xr:uid="{00000000-0005-0000-0000-0000FCB90000}"/>
    <cellStyle name="Normal 7 3 2 2 3 2 4" xfId="17783" xr:uid="{00000000-0005-0000-0000-0000FDB90000}"/>
    <cellStyle name="Normal 7 3 2 2 3 2 4 2" xfId="43336" xr:uid="{00000000-0005-0000-0000-0000FEB90000}"/>
    <cellStyle name="Normal 7 3 2 2 3 2 5" xfId="29273" xr:uid="{00000000-0005-0000-0000-0000FFB90000}"/>
    <cellStyle name="Normal 7 3 2 2 3 3" xfId="5107" xr:uid="{00000000-0005-0000-0000-000000BA0000}"/>
    <cellStyle name="Normal 7 3 2 2 3 3 2" xfId="13944" xr:uid="{00000000-0005-0000-0000-000001BA0000}"/>
    <cellStyle name="Normal 7 3 2 2 3 3 2 2" xfId="24195" xr:uid="{00000000-0005-0000-0000-000002BA0000}"/>
    <cellStyle name="Normal 7 3 2 2 3 3 2 2 2" xfId="49748" xr:uid="{00000000-0005-0000-0000-000003BA0000}"/>
    <cellStyle name="Normal 7 3 2 2 3 3 2 3" xfId="39499" xr:uid="{00000000-0005-0000-0000-000004BA0000}"/>
    <cellStyle name="Normal 7 3 2 2 3 3 3" xfId="10365" xr:uid="{00000000-0005-0000-0000-000005BA0000}"/>
    <cellStyle name="Normal 7 3 2 2 3 3 3 2" xfId="35922" xr:uid="{00000000-0005-0000-0000-000006BA0000}"/>
    <cellStyle name="Normal 7 3 2 2 3 3 4" xfId="19188" xr:uid="{00000000-0005-0000-0000-000007BA0000}"/>
    <cellStyle name="Normal 7 3 2 2 3 3 4 2" xfId="44741" xr:uid="{00000000-0005-0000-0000-000008BA0000}"/>
    <cellStyle name="Normal 7 3 2 2 3 3 5" xfId="30678" xr:uid="{00000000-0005-0000-0000-000009BA0000}"/>
    <cellStyle name="Normal 7 3 2 2 3 4" xfId="2538" xr:uid="{00000000-0005-0000-0000-00000ABA0000}"/>
    <cellStyle name="Normal 7 3 2 2 3 4 2" xfId="11903" xr:uid="{00000000-0005-0000-0000-00000BBA0000}"/>
    <cellStyle name="Normal 7 3 2 2 3 4 2 2" xfId="37458" xr:uid="{00000000-0005-0000-0000-00000CBA0000}"/>
    <cellStyle name="Normal 7 3 2 2 3 4 3" xfId="21907" xr:uid="{00000000-0005-0000-0000-00000DBA0000}"/>
    <cellStyle name="Normal 7 3 2 2 3 4 3 2" xfId="47460" xr:uid="{00000000-0005-0000-0000-00000EBA0000}"/>
    <cellStyle name="Normal 7 3 2 2 3 4 4" xfId="28390" xr:uid="{00000000-0005-0000-0000-00000FBA0000}"/>
    <cellStyle name="Normal 7 3 2 2 3 5" xfId="6562" xr:uid="{00000000-0005-0000-0000-000010BA0000}"/>
    <cellStyle name="Normal 7 3 2 2 3 5 2" xfId="15389" xr:uid="{00000000-0005-0000-0000-000011BA0000}"/>
    <cellStyle name="Normal 7 3 2 2 3 5 2 2" xfId="40944" xr:uid="{00000000-0005-0000-0000-000012BA0000}"/>
    <cellStyle name="Normal 7 3 2 2 3 5 3" xfId="25640" xr:uid="{00000000-0005-0000-0000-000013BA0000}"/>
    <cellStyle name="Normal 7 3 2 2 3 5 3 2" xfId="51193" xr:uid="{00000000-0005-0000-0000-000014BA0000}"/>
    <cellStyle name="Normal 7 3 2 2 3 5 4" xfId="32123" xr:uid="{00000000-0005-0000-0000-000015BA0000}"/>
    <cellStyle name="Normal 7 3 2 2 3 6" xfId="8008" xr:uid="{00000000-0005-0000-0000-000016BA0000}"/>
    <cellStyle name="Normal 7 3 2 2 3 6 2" xfId="20389" xr:uid="{00000000-0005-0000-0000-000017BA0000}"/>
    <cellStyle name="Normal 7 3 2 2 3 6 2 2" xfId="45942" xr:uid="{00000000-0005-0000-0000-000018BA0000}"/>
    <cellStyle name="Normal 7 3 2 2 3 6 3" xfId="33565" xr:uid="{00000000-0005-0000-0000-000019BA0000}"/>
    <cellStyle name="Normal 7 3 2 2 3 7" xfId="16900" xr:uid="{00000000-0005-0000-0000-00001ABA0000}"/>
    <cellStyle name="Normal 7 3 2 2 3 7 2" xfId="42453" xr:uid="{00000000-0005-0000-0000-00001BBA0000}"/>
    <cellStyle name="Normal 7 3 2 2 3 8" xfId="26872" xr:uid="{00000000-0005-0000-0000-00001CBA0000}"/>
    <cellStyle name="Normal 7 3 2 2 4" xfId="1371" xr:uid="{00000000-0005-0000-0000-00001DBA0000}"/>
    <cellStyle name="Normal 7 3 2 2 4 2" xfId="3800" xr:uid="{00000000-0005-0000-0000-00001EBA0000}"/>
    <cellStyle name="Normal 7 3 2 2 4 2 2" xfId="12936" xr:uid="{00000000-0005-0000-0000-00001FBA0000}"/>
    <cellStyle name="Normal 7 3 2 2 4 2 2 2" xfId="23155" xr:uid="{00000000-0005-0000-0000-000020BA0000}"/>
    <cellStyle name="Normal 7 3 2 2 4 2 2 2 2" xfId="48708" xr:uid="{00000000-0005-0000-0000-000021BA0000}"/>
    <cellStyle name="Normal 7 3 2 2 4 2 2 3" xfId="38491" xr:uid="{00000000-0005-0000-0000-000022BA0000}"/>
    <cellStyle name="Normal 7 3 2 2 4 2 3" xfId="9357" xr:uid="{00000000-0005-0000-0000-000023BA0000}"/>
    <cellStyle name="Normal 7 3 2 2 4 2 3 2" xfId="34914" xr:uid="{00000000-0005-0000-0000-000024BA0000}"/>
    <cellStyle name="Normal 7 3 2 2 4 2 4" xfId="18148" xr:uid="{00000000-0005-0000-0000-000025BA0000}"/>
    <cellStyle name="Normal 7 3 2 2 4 2 4 2" xfId="43701" xr:uid="{00000000-0005-0000-0000-000026BA0000}"/>
    <cellStyle name="Normal 7 3 2 2 4 2 5" xfId="29638" xr:uid="{00000000-0005-0000-0000-000027BA0000}"/>
    <cellStyle name="Normal 7 3 2 2 4 3" xfId="5463" xr:uid="{00000000-0005-0000-0000-000028BA0000}"/>
    <cellStyle name="Normal 7 3 2 2 4 3 2" xfId="14300" xr:uid="{00000000-0005-0000-0000-000029BA0000}"/>
    <cellStyle name="Normal 7 3 2 2 4 3 2 2" xfId="24551" xr:uid="{00000000-0005-0000-0000-00002ABA0000}"/>
    <cellStyle name="Normal 7 3 2 2 4 3 2 2 2" xfId="50104" xr:uid="{00000000-0005-0000-0000-00002BBA0000}"/>
    <cellStyle name="Normal 7 3 2 2 4 3 2 3" xfId="39855" xr:uid="{00000000-0005-0000-0000-00002CBA0000}"/>
    <cellStyle name="Normal 7 3 2 2 4 3 3" xfId="10721" xr:uid="{00000000-0005-0000-0000-00002DBA0000}"/>
    <cellStyle name="Normal 7 3 2 2 4 3 3 2" xfId="36278" xr:uid="{00000000-0005-0000-0000-00002EBA0000}"/>
    <cellStyle name="Normal 7 3 2 2 4 3 4" xfId="19544" xr:uid="{00000000-0005-0000-0000-00002FBA0000}"/>
    <cellStyle name="Normal 7 3 2 2 4 3 4 2" xfId="45097" xr:uid="{00000000-0005-0000-0000-000030BA0000}"/>
    <cellStyle name="Normal 7 3 2 2 4 3 5" xfId="31034" xr:uid="{00000000-0005-0000-0000-000031BA0000}"/>
    <cellStyle name="Normal 7 3 2 2 4 4" xfId="1874" xr:uid="{00000000-0005-0000-0000-000032BA0000}"/>
    <cellStyle name="Normal 7 3 2 2 4 4 2" xfId="11242" xr:uid="{00000000-0005-0000-0000-000033BA0000}"/>
    <cellStyle name="Normal 7 3 2 2 4 4 2 2" xfId="36797" xr:uid="{00000000-0005-0000-0000-000034BA0000}"/>
    <cellStyle name="Normal 7 3 2 2 4 4 3" xfId="21246" xr:uid="{00000000-0005-0000-0000-000035BA0000}"/>
    <cellStyle name="Normal 7 3 2 2 4 4 3 2" xfId="46799" xr:uid="{00000000-0005-0000-0000-000036BA0000}"/>
    <cellStyle name="Normal 7 3 2 2 4 4 4" xfId="27729" xr:uid="{00000000-0005-0000-0000-000037BA0000}"/>
    <cellStyle name="Normal 7 3 2 2 4 5" xfId="6918" xr:uid="{00000000-0005-0000-0000-000038BA0000}"/>
    <cellStyle name="Normal 7 3 2 2 4 5 2" xfId="15745" xr:uid="{00000000-0005-0000-0000-000039BA0000}"/>
    <cellStyle name="Normal 7 3 2 2 4 5 2 2" xfId="41300" xr:uid="{00000000-0005-0000-0000-00003ABA0000}"/>
    <cellStyle name="Normal 7 3 2 2 4 5 3" xfId="25996" xr:uid="{00000000-0005-0000-0000-00003BBA0000}"/>
    <cellStyle name="Normal 7 3 2 2 4 5 3 2" xfId="51549" xr:uid="{00000000-0005-0000-0000-00003CBA0000}"/>
    <cellStyle name="Normal 7 3 2 2 4 5 4" xfId="32479" xr:uid="{00000000-0005-0000-0000-00003DBA0000}"/>
    <cellStyle name="Normal 7 3 2 2 4 6" xfId="8364" xr:uid="{00000000-0005-0000-0000-00003EBA0000}"/>
    <cellStyle name="Normal 7 3 2 2 4 6 2" xfId="20754" xr:uid="{00000000-0005-0000-0000-00003FBA0000}"/>
    <cellStyle name="Normal 7 3 2 2 4 6 2 2" xfId="46307" xr:uid="{00000000-0005-0000-0000-000040BA0000}"/>
    <cellStyle name="Normal 7 3 2 2 4 6 3" xfId="33921" xr:uid="{00000000-0005-0000-0000-000041BA0000}"/>
    <cellStyle name="Normal 7 3 2 2 4 7" xfId="16239" xr:uid="{00000000-0005-0000-0000-000042BA0000}"/>
    <cellStyle name="Normal 7 3 2 2 4 7 2" xfId="41792" xr:uid="{00000000-0005-0000-0000-000043BA0000}"/>
    <cellStyle name="Normal 7 3 2 2 4 8" xfId="27237" xr:uid="{00000000-0005-0000-0000-000044BA0000}"/>
    <cellStyle name="Normal 7 3 2 2 5" xfId="2768" xr:uid="{00000000-0005-0000-0000-000045BA0000}"/>
    <cellStyle name="Normal 7 3 2 2 5 2" xfId="12085" xr:uid="{00000000-0005-0000-0000-000046BA0000}"/>
    <cellStyle name="Normal 7 3 2 2 5 2 2" xfId="22129" xr:uid="{00000000-0005-0000-0000-000047BA0000}"/>
    <cellStyle name="Normal 7 3 2 2 5 2 2 2" xfId="47682" xr:uid="{00000000-0005-0000-0000-000048BA0000}"/>
    <cellStyle name="Normal 7 3 2 2 5 2 3" xfId="37640" xr:uid="{00000000-0005-0000-0000-000049BA0000}"/>
    <cellStyle name="Normal 7 3 2 2 5 3" xfId="8537" xr:uid="{00000000-0005-0000-0000-00004ABA0000}"/>
    <cellStyle name="Normal 7 3 2 2 5 3 2" xfId="34094" xr:uid="{00000000-0005-0000-0000-00004BBA0000}"/>
    <cellStyle name="Normal 7 3 2 2 5 4" xfId="17122" xr:uid="{00000000-0005-0000-0000-00004CBA0000}"/>
    <cellStyle name="Normal 7 3 2 2 5 4 2" xfId="42675" xr:uid="{00000000-0005-0000-0000-00004DBA0000}"/>
    <cellStyle name="Normal 7 3 2 2 5 5" xfId="28612" xr:uid="{00000000-0005-0000-0000-00004EBA0000}"/>
    <cellStyle name="Normal 7 3 2 2 6" xfId="4419" xr:uid="{00000000-0005-0000-0000-00004FBA0000}"/>
    <cellStyle name="Normal 7 3 2 2 6 2" xfId="13257" xr:uid="{00000000-0005-0000-0000-000050BA0000}"/>
    <cellStyle name="Normal 7 3 2 2 6 2 2" xfId="23508" xr:uid="{00000000-0005-0000-0000-000051BA0000}"/>
    <cellStyle name="Normal 7 3 2 2 6 2 2 2" xfId="49061" xr:uid="{00000000-0005-0000-0000-000052BA0000}"/>
    <cellStyle name="Normal 7 3 2 2 6 2 3" xfId="38812" xr:uid="{00000000-0005-0000-0000-000053BA0000}"/>
    <cellStyle name="Normal 7 3 2 2 6 3" xfId="9678" xr:uid="{00000000-0005-0000-0000-000054BA0000}"/>
    <cellStyle name="Normal 7 3 2 2 6 3 2" xfId="35235" xr:uid="{00000000-0005-0000-0000-000055BA0000}"/>
    <cellStyle name="Normal 7 3 2 2 6 4" xfId="18501" xr:uid="{00000000-0005-0000-0000-000056BA0000}"/>
    <cellStyle name="Normal 7 3 2 2 6 4 2" xfId="44054" xr:uid="{00000000-0005-0000-0000-000057BA0000}"/>
    <cellStyle name="Normal 7 3 2 2 6 5" xfId="29991" xr:uid="{00000000-0005-0000-0000-000058BA0000}"/>
    <cellStyle name="Normal 7 3 2 2 7" xfId="1691" xr:uid="{00000000-0005-0000-0000-000059BA0000}"/>
    <cellStyle name="Normal 7 3 2 2 7 2" xfId="11068" xr:uid="{00000000-0005-0000-0000-00005ABA0000}"/>
    <cellStyle name="Normal 7 3 2 2 7 2 2" xfId="36623" xr:uid="{00000000-0005-0000-0000-00005BBA0000}"/>
    <cellStyle name="Normal 7 3 2 2 7 3" xfId="21072" xr:uid="{00000000-0005-0000-0000-00005CBA0000}"/>
    <cellStyle name="Normal 7 3 2 2 7 3 2" xfId="46625" xr:uid="{00000000-0005-0000-0000-00005DBA0000}"/>
    <cellStyle name="Normal 7 3 2 2 7 4" xfId="27555" xr:uid="{00000000-0005-0000-0000-00005EBA0000}"/>
    <cellStyle name="Normal 7 3 2 2 8" xfId="5875" xr:uid="{00000000-0005-0000-0000-00005FBA0000}"/>
    <cellStyle name="Normal 7 3 2 2 8 2" xfId="14702" xr:uid="{00000000-0005-0000-0000-000060BA0000}"/>
    <cellStyle name="Normal 7 3 2 2 8 2 2" xfId="40257" xr:uid="{00000000-0005-0000-0000-000061BA0000}"/>
    <cellStyle name="Normal 7 3 2 2 8 3" xfId="24953" xr:uid="{00000000-0005-0000-0000-000062BA0000}"/>
    <cellStyle name="Normal 7 3 2 2 8 3 2" xfId="50506" xr:uid="{00000000-0005-0000-0000-000063BA0000}"/>
    <cellStyle name="Normal 7 3 2 2 8 4" xfId="31436" xr:uid="{00000000-0005-0000-0000-000064BA0000}"/>
    <cellStyle name="Normal 7 3 2 2 9" xfId="7319" xr:uid="{00000000-0005-0000-0000-000065BA0000}"/>
    <cellStyle name="Normal 7 3 2 2 9 2" xfId="19728" xr:uid="{00000000-0005-0000-0000-000066BA0000}"/>
    <cellStyle name="Normal 7 3 2 2 9 2 2" xfId="45281" xr:uid="{00000000-0005-0000-0000-000067BA0000}"/>
    <cellStyle name="Normal 7 3 2 2 9 3" xfId="32876" xr:uid="{00000000-0005-0000-0000-000068BA0000}"/>
    <cellStyle name="Normal 7 3 2 2_Degree data" xfId="4059" xr:uid="{00000000-0005-0000-0000-000069BA0000}"/>
    <cellStyle name="Normal 7 3 2 3" xfId="495" xr:uid="{00000000-0005-0000-0000-00006ABA0000}"/>
    <cellStyle name="Normal 7 3 2 3 10" xfId="26424" xr:uid="{00000000-0005-0000-0000-00006BBA0000}"/>
    <cellStyle name="Normal 7 3 2 3 2" xfId="954" xr:uid="{00000000-0005-0000-0000-00006CBA0000}"/>
    <cellStyle name="Normal 7 3 2 3 2 2" xfId="3430" xr:uid="{00000000-0005-0000-0000-00006DBA0000}"/>
    <cellStyle name="Normal 7 3 2 3 2 2 2" xfId="12572" xr:uid="{00000000-0005-0000-0000-00006EBA0000}"/>
    <cellStyle name="Normal 7 3 2 3 2 2 2 2" xfId="22791" xr:uid="{00000000-0005-0000-0000-00006FBA0000}"/>
    <cellStyle name="Normal 7 3 2 3 2 2 2 2 2" xfId="48344" xr:uid="{00000000-0005-0000-0000-000070BA0000}"/>
    <cellStyle name="Normal 7 3 2 3 2 2 2 3" xfId="38127" xr:uid="{00000000-0005-0000-0000-000071BA0000}"/>
    <cellStyle name="Normal 7 3 2 3 2 2 3" xfId="8994" xr:uid="{00000000-0005-0000-0000-000072BA0000}"/>
    <cellStyle name="Normal 7 3 2 3 2 2 3 2" xfId="34551" xr:uid="{00000000-0005-0000-0000-000073BA0000}"/>
    <cellStyle name="Normal 7 3 2 3 2 2 4" xfId="17784" xr:uid="{00000000-0005-0000-0000-000074BA0000}"/>
    <cellStyle name="Normal 7 3 2 3 2 2 4 2" xfId="43337" xr:uid="{00000000-0005-0000-0000-000075BA0000}"/>
    <cellStyle name="Normal 7 3 2 3 2 2 5" xfId="29274" xr:uid="{00000000-0005-0000-0000-000076BA0000}"/>
    <cellStyle name="Normal 7 3 2 3 2 3" xfId="4760" xr:uid="{00000000-0005-0000-0000-000077BA0000}"/>
    <cellStyle name="Normal 7 3 2 3 2 3 2" xfId="13597" xr:uid="{00000000-0005-0000-0000-000078BA0000}"/>
    <cellStyle name="Normal 7 3 2 3 2 3 2 2" xfId="23848" xr:uid="{00000000-0005-0000-0000-000079BA0000}"/>
    <cellStyle name="Normal 7 3 2 3 2 3 2 2 2" xfId="49401" xr:uid="{00000000-0005-0000-0000-00007ABA0000}"/>
    <cellStyle name="Normal 7 3 2 3 2 3 2 3" xfId="39152" xr:uid="{00000000-0005-0000-0000-00007BBA0000}"/>
    <cellStyle name="Normal 7 3 2 3 2 3 3" xfId="10018" xr:uid="{00000000-0005-0000-0000-00007CBA0000}"/>
    <cellStyle name="Normal 7 3 2 3 2 3 3 2" xfId="35575" xr:uid="{00000000-0005-0000-0000-00007DBA0000}"/>
    <cellStyle name="Normal 7 3 2 3 2 3 4" xfId="18841" xr:uid="{00000000-0005-0000-0000-00007EBA0000}"/>
    <cellStyle name="Normal 7 3 2 3 2 3 4 2" xfId="44394" xr:uid="{00000000-0005-0000-0000-00007FBA0000}"/>
    <cellStyle name="Normal 7 3 2 3 2 3 5" xfId="30331" xr:uid="{00000000-0005-0000-0000-000080BA0000}"/>
    <cellStyle name="Normal 7 3 2 3 2 4" xfId="2539" xr:uid="{00000000-0005-0000-0000-000081BA0000}"/>
    <cellStyle name="Normal 7 3 2 3 2 4 2" xfId="11904" xr:uid="{00000000-0005-0000-0000-000082BA0000}"/>
    <cellStyle name="Normal 7 3 2 3 2 4 2 2" xfId="37459" xr:uid="{00000000-0005-0000-0000-000083BA0000}"/>
    <cellStyle name="Normal 7 3 2 3 2 4 3" xfId="21908" xr:uid="{00000000-0005-0000-0000-000084BA0000}"/>
    <cellStyle name="Normal 7 3 2 3 2 4 3 2" xfId="47461" xr:uid="{00000000-0005-0000-0000-000085BA0000}"/>
    <cellStyle name="Normal 7 3 2 3 2 4 4" xfId="28391" xr:uid="{00000000-0005-0000-0000-000086BA0000}"/>
    <cellStyle name="Normal 7 3 2 3 2 5" xfId="6215" xr:uid="{00000000-0005-0000-0000-000087BA0000}"/>
    <cellStyle name="Normal 7 3 2 3 2 5 2" xfId="15042" xr:uid="{00000000-0005-0000-0000-000088BA0000}"/>
    <cellStyle name="Normal 7 3 2 3 2 5 2 2" xfId="40597" xr:uid="{00000000-0005-0000-0000-000089BA0000}"/>
    <cellStyle name="Normal 7 3 2 3 2 5 3" xfId="25293" xr:uid="{00000000-0005-0000-0000-00008ABA0000}"/>
    <cellStyle name="Normal 7 3 2 3 2 5 3 2" xfId="50846" xr:uid="{00000000-0005-0000-0000-00008BBA0000}"/>
    <cellStyle name="Normal 7 3 2 3 2 5 4" xfId="31776" xr:uid="{00000000-0005-0000-0000-00008CBA0000}"/>
    <cellStyle name="Normal 7 3 2 3 2 6" xfId="7661" xr:uid="{00000000-0005-0000-0000-00008DBA0000}"/>
    <cellStyle name="Normal 7 3 2 3 2 6 2" xfId="20390" xr:uid="{00000000-0005-0000-0000-00008EBA0000}"/>
    <cellStyle name="Normal 7 3 2 3 2 6 2 2" xfId="45943" xr:uid="{00000000-0005-0000-0000-00008FBA0000}"/>
    <cellStyle name="Normal 7 3 2 3 2 6 3" xfId="33218" xr:uid="{00000000-0005-0000-0000-000090BA0000}"/>
    <cellStyle name="Normal 7 3 2 3 2 7" xfId="16901" xr:uid="{00000000-0005-0000-0000-000091BA0000}"/>
    <cellStyle name="Normal 7 3 2 3 2 7 2" xfId="42454" xr:uid="{00000000-0005-0000-0000-000092BA0000}"/>
    <cellStyle name="Normal 7 3 2 3 2 8" xfId="26873" xr:uid="{00000000-0005-0000-0000-000093BA0000}"/>
    <cellStyle name="Normal 7 3 2 3 3" xfId="1267" xr:uid="{00000000-0005-0000-0000-000094BA0000}"/>
    <cellStyle name="Normal 7 3 2 3 3 2" xfId="3696" xr:uid="{00000000-0005-0000-0000-000095BA0000}"/>
    <cellStyle name="Normal 7 3 2 3 3 2 2" xfId="12832" xr:uid="{00000000-0005-0000-0000-000096BA0000}"/>
    <cellStyle name="Normal 7 3 2 3 3 2 2 2" xfId="23051" xr:uid="{00000000-0005-0000-0000-000097BA0000}"/>
    <cellStyle name="Normal 7 3 2 3 3 2 2 2 2" xfId="48604" xr:uid="{00000000-0005-0000-0000-000098BA0000}"/>
    <cellStyle name="Normal 7 3 2 3 3 2 2 3" xfId="38387" xr:uid="{00000000-0005-0000-0000-000099BA0000}"/>
    <cellStyle name="Normal 7 3 2 3 3 2 3" xfId="9253" xr:uid="{00000000-0005-0000-0000-00009ABA0000}"/>
    <cellStyle name="Normal 7 3 2 3 3 2 3 2" xfId="34810" xr:uid="{00000000-0005-0000-0000-00009BBA0000}"/>
    <cellStyle name="Normal 7 3 2 3 3 2 4" xfId="18044" xr:uid="{00000000-0005-0000-0000-00009CBA0000}"/>
    <cellStyle name="Normal 7 3 2 3 3 2 4 2" xfId="43597" xr:uid="{00000000-0005-0000-0000-00009DBA0000}"/>
    <cellStyle name="Normal 7 3 2 3 3 2 5" xfId="29534" xr:uid="{00000000-0005-0000-0000-00009EBA0000}"/>
    <cellStyle name="Normal 7 3 2 3 3 3" xfId="5108" xr:uid="{00000000-0005-0000-0000-00009FBA0000}"/>
    <cellStyle name="Normal 7 3 2 3 3 3 2" xfId="13945" xr:uid="{00000000-0005-0000-0000-0000A0BA0000}"/>
    <cellStyle name="Normal 7 3 2 3 3 3 2 2" xfId="24196" xr:uid="{00000000-0005-0000-0000-0000A1BA0000}"/>
    <cellStyle name="Normal 7 3 2 3 3 3 2 2 2" xfId="49749" xr:uid="{00000000-0005-0000-0000-0000A2BA0000}"/>
    <cellStyle name="Normal 7 3 2 3 3 3 2 3" xfId="39500" xr:uid="{00000000-0005-0000-0000-0000A3BA0000}"/>
    <cellStyle name="Normal 7 3 2 3 3 3 3" xfId="10366" xr:uid="{00000000-0005-0000-0000-0000A4BA0000}"/>
    <cellStyle name="Normal 7 3 2 3 3 3 3 2" xfId="35923" xr:uid="{00000000-0005-0000-0000-0000A5BA0000}"/>
    <cellStyle name="Normal 7 3 2 3 3 3 4" xfId="19189" xr:uid="{00000000-0005-0000-0000-0000A6BA0000}"/>
    <cellStyle name="Normal 7 3 2 3 3 3 4 2" xfId="44742" xr:uid="{00000000-0005-0000-0000-0000A7BA0000}"/>
    <cellStyle name="Normal 7 3 2 3 3 3 5" xfId="30679" xr:uid="{00000000-0005-0000-0000-0000A8BA0000}"/>
    <cellStyle name="Normal 7 3 2 3 3 4" xfId="2090" xr:uid="{00000000-0005-0000-0000-0000A9BA0000}"/>
    <cellStyle name="Normal 7 3 2 3 3 4 2" xfId="11455" xr:uid="{00000000-0005-0000-0000-0000AABA0000}"/>
    <cellStyle name="Normal 7 3 2 3 3 4 2 2" xfId="37010" xr:uid="{00000000-0005-0000-0000-0000ABBA0000}"/>
    <cellStyle name="Normal 7 3 2 3 3 4 3" xfId="21459" xr:uid="{00000000-0005-0000-0000-0000ACBA0000}"/>
    <cellStyle name="Normal 7 3 2 3 3 4 3 2" xfId="47012" xr:uid="{00000000-0005-0000-0000-0000ADBA0000}"/>
    <cellStyle name="Normal 7 3 2 3 3 4 4" xfId="27942" xr:uid="{00000000-0005-0000-0000-0000AEBA0000}"/>
    <cellStyle name="Normal 7 3 2 3 3 5" xfId="6563" xr:uid="{00000000-0005-0000-0000-0000AFBA0000}"/>
    <cellStyle name="Normal 7 3 2 3 3 5 2" xfId="15390" xr:uid="{00000000-0005-0000-0000-0000B0BA0000}"/>
    <cellStyle name="Normal 7 3 2 3 3 5 2 2" xfId="40945" xr:uid="{00000000-0005-0000-0000-0000B1BA0000}"/>
    <cellStyle name="Normal 7 3 2 3 3 5 3" xfId="25641" xr:uid="{00000000-0005-0000-0000-0000B2BA0000}"/>
    <cellStyle name="Normal 7 3 2 3 3 5 3 2" xfId="51194" xr:uid="{00000000-0005-0000-0000-0000B3BA0000}"/>
    <cellStyle name="Normal 7 3 2 3 3 5 4" xfId="32124" xr:uid="{00000000-0005-0000-0000-0000B4BA0000}"/>
    <cellStyle name="Normal 7 3 2 3 3 6" xfId="8009" xr:uid="{00000000-0005-0000-0000-0000B5BA0000}"/>
    <cellStyle name="Normal 7 3 2 3 3 6 2" xfId="20650" xr:uid="{00000000-0005-0000-0000-0000B6BA0000}"/>
    <cellStyle name="Normal 7 3 2 3 3 6 2 2" xfId="46203" xr:uid="{00000000-0005-0000-0000-0000B7BA0000}"/>
    <cellStyle name="Normal 7 3 2 3 3 6 3" xfId="33566" xr:uid="{00000000-0005-0000-0000-0000B8BA0000}"/>
    <cellStyle name="Normal 7 3 2 3 3 7" xfId="16452" xr:uid="{00000000-0005-0000-0000-0000B9BA0000}"/>
    <cellStyle name="Normal 7 3 2 3 3 7 2" xfId="42005" xr:uid="{00000000-0005-0000-0000-0000BABA0000}"/>
    <cellStyle name="Normal 7 3 2 3 3 8" xfId="27133" xr:uid="{00000000-0005-0000-0000-0000BBBA0000}"/>
    <cellStyle name="Normal 7 3 2 3 4" xfId="2981" xr:uid="{00000000-0005-0000-0000-0000BCBA0000}"/>
    <cellStyle name="Normal 7 3 2 3 4 2" xfId="5359" xr:uid="{00000000-0005-0000-0000-0000BDBA0000}"/>
    <cellStyle name="Normal 7 3 2 3 4 2 2" xfId="14196" xr:uid="{00000000-0005-0000-0000-0000BEBA0000}"/>
    <cellStyle name="Normal 7 3 2 3 4 2 2 2" xfId="24447" xr:uid="{00000000-0005-0000-0000-0000BFBA0000}"/>
    <cellStyle name="Normal 7 3 2 3 4 2 2 2 2" xfId="50000" xr:uid="{00000000-0005-0000-0000-0000C0BA0000}"/>
    <cellStyle name="Normal 7 3 2 3 4 2 2 3" xfId="39751" xr:uid="{00000000-0005-0000-0000-0000C1BA0000}"/>
    <cellStyle name="Normal 7 3 2 3 4 2 3" xfId="10617" xr:uid="{00000000-0005-0000-0000-0000C2BA0000}"/>
    <cellStyle name="Normal 7 3 2 3 4 2 3 2" xfId="36174" xr:uid="{00000000-0005-0000-0000-0000C3BA0000}"/>
    <cellStyle name="Normal 7 3 2 3 4 2 4" xfId="19440" xr:uid="{00000000-0005-0000-0000-0000C4BA0000}"/>
    <cellStyle name="Normal 7 3 2 3 4 2 4 2" xfId="44993" xr:uid="{00000000-0005-0000-0000-0000C5BA0000}"/>
    <cellStyle name="Normal 7 3 2 3 4 2 5" xfId="30930" xr:uid="{00000000-0005-0000-0000-0000C6BA0000}"/>
    <cellStyle name="Normal 7 3 2 3 4 3" xfId="6814" xr:uid="{00000000-0005-0000-0000-0000C7BA0000}"/>
    <cellStyle name="Normal 7 3 2 3 4 3 2" xfId="15641" xr:uid="{00000000-0005-0000-0000-0000C8BA0000}"/>
    <cellStyle name="Normal 7 3 2 3 4 3 2 2" xfId="41196" xr:uid="{00000000-0005-0000-0000-0000C9BA0000}"/>
    <cellStyle name="Normal 7 3 2 3 4 3 3" xfId="25892" xr:uid="{00000000-0005-0000-0000-0000CABA0000}"/>
    <cellStyle name="Normal 7 3 2 3 4 3 3 2" xfId="51445" xr:uid="{00000000-0005-0000-0000-0000CBBA0000}"/>
    <cellStyle name="Normal 7 3 2 3 4 3 4" xfId="32375" xr:uid="{00000000-0005-0000-0000-0000CCBA0000}"/>
    <cellStyle name="Normal 7 3 2 3 4 4" xfId="8260" xr:uid="{00000000-0005-0000-0000-0000CDBA0000}"/>
    <cellStyle name="Normal 7 3 2 3 4 4 2" xfId="22342" xr:uid="{00000000-0005-0000-0000-0000CEBA0000}"/>
    <cellStyle name="Normal 7 3 2 3 4 4 2 2" xfId="47895" xr:uid="{00000000-0005-0000-0000-0000CFBA0000}"/>
    <cellStyle name="Normal 7 3 2 3 4 4 3" xfId="33817" xr:uid="{00000000-0005-0000-0000-0000D0BA0000}"/>
    <cellStyle name="Normal 7 3 2 3 4 5" xfId="17335" xr:uid="{00000000-0005-0000-0000-0000D1BA0000}"/>
    <cellStyle name="Normal 7 3 2 3 4 5 2" xfId="42888" xr:uid="{00000000-0005-0000-0000-0000D2BA0000}"/>
    <cellStyle name="Normal 7 3 2 3 4 6" xfId="28825" xr:uid="{00000000-0005-0000-0000-0000D3BA0000}"/>
    <cellStyle name="Normal 7 3 2 3 5" xfId="4315" xr:uid="{00000000-0005-0000-0000-0000D4BA0000}"/>
    <cellStyle name="Normal 7 3 2 3 5 2" xfId="13153" xr:uid="{00000000-0005-0000-0000-0000D5BA0000}"/>
    <cellStyle name="Normal 7 3 2 3 5 2 2" xfId="23404" xr:uid="{00000000-0005-0000-0000-0000D6BA0000}"/>
    <cellStyle name="Normal 7 3 2 3 5 2 2 2" xfId="48957" xr:uid="{00000000-0005-0000-0000-0000D7BA0000}"/>
    <cellStyle name="Normal 7 3 2 3 5 2 3" xfId="38708" xr:uid="{00000000-0005-0000-0000-0000D8BA0000}"/>
    <cellStyle name="Normal 7 3 2 3 5 3" xfId="9574" xr:uid="{00000000-0005-0000-0000-0000D9BA0000}"/>
    <cellStyle name="Normal 7 3 2 3 5 3 2" xfId="35131" xr:uid="{00000000-0005-0000-0000-0000DABA0000}"/>
    <cellStyle name="Normal 7 3 2 3 5 4" xfId="18397" xr:uid="{00000000-0005-0000-0000-0000DBBA0000}"/>
    <cellStyle name="Normal 7 3 2 3 5 4 2" xfId="43950" xr:uid="{00000000-0005-0000-0000-0000DCBA0000}"/>
    <cellStyle name="Normal 7 3 2 3 5 5" xfId="29887" xr:uid="{00000000-0005-0000-0000-0000DDBA0000}"/>
    <cellStyle name="Normal 7 3 2 3 6" xfId="1587" xr:uid="{00000000-0005-0000-0000-0000DEBA0000}"/>
    <cellStyle name="Normal 7 3 2 3 6 2" xfId="10964" xr:uid="{00000000-0005-0000-0000-0000DFBA0000}"/>
    <cellStyle name="Normal 7 3 2 3 6 2 2" xfId="36519" xr:uid="{00000000-0005-0000-0000-0000E0BA0000}"/>
    <cellStyle name="Normal 7 3 2 3 6 3" xfId="20968" xr:uid="{00000000-0005-0000-0000-0000E1BA0000}"/>
    <cellStyle name="Normal 7 3 2 3 6 3 2" xfId="46521" xr:uid="{00000000-0005-0000-0000-0000E2BA0000}"/>
    <cellStyle name="Normal 7 3 2 3 6 4" xfId="27451" xr:uid="{00000000-0005-0000-0000-0000E3BA0000}"/>
    <cellStyle name="Normal 7 3 2 3 7" xfId="5771" xr:uid="{00000000-0005-0000-0000-0000E4BA0000}"/>
    <cellStyle name="Normal 7 3 2 3 7 2" xfId="14598" xr:uid="{00000000-0005-0000-0000-0000E5BA0000}"/>
    <cellStyle name="Normal 7 3 2 3 7 2 2" xfId="40153" xr:uid="{00000000-0005-0000-0000-0000E6BA0000}"/>
    <cellStyle name="Normal 7 3 2 3 7 3" xfId="24849" xr:uid="{00000000-0005-0000-0000-0000E7BA0000}"/>
    <cellStyle name="Normal 7 3 2 3 7 3 2" xfId="50402" xr:uid="{00000000-0005-0000-0000-0000E8BA0000}"/>
    <cellStyle name="Normal 7 3 2 3 7 4" xfId="31332" xr:uid="{00000000-0005-0000-0000-0000E9BA0000}"/>
    <cellStyle name="Normal 7 3 2 3 8" xfId="7215" xr:uid="{00000000-0005-0000-0000-0000EABA0000}"/>
    <cellStyle name="Normal 7 3 2 3 8 2" xfId="19941" xr:uid="{00000000-0005-0000-0000-0000EBBA0000}"/>
    <cellStyle name="Normal 7 3 2 3 8 2 2" xfId="45494" xr:uid="{00000000-0005-0000-0000-0000ECBA0000}"/>
    <cellStyle name="Normal 7 3 2 3 8 3" xfId="32772" xr:uid="{00000000-0005-0000-0000-0000EDBA0000}"/>
    <cellStyle name="Normal 7 3 2 3 9" xfId="15961" xr:uid="{00000000-0005-0000-0000-0000EEBA0000}"/>
    <cellStyle name="Normal 7 3 2 3 9 2" xfId="41514" xr:uid="{00000000-0005-0000-0000-0000EFBA0000}"/>
    <cellStyle name="Normal 7 3 2 3_Degree data" xfId="4060" xr:uid="{00000000-0005-0000-0000-0000F0BA0000}"/>
    <cellStyle name="Normal 7 3 2 4" xfId="395" xr:uid="{00000000-0005-0000-0000-0000F1BA0000}"/>
    <cellStyle name="Normal 7 3 2 4 2" xfId="2881" xr:uid="{00000000-0005-0000-0000-0000F2BA0000}"/>
    <cellStyle name="Normal 7 3 2 4 2 2" xfId="12169" xr:uid="{00000000-0005-0000-0000-0000F3BA0000}"/>
    <cellStyle name="Normal 7 3 2 4 2 2 2" xfId="22242" xr:uid="{00000000-0005-0000-0000-0000F4BA0000}"/>
    <cellStyle name="Normal 7 3 2 4 2 2 2 2" xfId="47795" xr:uid="{00000000-0005-0000-0000-0000F5BA0000}"/>
    <cellStyle name="Normal 7 3 2 4 2 2 3" xfId="37724" xr:uid="{00000000-0005-0000-0000-0000F6BA0000}"/>
    <cellStyle name="Normal 7 3 2 4 2 3" xfId="8518" xr:uid="{00000000-0005-0000-0000-0000F7BA0000}"/>
    <cellStyle name="Normal 7 3 2 4 2 3 2" xfId="34075" xr:uid="{00000000-0005-0000-0000-0000F8BA0000}"/>
    <cellStyle name="Normal 7 3 2 4 2 4" xfId="17235" xr:uid="{00000000-0005-0000-0000-0000F9BA0000}"/>
    <cellStyle name="Normal 7 3 2 4 2 4 2" xfId="42788" xr:uid="{00000000-0005-0000-0000-0000FABA0000}"/>
    <cellStyle name="Normal 7 3 2 4 2 5" xfId="28725" xr:uid="{00000000-0005-0000-0000-0000FBBA0000}"/>
    <cellStyle name="Normal 7 3 2 4 3" xfId="4758" xr:uid="{00000000-0005-0000-0000-0000FCBA0000}"/>
    <cellStyle name="Normal 7 3 2 4 3 2" xfId="13595" xr:uid="{00000000-0005-0000-0000-0000FDBA0000}"/>
    <cellStyle name="Normal 7 3 2 4 3 2 2" xfId="23846" xr:uid="{00000000-0005-0000-0000-0000FEBA0000}"/>
    <cellStyle name="Normal 7 3 2 4 3 2 2 2" xfId="49399" xr:uid="{00000000-0005-0000-0000-0000FFBA0000}"/>
    <cellStyle name="Normal 7 3 2 4 3 2 3" xfId="39150" xr:uid="{00000000-0005-0000-0000-000000BB0000}"/>
    <cellStyle name="Normal 7 3 2 4 3 3" xfId="10016" xr:uid="{00000000-0005-0000-0000-000001BB0000}"/>
    <cellStyle name="Normal 7 3 2 4 3 3 2" xfId="35573" xr:uid="{00000000-0005-0000-0000-000002BB0000}"/>
    <cellStyle name="Normal 7 3 2 4 3 4" xfId="18839" xr:uid="{00000000-0005-0000-0000-000003BB0000}"/>
    <cellStyle name="Normal 7 3 2 4 3 4 2" xfId="44392" xr:uid="{00000000-0005-0000-0000-000004BB0000}"/>
    <cellStyle name="Normal 7 3 2 4 3 5" xfId="30329" xr:uid="{00000000-0005-0000-0000-000005BB0000}"/>
    <cellStyle name="Normal 7 3 2 4 4" xfId="1990" xr:uid="{00000000-0005-0000-0000-000006BB0000}"/>
    <cellStyle name="Normal 7 3 2 4 4 2" xfId="11355" xr:uid="{00000000-0005-0000-0000-000007BB0000}"/>
    <cellStyle name="Normal 7 3 2 4 4 2 2" xfId="36910" xr:uid="{00000000-0005-0000-0000-000008BB0000}"/>
    <cellStyle name="Normal 7 3 2 4 4 3" xfId="21359" xr:uid="{00000000-0005-0000-0000-000009BB0000}"/>
    <cellStyle name="Normal 7 3 2 4 4 3 2" xfId="46912" xr:uid="{00000000-0005-0000-0000-00000ABB0000}"/>
    <cellStyle name="Normal 7 3 2 4 4 4" xfId="27842" xr:uid="{00000000-0005-0000-0000-00000BBB0000}"/>
    <cellStyle name="Normal 7 3 2 4 5" xfId="6213" xr:uid="{00000000-0005-0000-0000-00000CBB0000}"/>
    <cellStyle name="Normal 7 3 2 4 5 2" xfId="15040" xr:uid="{00000000-0005-0000-0000-00000DBB0000}"/>
    <cellStyle name="Normal 7 3 2 4 5 2 2" xfId="40595" xr:uid="{00000000-0005-0000-0000-00000EBB0000}"/>
    <cellStyle name="Normal 7 3 2 4 5 3" xfId="25291" xr:uid="{00000000-0005-0000-0000-00000FBB0000}"/>
    <cellStyle name="Normal 7 3 2 4 5 3 2" xfId="50844" xr:uid="{00000000-0005-0000-0000-000010BB0000}"/>
    <cellStyle name="Normal 7 3 2 4 5 4" xfId="31774" xr:uid="{00000000-0005-0000-0000-000011BB0000}"/>
    <cellStyle name="Normal 7 3 2 4 6" xfId="7659" xr:uid="{00000000-0005-0000-0000-000012BB0000}"/>
    <cellStyle name="Normal 7 3 2 4 6 2" xfId="19841" xr:uid="{00000000-0005-0000-0000-000013BB0000}"/>
    <cellStyle name="Normal 7 3 2 4 6 2 2" xfId="45394" xr:uid="{00000000-0005-0000-0000-000014BB0000}"/>
    <cellStyle name="Normal 7 3 2 4 6 3" xfId="33216" xr:uid="{00000000-0005-0000-0000-000015BB0000}"/>
    <cellStyle name="Normal 7 3 2 4 7" xfId="16352" xr:uid="{00000000-0005-0000-0000-000016BB0000}"/>
    <cellStyle name="Normal 7 3 2 4 7 2" xfId="41905" xr:uid="{00000000-0005-0000-0000-000017BB0000}"/>
    <cellStyle name="Normal 7 3 2 4 8" xfId="26324" xr:uid="{00000000-0005-0000-0000-000018BB0000}"/>
    <cellStyle name="Normal 7 3 2 5" xfId="952" xr:uid="{00000000-0005-0000-0000-000019BB0000}"/>
    <cellStyle name="Normal 7 3 2 5 2" xfId="3428" xr:uid="{00000000-0005-0000-0000-00001ABB0000}"/>
    <cellStyle name="Normal 7 3 2 5 2 2" xfId="12570" xr:uid="{00000000-0005-0000-0000-00001BBB0000}"/>
    <cellStyle name="Normal 7 3 2 5 2 2 2" xfId="22789" xr:uid="{00000000-0005-0000-0000-00001CBB0000}"/>
    <cellStyle name="Normal 7 3 2 5 2 2 2 2" xfId="48342" xr:uid="{00000000-0005-0000-0000-00001DBB0000}"/>
    <cellStyle name="Normal 7 3 2 5 2 2 3" xfId="38125" xr:uid="{00000000-0005-0000-0000-00001EBB0000}"/>
    <cellStyle name="Normal 7 3 2 5 2 3" xfId="8992" xr:uid="{00000000-0005-0000-0000-00001FBB0000}"/>
    <cellStyle name="Normal 7 3 2 5 2 3 2" xfId="34549" xr:uid="{00000000-0005-0000-0000-000020BB0000}"/>
    <cellStyle name="Normal 7 3 2 5 2 4" xfId="17782" xr:uid="{00000000-0005-0000-0000-000021BB0000}"/>
    <cellStyle name="Normal 7 3 2 5 2 4 2" xfId="43335" xr:uid="{00000000-0005-0000-0000-000022BB0000}"/>
    <cellStyle name="Normal 7 3 2 5 2 5" xfId="29272" xr:uid="{00000000-0005-0000-0000-000023BB0000}"/>
    <cellStyle name="Normal 7 3 2 5 3" xfId="5106" xr:uid="{00000000-0005-0000-0000-000024BB0000}"/>
    <cellStyle name="Normal 7 3 2 5 3 2" xfId="13943" xr:uid="{00000000-0005-0000-0000-000025BB0000}"/>
    <cellStyle name="Normal 7 3 2 5 3 2 2" xfId="24194" xr:uid="{00000000-0005-0000-0000-000026BB0000}"/>
    <cellStyle name="Normal 7 3 2 5 3 2 2 2" xfId="49747" xr:uid="{00000000-0005-0000-0000-000027BB0000}"/>
    <cellStyle name="Normal 7 3 2 5 3 2 3" xfId="39498" xr:uid="{00000000-0005-0000-0000-000028BB0000}"/>
    <cellStyle name="Normal 7 3 2 5 3 3" xfId="10364" xr:uid="{00000000-0005-0000-0000-000029BB0000}"/>
    <cellStyle name="Normal 7 3 2 5 3 3 2" xfId="35921" xr:uid="{00000000-0005-0000-0000-00002ABB0000}"/>
    <cellStyle name="Normal 7 3 2 5 3 4" xfId="19187" xr:uid="{00000000-0005-0000-0000-00002BBB0000}"/>
    <cellStyle name="Normal 7 3 2 5 3 4 2" xfId="44740" xr:uid="{00000000-0005-0000-0000-00002CBB0000}"/>
    <cellStyle name="Normal 7 3 2 5 3 5" xfId="30677" xr:uid="{00000000-0005-0000-0000-00002DBB0000}"/>
    <cellStyle name="Normal 7 3 2 5 4" xfId="2537" xr:uid="{00000000-0005-0000-0000-00002EBB0000}"/>
    <cellStyle name="Normal 7 3 2 5 4 2" xfId="11902" xr:uid="{00000000-0005-0000-0000-00002FBB0000}"/>
    <cellStyle name="Normal 7 3 2 5 4 2 2" xfId="37457" xr:uid="{00000000-0005-0000-0000-000030BB0000}"/>
    <cellStyle name="Normal 7 3 2 5 4 3" xfId="21906" xr:uid="{00000000-0005-0000-0000-000031BB0000}"/>
    <cellStyle name="Normal 7 3 2 5 4 3 2" xfId="47459" xr:uid="{00000000-0005-0000-0000-000032BB0000}"/>
    <cellStyle name="Normal 7 3 2 5 4 4" xfId="28389" xr:uid="{00000000-0005-0000-0000-000033BB0000}"/>
    <cellStyle name="Normal 7 3 2 5 5" xfId="6561" xr:uid="{00000000-0005-0000-0000-000034BB0000}"/>
    <cellStyle name="Normal 7 3 2 5 5 2" xfId="15388" xr:uid="{00000000-0005-0000-0000-000035BB0000}"/>
    <cellStyle name="Normal 7 3 2 5 5 2 2" xfId="40943" xr:uid="{00000000-0005-0000-0000-000036BB0000}"/>
    <cellStyle name="Normal 7 3 2 5 5 3" xfId="25639" xr:uid="{00000000-0005-0000-0000-000037BB0000}"/>
    <cellStyle name="Normal 7 3 2 5 5 3 2" xfId="51192" xr:uid="{00000000-0005-0000-0000-000038BB0000}"/>
    <cellStyle name="Normal 7 3 2 5 5 4" xfId="32122" xr:uid="{00000000-0005-0000-0000-000039BB0000}"/>
    <cellStyle name="Normal 7 3 2 5 6" xfId="8007" xr:uid="{00000000-0005-0000-0000-00003ABB0000}"/>
    <cellStyle name="Normal 7 3 2 5 6 2" xfId="20388" xr:uid="{00000000-0005-0000-0000-00003BBB0000}"/>
    <cellStyle name="Normal 7 3 2 5 6 2 2" xfId="45941" xr:uid="{00000000-0005-0000-0000-00003CBB0000}"/>
    <cellStyle name="Normal 7 3 2 5 6 3" xfId="33564" xr:uid="{00000000-0005-0000-0000-00003DBB0000}"/>
    <cellStyle name="Normal 7 3 2 5 7" xfId="16899" xr:uid="{00000000-0005-0000-0000-00003EBB0000}"/>
    <cellStyle name="Normal 7 3 2 5 7 2" xfId="42452" xr:uid="{00000000-0005-0000-0000-00003FBB0000}"/>
    <cellStyle name="Normal 7 3 2 5 8" xfId="26871" xr:uid="{00000000-0005-0000-0000-000040BB0000}"/>
    <cellStyle name="Normal 7 3 2 6" xfId="1167" xr:uid="{00000000-0005-0000-0000-000041BB0000}"/>
    <cellStyle name="Normal 7 3 2 6 2" xfId="3596" xr:uid="{00000000-0005-0000-0000-000042BB0000}"/>
    <cellStyle name="Normal 7 3 2 6 2 2" xfId="12732" xr:uid="{00000000-0005-0000-0000-000043BB0000}"/>
    <cellStyle name="Normal 7 3 2 6 2 2 2" xfId="22951" xr:uid="{00000000-0005-0000-0000-000044BB0000}"/>
    <cellStyle name="Normal 7 3 2 6 2 2 2 2" xfId="48504" xr:uid="{00000000-0005-0000-0000-000045BB0000}"/>
    <cellStyle name="Normal 7 3 2 6 2 2 3" xfId="38287" xr:uid="{00000000-0005-0000-0000-000046BB0000}"/>
    <cellStyle name="Normal 7 3 2 6 2 3" xfId="9153" xr:uid="{00000000-0005-0000-0000-000047BB0000}"/>
    <cellStyle name="Normal 7 3 2 6 2 3 2" xfId="34710" xr:uid="{00000000-0005-0000-0000-000048BB0000}"/>
    <cellStyle name="Normal 7 3 2 6 2 4" xfId="17944" xr:uid="{00000000-0005-0000-0000-000049BB0000}"/>
    <cellStyle name="Normal 7 3 2 6 2 4 2" xfId="43497" xr:uid="{00000000-0005-0000-0000-00004ABB0000}"/>
    <cellStyle name="Normal 7 3 2 6 2 5" xfId="29434" xr:uid="{00000000-0005-0000-0000-00004BBB0000}"/>
    <cellStyle name="Normal 7 3 2 6 3" xfId="5259" xr:uid="{00000000-0005-0000-0000-00004CBB0000}"/>
    <cellStyle name="Normal 7 3 2 6 3 2" xfId="14096" xr:uid="{00000000-0005-0000-0000-00004DBB0000}"/>
    <cellStyle name="Normal 7 3 2 6 3 2 2" xfId="24347" xr:uid="{00000000-0005-0000-0000-00004EBB0000}"/>
    <cellStyle name="Normal 7 3 2 6 3 2 2 2" xfId="49900" xr:uid="{00000000-0005-0000-0000-00004FBB0000}"/>
    <cellStyle name="Normal 7 3 2 6 3 2 3" xfId="39651" xr:uid="{00000000-0005-0000-0000-000050BB0000}"/>
    <cellStyle name="Normal 7 3 2 6 3 3" xfId="10517" xr:uid="{00000000-0005-0000-0000-000051BB0000}"/>
    <cellStyle name="Normal 7 3 2 6 3 3 2" xfId="36074" xr:uid="{00000000-0005-0000-0000-000052BB0000}"/>
    <cellStyle name="Normal 7 3 2 6 3 4" xfId="19340" xr:uid="{00000000-0005-0000-0000-000053BB0000}"/>
    <cellStyle name="Normal 7 3 2 6 3 4 2" xfId="44893" xr:uid="{00000000-0005-0000-0000-000054BB0000}"/>
    <cellStyle name="Normal 7 3 2 6 3 5" xfId="30830" xr:uid="{00000000-0005-0000-0000-000055BB0000}"/>
    <cellStyle name="Normal 7 3 2 6 4" xfId="1767" xr:uid="{00000000-0005-0000-0000-000056BB0000}"/>
    <cellStyle name="Normal 7 3 2 6 4 2" xfId="11138" xr:uid="{00000000-0005-0000-0000-000057BB0000}"/>
    <cellStyle name="Normal 7 3 2 6 4 2 2" xfId="36693" xr:uid="{00000000-0005-0000-0000-000058BB0000}"/>
    <cellStyle name="Normal 7 3 2 6 4 3" xfId="21142" xr:uid="{00000000-0005-0000-0000-000059BB0000}"/>
    <cellStyle name="Normal 7 3 2 6 4 3 2" xfId="46695" xr:uid="{00000000-0005-0000-0000-00005ABB0000}"/>
    <cellStyle name="Normal 7 3 2 6 4 4" xfId="27625" xr:uid="{00000000-0005-0000-0000-00005BBB0000}"/>
    <cellStyle name="Normal 7 3 2 6 5" xfId="6714" xr:uid="{00000000-0005-0000-0000-00005CBB0000}"/>
    <cellStyle name="Normal 7 3 2 6 5 2" xfId="15541" xr:uid="{00000000-0005-0000-0000-00005DBB0000}"/>
    <cellStyle name="Normal 7 3 2 6 5 2 2" xfId="41096" xr:uid="{00000000-0005-0000-0000-00005EBB0000}"/>
    <cellStyle name="Normal 7 3 2 6 5 3" xfId="25792" xr:uid="{00000000-0005-0000-0000-00005FBB0000}"/>
    <cellStyle name="Normal 7 3 2 6 5 3 2" xfId="51345" xr:uid="{00000000-0005-0000-0000-000060BB0000}"/>
    <cellStyle name="Normal 7 3 2 6 5 4" xfId="32275" xr:uid="{00000000-0005-0000-0000-000061BB0000}"/>
    <cellStyle name="Normal 7 3 2 6 6" xfId="8160" xr:uid="{00000000-0005-0000-0000-000062BB0000}"/>
    <cellStyle name="Normal 7 3 2 6 6 2" xfId="20550" xr:uid="{00000000-0005-0000-0000-000063BB0000}"/>
    <cellStyle name="Normal 7 3 2 6 6 2 2" xfId="46103" xr:uid="{00000000-0005-0000-0000-000064BB0000}"/>
    <cellStyle name="Normal 7 3 2 6 6 3" xfId="33717" xr:uid="{00000000-0005-0000-0000-000065BB0000}"/>
    <cellStyle name="Normal 7 3 2 6 7" xfId="16135" xr:uid="{00000000-0005-0000-0000-000066BB0000}"/>
    <cellStyle name="Normal 7 3 2 6 7 2" xfId="41688" xr:uid="{00000000-0005-0000-0000-000067BB0000}"/>
    <cellStyle name="Normal 7 3 2 6 8" xfId="27033" xr:uid="{00000000-0005-0000-0000-000068BB0000}"/>
    <cellStyle name="Normal 7 3 2 7" xfId="2664" xr:uid="{00000000-0005-0000-0000-000069BB0000}"/>
    <cellStyle name="Normal 7 3 2 7 2" xfId="11981" xr:uid="{00000000-0005-0000-0000-00006ABB0000}"/>
    <cellStyle name="Normal 7 3 2 7 2 2" xfId="22025" xr:uid="{00000000-0005-0000-0000-00006BBB0000}"/>
    <cellStyle name="Normal 7 3 2 7 2 2 2" xfId="47578" xr:uid="{00000000-0005-0000-0000-00006CBB0000}"/>
    <cellStyle name="Normal 7 3 2 7 2 3" xfId="37536" xr:uid="{00000000-0005-0000-0000-00006DBB0000}"/>
    <cellStyle name="Normal 7 3 2 7 3" xfId="8558" xr:uid="{00000000-0005-0000-0000-00006EBB0000}"/>
    <cellStyle name="Normal 7 3 2 7 3 2" xfId="34115" xr:uid="{00000000-0005-0000-0000-00006FBB0000}"/>
    <cellStyle name="Normal 7 3 2 7 4" xfId="17018" xr:uid="{00000000-0005-0000-0000-000070BB0000}"/>
    <cellStyle name="Normal 7 3 2 7 4 2" xfId="42571" xr:uid="{00000000-0005-0000-0000-000071BB0000}"/>
    <cellStyle name="Normal 7 3 2 7 5" xfId="28508" xr:uid="{00000000-0005-0000-0000-000072BB0000}"/>
    <cellStyle name="Normal 7 3 2 8" xfId="4215" xr:uid="{00000000-0005-0000-0000-000073BB0000}"/>
    <cellStyle name="Normal 7 3 2 8 2" xfId="13053" xr:uid="{00000000-0005-0000-0000-000074BB0000}"/>
    <cellStyle name="Normal 7 3 2 8 2 2" xfId="23304" xr:uid="{00000000-0005-0000-0000-000075BB0000}"/>
    <cellStyle name="Normal 7 3 2 8 2 2 2" xfId="48857" xr:uid="{00000000-0005-0000-0000-000076BB0000}"/>
    <cellStyle name="Normal 7 3 2 8 2 3" xfId="38608" xr:uid="{00000000-0005-0000-0000-000077BB0000}"/>
    <cellStyle name="Normal 7 3 2 8 3" xfId="9474" xr:uid="{00000000-0005-0000-0000-000078BB0000}"/>
    <cellStyle name="Normal 7 3 2 8 3 2" xfId="35031" xr:uid="{00000000-0005-0000-0000-000079BB0000}"/>
    <cellStyle name="Normal 7 3 2 8 4" xfId="18297" xr:uid="{00000000-0005-0000-0000-00007ABB0000}"/>
    <cellStyle name="Normal 7 3 2 8 4 2" xfId="43850" xr:uid="{00000000-0005-0000-0000-00007BBB0000}"/>
    <cellStyle name="Normal 7 3 2 8 5" xfId="29787" xr:uid="{00000000-0005-0000-0000-00007CBB0000}"/>
    <cellStyle name="Normal 7 3 2 9" xfId="1487" xr:uid="{00000000-0005-0000-0000-00007DBB0000}"/>
    <cellStyle name="Normal 7 3 2 9 2" xfId="10864" xr:uid="{00000000-0005-0000-0000-00007EBB0000}"/>
    <cellStyle name="Normal 7 3 2 9 2 2" xfId="36419" xr:uid="{00000000-0005-0000-0000-00007FBB0000}"/>
    <cellStyle name="Normal 7 3 2 9 3" xfId="20868" xr:uid="{00000000-0005-0000-0000-000080BB0000}"/>
    <cellStyle name="Normal 7 3 2 9 3 2" xfId="46421" xr:uid="{00000000-0005-0000-0000-000081BB0000}"/>
    <cellStyle name="Normal 7 3 2 9 4" xfId="27351" xr:uid="{00000000-0005-0000-0000-000082BB0000}"/>
    <cellStyle name="Normal 7 3 2_Degree data" xfId="4058" xr:uid="{00000000-0005-0000-0000-000083BB0000}"/>
    <cellStyle name="Normal 7 3 3" xfId="212" xr:uid="{00000000-0005-0000-0000-000084BB0000}"/>
    <cellStyle name="Normal 7 3 3 10" xfId="7158" xr:uid="{00000000-0005-0000-0000-000085BB0000}"/>
    <cellStyle name="Normal 7 3 3 10 2" xfId="19667" xr:uid="{00000000-0005-0000-0000-000086BB0000}"/>
    <cellStyle name="Normal 7 3 3 10 2 2" xfId="45220" xr:uid="{00000000-0005-0000-0000-000087BB0000}"/>
    <cellStyle name="Normal 7 3 3 10 3" xfId="32715" xr:uid="{00000000-0005-0000-0000-000088BB0000}"/>
    <cellStyle name="Normal 7 3 3 11" xfId="15904" xr:uid="{00000000-0005-0000-0000-000089BB0000}"/>
    <cellStyle name="Normal 7 3 3 11 2" xfId="41457" xr:uid="{00000000-0005-0000-0000-00008ABB0000}"/>
    <cellStyle name="Normal 7 3 3 12" xfId="26150" xr:uid="{00000000-0005-0000-0000-00008BBB0000}"/>
    <cellStyle name="Normal 7 3 3 2" xfId="538" xr:uid="{00000000-0005-0000-0000-00008CBB0000}"/>
    <cellStyle name="Normal 7 3 3 2 10" xfId="26467" xr:uid="{00000000-0005-0000-0000-00008DBB0000}"/>
    <cellStyle name="Normal 7 3 3 2 2" xfId="956" xr:uid="{00000000-0005-0000-0000-00008EBB0000}"/>
    <cellStyle name="Normal 7 3 3 2 2 2" xfId="3432" xr:uid="{00000000-0005-0000-0000-00008FBB0000}"/>
    <cellStyle name="Normal 7 3 3 2 2 2 2" xfId="12574" xr:uid="{00000000-0005-0000-0000-000090BB0000}"/>
    <cellStyle name="Normal 7 3 3 2 2 2 2 2" xfId="22793" xr:uid="{00000000-0005-0000-0000-000091BB0000}"/>
    <cellStyle name="Normal 7 3 3 2 2 2 2 2 2" xfId="48346" xr:uid="{00000000-0005-0000-0000-000092BB0000}"/>
    <cellStyle name="Normal 7 3 3 2 2 2 2 3" xfId="38129" xr:uid="{00000000-0005-0000-0000-000093BB0000}"/>
    <cellStyle name="Normal 7 3 3 2 2 2 3" xfId="8996" xr:uid="{00000000-0005-0000-0000-000094BB0000}"/>
    <cellStyle name="Normal 7 3 3 2 2 2 3 2" xfId="34553" xr:uid="{00000000-0005-0000-0000-000095BB0000}"/>
    <cellStyle name="Normal 7 3 3 2 2 2 4" xfId="17786" xr:uid="{00000000-0005-0000-0000-000096BB0000}"/>
    <cellStyle name="Normal 7 3 3 2 2 2 4 2" xfId="43339" xr:uid="{00000000-0005-0000-0000-000097BB0000}"/>
    <cellStyle name="Normal 7 3 3 2 2 2 5" xfId="29276" xr:uid="{00000000-0005-0000-0000-000098BB0000}"/>
    <cellStyle name="Normal 7 3 3 2 2 3" xfId="4762" xr:uid="{00000000-0005-0000-0000-000099BB0000}"/>
    <cellStyle name="Normal 7 3 3 2 2 3 2" xfId="13599" xr:uid="{00000000-0005-0000-0000-00009ABB0000}"/>
    <cellStyle name="Normal 7 3 3 2 2 3 2 2" xfId="23850" xr:uid="{00000000-0005-0000-0000-00009BBB0000}"/>
    <cellStyle name="Normal 7 3 3 2 2 3 2 2 2" xfId="49403" xr:uid="{00000000-0005-0000-0000-00009CBB0000}"/>
    <cellStyle name="Normal 7 3 3 2 2 3 2 3" xfId="39154" xr:uid="{00000000-0005-0000-0000-00009DBB0000}"/>
    <cellStyle name="Normal 7 3 3 2 2 3 3" xfId="10020" xr:uid="{00000000-0005-0000-0000-00009EBB0000}"/>
    <cellStyle name="Normal 7 3 3 2 2 3 3 2" xfId="35577" xr:uid="{00000000-0005-0000-0000-00009FBB0000}"/>
    <cellStyle name="Normal 7 3 3 2 2 3 4" xfId="18843" xr:uid="{00000000-0005-0000-0000-0000A0BB0000}"/>
    <cellStyle name="Normal 7 3 3 2 2 3 4 2" xfId="44396" xr:uid="{00000000-0005-0000-0000-0000A1BB0000}"/>
    <cellStyle name="Normal 7 3 3 2 2 3 5" xfId="30333" xr:uid="{00000000-0005-0000-0000-0000A2BB0000}"/>
    <cellStyle name="Normal 7 3 3 2 2 4" xfId="2541" xr:uid="{00000000-0005-0000-0000-0000A3BB0000}"/>
    <cellStyle name="Normal 7 3 3 2 2 4 2" xfId="11906" xr:uid="{00000000-0005-0000-0000-0000A4BB0000}"/>
    <cellStyle name="Normal 7 3 3 2 2 4 2 2" xfId="37461" xr:uid="{00000000-0005-0000-0000-0000A5BB0000}"/>
    <cellStyle name="Normal 7 3 3 2 2 4 3" xfId="21910" xr:uid="{00000000-0005-0000-0000-0000A6BB0000}"/>
    <cellStyle name="Normal 7 3 3 2 2 4 3 2" xfId="47463" xr:uid="{00000000-0005-0000-0000-0000A7BB0000}"/>
    <cellStyle name="Normal 7 3 3 2 2 4 4" xfId="28393" xr:uid="{00000000-0005-0000-0000-0000A8BB0000}"/>
    <cellStyle name="Normal 7 3 3 2 2 5" xfId="6217" xr:uid="{00000000-0005-0000-0000-0000A9BB0000}"/>
    <cellStyle name="Normal 7 3 3 2 2 5 2" xfId="15044" xr:uid="{00000000-0005-0000-0000-0000AABB0000}"/>
    <cellStyle name="Normal 7 3 3 2 2 5 2 2" xfId="40599" xr:uid="{00000000-0005-0000-0000-0000ABBB0000}"/>
    <cellStyle name="Normal 7 3 3 2 2 5 3" xfId="25295" xr:uid="{00000000-0005-0000-0000-0000ACBB0000}"/>
    <cellStyle name="Normal 7 3 3 2 2 5 3 2" xfId="50848" xr:uid="{00000000-0005-0000-0000-0000ADBB0000}"/>
    <cellStyle name="Normal 7 3 3 2 2 5 4" xfId="31778" xr:uid="{00000000-0005-0000-0000-0000AEBB0000}"/>
    <cellStyle name="Normal 7 3 3 2 2 6" xfId="7663" xr:uid="{00000000-0005-0000-0000-0000AFBB0000}"/>
    <cellStyle name="Normal 7 3 3 2 2 6 2" xfId="20392" xr:uid="{00000000-0005-0000-0000-0000B0BB0000}"/>
    <cellStyle name="Normal 7 3 3 2 2 6 2 2" xfId="45945" xr:uid="{00000000-0005-0000-0000-0000B1BB0000}"/>
    <cellStyle name="Normal 7 3 3 2 2 6 3" xfId="33220" xr:uid="{00000000-0005-0000-0000-0000B2BB0000}"/>
    <cellStyle name="Normal 7 3 3 2 2 7" xfId="16903" xr:uid="{00000000-0005-0000-0000-0000B3BB0000}"/>
    <cellStyle name="Normal 7 3 3 2 2 7 2" xfId="42456" xr:uid="{00000000-0005-0000-0000-0000B4BB0000}"/>
    <cellStyle name="Normal 7 3 3 2 2 8" xfId="26875" xr:uid="{00000000-0005-0000-0000-0000B5BB0000}"/>
    <cellStyle name="Normal 7 3 3 2 3" xfId="1310" xr:uid="{00000000-0005-0000-0000-0000B6BB0000}"/>
    <cellStyle name="Normal 7 3 3 2 3 2" xfId="3739" xr:uid="{00000000-0005-0000-0000-0000B7BB0000}"/>
    <cellStyle name="Normal 7 3 3 2 3 2 2" xfId="12875" xr:uid="{00000000-0005-0000-0000-0000B8BB0000}"/>
    <cellStyle name="Normal 7 3 3 2 3 2 2 2" xfId="23094" xr:uid="{00000000-0005-0000-0000-0000B9BB0000}"/>
    <cellStyle name="Normal 7 3 3 2 3 2 2 2 2" xfId="48647" xr:uid="{00000000-0005-0000-0000-0000BABB0000}"/>
    <cellStyle name="Normal 7 3 3 2 3 2 2 3" xfId="38430" xr:uid="{00000000-0005-0000-0000-0000BBBB0000}"/>
    <cellStyle name="Normal 7 3 3 2 3 2 3" xfId="9296" xr:uid="{00000000-0005-0000-0000-0000BCBB0000}"/>
    <cellStyle name="Normal 7 3 3 2 3 2 3 2" xfId="34853" xr:uid="{00000000-0005-0000-0000-0000BDBB0000}"/>
    <cellStyle name="Normal 7 3 3 2 3 2 4" xfId="18087" xr:uid="{00000000-0005-0000-0000-0000BEBB0000}"/>
    <cellStyle name="Normal 7 3 3 2 3 2 4 2" xfId="43640" xr:uid="{00000000-0005-0000-0000-0000BFBB0000}"/>
    <cellStyle name="Normal 7 3 3 2 3 2 5" xfId="29577" xr:uid="{00000000-0005-0000-0000-0000C0BB0000}"/>
    <cellStyle name="Normal 7 3 3 2 3 3" xfId="5110" xr:uid="{00000000-0005-0000-0000-0000C1BB0000}"/>
    <cellStyle name="Normal 7 3 3 2 3 3 2" xfId="13947" xr:uid="{00000000-0005-0000-0000-0000C2BB0000}"/>
    <cellStyle name="Normal 7 3 3 2 3 3 2 2" xfId="24198" xr:uid="{00000000-0005-0000-0000-0000C3BB0000}"/>
    <cellStyle name="Normal 7 3 3 2 3 3 2 2 2" xfId="49751" xr:uid="{00000000-0005-0000-0000-0000C4BB0000}"/>
    <cellStyle name="Normal 7 3 3 2 3 3 2 3" xfId="39502" xr:uid="{00000000-0005-0000-0000-0000C5BB0000}"/>
    <cellStyle name="Normal 7 3 3 2 3 3 3" xfId="10368" xr:uid="{00000000-0005-0000-0000-0000C6BB0000}"/>
    <cellStyle name="Normal 7 3 3 2 3 3 3 2" xfId="35925" xr:uid="{00000000-0005-0000-0000-0000C7BB0000}"/>
    <cellStyle name="Normal 7 3 3 2 3 3 4" xfId="19191" xr:uid="{00000000-0005-0000-0000-0000C8BB0000}"/>
    <cellStyle name="Normal 7 3 3 2 3 3 4 2" xfId="44744" xr:uid="{00000000-0005-0000-0000-0000C9BB0000}"/>
    <cellStyle name="Normal 7 3 3 2 3 3 5" xfId="30681" xr:uid="{00000000-0005-0000-0000-0000CABB0000}"/>
    <cellStyle name="Normal 7 3 3 2 3 4" xfId="2133" xr:uid="{00000000-0005-0000-0000-0000CBBB0000}"/>
    <cellStyle name="Normal 7 3 3 2 3 4 2" xfId="11498" xr:uid="{00000000-0005-0000-0000-0000CCBB0000}"/>
    <cellStyle name="Normal 7 3 3 2 3 4 2 2" xfId="37053" xr:uid="{00000000-0005-0000-0000-0000CDBB0000}"/>
    <cellStyle name="Normal 7 3 3 2 3 4 3" xfId="21502" xr:uid="{00000000-0005-0000-0000-0000CEBB0000}"/>
    <cellStyle name="Normal 7 3 3 2 3 4 3 2" xfId="47055" xr:uid="{00000000-0005-0000-0000-0000CFBB0000}"/>
    <cellStyle name="Normal 7 3 3 2 3 4 4" xfId="27985" xr:uid="{00000000-0005-0000-0000-0000D0BB0000}"/>
    <cellStyle name="Normal 7 3 3 2 3 5" xfId="6565" xr:uid="{00000000-0005-0000-0000-0000D1BB0000}"/>
    <cellStyle name="Normal 7 3 3 2 3 5 2" xfId="15392" xr:uid="{00000000-0005-0000-0000-0000D2BB0000}"/>
    <cellStyle name="Normal 7 3 3 2 3 5 2 2" xfId="40947" xr:uid="{00000000-0005-0000-0000-0000D3BB0000}"/>
    <cellStyle name="Normal 7 3 3 2 3 5 3" xfId="25643" xr:uid="{00000000-0005-0000-0000-0000D4BB0000}"/>
    <cellStyle name="Normal 7 3 3 2 3 5 3 2" xfId="51196" xr:uid="{00000000-0005-0000-0000-0000D5BB0000}"/>
    <cellStyle name="Normal 7 3 3 2 3 5 4" xfId="32126" xr:uid="{00000000-0005-0000-0000-0000D6BB0000}"/>
    <cellStyle name="Normal 7 3 3 2 3 6" xfId="8011" xr:uid="{00000000-0005-0000-0000-0000D7BB0000}"/>
    <cellStyle name="Normal 7 3 3 2 3 6 2" xfId="20693" xr:uid="{00000000-0005-0000-0000-0000D8BB0000}"/>
    <cellStyle name="Normal 7 3 3 2 3 6 2 2" xfId="46246" xr:uid="{00000000-0005-0000-0000-0000D9BB0000}"/>
    <cellStyle name="Normal 7 3 3 2 3 6 3" xfId="33568" xr:uid="{00000000-0005-0000-0000-0000DABB0000}"/>
    <cellStyle name="Normal 7 3 3 2 3 7" xfId="16495" xr:uid="{00000000-0005-0000-0000-0000DBBB0000}"/>
    <cellStyle name="Normal 7 3 3 2 3 7 2" xfId="42048" xr:uid="{00000000-0005-0000-0000-0000DCBB0000}"/>
    <cellStyle name="Normal 7 3 3 2 3 8" xfId="27176" xr:uid="{00000000-0005-0000-0000-0000DDBB0000}"/>
    <cellStyle name="Normal 7 3 3 2 4" xfId="3024" xr:uid="{00000000-0005-0000-0000-0000DEBB0000}"/>
    <cellStyle name="Normal 7 3 3 2 4 2" xfId="5402" xr:uid="{00000000-0005-0000-0000-0000DFBB0000}"/>
    <cellStyle name="Normal 7 3 3 2 4 2 2" xfId="14239" xr:uid="{00000000-0005-0000-0000-0000E0BB0000}"/>
    <cellStyle name="Normal 7 3 3 2 4 2 2 2" xfId="24490" xr:uid="{00000000-0005-0000-0000-0000E1BB0000}"/>
    <cellStyle name="Normal 7 3 3 2 4 2 2 2 2" xfId="50043" xr:uid="{00000000-0005-0000-0000-0000E2BB0000}"/>
    <cellStyle name="Normal 7 3 3 2 4 2 2 3" xfId="39794" xr:uid="{00000000-0005-0000-0000-0000E3BB0000}"/>
    <cellStyle name="Normal 7 3 3 2 4 2 3" xfId="10660" xr:uid="{00000000-0005-0000-0000-0000E4BB0000}"/>
    <cellStyle name="Normal 7 3 3 2 4 2 3 2" xfId="36217" xr:uid="{00000000-0005-0000-0000-0000E5BB0000}"/>
    <cellStyle name="Normal 7 3 3 2 4 2 4" xfId="19483" xr:uid="{00000000-0005-0000-0000-0000E6BB0000}"/>
    <cellStyle name="Normal 7 3 3 2 4 2 4 2" xfId="45036" xr:uid="{00000000-0005-0000-0000-0000E7BB0000}"/>
    <cellStyle name="Normal 7 3 3 2 4 2 5" xfId="30973" xr:uid="{00000000-0005-0000-0000-0000E8BB0000}"/>
    <cellStyle name="Normal 7 3 3 2 4 3" xfId="6857" xr:uid="{00000000-0005-0000-0000-0000E9BB0000}"/>
    <cellStyle name="Normal 7 3 3 2 4 3 2" xfId="15684" xr:uid="{00000000-0005-0000-0000-0000EABB0000}"/>
    <cellStyle name="Normal 7 3 3 2 4 3 2 2" xfId="41239" xr:uid="{00000000-0005-0000-0000-0000EBBB0000}"/>
    <cellStyle name="Normal 7 3 3 2 4 3 3" xfId="25935" xr:uid="{00000000-0005-0000-0000-0000ECBB0000}"/>
    <cellStyle name="Normal 7 3 3 2 4 3 3 2" xfId="51488" xr:uid="{00000000-0005-0000-0000-0000EDBB0000}"/>
    <cellStyle name="Normal 7 3 3 2 4 3 4" xfId="32418" xr:uid="{00000000-0005-0000-0000-0000EEBB0000}"/>
    <cellStyle name="Normal 7 3 3 2 4 4" xfId="8303" xr:uid="{00000000-0005-0000-0000-0000EFBB0000}"/>
    <cellStyle name="Normal 7 3 3 2 4 4 2" xfId="22385" xr:uid="{00000000-0005-0000-0000-0000F0BB0000}"/>
    <cellStyle name="Normal 7 3 3 2 4 4 2 2" xfId="47938" xr:uid="{00000000-0005-0000-0000-0000F1BB0000}"/>
    <cellStyle name="Normal 7 3 3 2 4 4 3" xfId="33860" xr:uid="{00000000-0005-0000-0000-0000F2BB0000}"/>
    <cellStyle name="Normal 7 3 3 2 4 5" xfId="17378" xr:uid="{00000000-0005-0000-0000-0000F3BB0000}"/>
    <cellStyle name="Normal 7 3 3 2 4 5 2" xfId="42931" xr:uid="{00000000-0005-0000-0000-0000F4BB0000}"/>
    <cellStyle name="Normal 7 3 3 2 4 6" xfId="28868" xr:uid="{00000000-0005-0000-0000-0000F5BB0000}"/>
    <cellStyle name="Normal 7 3 3 2 5" xfId="4358" xr:uid="{00000000-0005-0000-0000-0000F6BB0000}"/>
    <cellStyle name="Normal 7 3 3 2 5 2" xfId="13196" xr:uid="{00000000-0005-0000-0000-0000F7BB0000}"/>
    <cellStyle name="Normal 7 3 3 2 5 2 2" xfId="23447" xr:uid="{00000000-0005-0000-0000-0000F8BB0000}"/>
    <cellStyle name="Normal 7 3 3 2 5 2 2 2" xfId="49000" xr:uid="{00000000-0005-0000-0000-0000F9BB0000}"/>
    <cellStyle name="Normal 7 3 3 2 5 2 3" xfId="38751" xr:uid="{00000000-0005-0000-0000-0000FABB0000}"/>
    <cellStyle name="Normal 7 3 3 2 5 3" xfId="9617" xr:uid="{00000000-0005-0000-0000-0000FBBB0000}"/>
    <cellStyle name="Normal 7 3 3 2 5 3 2" xfId="35174" xr:uid="{00000000-0005-0000-0000-0000FCBB0000}"/>
    <cellStyle name="Normal 7 3 3 2 5 4" xfId="18440" xr:uid="{00000000-0005-0000-0000-0000FDBB0000}"/>
    <cellStyle name="Normal 7 3 3 2 5 4 2" xfId="43993" xr:uid="{00000000-0005-0000-0000-0000FEBB0000}"/>
    <cellStyle name="Normal 7 3 3 2 5 5" xfId="29930" xr:uid="{00000000-0005-0000-0000-0000FFBB0000}"/>
    <cellStyle name="Normal 7 3 3 2 6" xfId="1630" xr:uid="{00000000-0005-0000-0000-000000BC0000}"/>
    <cellStyle name="Normal 7 3 3 2 6 2" xfId="11007" xr:uid="{00000000-0005-0000-0000-000001BC0000}"/>
    <cellStyle name="Normal 7 3 3 2 6 2 2" xfId="36562" xr:uid="{00000000-0005-0000-0000-000002BC0000}"/>
    <cellStyle name="Normal 7 3 3 2 6 3" xfId="21011" xr:uid="{00000000-0005-0000-0000-000003BC0000}"/>
    <cellStyle name="Normal 7 3 3 2 6 3 2" xfId="46564" xr:uid="{00000000-0005-0000-0000-000004BC0000}"/>
    <cellStyle name="Normal 7 3 3 2 6 4" xfId="27494" xr:uid="{00000000-0005-0000-0000-000005BC0000}"/>
    <cellStyle name="Normal 7 3 3 2 7" xfId="5814" xr:uid="{00000000-0005-0000-0000-000006BC0000}"/>
    <cellStyle name="Normal 7 3 3 2 7 2" xfId="14641" xr:uid="{00000000-0005-0000-0000-000007BC0000}"/>
    <cellStyle name="Normal 7 3 3 2 7 2 2" xfId="40196" xr:uid="{00000000-0005-0000-0000-000008BC0000}"/>
    <cellStyle name="Normal 7 3 3 2 7 3" xfId="24892" xr:uid="{00000000-0005-0000-0000-000009BC0000}"/>
    <cellStyle name="Normal 7 3 3 2 7 3 2" xfId="50445" xr:uid="{00000000-0005-0000-0000-00000ABC0000}"/>
    <cellStyle name="Normal 7 3 3 2 7 4" xfId="31375" xr:uid="{00000000-0005-0000-0000-00000BBC0000}"/>
    <cellStyle name="Normal 7 3 3 2 8" xfId="7258" xr:uid="{00000000-0005-0000-0000-00000CBC0000}"/>
    <cellStyle name="Normal 7 3 3 2 8 2" xfId="19984" xr:uid="{00000000-0005-0000-0000-00000DBC0000}"/>
    <cellStyle name="Normal 7 3 3 2 8 2 2" xfId="45537" xr:uid="{00000000-0005-0000-0000-00000EBC0000}"/>
    <cellStyle name="Normal 7 3 3 2 8 3" xfId="32815" xr:uid="{00000000-0005-0000-0000-00000FBC0000}"/>
    <cellStyle name="Normal 7 3 3 2 9" xfId="16004" xr:uid="{00000000-0005-0000-0000-000010BC0000}"/>
    <cellStyle name="Normal 7 3 3 2 9 2" xfId="41557" xr:uid="{00000000-0005-0000-0000-000011BC0000}"/>
    <cellStyle name="Normal 7 3 3 2_Degree data" xfId="4062" xr:uid="{00000000-0005-0000-0000-000012BC0000}"/>
    <cellStyle name="Normal 7 3 3 3" xfId="438" xr:uid="{00000000-0005-0000-0000-000013BC0000}"/>
    <cellStyle name="Normal 7 3 3 3 2" xfId="2924" xr:uid="{00000000-0005-0000-0000-000014BC0000}"/>
    <cellStyle name="Normal 7 3 3 3 2 2" xfId="12212" xr:uid="{00000000-0005-0000-0000-000015BC0000}"/>
    <cellStyle name="Normal 7 3 3 3 2 2 2" xfId="22285" xr:uid="{00000000-0005-0000-0000-000016BC0000}"/>
    <cellStyle name="Normal 7 3 3 3 2 2 2 2" xfId="47838" xr:uid="{00000000-0005-0000-0000-000017BC0000}"/>
    <cellStyle name="Normal 7 3 3 3 2 2 3" xfId="37767" xr:uid="{00000000-0005-0000-0000-000018BC0000}"/>
    <cellStyle name="Normal 7 3 3 3 2 3" xfId="8507" xr:uid="{00000000-0005-0000-0000-000019BC0000}"/>
    <cellStyle name="Normal 7 3 3 3 2 3 2" xfId="34064" xr:uid="{00000000-0005-0000-0000-00001ABC0000}"/>
    <cellStyle name="Normal 7 3 3 3 2 4" xfId="17278" xr:uid="{00000000-0005-0000-0000-00001BBC0000}"/>
    <cellStyle name="Normal 7 3 3 3 2 4 2" xfId="42831" xr:uid="{00000000-0005-0000-0000-00001CBC0000}"/>
    <cellStyle name="Normal 7 3 3 3 2 5" xfId="28768" xr:uid="{00000000-0005-0000-0000-00001DBC0000}"/>
    <cellStyle name="Normal 7 3 3 3 3" xfId="4761" xr:uid="{00000000-0005-0000-0000-00001EBC0000}"/>
    <cellStyle name="Normal 7 3 3 3 3 2" xfId="13598" xr:uid="{00000000-0005-0000-0000-00001FBC0000}"/>
    <cellStyle name="Normal 7 3 3 3 3 2 2" xfId="23849" xr:uid="{00000000-0005-0000-0000-000020BC0000}"/>
    <cellStyle name="Normal 7 3 3 3 3 2 2 2" xfId="49402" xr:uid="{00000000-0005-0000-0000-000021BC0000}"/>
    <cellStyle name="Normal 7 3 3 3 3 2 3" xfId="39153" xr:uid="{00000000-0005-0000-0000-000022BC0000}"/>
    <cellStyle name="Normal 7 3 3 3 3 3" xfId="10019" xr:uid="{00000000-0005-0000-0000-000023BC0000}"/>
    <cellStyle name="Normal 7 3 3 3 3 3 2" xfId="35576" xr:uid="{00000000-0005-0000-0000-000024BC0000}"/>
    <cellStyle name="Normal 7 3 3 3 3 4" xfId="18842" xr:uid="{00000000-0005-0000-0000-000025BC0000}"/>
    <cellStyle name="Normal 7 3 3 3 3 4 2" xfId="44395" xr:uid="{00000000-0005-0000-0000-000026BC0000}"/>
    <cellStyle name="Normal 7 3 3 3 3 5" xfId="30332" xr:uid="{00000000-0005-0000-0000-000027BC0000}"/>
    <cellStyle name="Normal 7 3 3 3 4" xfId="2033" xr:uid="{00000000-0005-0000-0000-000028BC0000}"/>
    <cellStyle name="Normal 7 3 3 3 4 2" xfId="11398" xr:uid="{00000000-0005-0000-0000-000029BC0000}"/>
    <cellStyle name="Normal 7 3 3 3 4 2 2" xfId="36953" xr:uid="{00000000-0005-0000-0000-00002ABC0000}"/>
    <cellStyle name="Normal 7 3 3 3 4 3" xfId="21402" xr:uid="{00000000-0005-0000-0000-00002BBC0000}"/>
    <cellStyle name="Normal 7 3 3 3 4 3 2" xfId="46955" xr:uid="{00000000-0005-0000-0000-00002CBC0000}"/>
    <cellStyle name="Normal 7 3 3 3 4 4" xfId="27885" xr:uid="{00000000-0005-0000-0000-00002DBC0000}"/>
    <cellStyle name="Normal 7 3 3 3 5" xfId="6216" xr:uid="{00000000-0005-0000-0000-00002EBC0000}"/>
    <cellStyle name="Normal 7 3 3 3 5 2" xfId="15043" xr:uid="{00000000-0005-0000-0000-00002FBC0000}"/>
    <cellStyle name="Normal 7 3 3 3 5 2 2" xfId="40598" xr:uid="{00000000-0005-0000-0000-000030BC0000}"/>
    <cellStyle name="Normal 7 3 3 3 5 3" xfId="25294" xr:uid="{00000000-0005-0000-0000-000031BC0000}"/>
    <cellStyle name="Normal 7 3 3 3 5 3 2" xfId="50847" xr:uid="{00000000-0005-0000-0000-000032BC0000}"/>
    <cellStyle name="Normal 7 3 3 3 5 4" xfId="31777" xr:uid="{00000000-0005-0000-0000-000033BC0000}"/>
    <cellStyle name="Normal 7 3 3 3 6" xfId="7662" xr:uid="{00000000-0005-0000-0000-000034BC0000}"/>
    <cellStyle name="Normal 7 3 3 3 6 2" xfId="19884" xr:uid="{00000000-0005-0000-0000-000035BC0000}"/>
    <cellStyle name="Normal 7 3 3 3 6 2 2" xfId="45437" xr:uid="{00000000-0005-0000-0000-000036BC0000}"/>
    <cellStyle name="Normal 7 3 3 3 6 3" xfId="33219" xr:uid="{00000000-0005-0000-0000-000037BC0000}"/>
    <cellStyle name="Normal 7 3 3 3 7" xfId="16395" xr:uid="{00000000-0005-0000-0000-000038BC0000}"/>
    <cellStyle name="Normal 7 3 3 3 7 2" xfId="41948" xr:uid="{00000000-0005-0000-0000-000039BC0000}"/>
    <cellStyle name="Normal 7 3 3 3 8" xfId="26367" xr:uid="{00000000-0005-0000-0000-00003ABC0000}"/>
    <cellStyle name="Normal 7 3 3 4" xfId="955" xr:uid="{00000000-0005-0000-0000-00003BBC0000}"/>
    <cellStyle name="Normal 7 3 3 4 2" xfId="3431" xr:uid="{00000000-0005-0000-0000-00003CBC0000}"/>
    <cellStyle name="Normal 7 3 3 4 2 2" xfId="12573" xr:uid="{00000000-0005-0000-0000-00003DBC0000}"/>
    <cellStyle name="Normal 7 3 3 4 2 2 2" xfId="22792" xr:uid="{00000000-0005-0000-0000-00003EBC0000}"/>
    <cellStyle name="Normal 7 3 3 4 2 2 2 2" xfId="48345" xr:uid="{00000000-0005-0000-0000-00003FBC0000}"/>
    <cellStyle name="Normal 7 3 3 4 2 2 3" xfId="38128" xr:uid="{00000000-0005-0000-0000-000040BC0000}"/>
    <cellStyle name="Normal 7 3 3 4 2 3" xfId="8995" xr:uid="{00000000-0005-0000-0000-000041BC0000}"/>
    <cellStyle name="Normal 7 3 3 4 2 3 2" xfId="34552" xr:uid="{00000000-0005-0000-0000-000042BC0000}"/>
    <cellStyle name="Normal 7 3 3 4 2 4" xfId="17785" xr:uid="{00000000-0005-0000-0000-000043BC0000}"/>
    <cellStyle name="Normal 7 3 3 4 2 4 2" xfId="43338" xr:uid="{00000000-0005-0000-0000-000044BC0000}"/>
    <cellStyle name="Normal 7 3 3 4 2 5" xfId="29275" xr:uid="{00000000-0005-0000-0000-000045BC0000}"/>
    <cellStyle name="Normal 7 3 3 4 3" xfId="5109" xr:uid="{00000000-0005-0000-0000-000046BC0000}"/>
    <cellStyle name="Normal 7 3 3 4 3 2" xfId="13946" xr:uid="{00000000-0005-0000-0000-000047BC0000}"/>
    <cellStyle name="Normal 7 3 3 4 3 2 2" xfId="24197" xr:uid="{00000000-0005-0000-0000-000048BC0000}"/>
    <cellStyle name="Normal 7 3 3 4 3 2 2 2" xfId="49750" xr:uid="{00000000-0005-0000-0000-000049BC0000}"/>
    <cellStyle name="Normal 7 3 3 4 3 2 3" xfId="39501" xr:uid="{00000000-0005-0000-0000-00004ABC0000}"/>
    <cellStyle name="Normal 7 3 3 4 3 3" xfId="10367" xr:uid="{00000000-0005-0000-0000-00004BBC0000}"/>
    <cellStyle name="Normal 7 3 3 4 3 3 2" xfId="35924" xr:uid="{00000000-0005-0000-0000-00004CBC0000}"/>
    <cellStyle name="Normal 7 3 3 4 3 4" xfId="19190" xr:uid="{00000000-0005-0000-0000-00004DBC0000}"/>
    <cellStyle name="Normal 7 3 3 4 3 4 2" xfId="44743" xr:uid="{00000000-0005-0000-0000-00004EBC0000}"/>
    <cellStyle name="Normal 7 3 3 4 3 5" xfId="30680" xr:uid="{00000000-0005-0000-0000-00004FBC0000}"/>
    <cellStyle name="Normal 7 3 3 4 4" xfId="2540" xr:uid="{00000000-0005-0000-0000-000050BC0000}"/>
    <cellStyle name="Normal 7 3 3 4 4 2" xfId="11905" xr:uid="{00000000-0005-0000-0000-000051BC0000}"/>
    <cellStyle name="Normal 7 3 3 4 4 2 2" xfId="37460" xr:uid="{00000000-0005-0000-0000-000052BC0000}"/>
    <cellStyle name="Normal 7 3 3 4 4 3" xfId="21909" xr:uid="{00000000-0005-0000-0000-000053BC0000}"/>
    <cellStyle name="Normal 7 3 3 4 4 3 2" xfId="47462" xr:uid="{00000000-0005-0000-0000-000054BC0000}"/>
    <cellStyle name="Normal 7 3 3 4 4 4" xfId="28392" xr:uid="{00000000-0005-0000-0000-000055BC0000}"/>
    <cellStyle name="Normal 7 3 3 4 5" xfId="6564" xr:uid="{00000000-0005-0000-0000-000056BC0000}"/>
    <cellStyle name="Normal 7 3 3 4 5 2" xfId="15391" xr:uid="{00000000-0005-0000-0000-000057BC0000}"/>
    <cellStyle name="Normal 7 3 3 4 5 2 2" xfId="40946" xr:uid="{00000000-0005-0000-0000-000058BC0000}"/>
    <cellStyle name="Normal 7 3 3 4 5 3" xfId="25642" xr:uid="{00000000-0005-0000-0000-000059BC0000}"/>
    <cellStyle name="Normal 7 3 3 4 5 3 2" xfId="51195" xr:uid="{00000000-0005-0000-0000-00005ABC0000}"/>
    <cellStyle name="Normal 7 3 3 4 5 4" xfId="32125" xr:uid="{00000000-0005-0000-0000-00005BBC0000}"/>
    <cellStyle name="Normal 7 3 3 4 6" xfId="8010" xr:uid="{00000000-0005-0000-0000-00005CBC0000}"/>
    <cellStyle name="Normal 7 3 3 4 6 2" xfId="20391" xr:uid="{00000000-0005-0000-0000-00005DBC0000}"/>
    <cellStyle name="Normal 7 3 3 4 6 2 2" xfId="45944" xr:uid="{00000000-0005-0000-0000-00005EBC0000}"/>
    <cellStyle name="Normal 7 3 3 4 6 3" xfId="33567" xr:uid="{00000000-0005-0000-0000-00005FBC0000}"/>
    <cellStyle name="Normal 7 3 3 4 7" xfId="16902" xr:uid="{00000000-0005-0000-0000-000060BC0000}"/>
    <cellStyle name="Normal 7 3 3 4 7 2" xfId="42455" xr:uid="{00000000-0005-0000-0000-000061BC0000}"/>
    <cellStyle name="Normal 7 3 3 4 8" xfId="26874" xr:uid="{00000000-0005-0000-0000-000062BC0000}"/>
    <cellStyle name="Normal 7 3 3 5" xfId="1210" xr:uid="{00000000-0005-0000-0000-000063BC0000}"/>
    <cellStyle name="Normal 7 3 3 5 2" xfId="3639" xr:uid="{00000000-0005-0000-0000-000064BC0000}"/>
    <cellStyle name="Normal 7 3 3 5 2 2" xfId="12775" xr:uid="{00000000-0005-0000-0000-000065BC0000}"/>
    <cellStyle name="Normal 7 3 3 5 2 2 2" xfId="22994" xr:uid="{00000000-0005-0000-0000-000066BC0000}"/>
    <cellStyle name="Normal 7 3 3 5 2 2 2 2" xfId="48547" xr:uid="{00000000-0005-0000-0000-000067BC0000}"/>
    <cellStyle name="Normal 7 3 3 5 2 2 3" xfId="38330" xr:uid="{00000000-0005-0000-0000-000068BC0000}"/>
    <cellStyle name="Normal 7 3 3 5 2 3" xfId="9196" xr:uid="{00000000-0005-0000-0000-000069BC0000}"/>
    <cellStyle name="Normal 7 3 3 5 2 3 2" xfId="34753" xr:uid="{00000000-0005-0000-0000-00006ABC0000}"/>
    <cellStyle name="Normal 7 3 3 5 2 4" xfId="17987" xr:uid="{00000000-0005-0000-0000-00006BBC0000}"/>
    <cellStyle name="Normal 7 3 3 5 2 4 2" xfId="43540" xr:uid="{00000000-0005-0000-0000-00006CBC0000}"/>
    <cellStyle name="Normal 7 3 3 5 2 5" xfId="29477" xr:uid="{00000000-0005-0000-0000-00006DBC0000}"/>
    <cellStyle name="Normal 7 3 3 5 3" xfId="5302" xr:uid="{00000000-0005-0000-0000-00006EBC0000}"/>
    <cellStyle name="Normal 7 3 3 5 3 2" xfId="14139" xr:uid="{00000000-0005-0000-0000-00006FBC0000}"/>
    <cellStyle name="Normal 7 3 3 5 3 2 2" xfId="24390" xr:uid="{00000000-0005-0000-0000-000070BC0000}"/>
    <cellStyle name="Normal 7 3 3 5 3 2 2 2" xfId="49943" xr:uid="{00000000-0005-0000-0000-000071BC0000}"/>
    <cellStyle name="Normal 7 3 3 5 3 2 3" xfId="39694" xr:uid="{00000000-0005-0000-0000-000072BC0000}"/>
    <cellStyle name="Normal 7 3 3 5 3 3" xfId="10560" xr:uid="{00000000-0005-0000-0000-000073BC0000}"/>
    <cellStyle name="Normal 7 3 3 5 3 3 2" xfId="36117" xr:uid="{00000000-0005-0000-0000-000074BC0000}"/>
    <cellStyle name="Normal 7 3 3 5 3 4" xfId="19383" xr:uid="{00000000-0005-0000-0000-000075BC0000}"/>
    <cellStyle name="Normal 7 3 3 5 3 4 2" xfId="44936" xr:uid="{00000000-0005-0000-0000-000076BC0000}"/>
    <cellStyle name="Normal 7 3 3 5 3 5" xfId="30873" xr:uid="{00000000-0005-0000-0000-000077BC0000}"/>
    <cellStyle name="Normal 7 3 3 5 4" xfId="1813" xr:uid="{00000000-0005-0000-0000-000078BC0000}"/>
    <cellStyle name="Normal 7 3 3 5 4 2" xfId="11181" xr:uid="{00000000-0005-0000-0000-000079BC0000}"/>
    <cellStyle name="Normal 7 3 3 5 4 2 2" xfId="36736" xr:uid="{00000000-0005-0000-0000-00007ABC0000}"/>
    <cellStyle name="Normal 7 3 3 5 4 3" xfId="21185" xr:uid="{00000000-0005-0000-0000-00007BBC0000}"/>
    <cellStyle name="Normal 7 3 3 5 4 3 2" xfId="46738" xr:uid="{00000000-0005-0000-0000-00007CBC0000}"/>
    <cellStyle name="Normal 7 3 3 5 4 4" xfId="27668" xr:uid="{00000000-0005-0000-0000-00007DBC0000}"/>
    <cellStyle name="Normal 7 3 3 5 5" xfId="6757" xr:uid="{00000000-0005-0000-0000-00007EBC0000}"/>
    <cellStyle name="Normal 7 3 3 5 5 2" xfId="15584" xr:uid="{00000000-0005-0000-0000-00007FBC0000}"/>
    <cellStyle name="Normal 7 3 3 5 5 2 2" xfId="41139" xr:uid="{00000000-0005-0000-0000-000080BC0000}"/>
    <cellStyle name="Normal 7 3 3 5 5 3" xfId="25835" xr:uid="{00000000-0005-0000-0000-000081BC0000}"/>
    <cellStyle name="Normal 7 3 3 5 5 3 2" xfId="51388" xr:uid="{00000000-0005-0000-0000-000082BC0000}"/>
    <cellStyle name="Normal 7 3 3 5 5 4" xfId="32318" xr:uid="{00000000-0005-0000-0000-000083BC0000}"/>
    <cellStyle name="Normal 7 3 3 5 6" xfId="8203" xr:uid="{00000000-0005-0000-0000-000084BC0000}"/>
    <cellStyle name="Normal 7 3 3 5 6 2" xfId="20593" xr:uid="{00000000-0005-0000-0000-000085BC0000}"/>
    <cellStyle name="Normal 7 3 3 5 6 2 2" xfId="46146" xr:uid="{00000000-0005-0000-0000-000086BC0000}"/>
    <cellStyle name="Normal 7 3 3 5 6 3" xfId="33760" xr:uid="{00000000-0005-0000-0000-000087BC0000}"/>
    <cellStyle name="Normal 7 3 3 5 7" xfId="16178" xr:uid="{00000000-0005-0000-0000-000088BC0000}"/>
    <cellStyle name="Normal 7 3 3 5 7 2" xfId="41731" xr:uid="{00000000-0005-0000-0000-000089BC0000}"/>
    <cellStyle name="Normal 7 3 3 5 8" xfId="27076" xr:uid="{00000000-0005-0000-0000-00008ABC0000}"/>
    <cellStyle name="Normal 7 3 3 6" xfId="2707" xr:uid="{00000000-0005-0000-0000-00008BBC0000}"/>
    <cellStyle name="Normal 7 3 3 6 2" xfId="12024" xr:uid="{00000000-0005-0000-0000-00008CBC0000}"/>
    <cellStyle name="Normal 7 3 3 6 2 2" xfId="22068" xr:uid="{00000000-0005-0000-0000-00008DBC0000}"/>
    <cellStyle name="Normal 7 3 3 6 2 2 2" xfId="47621" xr:uid="{00000000-0005-0000-0000-00008EBC0000}"/>
    <cellStyle name="Normal 7 3 3 6 2 3" xfId="37579" xr:uid="{00000000-0005-0000-0000-00008FBC0000}"/>
    <cellStyle name="Normal 7 3 3 6 3" xfId="8575" xr:uid="{00000000-0005-0000-0000-000090BC0000}"/>
    <cellStyle name="Normal 7 3 3 6 3 2" xfId="34132" xr:uid="{00000000-0005-0000-0000-000091BC0000}"/>
    <cellStyle name="Normal 7 3 3 6 4" xfId="17061" xr:uid="{00000000-0005-0000-0000-000092BC0000}"/>
    <cellStyle name="Normal 7 3 3 6 4 2" xfId="42614" xr:uid="{00000000-0005-0000-0000-000093BC0000}"/>
    <cellStyle name="Normal 7 3 3 6 5" xfId="28551" xr:uid="{00000000-0005-0000-0000-000094BC0000}"/>
    <cellStyle name="Normal 7 3 3 7" xfId="4258" xr:uid="{00000000-0005-0000-0000-000095BC0000}"/>
    <cellStyle name="Normal 7 3 3 7 2" xfId="13096" xr:uid="{00000000-0005-0000-0000-000096BC0000}"/>
    <cellStyle name="Normal 7 3 3 7 2 2" xfId="23347" xr:uid="{00000000-0005-0000-0000-000097BC0000}"/>
    <cellStyle name="Normal 7 3 3 7 2 2 2" xfId="48900" xr:uid="{00000000-0005-0000-0000-000098BC0000}"/>
    <cellStyle name="Normal 7 3 3 7 2 3" xfId="38651" xr:uid="{00000000-0005-0000-0000-000099BC0000}"/>
    <cellStyle name="Normal 7 3 3 7 3" xfId="9517" xr:uid="{00000000-0005-0000-0000-00009ABC0000}"/>
    <cellStyle name="Normal 7 3 3 7 3 2" xfId="35074" xr:uid="{00000000-0005-0000-0000-00009BBC0000}"/>
    <cellStyle name="Normal 7 3 3 7 4" xfId="18340" xr:uid="{00000000-0005-0000-0000-00009CBC0000}"/>
    <cellStyle name="Normal 7 3 3 7 4 2" xfId="43893" xr:uid="{00000000-0005-0000-0000-00009DBC0000}"/>
    <cellStyle name="Normal 7 3 3 7 5" xfId="29830" xr:uid="{00000000-0005-0000-0000-00009EBC0000}"/>
    <cellStyle name="Normal 7 3 3 8" xfId="1530" xr:uid="{00000000-0005-0000-0000-00009FBC0000}"/>
    <cellStyle name="Normal 7 3 3 8 2" xfId="10907" xr:uid="{00000000-0005-0000-0000-0000A0BC0000}"/>
    <cellStyle name="Normal 7 3 3 8 2 2" xfId="36462" xr:uid="{00000000-0005-0000-0000-0000A1BC0000}"/>
    <cellStyle name="Normal 7 3 3 8 3" xfId="20911" xr:uid="{00000000-0005-0000-0000-0000A2BC0000}"/>
    <cellStyle name="Normal 7 3 3 8 3 2" xfId="46464" xr:uid="{00000000-0005-0000-0000-0000A3BC0000}"/>
    <cellStyle name="Normal 7 3 3 8 4" xfId="27394" xr:uid="{00000000-0005-0000-0000-0000A4BC0000}"/>
    <cellStyle name="Normal 7 3 3 9" xfId="5714" xr:uid="{00000000-0005-0000-0000-0000A5BC0000}"/>
    <cellStyle name="Normal 7 3 3 9 2" xfId="14541" xr:uid="{00000000-0005-0000-0000-0000A6BC0000}"/>
    <cellStyle name="Normal 7 3 3 9 2 2" xfId="40096" xr:uid="{00000000-0005-0000-0000-0000A7BC0000}"/>
    <cellStyle name="Normal 7 3 3 9 3" xfId="24792" xr:uid="{00000000-0005-0000-0000-0000A8BC0000}"/>
    <cellStyle name="Normal 7 3 3 9 3 2" xfId="50345" xr:uid="{00000000-0005-0000-0000-0000A9BC0000}"/>
    <cellStyle name="Normal 7 3 3 9 4" xfId="31275" xr:uid="{00000000-0005-0000-0000-0000AABC0000}"/>
    <cellStyle name="Normal 7 3 3_Degree data" xfId="4061" xr:uid="{00000000-0005-0000-0000-0000ABBC0000}"/>
    <cellStyle name="Normal 7 3 4" xfId="248" xr:uid="{00000000-0005-0000-0000-0000ACBC0000}"/>
    <cellStyle name="Normal 7 3 4 10" xfId="7086" xr:uid="{00000000-0005-0000-0000-0000ADBC0000}"/>
    <cellStyle name="Normal 7 3 4 10 2" xfId="19700" xr:uid="{00000000-0005-0000-0000-0000AEBC0000}"/>
    <cellStyle name="Normal 7 3 4 10 2 2" xfId="45253" xr:uid="{00000000-0005-0000-0000-0000AFBC0000}"/>
    <cellStyle name="Normal 7 3 4 10 3" xfId="32643" xr:uid="{00000000-0005-0000-0000-0000B0BC0000}"/>
    <cellStyle name="Normal 7 3 4 11" xfId="15832" xr:uid="{00000000-0005-0000-0000-0000B1BC0000}"/>
    <cellStyle name="Normal 7 3 4 11 2" xfId="41385" xr:uid="{00000000-0005-0000-0000-0000B2BC0000}"/>
    <cellStyle name="Normal 7 3 4 12" xfId="26183" xr:uid="{00000000-0005-0000-0000-0000B3BC0000}"/>
    <cellStyle name="Normal 7 3 4 2" xfId="571" xr:uid="{00000000-0005-0000-0000-0000B4BC0000}"/>
    <cellStyle name="Normal 7 3 4 2 10" xfId="26500" xr:uid="{00000000-0005-0000-0000-0000B5BC0000}"/>
    <cellStyle name="Normal 7 3 4 2 2" xfId="958" xr:uid="{00000000-0005-0000-0000-0000B6BC0000}"/>
    <cellStyle name="Normal 7 3 4 2 2 2" xfId="3434" xr:uid="{00000000-0005-0000-0000-0000B7BC0000}"/>
    <cellStyle name="Normal 7 3 4 2 2 2 2" xfId="12576" xr:uid="{00000000-0005-0000-0000-0000B8BC0000}"/>
    <cellStyle name="Normal 7 3 4 2 2 2 2 2" xfId="22795" xr:uid="{00000000-0005-0000-0000-0000B9BC0000}"/>
    <cellStyle name="Normal 7 3 4 2 2 2 2 2 2" xfId="48348" xr:uid="{00000000-0005-0000-0000-0000BABC0000}"/>
    <cellStyle name="Normal 7 3 4 2 2 2 2 3" xfId="38131" xr:uid="{00000000-0005-0000-0000-0000BBBC0000}"/>
    <cellStyle name="Normal 7 3 4 2 2 2 3" xfId="8998" xr:uid="{00000000-0005-0000-0000-0000BCBC0000}"/>
    <cellStyle name="Normal 7 3 4 2 2 2 3 2" xfId="34555" xr:uid="{00000000-0005-0000-0000-0000BDBC0000}"/>
    <cellStyle name="Normal 7 3 4 2 2 2 4" xfId="17788" xr:uid="{00000000-0005-0000-0000-0000BEBC0000}"/>
    <cellStyle name="Normal 7 3 4 2 2 2 4 2" xfId="43341" xr:uid="{00000000-0005-0000-0000-0000BFBC0000}"/>
    <cellStyle name="Normal 7 3 4 2 2 2 5" xfId="29278" xr:uid="{00000000-0005-0000-0000-0000C0BC0000}"/>
    <cellStyle name="Normal 7 3 4 2 2 3" xfId="4764" xr:uid="{00000000-0005-0000-0000-0000C1BC0000}"/>
    <cellStyle name="Normal 7 3 4 2 2 3 2" xfId="13601" xr:uid="{00000000-0005-0000-0000-0000C2BC0000}"/>
    <cellStyle name="Normal 7 3 4 2 2 3 2 2" xfId="23852" xr:uid="{00000000-0005-0000-0000-0000C3BC0000}"/>
    <cellStyle name="Normal 7 3 4 2 2 3 2 2 2" xfId="49405" xr:uid="{00000000-0005-0000-0000-0000C4BC0000}"/>
    <cellStyle name="Normal 7 3 4 2 2 3 2 3" xfId="39156" xr:uid="{00000000-0005-0000-0000-0000C5BC0000}"/>
    <cellStyle name="Normal 7 3 4 2 2 3 3" xfId="10022" xr:uid="{00000000-0005-0000-0000-0000C6BC0000}"/>
    <cellStyle name="Normal 7 3 4 2 2 3 3 2" xfId="35579" xr:uid="{00000000-0005-0000-0000-0000C7BC0000}"/>
    <cellStyle name="Normal 7 3 4 2 2 3 4" xfId="18845" xr:uid="{00000000-0005-0000-0000-0000C8BC0000}"/>
    <cellStyle name="Normal 7 3 4 2 2 3 4 2" xfId="44398" xr:uid="{00000000-0005-0000-0000-0000C9BC0000}"/>
    <cellStyle name="Normal 7 3 4 2 2 3 5" xfId="30335" xr:uid="{00000000-0005-0000-0000-0000CABC0000}"/>
    <cellStyle name="Normal 7 3 4 2 2 4" xfId="2543" xr:uid="{00000000-0005-0000-0000-0000CBBC0000}"/>
    <cellStyle name="Normal 7 3 4 2 2 4 2" xfId="11908" xr:uid="{00000000-0005-0000-0000-0000CCBC0000}"/>
    <cellStyle name="Normal 7 3 4 2 2 4 2 2" xfId="37463" xr:uid="{00000000-0005-0000-0000-0000CDBC0000}"/>
    <cellStyle name="Normal 7 3 4 2 2 4 3" xfId="21912" xr:uid="{00000000-0005-0000-0000-0000CEBC0000}"/>
    <cellStyle name="Normal 7 3 4 2 2 4 3 2" xfId="47465" xr:uid="{00000000-0005-0000-0000-0000CFBC0000}"/>
    <cellStyle name="Normal 7 3 4 2 2 4 4" xfId="28395" xr:uid="{00000000-0005-0000-0000-0000D0BC0000}"/>
    <cellStyle name="Normal 7 3 4 2 2 5" xfId="6219" xr:uid="{00000000-0005-0000-0000-0000D1BC0000}"/>
    <cellStyle name="Normal 7 3 4 2 2 5 2" xfId="15046" xr:uid="{00000000-0005-0000-0000-0000D2BC0000}"/>
    <cellStyle name="Normal 7 3 4 2 2 5 2 2" xfId="40601" xr:uid="{00000000-0005-0000-0000-0000D3BC0000}"/>
    <cellStyle name="Normal 7 3 4 2 2 5 3" xfId="25297" xr:uid="{00000000-0005-0000-0000-0000D4BC0000}"/>
    <cellStyle name="Normal 7 3 4 2 2 5 3 2" xfId="50850" xr:uid="{00000000-0005-0000-0000-0000D5BC0000}"/>
    <cellStyle name="Normal 7 3 4 2 2 5 4" xfId="31780" xr:uid="{00000000-0005-0000-0000-0000D6BC0000}"/>
    <cellStyle name="Normal 7 3 4 2 2 6" xfId="7665" xr:uid="{00000000-0005-0000-0000-0000D7BC0000}"/>
    <cellStyle name="Normal 7 3 4 2 2 6 2" xfId="20394" xr:uid="{00000000-0005-0000-0000-0000D8BC0000}"/>
    <cellStyle name="Normal 7 3 4 2 2 6 2 2" xfId="45947" xr:uid="{00000000-0005-0000-0000-0000D9BC0000}"/>
    <cellStyle name="Normal 7 3 4 2 2 6 3" xfId="33222" xr:uid="{00000000-0005-0000-0000-0000DABC0000}"/>
    <cellStyle name="Normal 7 3 4 2 2 7" xfId="16905" xr:uid="{00000000-0005-0000-0000-0000DBBC0000}"/>
    <cellStyle name="Normal 7 3 4 2 2 7 2" xfId="42458" xr:uid="{00000000-0005-0000-0000-0000DCBC0000}"/>
    <cellStyle name="Normal 7 3 4 2 2 8" xfId="26877" xr:uid="{00000000-0005-0000-0000-0000DDBC0000}"/>
    <cellStyle name="Normal 7 3 4 2 3" xfId="1343" xr:uid="{00000000-0005-0000-0000-0000DEBC0000}"/>
    <cellStyle name="Normal 7 3 4 2 3 2" xfId="3772" xr:uid="{00000000-0005-0000-0000-0000DFBC0000}"/>
    <cellStyle name="Normal 7 3 4 2 3 2 2" xfId="12908" xr:uid="{00000000-0005-0000-0000-0000E0BC0000}"/>
    <cellStyle name="Normal 7 3 4 2 3 2 2 2" xfId="23127" xr:uid="{00000000-0005-0000-0000-0000E1BC0000}"/>
    <cellStyle name="Normal 7 3 4 2 3 2 2 2 2" xfId="48680" xr:uid="{00000000-0005-0000-0000-0000E2BC0000}"/>
    <cellStyle name="Normal 7 3 4 2 3 2 2 3" xfId="38463" xr:uid="{00000000-0005-0000-0000-0000E3BC0000}"/>
    <cellStyle name="Normal 7 3 4 2 3 2 3" xfId="9329" xr:uid="{00000000-0005-0000-0000-0000E4BC0000}"/>
    <cellStyle name="Normal 7 3 4 2 3 2 3 2" xfId="34886" xr:uid="{00000000-0005-0000-0000-0000E5BC0000}"/>
    <cellStyle name="Normal 7 3 4 2 3 2 4" xfId="18120" xr:uid="{00000000-0005-0000-0000-0000E6BC0000}"/>
    <cellStyle name="Normal 7 3 4 2 3 2 4 2" xfId="43673" xr:uid="{00000000-0005-0000-0000-0000E7BC0000}"/>
    <cellStyle name="Normal 7 3 4 2 3 2 5" xfId="29610" xr:uid="{00000000-0005-0000-0000-0000E8BC0000}"/>
    <cellStyle name="Normal 7 3 4 2 3 3" xfId="5112" xr:uid="{00000000-0005-0000-0000-0000E9BC0000}"/>
    <cellStyle name="Normal 7 3 4 2 3 3 2" xfId="13949" xr:uid="{00000000-0005-0000-0000-0000EABC0000}"/>
    <cellStyle name="Normal 7 3 4 2 3 3 2 2" xfId="24200" xr:uid="{00000000-0005-0000-0000-0000EBBC0000}"/>
    <cellStyle name="Normal 7 3 4 2 3 3 2 2 2" xfId="49753" xr:uid="{00000000-0005-0000-0000-0000ECBC0000}"/>
    <cellStyle name="Normal 7 3 4 2 3 3 2 3" xfId="39504" xr:uid="{00000000-0005-0000-0000-0000EDBC0000}"/>
    <cellStyle name="Normal 7 3 4 2 3 3 3" xfId="10370" xr:uid="{00000000-0005-0000-0000-0000EEBC0000}"/>
    <cellStyle name="Normal 7 3 4 2 3 3 3 2" xfId="35927" xr:uid="{00000000-0005-0000-0000-0000EFBC0000}"/>
    <cellStyle name="Normal 7 3 4 2 3 3 4" xfId="19193" xr:uid="{00000000-0005-0000-0000-0000F0BC0000}"/>
    <cellStyle name="Normal 7 3 4 2 3 3 4 2" xfId="44746" xr:uid="{00000000-0005-0000-0000-0000F1BC0000}"/>
    <cellStyle name="Normal 7 3 4 2 3 3 5" xfId="30683" xr:uid="{00000000-0005-0000-0000-0000F2BC0000}"/>
    <cellStyle name="Normal 7 3 4 2 3 4" xfId="2166" xr:uid="{00000000-0005-0000-0000-0000F3BC0000}"/>
    <cellStyle name="Normal 7 3 4 2 3 4 2" xfId="11531" xr:uid="{00000000-0005-0000-0000-0000F4BC0000}"/>
    <cellStyle name="Normal 7 3 4 2 3 4 2 2" xfId="37086" xr:uid="{00000000-0005-0000-0000-0000F5BC0000}"/>
    <cellStyle name="Normal 7 3 4 2 3 4 3" xfId="21535" xr:uid="{00000000-0005-0000-0000-0000F6BC0000}"/>
    <cellStyle name="Normal 7 3 4 2 3 4 3 2" xfId="47088" xr:uid="{00000000-0005-0000-0000-0000F7BC0000}"/>
    <cellStyle name="Normal 7 3 4 2 3 4 4" xfId="28018" xr:uid="{00000000-0005-0000-0000-0000F8BC0000}"/>
    <cellStyle name="Normal 7 3 4 2 3 5" xfId="6567" xr:uid="{00000000-0005-0000-0000-0000F9BC0000}"/>
    <cellStyle name="Normal 7 3 4 2 3 5 2" xfId="15394" xr:uid="{00000000-0005-0000-0000-0000FABC0000}"/>
    <cellStyle name="Normal 7 3 4 2 3 5 2 2" xfId="40949" xr:uid="{00000000-0005-0000-0000-0000FBBC0000}"/>
    <cellStyle name="Normal 7 3 4 2 3 5 3" xfId="25645" xr:uid="{00000000-0005-0000-0000-0000FCBC0000}"/>
    <cellStyle name="Normal 7 3 4 2 3 5 3 2" xfId="51198" xr:uid="{00000000-0005-0000-0000-0000FDBC0000}"/>
    <cellStyle name="Normal 7 3 4 2 3 5 4" xfId="32128" xr:uid="{00000000-0005-0000-0000-0000FEBC0000}"/>
    <cellStyle name="Normal 7 3 4 2 3 6" xfId="8013" xr:uid="{00000000-0005-0000-0000-0000FFBC0000}"/>
    <cellStyle name="Normal 7 3 4 2 3 6 2" xfId="20726" xr:uid="{00000000-0005-0000-0000-000000BD0000}"/>
    <cellStyle name="Normal 7 3 4 2 3 6 2 2" xfId="46279" xr:uid="{00000000-0005-0000-0000-000001BD0000}"/>
    <cellStyle name="Normal 7 3 4 2 3 6 3" xfId="33570" xr:uid="{00000000-0005-0000-0000-000002BD0000}"/>
    <cellStyle name="Normal 7 3 4 2 3 7" xfId="16528" xr:uid="{00000000-0005-0000-0000-000003BD0000}"/>
    <cellStyle name="Normal 7 3 4 2 3 7 2" xfId="42081" xr:uid="{00000000-0005-0000-0000-000004BD0000}"/>
    <cellStyle name="Normal 7 3 4 2 3 8" xfId="27209" xr:uid="{00000000-0005-0000-0000-000005BD0000}"/>
    <cellStyle name="Normal 7 3 4 2 4" xfId="3057" xr:uid="{00000000-0005-0000-0000-000006BD0000}"/>
    <cellStyle name="Normal 7 3 4 2 4 2" xfId="5435" xr:uid="{00000000-0005-0000-0000-000007BD0000}"/>
    <cellStyle name="Normal 7 3 4 2 4 2 2" xfId="14272" xr:uid="{00000000-0005-0000-0000-000008BD0000}"/>
    <cellStyle name="Normal 7 3 4 2 4 2 2 2" xfId="24523" xr:uid="{00000000-0005-0000-0000-000009BD0000}"/>
    <cellStyle name="Normal 7 3 4 2 4 2 2 2 2" xfId="50076" xr:uid="{00000000-0005-0000-0000-00000ABD0000}"/>
    <cellStyle name="Normal 7 3 4 2 4 2 2 3" xfId="39827" xr:uid="{00000000-0005-0000-0000-00000BBD0000}"/>
    <cellStyle name="Normal 7 3 4 2 4 2 3" xfId="10693" xr:uid="{00000000-0005-0000-0000-00000CBD0000}"/>
    <cellStyle name="Normal 7 3 4 2 4 2 3 2" xfId="36250" xr:uid="{00000000-0005-0000-0000-00000DBD0000}"/>
    <cellStyle name="Normal 7 3 4 2 4 2 4" xfId="19516" xr:uid="{00000000-0005-0000-0000-00000EBD0000}"/>
    <cellStyle name="Normal 7 3 4 2 4 2 4 2" xfId="45069" xr:uid="{00000000-0005-0000-0000-00000FBD0000}"/>
    <cellStyle name="Normal 7 3 4 2 4 2 5" xfId="31006" xr:uid="{00000000-0005-0000-0000-000010BD0000}"/>
    <cellStyle name="Normal 7 3 4 2 4 3" xfId="6890" xr:uid="{00000000-0005-0000-0000-000011BD0000}"/>
    <cellStyle name="Normal 7 3 4 2 4 3 2" xfId="15717" xr:uid="{00000000-0005-0000-0000-000012BD0000}"/>
    <cellStyle name="Normal 7 3 4 2 4 3 2 2" xfId="41272" xr:uid="{00000000-0005-0000-0000-000013BD0000}"/>
    <cellStyle name="Normal 7 3 4 2 4 3 3" xfId="25968" xr:uid="{00000000-0005-0000-0000-000014BD0000}"/>
    <cellStyle name="Normal 7 3 4 2 4 3 3 2" xfId="51521" xr:uid="{00000000-0005-0000-0000-000015BD0000}"/>
    <cellStyle name="Normal 7 3 4 2 4 3 4" xfId="32451" xr:uid="{00000000-0005-0000-0000-000016BD0000}"/>
    <cellStyle name="Normal 7 3 4 2 4 4" xfId="8336" xr:uid="{00000000-0005-0000-0000-000017BD0000}"/>
    <cellStyle name="Normal 7 3 4 2 4 4 2" xfId="22418" xr:uid="{00000000-0005-0000-0000-000018BD0000}"/>
    <cellStyle name="Normal 7 3 4 2 4 4 2 2" xfId="47971" xr:uid="{00000000-0005-0000-0000-000019BD0000}"/>
    <cellStyle name="Normal 7 3 4 2 4 4 3" xfId="33893" xr:uid="{00000000-0005-0000-0000-00001ABD0000}"/>
    <cellStyle name="Normal 7 3 4 2 4 5" xfId="17411" xr:uid="{00000000-0005-0000-0000-00001BBD0000}"/>
    <cellStyle name="Normal 7 3 4 2 4 5 2" xfId="42964" xr:uid="{00000000-0005-0000-0000-00001CBD0000}"/>
    <cellStyle name="Normal 7 3 4 2 4 6" xfId="28901" xr:uid="{00000000-0005-0000-0000-00001DBD0000}"/>
    <cellStyle name="Normal 7 3 4 2 5" xfId="4391" xr:uid="{00000000-0005-0000-0000-00001EBD0000}"/>
    <cellStyle name="Normal 7 3 4 2 5 2" xfId="13229" xr:uid="{00000000-0005-0000-0000-00001FBD0000}"/>
    <cellStyle name="Normal 7 3 4 2 5 2 2" xfId="23480" xr:uid="{00000000-0005-0000-0000-000020BD0000}"/>
    <cellStyle name="Normal 7 3 4 2 5 2 2 2" xfId="49033" xr:uid="{00000000-0005-0000-0000-000021BD0000}"/>
    <cellStyle name="Normal 7 3 4 2 5 2 3" xfId="38784" xr:uid="{00000000-0005-0000-0000-000022BD0000}"/>
    <cellStyle name="Normal 7 3 4 2 5 3" xfId="9650" xr:uid="{00000000-0005-0000-0000-000023BD0000}"/>
    <cellStyle name="Normal 7 3 4 2 5 3 2" xfId="35207" xr:uid="{00000000-0005-0000-0000-000024BD0000}"/>
    <cellStyle name="Normal 7 3 4 2 5 4" xfId="18473" xr:uid="{00000000-0005-0000-0000-000025BD0000}"/>
    <cellStyle name="Normal 7 3 4 2 5 4 2" xfId="44026" xr:uid="{00000000-0005-0000-0000-000026BD0000}"/>
    <cellStyle name="Normal 7 3 4 2 5 5" xfId="29963" xr:uid="{00000000-0005-0000-0000-000027BD0000}"/>
    <cellStyle name="Normal 7 3 4 2 6" xfId="1663" xr:uid="{00000000-0005-0000-0000-000028BD0000}"/>
    <cellStyle name="Normal 7 3 4 2 6 2" xfId="11040" xr:uid="{00000000-0005-0000-0000-000029BD0000}"/>
    <cellStyle name="Normal 7 3 4 2 6 2 2" xfId="36595" xr:uid="{00000000-0005-0000-0000-00002ABD0000}"/>
    <cellStyle name="Normal 7 3 4 2 6 3" xfId="21044" xr:uid="{00000000-0005-0000-0000-00002BBD0000}"/>
    <cellStyle name="Normal 7 3 4 2 6 3 2" xfId="46597" xr:uid="{00000000-0005-0000-0000-00002CBD0000}"/>
    <cellStyle name="Normal 7 3 4 2 6 4" xfId="27527" xr:uid="{00000000-0005-0000-0000-00002DBD0000}"/>
    <cellStyle name="Normal 7 3 4 2 7" xfId="5847" xr:uid="{00000000-0005-0000-0000-00002EBD0000}"/>
    <cellStyle name="Normal 7 3 4 2 7 2" xfId="14674" xr:uid="{00000000-0005-0000-0000-00002FBD0000}"/>
    <cellStyle name="Normal 7 3 4 2 7 2 2" xfId="40229" xr:uid="{00000000-0005-0000-0000-000030BD0000}"/>
    <cellStyle name="Normal 7 3 4 2 7 3" xfId="24925" xr:uid="{00000000-0005-0000-0000-000031BD0000}"/>
    <cellStyle name="Normal 7 3 4 2 7 3 2" xfId="50478" xr:uid="{00000000-0005-0000-0000-000032BD0000}"/>
    <cellStyle name="Normal 7 3 4 2 7 4" xfId="31408" xr:uid="{00000000-0005-0000-0000-000033BD0000}"/>
    <cellStyle name="Normal 7 3 4 2 8" xfId="7291" xr:uid="{00000000-0005-0000-0000-000034BD0000}"/>
    <cellStyle name="Normal 7 3 4 2 8 2" xfId="20017" xr:uid="{00000000-0005-0000-0000-000035BD0000}"/>
    <cellStyle name="Normal 7 3 4 2 8 2 2" xfId="45570" xr:uid="{00000000-0005-0000-0000-000036BD0000}"/>
    <cellStyle name="Normal 7 3 4 2 8 3" xfId="32848" xr:uid="{00000000-0005-0000-0000-000037BD0000}"/>
    <cellStyle name="Normal 7 3 4 2 9" xfId="16037" xr:uid="{00000000-0005-0000-0000-000038BD0000}"/>
    <cellStyle name="Normal 7 3 4 2 9 2" xfId="41590" xr:uid="{00000000-0005-0000-0000-000039BD0000}"/>
    <cellStyle name="Normal 7 3 4 2_Degree data" xfId="4064" xr:uid="{00000000-0005-0000-0000-00003ABD0000}"/>
    <cellStyle name="Normal 7 3 4 3" xfId="366" xr:uid="{00000000-0005-0000-0000-00003BBD0000}"/>
    <cellStyle name="Normal 7 3 4 3 2" xfId="2852" xr:uid="{00000000-0005-0000-0000-00003CBD0000}"/>
    <cellStyle name="Normal 7 3 4 3 2 2" xfId="12140" xr:uid="{00000000-0005-0000-0000-00003DBD0000}"/>
    <cellStyle name="Normal 7 3 4 3 2 2 2" xfId="22213" xr:uid="{00000000-0005-0000-0000-00003EBD0000}"/>
    <cellStyle name="Normal 7 3 4 3 2 2 2 2" xfId="47766" xr:uid="{00000000-0005-0000-0000-00003FBD0000}"/>
    <cellStyle name="Normal 7 3 4 3 2 2 3" xfId="37695" xr:uid="{00000000-0005-0000-0000-000040BD0000}"/>
    <cellStyle name="Normal 7 3 4 3 2 3" xfId="8389" xr:uid="{00000000-0005-0000-0000-000041BD0000}"/>
    <cellStyle name="Normal 7 3 4 3 2 3 2" xfId="33946" xr:uid="{00000000-0005-0000-0000-000042BD0000}"/>
    <cellStyle name="Normal 7 3 4 3 2 4" xfId="17206" xr:uid="{00000000-0005-0000-0000-000043BD0000}"/>
    <cellStyle name="Normal 7 3 4 3 2 4 2" xfId="42759" xr:uid="{00000000-0005-0000-0000-000044BD0000}"/>
    <cellStyle name="Normal 7 3 4 3 2 5" xfId="28696" xr:uid="{00000000-0005-0000-0000-000045BD0000}"/>
    <cellStyle name="Normal 7 3 4 3 3" xfId="4763" xr:uid="{00000000-0005-0000-0000-000046BD0000}"/>
    <cellStyle name="Normal 7 3 4 3 3 2" xfId="13600" xr:uid="{00000000-0005-0000-0000-000047BD0000}"/>
    <cellStyle name="Normal 7 3 4 3 3 2 2" xfId="23851" xr:uid="{00000000-0005-0000-0000-000048BD0000}"/>
    <cellStyle name="Normal 7 3 4 3 3 2 2 2" xfId="49404" xr:uid="{00000000-0005-0000-0000-000049BD0000}"/>
    <cellStyle name="Normal 7 3 4 3 3 2 3" xfId="39155" xr:uid="{00000000-0005-0000-0000-00004ABD0000}"/>
    <cellStyle name="Normal 7 3 4 3 3 3" xfId="10021" xr:uid="{00000000-0005-0000-0000-00004BBD0000}"/>
    <cellStyle name="Normal 7 3 4 3 3 3 2" xfId="35578" xr:uid="{00000000-0005-0000-0000-00004CBD0000}"/>
    <cellStyle name="Normal 7 3 4 3 3 4" xfId="18844" xr:uid="{00000000-0005-0000-0000-00004DBD0000}"/>
    <cellStyle name="Normal 7 3 4 3 3 4 2" xfId="44397" xr:uid="{00000000-0005-0000-0000-00004EBD0000}"/>
    <cellStyle name="Normal 7 3 4 3 3 5" xfId="30334" xr:uid="{00000000-0005-0000-0000-00004FBD0000}"/>
    <cellStyle name="Normal 7 3 4 3 4" xfId="1961" xr:uid="{00000000-0005-0000-0000-000050BD0000}"/>
    <cellStyle name="Normal 7 3 4 3 4 2" xfId="11326" xr:uid="{00000000-0005-0000-0000-000051BD0000}"/>
    <cellStyle name="Normal 7 3 4 3 4 2 2" xfId="36881" xr:uid="{00000000-0005-0000-0000-000052BD0000}"/>
    <cellStyle name="Normal 7 3 4 3 4 3" xfId="21330" xr:uid="{00000000-0005-0000-0000-000053BD0000}"/>
    <cellStyle name="Normal 7 3 4 3 4 3 2" xfId="46883" xr:uid="{00000000-0005-0000-0000-000054BD0000}"/>
    <cellStyle name="Normal 7 3 4 3 4 4" xfId="27813" xr:uid="{00000000-0005-0000-0000-000055BD0000}"/>
    <cellStyle name="Normal 7 3 4 3 5" xfId="6218" xr:uid="{00000000-0005-0000-0000-000056BD0000}"/>
    <cellStyle name="Normal 7 3 4 3 5 2" xfId="15045" xr:uid="{00000000-0005-0000-0000-000057BD0000}"/>
    <cellStyle name="Normal 7 3 4 3 5 2 2" xfId="40600" xr:uid="{00000000-0005-0000-0000-000058BD0000}"/>
    <cellStyle name="Normal 7 3 4 3 5 3" xfId="25296" xr:uid="{00000000-0005-0000-0000-000059BD0000}"/>
    <cellStyle name="Normal 7 3 4 3 5 3 2" xfId="50849" xr:uid="{00000000-0005-0000-0000-00005ABD0000}"/>
    <cellStyle name="Normal 7 3 4 3 5 4" xfId="31779" xr:uid="{00000000-0005-0000-0000-00005BBD0000}"/>
    <cellStyle name="Normal 7 3 4 3 6" xfId="7664" xr:uid="{00000000-0005-0000-0000-00005CBD0000}"/>
    <cellStyle name="Normal 7 3 4 3 6 2" xfId="19812" xr:uid="{00000000-0005-0000-0000-00005DBD0000}"/>
    <cellStyle name="Normal 7 3 4 3 6 2 2" xfId="45365" xr:uid="{00000000-0005-0000-0000-00005EBD0000}"/>
    <cellStyle name="Normal 7 3 4 3 6 3" xfId="33221" xr:uid="{00000000-0005-0000-0000-00005FBD0000}"/>
    <cellStyle name="Normal 7 3 4 3 7" xfId="16323" xr:uid="{00000000-0005-0000-0000-000060BD0000}"/>
    <cellStyle name="Normal 7 3 4 3 7 2" xfId="41876" xr:uid="{00000000-0005-0000-0000-000061BD0000}"/>
    <cellStyle name="Normal 7 3 4 3 8" xfId="26295" xr:uid="{00000000-0005-0000-0000-000062BD0000}"/>
    <cellStyle name="Normal 7 3 4 4" xfId="957" xr:uid="{00000000-0005-0000-0000-000063BD0000}"/>
    <cellStyle name="Normal 7 3 4 4 2" xfId="3433" xr:uid="{00000000-0005-0000-0000-000064BD0000}"/>
    <cellStyle name="Normal 7 3 4 4 2 2" xfId="12575" xr:uid="{00000000-0005-0000-0000-000065BD0000}"/>
    <cellStyle name="Normal 7 3 4 4 2 2 2" xfId="22794" xr:uid="{00000000-0005-0000-0000-000066BD0000}"/>
    <cellStyle name="Normal 7 3 4 4 2 2 2 2" xfId="48347" xr:uid="{00000000-0005-0000-0000-000067BD0000}"/>
    <cellStyle name="Normal 7 3 4 4 2 2 3" xfId="38130" xr:uid="{00000000-0005-0000-0000-000068BD0000}"/>
    <cellStyle name="Normal 7 3 4 4 2 3" xfId="8997" xr:uid="{00000000-0005-0000-0000-000069BD0000}"/>
    <cellStyle name="Normal 7 3 4 4 2 3 2" xfId="34554" xr:uid="{00000000-0005-0000-0000-00006ABD0000}"/>
    <cellStyle name="Normal 7 3 4 4 2 4" xfId="17787" xr:uid="{00000000-0005-0000-0000-00006BBD0000}"/>
    <cellStyle name="Normal 7 3 4 4 2 4 2" xfId="43340" xr:uid="{00000000-0005-0000-0000-00006CBD0000}"/>
    <cellStyle name="Normal 7 3 4 4 2 5" xfId="29277" xr:uid="{00000000-0005-0000-0000-00006DBD0000}"/>
    <cellStyle name="Normal 7 3 4 4 3" xfId="5111" xr:uid="{00000000-0005-0000-0000-00006EBD0000}"/>
    <cellStyle name="Normal 7 3 4 4 3 2" xfId="13948" xr:uid="{00000000-0005-0000-0000-00006FBD0000}"/>
    <cellStyle name="Normal 7 3 4 4 3 2 2" xfId="24199" xr:uid="{00000000-0005-0000-0000-000070BD0000}"/>
    <cellStyle name="Normal 7 3 4 4 3 2 2 2" xfId="49752" xr:uid="{00000000-0005-0000-0000-000071BD0000}"/>
    <cellStyle name="Normal 7 3 4 4 3 2 3" xfId="39503" xr:uid="{00000000-0005-0000-0000-000072BD0000}"/>
    <cellStyle name="Normal 7 3 4 4 3 3" xfId="10369" xr:uid="{00000000-0005-0000-0000-000073BD0000}"/>
    <cellStyle name="Normal 7 3 4 4 3 3 2" xfId="35926" xr:uid="{00000000-0005-0000-0000-000074BD0000}"/>
    <cellStyle name="Normal 7 3 4 4 3 4" xfId="19192" xr:uid="{00000000-0005-0000-0000-000075BD0000}"/>
    <cellStyle name="Normal 7 3 4 4 3 4 2" xfId="44745" xr:uid="{00000000-0005-0000-0000-000076BD0000}"/>
    <cellStyle name="Normal 7 3 4 4 3 5" xfId="30682" xr:uid="{00000000-0005-0000-0000-000077BD0000}"/>
    <cellStyle name="Normal 7 3 4 4 4" xfId="2542" xr:uid="{00000000-0005-0000-0000-000078BD0000}"/>
    <cellStyle name="Normal 7 3 4 4 4 2" xfId="11907" xr:uid="{00000000-0005-0000-0000-000079BD0000}"/>
    <cellStyle name="Normal 7 3 4 4 4 2 2" xfId="37462" xr:uid="{00000000-0005-0000-0000-00007ABD0000}"/>
    <cellStyle name="Normal 7 3 4 4 4 3" xfId="21911" xr:uid="{00000000-0005-0000-0000-00007BBD0000}"/>
    <cellStyle name="Normal 7 3 4 4 4 3 2" xfId="47464" xr:uid="{00000000-0005-0000-0000-00007CBD0000}"/>
    <cellStyle name="Normal 7 3 4 4 4 4" xfId="28394" xr:uid="{00000000-0005-0000-0000-00007DBD0000}"/>
    <cellStyle name="Normal 7 3 4 4 5" xfId="6566" xr:uid="{00000000-0005-0000-0000-00007EBD0000}"/>
    <cellStyle name="Normal 7 3 4 4 5 2" xfId="15393" xr:uid="{00000000-0005-0000-0000-00007FBD0000}"/>
    <cellStyle name="Normal 7 3 4 4 5 2 2" xfId="40948" xr:uid="{00000000-0005-0000-0000-000080BD0000}"/>
    <cellStyle name="Normal 7 3 4 4 5 3" xfId="25644" xr:uid="{00000000-0005-0000-0000-000081BD0000}"/>
    <cellStyle name="Normal 7 3 4 4 5 3 2" xfId="51197" xr:uid="{00000000-0005-0000-0000-000082BD0000}"/>
    <cellStyle name="Normal 7 3 4 4 5 4" xfId="32127" xr:uid="{00000000-0005-0000-0000-000083BD0000}"/>
    <cellStyle name="Normal 7 3 4 4 6" xfId="8012" xr:uid="{00000000-0005-0000-0000-000084BD0000}"/>
    <cellStyle name="Normal 7 3 4 4 6 2" xfId="20393" xr:uid="{00000000-0005-0000-0000-000085BD0000}"/>
    <cellStyle name="Normal 7 3 4 4 6 2 2" xfId="45946" xr:uid="{00000000-0005-0000-0000-000086BD0000}"/>
    <cellStyle name="Normal 7 3 4 4 6 3" xfId="33569" xr:uid="{00000000-0005-0000-0000-000087BD0000}"/>
    <cellStyle name="Normal 7 3 4 4 7" xfId="16904" xr:uid="{00000000-0005-0000-0000-000088BD0000}"/>
    <cellStyle name="Normal 7 3 4 4 7 2" xfId="42457" xr:uid="{00000000-0005-0000-0000-000089BD0000}"/>
    <cellStyle name="Normal 7 3 4 4 8" xfId="26876" xr:uid="{00000000-0005-0000-0000-00008ABD0000}"/>
    <cellStyle name="Normal 7 3 4 5" xfId="1138" xr:uid="{00000000-0005-0000-0000-00008BBD0000}"/>
    <cellStyle name="Normal 7 3 4 5 2" xfId="3567" xr:uid="{00000000-0005-0000-0000-00008CBD0000}"/>
    <cellStyle name="Normal 7 3 4 5 2 2" xfId="12703" xr:uid="{00000000-0005-0000-0000-00008DBD0000}"/>
    <cellStyle name="Normal 7 3 4 5 2 2 2" xfId="22922" xr:uid="{00000000-0005-0000-0000-00008EBD0000}"/>
    <cellStyle name="Normal 7 3 4 5 2 2 2 2" xfId="48475" xr:uid="{00000000-0005-0000-0000-00008FBD0000}"/>
    <cellStyle name="Normal 7 3 4 5 2 2 3" xfId="38258" xr:uid="{00000000-0005-0000-0000-000090BD0000}"/>
    <cellStyle name="Normal 7 3 4 5 2 3" xfId="9124" xr:uid="{00000000-0005-0000-0000-000091BD0000}"/>
    <cellStyle name="Normal 7 3 4 5 2 3 2" xfId="34681" xr:uid="{00000000-0005-0000-0000-000092BD0000}"/>
    <cellStyle name="Normal 7 3 4 5 2 4" xfId="17915" xr:uid="{00000000-0005-0000-0000-000093BD0000}"/>
    <cellStyle name="Normal 7 3 4 5 2 4 2" xfId="43468" xr:uid="{00000000-0005-0000-0000-000094BD0000}"/>
    <cellStyle name="Normal 7 3 4 5 2 5" xfId="29405" xr:uid="{00000000-0005-0000-0000-000095BD0000}"/>
    <cellStyle name="Normal 7 3 4 5 3" xfId="5230" xr:uid="{00000000-0005-0000-0000-000096BD0000}"/>
    <cellStyle name="Normal 7 3 4 5 3 2" xfId="14067" xr:uid="{00000000-0005-0000-0000-000097BD0000}"/>
    <cellStyle name="Normal 7 3 4 5 3 2 2" xfId="24318" xr:uid="{00000000-0005-0000-0000-000098BD0000}"/>
    <cellStyle name="Normal 7 3 4 5 3 2 2 2" xfId="49871" xr:uid="{00000000-0005-0000-0000-000099BD0000}"/>
    <cellStyle name="Normal 7 3 4 5 3 2 3" xfId="39622" xr:uid="{00000000-0005-0000-0000-00009ABD0000}"/>
    <cellStyle name="Normal 7 3 4 5 3 3" xfId="10488" xr:uid="{00000000-0005-0000-0000-00009BBD0000}"/>
    <cellStyle name="Normal 7 3 4 5 3 3 2" xfId="36045" xr:uid="{00000000-0005-0000-0000-00009CBD0000}"/>
    <cellStyle name="Normal 7 3 4 5 3 4" xfId="19311" xr:uid="{00000000-0005-0000-0000-00009DBD0000}"/>
    <cellStyle name="Normal 7 3 4 5 3 4 2" xfId="44864" xr:uid="{00000000-0005-0000-0000-00009EBD0000}"/>
    <cellStyle name="Normal 7 3 4 5 3 5" xfId="30801" xr:uid="{00000000-0005-0000-0000-00009FBD0000}"/>
    <cellStyle name="Normal 7 3 4 5 4" xfId="1846" xr:uid="{00000000-0005-0000-0000-0000A0BD0000}"/>
    <cellStyle name="Normal 7 3 4 5 4 2" xfId="11214" xr:uid="{00000000-0005-0000-0000-0000A1BD0000}"/>
    <cellStyle name="Normal 7 3 4 5 4 2 2" xfId="36769" xr:uid="{00000000-0005-0000-0000-0000A2BD0000}"/>
    <cellStyle name="Normal 7 3 4 5 4 3" xfId="21218" xr:uid="{00000000-0005-0000-0000-0000A3BD0000}"/>
    <cellStyle name="Normal 7 3 4 5 4 3 2" xfId="46771" xr:uid="{00000000-0005-0000-0000-0000A4BD0000}"/>
    <cellStyle name="Normal 7 3 4 5 4 4" xfId="27701" xr:uid="{00000000-0005-0000-0000-0000A5BD0000}"/>
    <cellStyle name="Normal 7 3 4 5 5" xfId="6685" xr:uid="{00000000-0005-0000-0000-0000A6BD0000}"/>
    <cellStyle name="Normal 7 3 4 5 5 2" xfId="15512" xr:uid="{00000000-0005-0000-0000-0000A7BD0000}"/>
    <cellStyle name="Normal 7 3 4 5 5 2 2" xfId="41067" xr:uid="{00000000-0005-0000-0000-0000A8BD0000}"/>
    <cellStyle name="Normal 7 3 4 5 5 3" xfId="25763" xr:uid="{00000000-0005-0000-0000-0000A9BD0000}"/>
    <cellStyle name="Normal 7 3 4 5 5 3 2" xfId="51316" xr:uid="{00000000-0005-0000-0000-0000AABD0000}"/>
    <cellStyle name="Normal 7 3 4 5 5 4" xfId="32246" xr:uid="{00000000-0005-0000-0000-0000ABBD0000}"/>
    <cellStyle name="Normal 7 3 4 5 6" xfId="8131" xr:uid="{00000000-0005-0000-0000-0000ACBD0000}"/>
    <cellStyle name="Normal 7 3 4 5 6 2" xfId="20521" xr:uid="{00000000-0005-0000-0000-0000ADBD0000}"/>
    <cellStyle name="Normal 7 3 4 5 6 2 2" xfId="46074" xr:uid="{00000000-0005-0000-0000-0000AEBD0000}"/>
    <cellStyle name="Normal 7 3 4 5 6 3" xfId="33688" xr:uid="{00000000-0005-0000-0000-0000AFBD0000}"/>
    <cellStyle name="Normal 7 3 4 5 7" xfId="16211" xr:uid="{00000000-0005-0000-0000-0000B0BD0000}"/>
    <cellStyle name="Normal 7 3 4 5 7 2" xfId="41764" xr:uid="{00000000-0005-0000-0000-0000B1BD0000}"/>
    <cellStyle name="Normal 7 3 4 5 8" xfId="27004" xr:uid="{00000000-0005-0000-0000-0000B2BD0000}"/>
    <cellStyle name="Normal 7 3 4 6" xfId="2740" xr:uid="{00000000-0005-0000-0000-0000B3BD0000}"/>
    <cellStyle name="Normal 7 3 4 6 2" xfId="12057" xr:uid="{00000000-0005-0000-0000-0000B4BD0000}"/>
    <cellStyle name="Normal 7 3 4 6 2 2" xfId="22101" xr:uid="{00000000-0005-0000-0000-0000B5BD0000}"/>
    <cellStyle name="Normal 7 3 4 6 2 2 2" xfId="47654" xr:uid="{00000000-0005-0000-0000-0000B6BD0000}"/>
    <cellStyle name="Normal 7 3 4 6 2 3" xfId="37612" xr:uid="{00000000-0005-0000-0000-0000B7BD0000}"/>
    <cellStyle name="Normal 7 3 4 6 3" xfId="8416" xr:uid="{00000000-0005-0000-0000-0000B8BD0000}"/>
    <cellStyle name="Normal 7 3 4 6 3 2" xfId="33973" xr:uid="{00000000-0005-0000-0000-0000B9BD0000}"/>
    <cellStyle name="Normal 7 3 4 6 4" xfId="17094" xr:uid="{00000000-0005-0000-0000-0000BABD0000}"/>
    <cellStyle name="Normal 7 3 4 6 4 2" xfId="42647" xr:uid="{00000000-0005-0000-0000-0000BBBD0000}"/>
    <cellStyle name="Normal 7 3 4 6 5" xfId="28584" xr:uid="{00000000-0005-0000-0000-0000BCBD0000}"/>
    <cellStyle name="Normal 7 3 4 7" xfId="4186" xr:uid="{00000000-0005-0000-0000-0000BDBD0000}"/>
    <cellStyle name="Normal 7 3 4 7 2" xfId="13024" xr:uid="{00000000-0005-0000-0000-0000BEBD0000}"/>
    <cellStyle name="Normal 7 3 4 7 2 2" xfId="23275" xr:uid="{00000000-0005-0000-0000-0000BFBD0000}"/>
    <cellStyle name="Normal 7 3 4 7 2 2 2" xfId="48828" xr:uid="{00000000-0005-0000-0000-0000C0BD0000}"/>
    <cellStyle name="Normal 7 3 4 7 2 3" xfId="38579" xr:uid="{00000000-0005-0000-0000-0000C1BD0000}"/>
    <cellStyle name="Normal 7 3 4 7 3" xfId="9445" xr:uid="{00000000-0005-0000-0000-0000C2BD0000}"/>
    <cellStyle name="Normal 7 3 4 7 3 2" xfId="35002" xr:uid="{00000000-0005-0000-0000-0000C3BD0000}"/>
    <cellStyle name="Normal 7 3 4 7 4" xfId="18268" xr:uid="{00000000-0005-0000-0000-0000C4BD0000}"/>
    <cellStyle name="Normal 7 3 4 7 4 2" xfId="43821" xr:uid="{00000000-0005-0000-0000-0000C5BD0000}"/>
    <cellStyle name="Normal 7 3 4 7 5" xfId="29758" xr:uid="{00000000-0005-0000-0000-0000C6BD0000}"/>
    <cellStyle name="Normal 7 3 4 8" xfId="1458" xr:uid="{00000000-0005-0000-0000-0000C7BD0000}"/>
    <cellStyle name="Normal 7 3 4 8 2" xfId="10835" xr:uid="{00000000-0005-0000-0000-0000C8BD0000}"/>
    <cellStyle name="Normal 7 3 4 8 2 2" xfId="36390" xr:uid="{00000000-0005-0000-0000-0000C9BD0000}"/>
    <cellStyle name="Normal 7 3 4 8 3" xfId="20839" xr:uid="{00000000-0005-0000-0000-0000CABD0000}"/>
    <cellStyle name="Normal 7 3 4 8 3 2" xfId="46392" xr:uid="{00000000-0005-0000-0000-0000CBBD0000}"/>
    <cellStyle name="Normal 7 3 4 8 4" xfId="27322" xr:uid="{00000000-0005-0000-0000-0000CCBD0000}"/>
    <cellStyle name="Normal 7 3 4 9" xfId="5642" xr:uid="{00000000-0005-0000-0000-0000CDBD0000}"/>
    <cellStyle name="Normal 7 3 4 9 2" xfId="14469" xr:uid="{00000000-0005-0000-0000-0000CEBD0000}"/>
    <cellStyle name="Normal 7 3 4 9 2 2" xfId="40024" xr:uid="{00000000-0005-0000-0000-0000CFBD0000}"/>
    <cellStyle name="Normal 7 3 4 9 3" xfId="24720" xr:uid="{00000000-0005-0000-0000-0000D0BD0000}"/>
    <cellStyle name="Normal 7 3 4 9 3 2" xfId="50273" xr:uid="{00000000-0005-0000-0000-0000D1BD0000}"/>
    <cellStyle name="Normal 7 3 4 9 4" xfId="31203" xr:uid="{00000000-0005-0000-0000-0000D2BD0000}"/>
    <cellStyle name="Normal 7 3 4_Degree data" xfId="4063" xr:uid="{00000000-0005-0000-0000-0000D3BD0000}"/>
    <cellStyle name="Normal 7 3 5" xfId="466" xr:uid="{00000000-0005-0000-0000-0000D4BD0000}"/>
    <cellStyle name="Normal 7 3 5 10" xfId="26395" xr:uid="{00000000-0005-0000-0000-0000D5BD0000}"/>
    <cellStyle name="Normal 7 3 5 2" xfId="959" xr:uid="{00000000-0005-0000-0000-0000D6BD0000}"/>
    <cellStyle name="Normal 7 3 5 2 2" xfId="3435" xr:uid="{00000000-0005-0000-0000-0000D7BD0000}"/>
    <cellStyle name="Normal 7 3 5 2 2 2" xfId="12577" xr:uid="{00000000-0005-0000-0000-0000D8BD0000}"/>
    <cellStyle name="Normal 7 3 5 2 2 2 2" xfId="22796" xr:uid="{00000000-0005-0000-0000-0000D9BD0000}"/>
    <cellStyle name="Normal 7 3 5 2 2 2 2 2" xfId="48349" xr:uid="{00000000-0005-0000-0000-0000DABD0000}"/>
    <cellStyle name="Normal 7 3 5 2 2 2 3" xfId="38132" xr:uid="{00000000-0005-0000-0000-0000DBBD0000}"/>
    <cellStyle name="Normal 7 3 5 2 2 3" xfId="8999" xr:uid="{00000000-0005-0000-0000-0000DCBD0000}"/>
    <cellStyle name="Normal 7 3 5 2 2 3 2" xfId="34556" xr:uid="{00000000-0005-0000-0000-0000DDBD0000}"/>
    <cellStyle name="Normal 7 3 5 2 2 4" xfId="17789" xr:uid="{00000000-0005-0000-0000-0000DEBD0000}"/>
    <cellStyle name="Normal 7 3 5 2 2 4 2" xfId="43342" xr:uid="{00000000-0005-0000-0000-0000DFBD0000}"/>
    <cellStyle name="Normal 7 3 5 2 2 5" xfId="29279" xr:uid="{00000000-0005-0000-0000-0000E0BD0000}"/>
    <cellStyle name="Normal 7 3 5 2 3" xfId="4765" xr:uid="{00000000-0005-0000-0000-0000E1BD0000}"/>
    <cellStyle name="Normal 7 3 5 2 3 2" xfId="13602" xr:uid="{00000000-0005-0000-0000-0000E2BD0000}"/>
    <cellStyle name="Normal 7 3 5 2 3 2 2" xfId="23853" xr:uid="{00000000-0005-0000-0000-0000E3BD0000}"/>
    <cellStyle name="Normal 7 3 5 2 3 2 2 2" xfId="49406" xr:uid="{00000000-0005-0000-0000-0000E4BD0000}"/>
    <cellStyle name="Normal 7 3 5 2 3 2 3" xfId="39157" xr:uid="{00000000-0005-0000-0000-0000E5BD0000}"/>
    <cellStyle name="Normal 7 3 5 2 3 3" xfId="10023" xr:uid="{00000000-0005-0000-0000-0000E6BD0000}"/>
    <cellStyle name="Normal 7 3 5 2 3 3 2" xfId="35580" xr:uid="{00000000-0005-0000-0000-0000E7BD0000}"/>
    <cellStyle name="Normal 7 3 5 2 3 4" xfId="18846" xr:uid="{00000000-0005-0000-0000-0000E8BD0000}"/>
    <cellStyle name="Normal 7 3 5 2 3 4 2" xfId="44399" xr:uid="{00000000-0005-0000-0000-0000E9BD0000}"/>
    <cellStyle name="Normal 7 3 5 2 3 5" xfId="30336" xr:uid="{00000000-0005-0000-0000-0000EABD0000}"/>
    <cellStyle name="Normal 7 3 5 2 4" xfId="2544" xr:uid="{00000000-0005-0000-0000-0000EBBD0000}"/>
    <cellStyle name="Normal 7 3 5 2 4 2" xfId="11909" xr:uid="{00000000-0005-0000-0000-0000ECBD0000}"/>
    <cellStyle name="Normal 7 3 5 2 4 2 2" xfId="37464" xr:uid="{00000000-0005-0000-0000-0000EDBD0000}"/>
    <cellStyle name="Normal 7 3 5 2 4 3" xfId="21913" xr:uid="{00000000-0005-0000-0000-0000EEBD0000}"/>
    <cellStyle name="Normal 7 3 5 2 4 3 2" xfId="47466" xr:uid="{00000000-0005-0000-0000-0000EFBD0000}"/>
    <cellStyle name="Normal 7 3 5 2 4 4" xfId="28396" xr:uid="{00000000-0005-0000-0000-0000F0BD0000}"/>
    <cellStyle name="Normal 7 3 5 2 5" xfId="6220" xr:uid="{00000000-0005-0000-0000-0000F1BD0000}"/>
    <cellStyle name="Normal 7 3 5 2 5 2" xfId="15047" xr:uid="{00000000-0005-0000-0000-0000F2BD0000}"/>
    <cellStyle name="Normal 7 3 5 2 5 2 2" xfId="40602" xr:uid="{00000000-0005-0000-0000-0000F3BD0000}"/>
    <cellStyle name="Normal 7 3 5 2 5 3" xfId="25298" xr:uid="{00000000-0005-0000-0000-0000F4BD0000}"/>
    <cellStyle name="Normal 7 3 5 2 5 3 2" xfId="50851" xr:uid="{00000000-0005-0000-0000-0000F5BD0000}"/>
    <cellStyle name="Normal 7 3 5 2 5 4" xfId="31781" xr:uid="{00000000-0005-0000-0000-0000F6BD0000}"/>
    <cellStyle name="Normal 7 3 5 2 6" xfId="7666" xr:uid="{00000000-0005-0000-0000-0000F7BD0000}"/>
    <cellStyle name="Normal 7 3 5 2 6 2" xfId="20395" xr:uid="{00000000-0005-0000-0000-0000F8BD0000}"/>
    <cellStyle name="Normal 7 3 5 2 6 2 2" xfId="45948" xr:uid="{00000000-0005-0000-0000-0000F9BD0000}"/>
    <cellStyle name="Normal 7 3 5 2 6 3" xfId="33223" xr:uid="{00000000-0005-0000-0000-0000FABD0000}"/>
    <cellStyle name="Normal 7 3 5 2 7" xfId="16906" xr:uid="{00000000-0005-0000-0000-0000FBBD0000}"/>
    <cellStyle name="Normal 7 3 5 2 7 2" xfId="42459" xr:uid="{00000000-0005-0000-0000-0000FCBD0000}"/>
    <cellStyle name="Normal 7 3 5 2 8" xfId="26878" xr:uid="{00000000-0005-0000-0000-0000FDBD0000}"/>
    <cellStyle name="Normal 7 3 5 3" xfId="1238" xr:uid="{00000000-0005-0000-0000-0000FEBD0000}"/>
    <cellStyle name="Normal 7 3 5 3 2" xfId="3667" xr:uid="{00000000-0005-0000-0000-0000FFBD0000}"/>
    <cellStyle name="Normal 7 3 5 3 2 2" xfId="12803" xr:uid="{00000000-0005-0000-0000-000000BE0000}"/>
    <cellStyle name="Normal 7 3 5 3 2 2 2" xfId="23022" xr:uid="{00000000-0005-0000-0000-000001BE0000}"/>
    <cellStyle name="Normal 7 3 5 3 2 2 2 2" xfId="48575" xr:uid="{00000000-0005-0000-0000-000002BE0000}"/>
    <cellStyle name="Normal 7 3 5 3 2 2 3" xfId="38358" xr:uid="{00000000-0005-0000-0000-000003BE0000}"/>
    <cellStyle name="Normal 7 3 5 3 2 3" xfId="9224" xr:uid="{00000000-0005-0000-0000-000004BE0000}"/>
    <cellStyle name="Normal 7 3 5 3 2 3 2" xfId="34781" xr:uid="{00000000-0005-0000-0000-000005BE0000}"/>
    <cellStyle name="Normal 7 3 5 3 2 4" xfId="18015" xr:uid="{00000000-0005-0000-0000-000006BE0000}"/>
    <cellStyle name="Normal 7 3 5 3 2 4 2" xfId="43568" xr:uid="{00000000-0005-0000-0000-000007BE0000}"/>
    <cellStyle name="Normal 7 3 5 3 2 5" xfId="29505" xr:uid="{00000000-0005-0000-0000-000008BE0000}"/>
    <cellStyle name="Normal 7 3 5 3 3" xfId="5113" xr:uid="{00000000-0005-0000-0000-000009BE0000}"/>
    <cellStyle name="Normal 7 3 5 3 3 2" xfId="13950" xr:uid="{00000000-0005-0000-0000-00000ABE0000}"/>
    <cellStyle name="Normal 7 3 5 3 3 2 2" xfId="24201" xr:uid="{00000000-0005-0000-0000-00000BBE0000}"/>
    <cellStyle name="Normal 7 3 5 3 3 2 2 2" xfId="49754" xr:uid="{00000000-0005-0000-0000-00000CBE0000}"/>
    <cellStyle name="Normal 7 3 5 3 3 2 3" xfId="39505" xr:uid="{00000000-0005-0000-0000-00000DBE0000}"/>
    <cellStyle name="Normal 7 3 5 3 3 3" xfId="10371" xr:uid="{00000000-0005-0000-0000-00000EBE0000}"/>
    <cellStyle name="Normal 7 3 5 3 3 3 2" xfId="35928" xr:uid="{00000000-0005-0000-0000-00000FBE0000}"/>
    <cellStyle name="Normal 7 3 5 3 3 4" xfId="19194" xr:uid="{00000000-0005-0000-0000-000010BE0000}"/>
    <cellStyle name="Normal 7 3 5 3 3 4 2" xfId="44747" xr:uid="{00000000-0005-0000-0000-000011BE0000}"/>
    <cellStyle name="Normal 7 3 5 3 3 5" xfId="30684" xr:uid="{00000000-0005-0000-0000-000012BE0000}"/>
    <cellStyle name="Normal 7 3 5 3 4" xfId="2061" xr:uid="{00000000-0005-0000-0000-000013BE0000}"/>
    <cellStyle name="Normal 7 3 5 3 4 2" xfId="11426" xr:uid="{00000000-0005-0000-0000-000014BE0000}"/>
    <cellStyle name="Normal 7 3 5 3 4 2 2" xfId="36981" xr:uid="{00000000-0005-0000-0000-000015BE0000}"/>
    <cellStyle name="Normal 7 3 5 3 4 3" xfId="21430" xr:uid="{00000000-0005-0000-0000-000016BE0000}"/>
    <cellStyle name="Normal 7 3 5 3 4 3 2" xfId="46983" xr:uid="{00000000-0005-0000-0000-000017BE0000}"/>
    <cellStyle name="Normal 7 3 5 3 4 4" xfId="27913" xr:uid="{00000000-0005-0000-0000-000018BE0000}"/>
    <cellStyle name="Normal 7 3 5 3 5" xfId="6568" xr:uid="{00000000-0005-0000-0000-000019BE0000}"/>
    <cellStyle name="Normal 7 3 5 3 5 2" xfId="15395" xr:uid="{00000000-0005-0000-0000-00001ABE0000}"/>
    <cellStyle name="Normal 7 3 5 3 5 2 2" xfId="40950" xr:uid="{00000000-0005-0000-0000-00001BBE0000}"/>
    <cellStyle name="Normal 7 3 5 3 5 3" xfId="25646" xr:uid="{00000000-0005-0000-0000-00001CBE0000}"/>
    <cellStyle name="Normal 7 3 5 3 5 3 2" xfId="51199" xr:uid="{00000000-0005-0000-0000-00001DBE0000}"/>
    <cellStyle name="Normal 7 3 5 3 5 4" xfId="32129" xr:uid="{00000000-0005-0000-0000-00001EBE0000}"/>
    <cellStyle name="Normal 7 3 5 3 6" xfId="8014" xr:uid="{00000000-0005-0000-0000-00001FBE0000}"/>
    <cellStyle name="Normal 7 3 5 3 6 2" xfId="20621" xr:uid="{00000000-0005-0000-0000-000020BE0000}"/>
    <cellStyle name="Normal 7 3 5 3 6 2 2" xfId="46174" xr:uid="{00000000-0005-0000-0000-000021BE0000}"/>
    <cellStyle name="Normal 7 3 5 3 6 3" xfId="33571" xr:uid="{00000000-0005-0000-0000-000022BE0000}"/>
    <cellStyle name="Normal 7 3 5 3 7" xfId="16423" xr:uid="{00000000-0005-0000-0000-000023BE0000}"/>
    <cellStyle name="Normal 7 3 5 3 7 2" xfId="41976" xr:uid="{00000000-0005-0000-0000-000024BE0000}"/>
    <cellStyle name="Normal 7 3 5 3 8" xfId="27104" xr:uid="{00000000-0005-0000-0000-000025BE0000}"/>
    <cellStyle name="Normal 7 3 5 4" xfId="2952" xr:uid="{00000000-0005-0000-0000-000026BE0000}"/>
    <cellStyle name="Normal 7 3 5 4 2" xfId="5330" xr:uid="{00000000-0005-0000-0000-000027BE0000}"/>
    <cellStyle name="Normal 7 3 5 4 2 2" xfId="14167" xr:uid="{00000000-0005-0000-0000-000028BE0000}"/>
    <cellStyle name="Normal 7 3 5 4 2 2 2" xfId="24418" xr:uid="{00000000-0005-0000-0000-000029BE0000}"/>
    <cellStyle name="Normal 7 3 5 4 2 2 2 2" xfId="49971" xr:uid="{00000000-0005-0000-0000-00002ABE0000}"/>
    <cellStyle name="Normal 7 3 5 4 2 2 3" xfId="39722" xr:uid="{00000000-0005-0000-0000-00002BBE0000}"/>
    <cellStyle name="Normal 7 3 5 4 2 3" xfId="10588" xr:uid="{00000000-0005-0000-0000-00002CBE0000}"/>
    <cellStyle name="Normal 7 3 5 4 2 3 2" xfId="36145" xr:uid="{00000000-0005-0000-0000-00002DBE0000}"/>
    <cellStyle name="Normal 7 3 5 4 2 4" xfId="19411" xr:uid="{00000000-0005-0000-0000-00002EBE0000}"/>
    <cellStyle name="Normal 7 3 5 4 2 4 2" xfId="44964" xr:uid="{00000000-0005-0000-0000-00002FBE0000}"/>
    <cellStyle name="Normal 7 3 5 4 2 5" xfId="30901" xr:uid="{00000000-0005-0000-0000-000030BE0000}"/>
    <cellStyle name="Normal 7 3 5 4 3" xfId="6785" xr:uid="{00000000-0005-0000-0000-000031BE0000}"/>
    <cellStyle name="Normal 7 3 5 4 3 2" xfId="15612" xr:uid="{00000000-0005-0000-0000-000032BE0000}"/>
    <cellStyle name="Normal 7 3 5 4 3 2 2" xfId="41167" xr:uid="{00000000-0005-0000-0000-000033BE0000}"/>
    <cellStyle name="Normal 7 3 5 4 3 3" xfId="25863" xr:uid="{00000000-0005-0000-0000-000034BE0000}"/>
    <cellStyle name="Normal 7 3 5 4 3 3 2" xfId="51416" xr:uid="{00000000-0005-0000-0000-000035BE0000}"/>
    <cellStyle name="Normal 7 3 5 4 3 4" xfId="32346" xr:uid="{00000000-0005-0000-0000-000036BE0000}"/>
    <cellStyle name="Normal 7 3 5 4 4" xfId="8231" xr:uid="{00000000-0005-0000-0000-000037BE0000}"/>
    <cellStyle name="Normal 7 3 5 4 4 2" xfId="22313" xr:uid="{00000000-0005-0000-0000-000038BE0000}"/>
    <cellStyle name="Normal 7 3 5 4 4 2 2" xfId="47866" xr:uid="{00000000-0005-0000-0000-000039BE0000}"/>
    <cellStyle name="Normal 7 3 5 4 4 3" xfId="33788" xr:uid="{00000000-0005-0000-0000-00003ABE0000}"/>
    <cellStyle name="Normal 7 3 5 4 5" xfId="17306" xr:uid="{00000000-0005-0000-0000-00003BBE0000}"/>
    <cellStyle name="Normal 7 3 5 4 5 2" xfId="42859" xr:uid="{00000000-0005-0000-0000-00003CBE0000}"/>
    <cellStyle name="Normal 7 3 5 4 6" xfId="28796" xr:uid="{00000000-0005-0000-0000-00003DBE0000}"/>
    <cellStyle name="Normal 7 3 5 5" xfId="4286" xr:uid="{00000000-0005-0000-0000-00003EBE0000}"/>
    <cellStyle name="Normal 7 3 5 5 2" xfId="13124" xr:uid="{00000000-0005-0000-0000-00003FBE0000}"/>
    <cellStyle name="Normal 7 3 5 5 2 2" xfId="23375" xr:uid="{00000000-0005-0000-0000-000040BE0000}"/>
    <cellStyle name="Normal 7 3 5 5 2 2 2" xfId="48928" xr:uid="{00000000-0005-0000-0000-000041BE0000}"/>
    <cellStyle name="Normal 7 3 5 5 2 3" xfId="38679" xr:uid="{00000000-0005-0000-0000-000042BE0000}"/>
    <cellStyle name="Normal 7 3 5 5 3" xfId="9545" xr:uid="{00000000-0005-0000-0000-000043BE0000}"/>
    <cellStyle name="Normal 7 3 5 5 3 2" xfId="35102" xr:uid="{00000000-0005-0000-0000-000044BE0000}"/>
    <cellStyle name="Normal 7 3 5 5 4" xfId="18368" xr:uid="{00000000-0005-0000-0000-000045BE0000}"/>
    <cellStyle name="Normal 7 3 5 5 4 2" xfId="43921" xr:uid="{00000000-0005-0000-0000-000046BE0000}"/>
    <cellStyle name="Normal 7 3 5 5 5" xfId="29858" xr:uid="{00000000-0005-0000-0000-000047BE0000}"/>
    <cellStyle name="Normal 7 3 5 6" xfId="1558" xr:uid="{00000000-0005-0000-0000-000048BE0000}"/>
    <cellStyle name="Normal 7 3 5 6 2" xfId="10935" xr:uid="{00000000-0005-0000-0000-000049BE0000}"/>
    <cellStyle name="Normal 7 3 5 6 2 2" xfId="36490" xr:uid="{00000000-0005-0000-0000-00004ABE0000}"/>
    <cellStyle name="Normal 7 3 5 6 3" xfId="20939" xr:uid="{00000000-0005-0000-0000-00004BBE0000}"/>
    <cellStyle name="Normal 7 3 5 6 3 2" xfId="46492" xr:uid="{00000000-0005-0000-0000-00004CBE0000}"/>
    <cellStyle name="Normal 7 3 5 6 4" xfId="27422" xr:uid="{00000000-0005-0000-0000-00004DBE0000}"/>
    <cellStyle name="Normal 7 3 5 7" xfId="5742" xr:uid="{00000000-0005-0000-0000-00004EBE0000}"/>
    <cellStyle name="Normal 7 3 5 7 2" xfId="14569" xr:uid="{00000000-0005-0000-0000-00004FBE0000}"/>
    <cellStyle name="Normal 7 3 5 7 2 2" xfId="40124" xr:uid="{00000000-0005-0000-0000-000050BE0000}"/>
    <cellStyle name="Normal 7 3 5 7 3" xfId="24820" xr:uid="{00000000-0005-0000-0000-000051BE0000}"/>
    <cellStyle name="Normal 7 3 5 7 3 2" xfId="50373" xr:uid="{00000000-0005-0000-0000-000052BE0000}"/>
    <cellStyle name="Normal 7 3 5 7 4" xfId="31303" xr:uid="{00000000-0005-0000-0000-000053BE0000}"/>
    <cellStyle name="Normal 7 3 5 8" xfId="7186" xr:uid="{00000000-0005-0000-0000-000054BE0000}"/>
    <cellStyle name="Normal 7 3 5 8 2" xfId="19912" xr:uid="{00000000-0005-0000-0000-000055BE0000}"/>
    <cellStyle name="Normal 7 3 5 8 2 2" xfId="45465" xr:uid="{00000000-0005-0000-0000-000056BE0000}"/>
    <cellStyle name="Normal 7 3 5 8 3" xfId="32743" xr:uid="{00000000-0005-0000-0000-000057BE0000}"/>
    <cellStyle name="Normal 7 3 5 9" xfId="15932" xr:uid="{00000000-0005-0000-0000-000058BE0000}"/>
    <cellStyle name="Normal 7 3 5 9 2" xfId="41485" xr:uid="{00000000-0005-0000-0000-000059BE0000}"/>
    <cellStyle name="Normal 7 3 5_Degree data" xfId="4065" xr:uid="{00000000-0005-0000-0000-00005ABE0000}"/>
    <cellStyle name="Normal 7 3 6" xfId="338" xr:uid="{00000000-0005-0000-0000-00005BBE0000}"/>
    <cellStyle name="Normal 7 3 6 10" xfId="26267" xr:uid="{00000000-0005-0000-0000-00005CBE0000}"/>
    <cellStyle name="Normal 7 3 6 2" xfId="960" xr:uid="{00000000-0005-0000-0000-00005DBE0000}"/>
    <cellStyle name="Normal 7 3 6 2 2" xfId="3436" xr:uid="{00000000-0005-0000-0000-00005EBE0000}"/>
    <cellStyle name="Normal 7 3 6 2 2 2" xfId="12578" xr:uid="{00000000-0005-0000-0000-00005FBE0000}"/>
    <cellStyle name="Normal 7 3 6 2 2 2 2" xfId="22797" xr:uid="{00000000-0005-0000-0000-000060BE0000}"/>
    <cellStyle name="Normal 7 3 6 2 2 2 2 2" xfId="48350" xr:uid="{00000000-0005-0000-0000-000061BE0000}"/>
    <cellStyle name="Normal 7 3 6 2 2 2 3" xfId="38133" xr:uid="{00000000-0005-0000-0000-000062BE0000}"/>
    <cellStyle name="Normal 7 3 6 2 2 3" xfId="9000" xr:uid="{00000000-0005-0000-0000-000063BE0000}"/>
    <cellStyle name="Normal 7 3 6 2 2 3 2" xfId="34557" xr:uid="{00000000-0005-0000-0000-000064BE0000}"/>
    <cellStyle name="Normal 7 3 6 2 2 4" xfId="17790" xr:uid="{00000000-0005-0000-0000-000065BE0000}"/>
    <cellStyle name="Normal 7 3 6 2 2 4 2" xfId="43343" xr:uid="{00000000-0005-0000-0000-000066BE0000}"/>
    <cellStyle name="Normal 7 3 6 2 2 5" xfId="29280" xr:uid="{00000000-0005-0000-0000-000067BE0000}"/>
    <cellStyle name="Normal 7 3 6 2 3" xfId="4766" xr:uid="{00000000-0005-0000-0000-000068BE0000}"/>
    <cellStyle name="Normal 7 3 6 2 3 2" xfId="13603" xr:uid="{00000000-0005-0000-0000-000069BE0000}"/>
    <cellStyle name="Normal 7 3 6 2 3 2 2" xfId="23854" xr:uid="{00000000-0005-0000-0000-00006ABE0000}"/>
    <cellStyle name="Normal 7 3 6 2 3 2 2 2" xfId="49407" xr:uid="{00000000-0005-0000-0000-00006BBE0000}"/>
    <cellStyle name="Normal 7 3 6 2 3 2 3" xfId="39158" xr:uid="{00000000-0005-0000-0000-00006CBE0000}"/>
    <cellStyle name="Normal 7 3 6 2 3 3" xfId="10024" xr:uid="{00000000-0005-0000-0000-00006DBE0000}"/>
    <cellStyle name="Normal 7 3 6 2 3 3 2" xfId="35581" xr:uid="{00000000-0005-0000-0000-00006EBE0000}"/>
    <cellStyle name="Normal 7 3 6 2 3 4" xfId="18847" xr:uid="{00000000-0005-0000-0000-00006FBE0000}"/>
    <cellStyle name="Normal 7 3 6 2 3 4 2" xfId="44400" xr:uid="{00000000-0005-0000-0000-000070BE0000}"/>
    <cellStyle name="Normal 7 3 6 2 3 5" xfId="30337" xr:uid="{00000000-0005-0000-0000-000071BE0000}"/>
    <cellStyle name="Normal 7 3 6 2 4" xfId="2545" xr:uid="{00000000-0005-0000-0000-000072BE0000}"/>
    <cellStyle name="Normal 7 3 6 2 4 2" xfId="11910" xr:uid="{00000000-0005-0000-0000-000073BE0000}"/>
    <cellStyle name="Normal 7 3 6 2 4 2 2" xfId="37465" xr:uid="{00000000-0005-0000-0000-000074BE0000}"/>
    <cellStyle name="Normal 7 3 6 2 4 3" xfId="21914" xr:uid="{00000000-0005-0000-0000-000075BE0000}"/>
    <cellStyle name="Normal 7 3 6 2 4 3 2" xfId="47467" xr:uid="{00000000-0005-0000-0000-000076BE0000}"/>
    <cellStyle name="Normal 7 3 6 2 4 4" xfId="28397" xr:uid="{00000000-0005-0000-0000-000077BE0000}"/>
    <cellStyle name="Normal 7 3 6 2 5" xfId="6221" xr:uid="{00000000-0005-0000-0000-000078BE0000}"/>
    <cellStyle name="Normal 7 3 6 2 5 2" xfId="15048" xr:uid="{00000000-0005-0000-0000-000079BE0000}"/>
    <cellStyle name="Normal 7 3 6 2 5 2 2" xfId="40603" xr:uid="{00000000-0005-0000-0000-00007ABE0000}"/>
    <cellStyle name="Normal 7 3 6 2 5 3" xfId="25299" xr:uid="{00000000-0005-0000-0000-00007BBE0000}"/>
    <cellStyle name="Normal 7 3 6 2 5 3 2" xfId="50852" xr:uid="{00000000-0005-0000-0000-00007CBE0000}"/>
    <cellStyle name="Normal 7 3 6 2 5 4" xfId="31782" xr:uid="{00000000-0005-0000-0000-00007DBE0000}"/>
    <cellStyle name="Normal 7 3 6 2 6" xfId="7667" xr:uid="{00000000-0005-0000-0000-00007EBE0000}"/>
    <cellStyle name="Normal 7 3 6 2 6 2" xfId="20396" xr:uid="{00000000-0005-0000-0000-00007FBE0000}"/>
    <cellStyle name="Normal 7 3 6 2 6 2 2" xfId="45949" xr:uid="{00000000-0005-0000-0000-000080BE0000}"/>
    <cellStyle name="Normal 7 3 6 2 6 3" xfId="33224" xr:uid="{00000000-0005-0000-0000-000081BE0000}"/>
    <cellStyle name="Normal 7 3 6 2 7" xfId="16907" xr:uid="{00000000-0005-0000-0000-000082BE0000}"/>
    <cellStyle name="Normal 7 3 6 2 7 2" xfId="42460" xr:uid="{00000000-0005-0000-0000-000083BE0000}"/>
    <cellStyle name="Normal 7 3 6 2 8" xfId="26879" xr:uid="{00000000-0005-0000-0000-000084BE0000}"/>
    <cellStyle name="Normal 7 3 6 3" xfId="1110" xr:uid="{00000000-0005-0000-0000-000085BE0000}"/>
    <cellStyle name="Normal 7 3 6 3 2" xfId="3539" xr:uid="{00000000-0005-0000-0000-000086BE0000}"/>
    <cellStyle name="Normal 7 3 6 3 2 2" xfId="12675" xr:uid="{00000000-0005-0000-0000-000087BE0000}"/>
    <cellStyle name="Normal 7 3 6 3 2 2 2" xfId="22894" xr:uid="{00000000-0005-0000-0000-000088BE0000}"/>
    <cellStyle name="Normal 7 3 6 3 2 2 2 2" xfId="48447" xr:uid="{00000000-0005-0000-0000-000089BE0000}"/>
    <cellStyle name="Normal 7 3 6 3 2 2 3" xfId="38230" xr:uid="{00000000-0005-0000-0000-00008ABE0000}"/>
    <cellStyle name="Normal 7 3 6 3 2 3" xfId="9096" xr:uid="{00000000-0005-0000-0000-00008BBE0000}"/>
    <cellStyle name="Normal 7 3 6 3 2 3 2" xfId="34653" xr:uid="{00000000-0005-0000-0000-00008CBE0000}"/>
    <cellStyle name="Normal 7 3 6 3 2 4" xfId="17887" xr:uid="{00000000-0005-0000-0000-00008DBE0000}"/>
    <cellStyle name="Normal 7 3 6 3 2 4 2" xfId="43440" xr:uid="{00000000-0005-0000-0000-00008EBE0000}"/>
    <cellStyle name="Normal 7 3 6 3 2 5" xfId="29377" xr:uid="{00000000-0005-0000-0000-00008FBE0000}"/>
    <cellStyle name="Normal 7 3 6 3 3" xfId="5114" xr:uid="{00000000-0005-0000-0000-000090BE0000}"/>
    <cellStyle name="Normal 7 3 6 3 3 2" xfId="13951" xr:uid="{00000000-0005-0000-0000-000091BE0000}"/>
    <cellStyle name="Normal 7 3 6 3 3 2 2" xfId="24202" xr:uid="{00000000-0005-0000-0000-000092BE0000}"/>
    <cellStyle name="Normal 7 3 6 3 3 2 2 2" xfId="49755" xr:uid="{00000000-0005-0000-0000-000093BE0000}"/>
    <cellStyle name="Normal 7 3 6 3 3 2 3" xfId="39506" xr:uid="{00000000-0005-0000-0000-000094BE0000}"/>
    <cellStyle name="Normal 7 3 6 3 3 3" xfId="10372" xr:uid="{00000000-0005-0000-0000-000095BE0000}"/>
    <cellStyle name="Normal 7 3 6 3 3 3 2" xfId="35929" xr:uid="{00000000-0005-0000-0000-000096BE0000}"/>
    <cellStyle name="Normal 7 3 6 3 3 4" xfId="19195" xr:uid="{00000000-0005-0000-0000-000097BE0000}"/>
    <cellStyle name="Normal 7 3 6 3 3 4 2" xfId="44748" xr:uid="{00000000-0005-0000-0000-000098BE0000}"/>
    <cellStyle name="Normal 7 3 6 3 3 5" xfId="30685" xr:uid="{00000000-0005-0000-0000-000099BE0000}"/>
    <cellStyle name="Normal 7 3 6 3 4" xfId="2599" xr:uid="{00000000-0005-0000-0000-00009ABE0000}"/>
    <cellStyle name="Normal 7 3 6 3 4 2" xfId="11963" xr:uid="{00000000-0005-0000-0000-00009BBE0000}"/>
    <cellStyle name="Normal 7 3 6 3 4 2 2" xfId="37518" xr:uid="{00000000-0005-0000-0000-00009CBE0000}"/>
    <cellStyle name="Normal 7 3 6 3 4 3" xfId="21967" xr:uid="{00000000-0005-0000-0000-00009DBE0000}"/>
    <cellStyle name="Normal 7 3 6 3 4 3 2" xfId="47520" xr:uid="{00000000-0005-0000-0000-00009EBE0000}"/>
    <cellStyle name="Normal 7 3 6 3 4 4" xfId="28450" xr:uid="{00000000-0005-0000-0000-00009FBE0000}"/>
    <cellStyle name="Normal 7 3 6 3 5" xfId="6569" xr:uid="{00000000-0005-0000-0000-0000A0BE0000}"/>
    <cellStyle name="Normal 7 3 6 3 5 2" xfId="15396" xr:uid="{00000000-0005-0000-0000-0000A1BE0000}"/>
    <cellStyle name="Normal 7 3 6 3 5 2 2" xfId="40951" xr:uid="{00000000-0005-0000-0000-0000A2BE0000}"/>
    <cellStyle name="Normal 7 3 6 3 5 3" xfId="25647" xr:uid="{00000000-0005-0000-0000-0000A3BE0000}"/>
    <cellStyle name="Normal 7 3 6 3 5 3 2" xfId="51200" xr:uid="{00000000-0005-0000-0000-0000A4BE0000}"/>
    <cellStyle name="Normal 7 3 6 3 5 4" xfId="32130" xr:uid="{00000000-0005-0000-0000-0000A5BE0000}"/>
    <cellStyle name="Normal 7 3 6 3 6" xfId="8015" xr:uid="{00000000-0005-0000-0000-0000A6BE0000}"/>
    <cellStyle name="Normal 7 3 6 3 6 2" xfId="20493" xr:uid="{00000000-0005-0000-0000-0000A7BE0000}"/>
    <cellStyle name="Normal 7 3 6 3 6 2 2" xfId="46046" xr:uid="{00000000-0005-0000-0000-0000A8BE0000}"/>
    <cellStyle name="Normal 7 3 6 3 6 3" xfId="33572" xr:uid="{00000000-0005-0000-0000-0000A9BE0000}"/>
    <cellStyle name="Normal 7 3 6 3 7" xfId="16960" xr:uid="{00000000-0005-0000-0000-0000AABE0000}"/>
    <cellStyle name="Normal 7 3 6 3 7 2" xfId="42513" xr:uid="{00000000-0005-0000-0000-0000ABBE0000}"/>
    <cellStyle name="Normal 7 3 6 3 8" xfId="26976" xr:uid="{00000000-0005-0000-0000-0000ACBE0000}"/>
    <cellStyle name="Normal 7 3 6 4" xfId="2824" xr:uid="{00000000-0005-0000-0000-0000ADBE0000}"/>
    <cellStyle name="Normal 7 3 6 4 2" xfId="5202" xr:uid="{00000000-0005-0000-0000-0000AEBE0000}"/>
    <cellStyle name="Normal 7 3 6 4 2 2" xfId="14039" xr:uid="{00000000-0005-0000-0000-0000AFBE0000}"/>
    <cellStyle name="Normal 7 3 6 4 2 2 2" xfId="24290" xr:uid="{00000000-0005-0000-0000-0000B0BE0000}"/>
    <cellStyle name="Normal 7 3 6 4 2 2 2 2" xfId="49843" xr:uid="{00000000-0005-0000-0000-0000B1BE0000}"/>
    <cellStyle name="Normal 7 3 6 4 2 2 3" xfId="39594" xr:uid="{00000000-0005-0000-0000-0000B2BE0000}"/>
    <cellStyle name="Normal 7 3 6 4 2 3" xfId="10460" xr:uid="{00000000-0005-0000-0000-0000B3BE0000}"/>
    <cellStyle name="Normal 7 3 6 4 2 3 2" xfId="36017" xr:uid="{00000000-0005-0000-0000-0000B4BE0000}"/>
    <cellStyle name="Normal 7 3 6 4 2 4" xfId="19283" xr:uid="{00000000-0005-0000-0000-0000B5BE0000}"/>
    <cellStyle name="Normal 7 3 6 4 2 4 2" xfId="44836" xr:uid="{00000000-0005-0000-0000-0000B6BE0000}"/>
    <cellStyle name="Normal 7 3 6 4 2 5" xfId="30773" xr:uid="{00000000-0005-0000-0000-0000B7BE0000}"/>
    <cellStyle name="Normal 7 3 6 4 3" xfId="6657" xr:uid="{00000000-0005-0000-0000-0000B8BE0000}"/>
    <cellStyle name="Normal 7 3 6 4 3 2" xfId="15484" xr:uid="{00000000-0005-0000-0000-0000B9BE0000}"/>
    <cellStyle name="Normal 7 3 6 4 3 2 2" xfId="41039" xr:uid="{00000000-0005-0000-0000-0000BABE0000}"/>
    <cellStyle name="Normal 7 3 6 4 3 3" xfId="25735" xr:uid="{00000000-0005-0000-0000-0000BBBE0000}"/>
    <cellStyle name="Normal 7 3 6 4 3 3 2" xfId="51288" xr:uid="{00000000-0005-0000-0000-0000BCBE0000}"/>
    <cellStyle name="Normal 7 3 6 4 3 4" xfId="32218" xr:uid="{00000000-0005-0000-0000-0000BDBE0000}"/>
    <cellStyle name="Normal 7 3 6 4 4" xfId="8103" xr:uid="{00000000-0005-0000-0000-0000BEBE0000}"/>
    <cellStyle name="Normal 7 3 6 4 4 2" xfId="22185" xr:uid="{00000000-0005-0000-0000-0000BFBE0000}"/>
    <cellStyle name="Normal 7 3 6 4 4 2 2" xfId="47738" xr:uid="{00000000-0005-0000-0000-0000C0BE0000}"/>
    <cellStyle name="Normal 7 3 6 4 4 3" xfId="33660" xr:uid="{00000000-0005-0000-0000-0000C1BE0000}"/>
    <cellStyle name="Normal 7 3 6 4 5" xfId="17178" xr:uid="{00000000-0005-0000-0000-0000C2BE0000}"/>
    <cellStyle name="Normal 7 3 6 4 5 2" xfId="42731" xr:uid="{00000000-0005-0000-0000-0000C3BE0000}"/>
    <cellStyle name="Normal 7 3 6 4 6" xfId="28668" xr:uid="{00000000-0005-0000-0000-0000C4BE0000}"/>
    <cellStyle name="Normal 7 3 6 5" xfId="4156" xr:uid="{00000000-0005-0000-0000-0000C5BE0000}"/>
    <cellStyle name="Normal 7 3 6 5 2" xfId="12994" xr:uid="{00000000-0005-0000-0000-0000C6BE0000}"/>
    <cellStyle name="Normal 7 3 6 5 2 2" xfId="23245" xr:uid="{00000000-0005-0000-0000-0000C7BE0000}"/>
    <cellStyle name="Normal 7 3 6 5 2 2 2" xfId="48798" xr:uid="{00000000-0005-0000-0000-0000C8BE0000}"/>
    <cellStyle name="Normal 7 3 6 5 2 3" xfId="38549" xr:uid="{00000000-0005-0000-0000-0000C9BE0000}"/>
    <cellStyle name="Normal 7 3 6 5 3" xfId="9415" xr:uid="{00000000-0005-0000-0000-0000CABE0000}"/>
    <cellStyle name="Normal 7 3 6 5 3 2" xfId="34972" xr:uid="{00000000-0005-0000-0000-0000CBBE0000}"/>
    <cellStyle name="Normal 7 3 6 5 4" xfId="18238" xr:uid="{00000000-0005-0000-0000-0000CCBE0000}"/>
    <cellStyle name="Normal 7 3 6 5 4 2" xfId="43791" xr:uid="{00000000-0005-0000-0000-0000CDBE0000}"/>
    <cellStyle name="Normal 7 3 6 5 5" xfId="29728" xr:uid="{00000000-0005-0000-0000-0000CEBE0000}"/>
    <cellStyle name="Normal 7 3 6 6" xfId="1933" xr:uid="{00000000-0005-0000-0000-0000CFBE0000}"/>
    <cellStyle name="Normal 7 3 6 6 2" xfId="11298" xr:uid="{00000000-0005-0000-0000-0000D0BE0000}"/>
    <cellStyle name="Normal 7 3 6 6 2 2" xfId="36853" xr:uid="{00000000-0005-0000-0000-0000D1BE0000}"/>
    <cellStyle name="Normal 7 3 6 6 3" xfId="21302" xr:uid="{00000000-0005-0000-0000-0000D2BE0000}"/>
    <cellStyle name="Normal 7 3 6 6 3 2" xfId="46855" xr:uid="{00000000-0005-0000-0000-0000D3BE0000}"/>
    <cellStyle name="Normal 7 3 6 6 4" xfId="27785" xr:uid="{00000000-0005-0000-0000-0000D4BE0000}"/>
    <cellStyle name="Normal 7 3 6 7" xfId="5614" xr:uid="{00000000-0005-0000-0000-0000D5BE0000}"/>
    <cellStyle name="Normal 7 3 6 7 2" xfId="14441" xr:uid="{00000000-0005-0000-0000-0000D6BE0000}"/>
    <cellStyle name="Normal 7 3 6 7 2 2" xfId="39996" xr:uid="{00000000-0005-0000-0000-0000D7BE0000}"/>
    <cellStyle name="Normal 7 3 6 7 3" xfId="24692" xr:uid="{00000000-0005-0000-0000-0000D8BE0000}"/>
    <cellStyle name="Normal 7 3 6 7 3 2" xfId="50245" xr:uid="{00000000-0005-0000-0000-0000D9BE0000}"/>
    <cellStyle name="Normal 7 3 6 7 4" xfId="31175" xr:uid="{00000000-0005-0000-0000-0000DABE0000}"/>
    <cellStyle name="Normal 7 3 6 8" xfId="7058" xr:uid="{00000000-0005-0000-0000-0000DBBE0000}"/>
    <cellStyle name="Normal 7 3 6 8 2" xfId="19784" xr:uid="{00000000-0005-0000-0000-0000DCBE0000}"/>
    <cellStyle name="Normal 7 3 6 8 2 2" xfId="45337" xr:uid="{00000000-0005-0000-0000-0000DDBE0000}"/>
    <cellStyle name="Normal 7 3 6 8 3" xfId="32615" xr:uid="{00000000-0005-0000-0000-0000DEBE0000}"/>
    <cellStyle name="Normal 7 3 6 9" xfId="16295" xr:uid="{00000000-0005-0000-0000-0000DFBE0000}"/>
    <cellStyle name="Normal 7 3 6 9 2" xfId="41848" xr:uid="{00000000-0005-0000-0000-0000E0BE0000}"/>
    <cellStyle name="Normal 7 3 6_Degree data" xfId="4066" xr:uid="{00000000-0005-0000-0000-0000E1BE0000}"/>
    <cellStyle name="Normal 7 3 7" xfId="951" xr:uid="{00000000-0005-0000-0000-0000E2BE0000}"/>
    <cellStyle name="Normal 7 3 7 2" xfId="3427" xr:uid="{00000000-0005-0000-0000-0000E3BE0000}"/>
    <cellStyle name="Normal 7 3 7 2 2" xfId="12569" xr:uid="{00000000-0005-0000-0000-0000E4BE0000}"/>
    <cellStyle name="Normal 7 3 7 2 2 2" xfId="22788" xr:uid="{00000000-0005-0000-0000-0000E5BE0000}"/>
    <cellStyle name="Normal 7 3 7 2 2 2 2" xfId="48341" xr:uid="{00000000-0005-0000-0000-0000E6BE0000}"/>
    <cellStyle name="Normal 7 3 7 2 2 3" xfId="38124" xr:uid="{00000000-0005-0000-0000-0000E7BE0000}"/>
    <cellStyle name="Normal 7 3 7 2 3" xfId="8991" xr:uid="{00000000-0005-0000-0000-0000E8BE0000}"/>
    <cellStyle name="Normal 7 3 7 2 3 2" xfId="34548" xr:uid="{00000000-0005-0000-0000-0000E9BE0000}"/>
    <cellStyle name="Normal 7 3 7 2 4" xfId="17781" xr:uid="{00000000-0005-0000-0000-0000EABE0000}"/>
    <cellStyle name="Normal 7 3 7 2 4 2" xfId="43334" xr:uid="{00000000-0005-0000-0000-0000EBBE0000}"/>
    <cellStyle name="Normal 7 3 7 2 5" xfId="29271" xr:uid="{00000000-0005-0000-0000-0000ECBE0000}"/>
    <cellStyle name="Normal 7 3 7 3" xfId="4757" xr:uid="{00000000-0005-0000-0000-0000EDBE0000}"/>
    <cellStyle name="Normal 7 3 7 3 2" xfId="13594" xr:uid="{00000000-0005-0000-0000-0000EEBE0000}"/>
    <cellStyle name="Normal 7 3 7 3 2 2" xfId="23845" xr:uid="{00000000-0005-0000-0000-0000EFBE0000}"/>
    <cellStyle name="Normal 7 3 7 3 2 2 2" xfId="49398" xr:uid="{00000000-0005-0000-0000-0000F0BE0000}"/>
    <cellStyle name="Normal 7 3 7 3 2 3" xfId="39149" xr:uid="{00000000-0005-0000-0000-0000F1BE0000}"/>
    <cellStyle name="Normal 7 3 7 3 3" xfId="10015" xr:uid="{00000000-0005-0000-0000-0000F2BE0000}"/>
    <cellStyle name="Normal 7 3 7 3 3 2" xfId="35572" xr:uid="{00000000-0005-0000-0000-0000F3BE0000}"/>
    <cellStyle name="Normal 7 3 7 3 4" xfId="18838" xr:uid="{00000000-0005-0000-0000-0000F4BE0000}"/>
    <cellStyle name="Normal 7 3 7 3 4 2" xfId="44391" xr:uid="{00000000-0005-0000-0000-0000F5BE0000}"/>
    <cellStyle name="Normal 7 3 7 3 5" xfId="30328" xr:uid="{00000000-0005-0000-0000-0000F6BE0000}"/>
    <cellStyle name="Normal 7 3 7 4" xfId="2536" xr:uid="{00000000-0005-0000-0000-0000F7BE0000}"/>
    <cellStyle name="Normal 7 3 7 4 2" xfId="11901" xr:uid="{00000000-0005-0000-0000-0000F8BE0000}"/>
    <cellStyle name="Normal 7 3 7 4 2 2" xfId="37456" xr:uid="{00000000-0005-0000-0000-0000F9BE0000}"/>
    <cellStyle name="Normal 7 3 7 4 3" xfId="21905" xr:uid="{00000000-0005-0000-0000-0000FABE0000}"/>
    <cellStyle name="Normal 7 3 7 4 3 2" xfId="47458" xr:uid="{00000000-0005-0000-0000-0000FBBE0000}"/>
    <cellStyle name="Normal 7 3 7 4 4" xfId="28388" xr:uid="{00000000-0005-0000-0000-0000FCBE0000}"/>
    <cellStyle name="Normal 7 3 7 5" xfId="6212" xr:uid="{00000000-0005-0000-0000-0000FDBE0000}"/>
    <cellStyle name="Normal 7 3 7 5 2" xfId="15039" xr:uid="{00000000-0005-0000-0000-0000FEBE0000}"/>
    <cellStyle name="Normal 7 3 7 5 2 2" xfId="40594" xr:uid="{00000000-0005-0000-0000-0000FFBE0000}"/>
    <cellStyle name="Normal 7 3 7 5 3" xfId="25290" xr:uid="{00000000-0005-0000-0000-000000BF0000}"/>
    <cellStyle name="Normal 7 3 7 5 3 2" xfId="50843" xr:uid="{00000000-0005-0000-0000-000001BF0000}"/>
    <cellStyle name="Normal 7 3 7 5 4" xfId="31773" xr:uid="{00000000-0005-0000-0000-000002BF0000}"/>
    <cellStyle name="Normal 7 3 7 6" xfId="7658" xr:uid="{00000000-0005-0000-0000-000003BF0000}"/>
    <cellStyle name="Normal 7 3 7 6 2" xfId="20387" xr:uid="{00000000-0005-0000-0000-000004BF0000}"/>
    <cellStyle name="Normal 7 3 7 6 2 2" xfId="45940" xr:uid="{00000000-0005-0000-0000-000005BF0000}"/>
    <cellStyle name="Normal 7 3 7 6 3" xfId="33215" xr:uid="{00000000-0005-0000-0000-000006BF0000}"/>
    <cellStyle name="Normal 7 3 7 7" xfId="16898" xr:uid="{00000000-0005-0000-0000-000007BF0000}"/>
    <cellStyle name="Normal 7 3 7 7 2" xfId="42451" xr:uid="{00000000-0005-0000-0000-000008BF0000}"/>
    <cellStyle name="Normal 7 3 7 8" xfId="26870" xr:uid="{00000000-0005-0000-0000-000009BF0000}"/>
    <cellStyle name="Normal 7 3 8" xfId="1065" xr:uid="{00000000-0005-0000-0000-00000ABF0000}"/>
    <cellStyle name="Normal 7 3 8 2" xfId="3494" xr:uid="{00000000-0005-0000-0000-00000BBF0000}"/>
    <cellStyle name="Normal 7 3 8 2 2" xfId="12630" xr:uid="{00000000-0005-0000-0000-00000CBF0000}"/>
    <cellStyle name="Normal 7 3 8 2 2 2" xfId="22849" xr:uid="{00000000-0005-0000-0000-00000DBF0000}"/>
    <cellStyle name="Normal 7 3 8 2 2 2 2" xfId="48402" xr:uid="{00000000-0005-0000-0000-00000EBF0000}"/>
    <cellStyle name="Normal 7 3 8 2 2 3" xfId="38185" xr:uid="{00000000-0005-0000-0000-00000FBF0000}"/>
    <cellStyle name="Normal 7 3 8 2 3" xfId="9052" xr:uid="{00000000-0005-0000-0000-000010BF0000}"/>
    <cellStyle name="Normal 7 3 8 2 3 2" xfId="34609" xr:uid="{00000000-0005-0000-0000-000011BF0000}"/>
    <cellStyle name="Normal 7 3 8 2 4" xfId="17842" xr:uid="{00000000-0005-0000-0000-000012BF0000}"/>
    <cellStyle name="Normal 7 3 8 2 4 2" xfId="43395" xr:uid="{00000000-0005-0000-0000-000013BF0000}"/>
    <cellStyle name="Normal 7 3 8 2 5" xfId="29332" xr:uid="{00000000-0005-0000-0000-000014BF0000}"/>
    <cellStyle name="Normal 7 3 8 3" xfId="5105" xr:uid="{00000000-0005-0000-0000-000015BF0000}"/>
    <cellStyle name="Normal 7 3 8 3 2" xfId="13942" xr:uid="{00000000-0005-0000-0000-000016BF0000}"/>
    <cellStyle name="Normal 7 3 8 3 2 2" xfId="24193" xr:uid="{00000000-0005-0000-0000-000017BF0000}"/>
    <cellStyle name="Normal 7 3 8 3 2 2 2" xfId="49746" xr:uid="{00000000-0005-0000-0000-000018BF0000}"/>
    <cellStyle name="Normal 7 3 8 3 2 3" xfId="39497" xr:uid="{00000000-0005-0000-0000-000019BF0000}"/>
    <cellStyle name="Normal 7 3 8 3 3" xfId="10363" xr:uid="{00000000-0005-0000-0000-00001ABF0000}"/>
    <cellStyle name="Normal 7 3 8 3 3 2" xfId="35920" xr:uid="{00000000-0005-0000-0000-00001BBF0000}"/>
    <cellStyle name="Normal 7 3 8 3 4" xfId="19186" xr:uid="{00000000-0005-0000-0000-00001CBF0000}"/>
    <cellStyle name="Normal 7 3 8 3 4 2" xfId="44739" xr:uid="{00000000-0005-0000-0000-00001DBF0000}"/>
    <cellStyle name="Normal 7 3 8 3 5" xfId="30676" xr:uid="{00000000-0005-0000-0000-00001EBF0000}"/>
    <cellStyle name="Normal 7 3 8 4" xfId="1734" xr:uid="{00000000-0005-0000-0000-00001FBF0000}"/>
    <cellStyle name="Normal 7 3 8 4 2" xfId="11108" xr:uid="{00000000-0005-0000-0000-000020BF0000}"/>
    <cellStyle name="Normal 7 3 8 4 2 2" xfId="36663" xr:uid="{00000000-0005-0000-0000-000021BF0000}"/>
    <cellStyle name="Normal 7 3 8 4 3" xfId="21112" xr:uid="{00000000-0005-0000-0000-000022BF0000}"/>
    <cellStyle name="Normal 7 3 8 4 3 2" xfId="46665" xr:uid="{00000000-0005-0000-0000-000023BF0000}"/>
    <cellStyle name="Normal 7 3 8 4 4" xfId="27595" xr:uid="{00000000-0005-0000-0000-000024BF0000}"/>
    <cellStyle name="Normal 7 3 8 5" xfId="6560" xr:uid="{00000000-0005-0000-0000-000025BF0000}"/>
    <cellStyle name="Normal 7 3 8 5 2" xfId="15387" xr:uid="{00000000-0005-0000-0000-000026BF0000}"/>
    <cellStyle name="Normal 7 3 8 5 2 2" xfId="40942" xr:uid="{00000000-0005-0000-0000-000027BF0000}"/>
    <cellStyle name="Normal 7 3 8 5 3" xfId="25638" xr:uid="{00000000-0005-0000-0000-000028BF0000}"/>
    <cellStyle name="Normal 7 3 8 5 3 2" xfId="51191" xr:uid="{00000000-0005-0000-0000-000029BF0000}"/>
    <cellStyle name="Normal 7 3 8 5 4" xfId="32121" xr:uid="{00000000-0005-0000-0000-00002ABF0000}"/>
    <cellStyle name="Normal 7 3 8 6" xfId="8006" xr:uid="{00000000-0005-0000-0000-00002BBF0000}"/>
    <cellStyle name="Normal 7 3 8 6 2" xfId="20448" xr:uid="{00000000-0005-0000-0000-00002CBF0000}"/>
    <cellStyle name="Normal 7 3 8 6 2 2" xfId="46001" xr:uid="{00000000-0005-0000-0000-00002DBF0000}"/>
    <cellStyle name="Normal 7 3 8 6 3" xfId="33563" xr:uid="{00000000-0005-0000-0000-00002EBF0000}"/>
    <cellStyle name="Normal 7 3 8 7" xfId="16105" xr:uid="{00000000-0005-0000-0000-00002FBF0000}"/>
    <cellStyle name="Normal 7 3 8 7 2" xfId="41658" xr:uid="{00000000-0005-0000-0000-000030BF0000}"/>
    <cellStyle name="Normal 7 3 8 8" xfId="26931" xr:uid="{00000000-0005-0000-0000-000031BF0000}"/>
    <cellStyle name="Normal 7 3 9" xfId="2634" xr:uid="{00000000-0005-0000-0000-000032BF0000}"/>
    <cellStyle name="Normal 7 3 9 2" xfId="5157" xr:uid="{00000000-0005-0000-0000-000033BF0000}"/>
    <cellStyle name="Normal 7 3 9 2 2" xfId="13994" xr:uid="{00000000-0005-0000-0000-000034BF0000}"/>
    <cellStyle name="Normal 7 3 9 2 2 2" xfId="24245" xr:uid="{00000000-0005-0000-0000-000035BF0000}"/>
    <cellStyle name="Normal 7 3 9 2 2 2 2" xfId="49798" xr:uid="{00000000-0005-0000-0000-000036BF0000}"/>
    <cellStyle name="Normal 7 3 9 2 2 3" xfId="39549" xr:uid="{00000000-0005-0000-0000-000037BF0000}"/>
    <cellStyle name="Normal 7 3 9 2 3" xfId="10415" xr:uid="{00000000-0005-0000-0000-000038BF0000}"/>
    <cellStyle name="Normal 7 3 9 2 3 2" xfId="35972" xr:uid="{00000000-0005-0000-0000-000039BF0000}"/>
    <cellStyle name="Normal 7 3 9 2 4" xfId="19238" xr:uid="{00000000-0005-0000-0000-00003ABF0000}"/>
    <cellStyle name="Normal 7 3 9 2 4 2" xfId="44791" xr:uid="{00000000-0005-0000-0000-00003BBF0000}"/>
    <cellStyle name="Normal 7 3 9 2 5" xfId="30728" xr:uid="{00000000-0005-0000-0000-00003CBF0000}"/>
    <cellStyle name="Normal 7 3 9 3" xfId="6612" xr:uid="{00000000-0005-0000-0000-00003DBF0000}"/>
    <cellStyle name="Normal 7 3 9 3 2" xfId="15439" xr:uid="{00000000-0005-0000-0000-00003EBF0000}"/>
    <cellStyle name="Normal 7 3 9 3 2 2" xfId="40994" xr:uid="{00000000-0005-0000-0000-00003FBF0000}"/>
    <cellStyle name="Normal 7 3 9 3 3" xfId="25690" xr:uid="{00000000-0005-0000-0000-000040BF0000}"/>
    <cellStyle name="Normal 7 3 9 3 3 2" xfId="51243" xr:uid="{00000000-0005-0000-0000-000041BF0000}"/>
    <cellStyle name="Normal 7 3 9 3 4" xfId="32173" xr:uid="{00000000-0005-0000-0000-000042BF0000}"/>
    <cellStyle name="Normal 7 3 9 4" xfId="8058" xr:uid="{00000000-0005-0000-0000-000043BF0000}"/>
    <cellStyle name="Normal 7 3 9 4 2" xfId="21996" xr:uid="{00000000-0005-0000-0000-000044BF0000}"/>
    <cellStyle name="Normal 7 3 9 4 2 2" xfId="47549" xr:uid="{00000000-0005-0000-0000-000045BF0000}"/>
    <cellStyle name="Normal 7 3 9 4 3" xfId="33615" xr:uid="{00000000-0005-0000-0000-000046BF0000}"/>
    <cellStyle name="Normal 7 3 9 5" xfId="16989" xr:uid="{00000000-0005-0000-0000-000047BF0000}"/>
    <cellStyle name="Normal 7 3 9 5 2" xfId="42542" xr:uid="{00000000-0005-0000-0000-000048BF0000}"/>
    <cellStyle name="Normal 7 3 9 6" xfId="28479" xr:uid="{00000000-0005-0000-0000-000049BF0000}"/>
    <cellStyle name="Normal 7 3_Degree data" xfId="4057" xr:uid="{00000000-0005-0000-0000-00004ABF0000}"/>
    <cellStyle name="Normal 7 4" xfId="140" xr:uid="{00000000-0005-0000-0000-00004BBF0000}"/>
    <cellStyle name="Normal 7 4 10" xfId="1408" xr:uid="{00000000-0005-0000-0000-00004CBF0000}"/>
    <cellStyle name="Normal 7 4 10 2" xfId="10785" xr:uid="{00000000-0005-0000-0000-00004DBF0000}"/>
    <cellStyle name="Normal 7 4 10 2 2" xfId="36340" xr:uid="{00000000-0005-0000-0000-00004EBF0000}"/>
    <cellStyle name="Normal 7 4 10 3" xfId="20789" xr:uid="{00000000-0005-0000-0000-00004FBF0000}"/>
    <cellStyle name="Normal 7 4 10 3 2" xfId="46342" xr:uid="{00000000-0005-0000-0000-000050BF0000}"/>
    <cellStyle name="Normal 7 4 10 4" xfId="27272" xr:uid="{00000000-0005-0000-0000-000051BF0000}"/>
    <cellStyle name="Normal 7 4 11" xfId="5519" xr:uid="{00000000-0005-0000-0000-000052BF0000}"/>
    <cellStyle name="Normal 7 4 11 2" xfId="14346" xr:uid="{00000000-0005-0000-0000-000053BF0000}"/>
    <cellStyle name="Normal 7 4 11 2 2" xfId="39901" xr:uid="{00000000-0005-0000-0000-000054BF0000}"/>
    <cellStyle name="Normal 7 4 11 3" xfId="24597" xr:uid="{00000000-0005-0000-0000-000055BF0000}"/>
    <cellStyle name="Normal 7 4 11 3 2" xfId="50150" xr:uid="{00000000-0005-0000-0000-000056BF0000}"/>
    <cellStyle name="Normal 7 4 11 4" xfId="31080" xr:uid="{00000000-0005-0000-0000-000057BF0000}"/>
    <cellStyle name="Normal 7 4 12" xfId="6959" xr:uid="{00000000-0005-0000-0000-000058BF0000}"/>
    <cellStyle name="Normal 7 4 12 2" xfId="19604" xr:uid="{00000000-0005-0000-0000-000059BF0000}"/>
    <cellStyle name="Normal 7 4 12 2 2" xfId="45157" xr:uid="{00000000-0005-0000-0000-00005ABF0000}"/>
    <cellStyle name="Normal 7 4 12 3" xfId="32517" xr:uid="{00000000-0005-0000-0000-00005BBF0000}"/>
    <cellStyle name="Normal 7 4 13" xfId="15782" xr:uid="{00000000-0005-0000-0000-00005CBF0000}"/>
    <cellStyle name="Normal 7 4 13 2" xfId="41335" xr:uid="{00000000-0005-0000-0000-00005DBF0000}"/>
    <cellStyle name="Normal 7 4 14" xfId="26087" xr:uid="{00000000-0005-0000-0000-00005EBF0000}"/>
    <cellStyle name="Normal 7 4 2" xfId="190" xr:uid="{00000000-0005-0000-0000-00005FBF0000}"/>
    <cellStyle name="Normal 7 4 2 10" xfId="7138" xr:uid="{00000000-0005-0000-0000-000060BF0000}"/>
    <cellStyle name="Normal 7 4 2 10 2" xfId="19647" xr:uid="{00000000-0005-0000-0000-000061BF0000}"/>
    <cellStyle name="Normal 7 4 2 10 2 2" xfId="45200" xr:uid="{00000000-0005-0000-0000-000062BF0000}"/>
    <cellStyle name="Normal 7 4 2 10 3" xfId="32695" xr:uid="{00000000-0005-0000-0000-000063BF0000}"/>
    <cellStyle name="Normal 7 4 2 11" xfId="15884" xr:uid="{00000000-0005-0000-0000-000064BF0000}"/>
    <cellStyle name="Normal 7 4 2 11 2" xfId="41437" xr:uid="{00000000-0005-0000-0000-000065BF0000}"/>
    <cellStyle name="Normal 7 4 2 12" xfId="26130" xr:uid="{00000000-0005-0000-0000-000066BF0000}"/>
    <cellStyle name="Normal 7 4 2 2" xfId="518" xr:uid="{00000000-0005-0000-0000-000067BF0000}"/>
    <cellStyle name="Normal 7 4 2 2 10" xfId="26447" xr:uid="{00000000-0005-0000-0000-000068BF0000}"/>
    <cellStyle name="Normal 7 4 2 2 2" xfId="963" xr:uid="{00000000-0005-0000-0000-000069BF0000}"/>
    <cellStyle name="Normal 7 4 2 2 2 2" xfId="3439" xr:uid="{00000000-0005-0000-0000-00006ABF0000}"/>
    <cellStyle name="Normal 7 4 2 2 2 2 2" xfId="12581" xr:uid="{00000000-0005-0000-0000-00006BBF0000}"/>
    <cellStyle name="Normal 7 4 2 2 2 2 2 2" xfId="22800" xr:uid="{00000000-0005-0000-0000-00006CBF0000}"/>
    <cellStyle name="Normal 7 4 2 2 2 2 2 2 2" xfId="48353" xr:uid="{00000000-0005-0000-0000-00006DBF0000}"/>
    <cellStyle name="Normal 7 4 2 2 2 2 2 3" xfId="38136" xr:uid="{00000000-0005-0000-0000-00006EBF0000}"/>
    <cellStyle name="Normal 7 4 2 2 2 2 3" xfId="9003" xr:uid="{00000000-0005-0000-0000-00006FBF0000}"/>
    <cellStyle name="Normal 7 4 2 2 2 2 3 2" xfId="34560" xr:uid="{00000000-0005-0000-0000-000070BF0000}"/>
    <cellStyle name="Normal 7 4 2 2 2 2 4" xfId="17793" xr:uid="{00000000-0005-0000-0000-000071BF0000}"/>
    <cellStyle name="Normal 7 4 2 2 2 2 4 2" xfId="43346" xr:uid="{00000000-0005-0000-0000-000072BF0000}"/>
    <cellStyle name="Normal 7 4 2 2 2 2 5" xfId="29283" xr:uid="{00000000-0005-0000-0000-000073BF0000}"/>
    <cellStyle name="Normal 7 4 2 2 2 3" xfId="4769" xr:uid="{00000000-0005-0000-0000-000074BF0000}"/>
    <cellStyle name="Normal 7 4 2 2 2 3 2" xfId="13606" xr:uid="{00000000-0005-0000-0000-000075BF0000}"/>
    <cellStyle name="Normal 7 4 2 2 2 3 2 2" xfId="23857" xr:uid="{00000000-0005-0000-0000-000076BF0000}"/>
    <cellStyle name="Normal 7 4 2 2 2 3 2 2 2" xfId="49410" xr:uid="{00000000-0005-0000-0000-000077BF0000}"/>
    <cellStyle name="Normal 7 4 2 2 2 3 2 3" xfId="39161" xr:uid="{00000000-0005-0000-0000-000078BF0000}"/>
    <cellStyle name="Normal 7 4 2 2 2 3 3" xfId="10027" xr:uid="{00000000-0005-0000-0000-000079BF0000}"/>
    <cellStyle name="Normal 7 4 2 2 2 3 3 2" xfId="35584" xr:uid="{00000000-0005-0000-0000-00007ABF0000}"/>
    <cellStyle name="Normal 7 4 2 2 2 3 4" xfId="18850" xr:uid="{00000000-0005-0000-0000-00007BBF0000}"/>
    <cellStyle name="Normal 7 4 2 2 2 3 4 2" xfId="44403" xr:uid="{00000000-0005-0000-0000-00007CBF0000}"/>
    <cellStyle name="Normal 7 4 2 2 2 3 5" xfId="30340" xr:uid="{00000000-0005-0000-0000-00007DBF0000}"/>
    <cellStyle name="Normal 7 4 2 2 2 4" xfId="2548" xr:uid="{00000000-0005-0000-0000-00007EBF0000}"/>
    <cellStyle name="Normal 7 4 2 2 2 4 2" xfId="11913" xr:uid="{00000000-0005-0000-0000-00007FBF0000}"/>
    <cellStyle name="Normal 7 4 2 2 2 4 2 2" xfId="37468" xr:uid="{00000000-0005-0000-0000-000080BF0000}"/>
    <cellStyle name="Normal 7 4 2 2 2 4 3" xfId="21917" xr:uid="{00000000-0005-0000-0000-000081BF0000}"/>
    <cellStyle name="Normal 7 4 2 2 2 4 3 2" xfId="47470" xr:uid="{00000000-0005-0000-0000-000082BF0000}"/>
    <cellStyle name="Normal 7 4 2 2 2 4 4" xfId="28400" xr:uid="{00000000-0005-0000-0000-000083BF0000}"/>
    <cellStyle name="Normal 7 4 2 2 2 5" xfId="6224" xr:uid="{00000000-0005-0000-0000-000084BF0000}"/>
    <cellStyle name="Normal 7 4 2 2 2 5 2" xfId="15051" xr:uid="{00000000-0005-0000-0000-000085BF0000}"/>
    <cellStyle name="Normal 7 4 2 2 2 5 2 2" xfId="40606" xr:uid="{00000000-0005-0000-0000-000086BF0000}"/>
    <cellStyle name="Normal 7 4 2 2 2 5 3" xfId="25302" xr:uid="{00000000-0005-0000-0000-000087BF0000}"/>
    <cellStyle name="Normal 7 4 2 2 2 5 3 2" xfId="50855" xr:uid="{00000000-0005-0000-0000-000088BF0000}"/>
    <cellStyle name="Normal 7 4 2 2 2 5 4" xfId="31785" xr:uid="{00000000-0005-0000-0000-000089BF0000}"/>
    <cellStyle name="Normal 7 4 2 2 2 6" xfId="7670" xr:uid="{00000000-0005-0000-0000-00008ABF0000}"/>
    <cellStyle name="Normal 7 4 2 2 2 6 2" xfId="20399" xr:uid="{00000000-0005-0000-0000-00008BBF0000}"/>
    <cellStyle name="Normal 7 4 2 2 2 6 2 2" xfId="45952" xr:uid="{00000000-0005-0000-0000-00008CBF0000}"/>
    <cellStyle name="Normal 7 4 2 2 2 6 3" xfId="33227" xr:uid="{00000000-0005-0000-0000-00008DBF0000}"/>
    <cellStyle name="Normal 7 4 2 2 2 7" xfId="16910" xr:uid="{00000000-0005-0000-0000-00008EBF0000}"/>
    <cellStyle name="Normal 7 4 2 2 2 7 2" xfId="42463" xr:uid="{00000000-0005-0000-0000-00008FBF0000}"/>
    <cellStyle name="Normal 7 4 2 2 2 8" xfId="26882" xr:uid="{00000000-0005-0000-0000-000090BF0000}"/>
    <cellStyle name="Normal 7 4 2 2 3" xfId="1290" xr:uid="{00000000-0005-0000-0000-000091BF0000}"/>
    <cellStyle name="Normal 7 4 2 2 3 2" xfId="3719" xr:uid="{00000000-0005-0000-0000-000092BF0000}"/>
    <cellStyle name="Normal 7 4 2 2 3 2 2" xfId="12855" xr:uid="{00000000-0005-0000-0000-000093BF0000}"/>
    <cellStyle name="Normal 7 4 2 2 3 2 2 2" xfId="23074" xr:uid="{00000000-0005-0000-0000-000094BF0000}"/>
    <cellStyle name="Normal 7 4 2 2 3 2 2 2 2" xfId="48627" xr:uid="{00000000-0005-0000-0000-000095BF0000}"/>
    <cellStyle name="Normal 7 4 2 2 3 2 2 3" xfId="38410" xr:uid="{00000000-0005-0000-0000-000096BF0000}"/>
    <cellStyle name="Normal 7 4 2 2 3 2 3" xfId="9276" xr:uid="{00000000-0005-0000-0000-000097BF0000}"/>
    <cellStyle name="Normal 7 4 2 2 3 2 3 2" xfId="34833" xr:uid="{00000000-0005-0000-0000-000098BF0000}"/>
    <cellStyle name="Normal 7 4 2 2 3 2 4" xfId="18067" xr:uid="{00000000-0005-0000-0000-000099BF0000}"/>
    <cellStyle name="Normal 7 4 2 2 3 2 4 2" xfId="43620" xr:uid="{00000000-0005-0000-0000-00009ABF0000}"/>
    <cellStyle name="Normal 7 4 2 2 3 2 5" xfId="29557" xr:uid="{00000000-0005-0000-0000-00009BBF0000}"/>
    <cellStyle name="Normal 7 4 2 2 3 3" xfId="5117" xr:uid="{00000000-0005-0000-0000-00009CBF0000}"/>
    <cellStyle name="Normal 7 4 2 2 3 3 2" xfId="13954" xr:uid="{00000000-0005-0000-0000-00009DBF0000}"/>
    <cellStyle name="Normal 7 4 2 2 3 3 2 2" xfId="24205" xr:uid="{00000000-0005-0000-0000-00009EBF0000}"/>
    <cellStyle name="Normal 7 4 2 2 3 3 2 2 2" xfId="49758" xr:uid="{00000000-0005-0000-0000-00009FBF0000}"/>
    <cellStyle name="Normal 7 4 2 2 3 3 2 3" xfId="39509" xr:uid="{00000000-0005-0000-0000-0000A0BF0000}"/>
    <cellStyle name="Normal 7 4 2 2 3 3 3" xfId="10375" xr:uid="{00000000-0005-0000-0000-0000A1BF0000}"/>
    <cellStyle name="Normal 7 4 2 2 3 3 3 2" xfId="35932" xr:uid="{00000000-0005-0000-0000-0000A2BF0000}"/>
    <cellStyle name="Normal 7 4 2 2 3 3 4" xfId="19198" xr:uid="{00000000-0005-0000-0000-0000A3BF0000}"/>
    <cellStyle name="Normal 7 4 2 2 3 3 4 2" xfId="44751" xr:uid="{00000000-0005-0000-0000-0000A4BF0000}"/>
    <cellStyle name="Normal 7 4 2 2 3 3 5" xfId="30688" xr:uid="{00000000-0005-0000-0000-0000A5BF0000}"/>
    <cellStyle name="Normal 7 4 2 2 3 4" xfId="2113" xr:uid="{00000000-0005-0000-0000-0000A6BF0000}"/>
    <cellStyle name="Normal 7 4 2 2 3 4 2" xfId="11478" xr:uid="{00000000-0005-0000-0000-0000A7BF0000}"/>
    <cellStyle name="Normal 7 4 2 2 3 4 2 2" xfId="37033" xr:uid="{00000000-0005-0000-0000-0000A8BF0000}"/>
    <cellStyle name="Normal 7 4 2 2 3 4 3" xfId="21482" xr:uid="{00000000-0005-0000-0000-0000A9BF0000}"/>
    <cellStyle name="Normal 7 4 2 2 3 4 3 2" xfId="47035" xr:uid="{00000000-0005-0000-0000-0000AABF0000}"/>
    <cellStyle name="Normal 7 4 2 2 3 4 4" xfId="27965" xr:uid="{00000000-0005-0000-0000-0000ABBF0000}"/>
    <cellStyle name="Normal 7 4 2 2 3 5" xfId="6572" xr:uid="{00000000-0005-0000-0000-0000ACBF0000}"/>
    <cellStyle name="Normal 7 4 2 2 3 5 2" xfId="15399" xr:uid="{00000000-0005-0000-0000-0000ADBF0000}"/>
    <cellStyle name="Normal 7 4 2 2 3 5 2 2" xfId="40954" xr:uid="{00000000-0005-0000-0000-0000AEBF0000}"/>
    <cellStyle name="Normal 7 4 2 2 3 5 3" xfId="25650" xr:uid="{00000000-0005-0000-0000-0000AFBF0000}"/>
    <cellStyle name="Normal 7 4 2 2 3 5 3 2" xfId="51203" xr:uid="{00000000-0005-0000-0000-0000B0BF0000}"/>
    <cellStyle name="Normal 7 4 2 2 3 5 4" xfId="32133" xr:uid="{00000000-0005-0000-0000-0000B1BF0000}"/>
    <cellStyle name="Normal 7 4 2 2 3 6" xfId="8018" xr:uid="{00000000-0005-0000-0000-0000B2BF0000}"/>
    <cellStyle name="Normal 7 4 2 2 3 6 2" xfId="20673" xr:uid="{00000000-0005-0000-0000-0000B3BF0000}"/>
    <cellStyle name="Normal 7 4 2 2 3 6 2 2" xfId="46226" xr:uid="{00000000-0005-0000-0000-0000B4BF0000}"/>
    <cellStyle name="Normal 7 4 2 2 3 6 3" xfId="33575" xr:uid="{00000000-0005-0000-0000-0000B5BF0000}"/>
    <cellStyle name="Normal 7 4 2 2 3 7" xfId="16475" xr:uid="{00000000-0005-0000-0000-0000B6BF0000}"/>
    <cellStyle name="Normal 7 4 2 2 3 7 2" xfId="42028" xr:uid="{00000000-0005-0000-0000-0000B7BF0000}"/>
    <cellStyle name="Normal 7 4 2 2 3 8" xfId="27156" xr:uid="{00000000-0005-0000-0000-0000B8BF0000}"/>
    <cellStyle name="Normal 7 4 2 2 4" xfId="3004" xr:uid="{00000000-0005-0000-0000-0000B9BF0000}"/>
    <cellStyle name="Normal 7 4 2 2 4 2" xfId="5382" xr:uid="{00000000-0005-0000-0000-0000BABF0000}"/>
    <cellStyle name="Normal 7 4 2 2 4 2 2" xfId="14219" xr:uid="{00000000-0005-0000-0000-0000BBBF0000}"/>
    <cellStyle name="Normal 7 4 2 2 4 2 2 2" xfId="24470" xr:uid="{00000000-0005-0000-0000-0000BCBF0000}"/>
    <cellStyle name="Normal 7 4 2 2 4 2 2 2 2" xfId="50023" xr:uid="{00000000-0005-0000-0000-0000BDBF0000}"/>
    <cellStyle name="Normal 7 4 2 2 4 2 2 3" xfId="39774" xr:uid="{00000000-0005-0000-0000-0000BEBF0000}"/>
    <cellStyle name="Normal 7 4 2 2 4 2 3" xfId="10640" xr:uid="{00000000-0005-0000-0000-0000BFBF0000}"/>
    <cellStyle name="Normal 7 4 2 2 4 2 3 2" xfId="36197" xr:uid="{00000000-0005-0000-0000-0000C0BF0000}"/>
    <cellStyle name="Normal 7 4 2 2 4 2 4" xfId="19463" xr:uid="{00000000-0005-0000-0000-0000C1BF0000}"/>
    <cellStyle name="Normal 7 4 2 2 4 2 4 2" xfId="45016" xr:uid="{00000000-0005-0000-0000-0000C2BF0000}"/>
    <cellStyle name="Normal 7 4 2 2 4 2 5" xfId="30953" xr:uid="{00000000-0005-0000-0000-0000C3BF0000}"/>
    <cellStyle name="Normal 7 4 2 2 4 3" xfId="6837" xr:uid="{00000000-0005-0000-0000-0000C4BF0000}"/>
    <cellStyle name="Normal 7 4 2 2 4 3 2" xfId="15664" xr:uid="{00000000-0005-0000-0000-0000C5BF0000}"/>
    <cellStyle name="Normal 7 4 2 2 4 3 2 2" xfId="41219" xr:uid="{00000000-0005-0000-0000-0000C6BF0000}"/>
    <cellStyle name="Normal 7 4 2 2 4 3 3" xfId="25915" xr:uid="{00000000-0005-0000-0000-0000C7BF0000}"/>
    <cellStyle name="Normal 7 4 2 2 4 3 3 2" xfId="51468" xr:uid="{00000000-0005-0000-0000-0000C8BF0000}"/>
    <cellStyle name="Normal 7 4 2 2 4 3 4" xfId="32398" xr:uid="{00000000-0005-0000-0000-0000C9BF0000}"/>
    <cellStyle name="Normal 7 4 2 2 4 4" xfId="8283" xr:uid="{00000000-0005-0000-0000-0000CABF0000}"/>
    <cellStyle name="Normal 7 4 2 2 4 4 2" xfId="22365" xr:uid="{00000000-0005-0000-0000-0000CBBF0000}"/>
    <cellStyle name="Normal 7 4 2 2 4 4 2 2" xfId="47918" xr:uid="{00000000-0005-0000-0000-0000CCBF0000}"/>
    <cellStyle name="Normal 7 4 2 2 4 4 3" xfId="33840" xr:uid="{00000000-0005-0000-0000-0000CDBF0000}"/>
    <cellStyle name="Normal 7 4 2 2 4 5" xfId="17358" xr:uid="{00000000-0005-0000-0000-0000CEBF0000}"/>
    <cellStyle name="Normal 7 4 2 2 4 5 2" xfId="42911" xr:uid="{00000000-0005-0000-0000-0000CFBF0000}"/>
    <cellStyle name="Normal 7 4 2 2 4 6" xfId="28848" xr:uid="{00000000-0005-0000-0000-0000D0BF0000}"/>
    <cellStyle name="Normal 7 4 2 2 5" xfId="4338" xr:uid="{00000000-0005-0000-0000-0000D1BF0000}"/>
    <cellStyle name="Normal 7 4 2 2 5 2" xfId="13176" xr:uid="{00000000-0005-0000-0000-0000D2BF0000}"/>
    <cellStyle name="Normal 7 4 2 2 5 2 2" xfId="23427" xr:uid="{00000000-0005-0000-0000-0000D3BF0000}"/>
    <cellStyle name="Normal 7 4 2 2 5 2 2 2" xfId="48980" xr:uid="{00000000-0005-0000-0000-0000D4BF0000}"/>
    <cellStyle name="Normal 7 4 2 2 5 2 3" xfId="38731" xr:uid="{00000000-0005-0000-0000-0000D5BF0000}"/>
    <cellStyle name="Normal 7 4 2 2 5 3" xfId="9597" xr:uid="{00000000-0005-0000-0000-0000D6BF0000}"/>
    <cellStyle name="Normal 7 4 2 2 5 3 2" xfId="35154" xr:uid="{00000000-0005-0000-0000-0000D7BF0000}"/>
    <cellStyle name="Normal 7 4 2 2 5 4" xfId="18420" xr:uid="{00000000-0005-0000-0000-0000D8BF0000}"/>
    <cellStyle name="Normal 7 4 2 2 5 4 2" xfId="43973" xr:uid="{00000000-0005-0000-0000-0000D9BF0000}"/>
    <cellStyle name="Normal 7 4 2 2 5 5" xfId="29910" xr:uid="{00000000-0005-0000-0000-0000DABF0000}"/>
    <cellStyle name="Normal 7 4 2 2 6" xfId="1610" xr:uid="{00000000-0005-0000-0000-0000DBBF0000}"/>
    <cellStyle name="Normal 7 4 2 2 6 2" xfId="10987" xr:uid="{00000000-0005-0000-0000-0000DCBF0000}"/>
    <cellStyle name="Normal 7 4 2 2 6 2 2" xfId="36542" xr:uid="{00000000-0005-0000-0000-0000DDBF0000}"/>
    <cellStyle name="Normal 7 4 2 2 6 3" xfId="20991" xr:uid="{00000000-0005-0000-0000-0000DEBF0000}"/>
    <cellStyle name="Normal 7 4 2 2 6 3 2" xfId="46544" xr:uid="{00000000-0005-0000-0000-0000DFBF0000}"/>
    <cellStyle name="Normal 7 4 2 2 6 4" xfId="27474" xr:uid="{00000000-0005-0000-0000-0000E0BF0000}"/>
    <cellStyle name="Normal 7 4 2 2 7" xfId="5794" xr:uid="{00000000-0005-0000-0000-0000E1BF0000}"/>
    <cellStyle name="Normal 7 4 2 2 7 2" xfId="14621" xr:uid="{00000000-0005-0000-0000-0000E2BF0000}"/>
    <cellStyle name="Normal 7 4 2 2 7 2 2" xfId="40176" xr:uid="{00000000-0005-0000-0000-0000E3BF0000}"/>
    <cellStyle name="Normal 7 4 2 2 7 3" xfId="24872" xr:uid="{00000000-0005-0000-0000-0000E4BF0000}"/>
    <cellStyle name="Normal 7 4 2 2 7 3 2" xfId="50425" xr:uid="{00000000-0005-0000-0000-0000E5BF0000}"/>
    <cellStyle name="Normal 7 4 2 2 7 4" xfId="31355" xr:uid="{00000000-0005-0000-0000-0000E6BF0000}"/>
    <cellStyle name="Normal 7 4 2 2 8" xfId="7238" xr:uid="{00000000-0005-0000-0000-0000E7BF0000}"/>
    <cellStyle name="Normal 7 4 2 2 8 2" xfId="19964" xr:uid="{00000000-0005-0000-0000-0000E8BF0000}"/>
    <cellStyle name="Normal 7 4 2 2 8 2 2" xfId="45517" xr:uid="{00000000-0005-0000-0000-0000E9BF0000}"/>
    <cellStyle name="Normal 7 4 2 2 8 3" xfId="32795" xr:uid="{00000000-0005-0000-0000-0000EABF0000}"/>
    <cellStyle name="Normal 7 4 2 2 9" xfId="15984" xr:uid="{00000000-0005-0000-0000-0000EBBF0000}"/>
    <cellStyle name="Normal 7 4 2 2 9 2" xfId="41537" xr:uid="{00000000-0005-0000-0000-0000ECBF0000}"/>
    <cellStyle name="Normal 7 4 2 2_Degree data" xfId="4069" xr:uid="{00000000-0005-0000-0000-0000EDBF0000}"/>
    <cellStyle name="Normal 7 4 2 3" xfId="418" xr:uid="{00000000-0005-0000-0000-0000EEBF0000}"/>
    <cellStyle name="Normal 7 4 2 3 2" xfId="2904" xr:uid="{00000000-0005-0000-0000-0000EFBF0000}"/>
    <cellStyle name="Normal 7 4 2 3 2 2" xfId="12192" xr:uid="{00000000-0005-0000-0000-0000F0BF0000}"/>
    <cellStyle name="Normal 7 4 2 3 2 2 2" xfId="22265" xr:uid="{00000000-0005-0000-0000-0000F1BF0000}"/>
    <cellStyle name="Normal 7 4 2 3 2 2 2 2" xfId="47818" xr:uid="{00000000-0005-0000-0000-0000F2BF0000}"/>
    <cellStyle name="Normal 7 4 2 3 2 2 3" xfId="37747" xr:uid="{00000000-0005-0000-0000-0000F3BF0000}"/>
    <cellStyle name="Normal 7 4 2 3 2 3" xfId="8450" xr:uid="{00000000-0005-0000-0000-0000F4BF0000}"/>
    <cellStyle name="Normal 7 4 2 3 2 3 2" xfId="34007" xr:uid="{00000000-0005-0000-0000-0000F5BF0000}"/>
    <cellStyle name="Normal 7 4 2 3 2 4" xfId="17258" xr:uid="{00000000-0005-0000-0000-0000F6BF0000}"/>
    <cellStyle name="Normal 7 4 2 3 2 4 2" xfId="42811" xr:uid="{00000000-0005-0000-0000-0000F7BF0000}"/>
    <cellStyle name="Normal 7 4 2 3 2 5" xfId="28748" xr:uid="{00000000-0005-0000-0000-0000F8BF0000}"/>
    <cellStyle name="Normal 7 4 2 3 3" xfId="4768" xr:uid="{00000000-0005-0000-0000-0000F9BF0000}"/>
    <cellStyle name="Normal 7 4 2 3 3 2" xfId="13605" xr:uid="{00000000-0005-0000-0000-0000FABF0000}"/>
    <cellStyle name="Normal 7 4 2 3 3 2 2" xfId="23856" xr:uid="{00000000-0005-0000-0000-0000FBBF0000}"/>
    <cellStyle name="Normal 7 4 2 3 3 2 2 2" xfId="49409" xr:uid="{00000000-0005-0000-0000-0000FCBF0000}"/>
    <cellStyle name="Normal 7 4 2 3 3 2 3" xfId="39160" xr:uid="{00000000-0005-0000-0000-0000FDBF0000}"/>
    <cellStyle name="Normal 7 4 2 3 3 3" xfId="10026" xr:uid="{00000000-0005-0000-0000-0000FEBF0000}"/>
    <cellStyle name="Normal 7 4 2 3 3 3 2" xfId="35583" xr:uid="{00000000-0005-0000-0000-0000FFBF0000}"/>
    <cellStyle name="Normal 7 4 2 3 3 4" xfId="18849" xr:uid="{00000000-0005-0000-0000-000000C00000}"/>
    <cellStyle name="Normal 7 4 2 3 3 4 2" xfId="44402" xr:uid="{00000000-0005-0000-0000-000001C00000}"/>
    <cellStyle name="Normal 7 4 2 3 3 5" xfId="30339" xr:uid="{00000000-0005-0000-0000-000002C00000}"/>
    <cellStyle name="Normal 7 4 2 3 4" xfId="2013" xr:uid="{00000000-0005-0000-0000-000003C00000}"/>
    <cellStyle name="Normal 7 4 2 3 4 2" xfId="11378" xr:uid="{00000000-0005-0000-0000-000004C00000}"/>
    <cellStyle name="Normal 7 4 2 3 4 2 2" xfId="36933" xr:uid="{00000000-0005-0000-0000-000005C00000}"/>
    <cellStyle name="Normal 7 4 2 3 4 3" xfId="21382" xr:uid="{00000000-0005-0000-0000-000006C00000}"/>
    <cellStyle name="Normal 7 4 2 3 4 3 2" xfId="46935" xr:uid="{00000000-0005-0000-0000-000007C00000}"/>
    <cellStyle name="Normal 7 4 2 3 4 4" xfId="27865" xr:uid="{00000000-0005-0000-0000-000008C00000}"/>
    <cellStyle name="Normal 7 4 2 3 5" xfId="6223" xr:uid="{00000000-0005-0000-0000-000009C00000}"/>
    <cellStyle name="Normal 7 4 2 3 5 2" xfId="15050" xr:uid="{00000000-0005-0000-0000-00000AC00000}"/>
    <cellStyle name="Normal 7 4 2 3 5 2 2" xfId="40605" xr:uid="{00000000-0005-0000-0000-00000BC00000}"/>
    <cellStyle name="Normal 7 4 2 3 5 3" xfId="25301" xr:uid="{00000000-0005-0000-0000-00000CC00000}"/>
    <cellStyle name="Normal 7 4 2 3 5 3 2" xfId="50854" xr:uid="{00000000-0005-0000-0000-00000DC00000}"/>
    <cellStyle name="Normal 7 4 2 3 5 4" xfId="31784" xr:uid="{00000000-0005-0000-0000-00000EC00000}"/>
    <cellStyle name="Normal 7 4 2 3 6" xfId="7669" xr:uid="{00000000-0005-0000-0000-00000FC00000}"/>
    <cellStyle name="Normal 7 4 2 3 6 2" xfId="19864" xr:uid="{00000000-0005-0000-0000-000010C00000}"/>
    <cellStyle name="Normal 7 4 2 3 6 2 2" xfId="45417" xr:uid="{00000000-0005-0000-0000-000011C00000}"/>
    <cellStyle name="Normal 7 4 2 3 6 3" xfId="33226" xr:uid="{00000000-0005-0000-0000-000012C00000}"/>
    <cellStyle name="Normal 7 4 2 3 7" xfId="16375" xr:uid="{00000000-0005-0000-0000-000013C00000}"/>
    <cellStyle name="Normal 7 4 2 3 7 2" xfId="41928" xr:uid="{00000000-0005-0000-0000-000014C00000}"/>
    <cellStyle name="Normal 7 4 2 3 8" xfId="26347" xr:uid="{00000000-0005-0000-0000-000015C00000}"/>
    <cellStyle name="Normal 7 4 2 4" xfId="962" xr:uid="{00000000-0005-0000-0000-000016C00000}"/>
    <cellStyle name="Normal 7 4 2 4 2" xfId="3438" xr:uid="{00000000-0005-0000-0000-000017C00000}"/>
    <cellStyle name="Normal 7 4 2 4 2 2" xfId="12580" xr:uid="{00000000-0005-0000-0000-000018C00000}"/>
    <cellStyle name="Normal 7 4 2 4 2 2 2" xfId="22799" xr:uid="{00000000-0005-0000-0000-000019C00000}"/>
    <cellStyle name="Normal 7 4 2 4 2 2 2 2" xfId="48352" xr:uid="{00000000-0005-0000-0000-00001AC00000}"/>
    <cellStyle name="Normal 7 4 2 4 2 2 3" xfId="38135" xr:uid="{00000000-0005-0000-0000-00001BC00000}"/>
    <cellStyle name="Normal 7 4 2 4 2 3" xfId="9002" xr:uid="{00000000-0005-0000-0000-00001CC00000}"/>
    <cellStyle name="Normal 7 4 2 4 2 3 2" xfId="34559" xr:uid="{00000000-0005-0000-0000-00001DC00000}"/>
    <cellStyle name="Normal 7 4 2 4 2 4" xfId="17792" xr:uid="{00000000-0005-0000-0000-00001EC00000}"/>
    <cellStyle name="Normal 7 4 2 4 2 4 2" xfId="43345" xr:uid="{00000000-0005-0000-0000-00001FC00000}"/>
    <cellStyle name="Normal 7 4 2 4 2 5" xfId="29282" xr:uid="{00000000-0005-0000-0000-000020C00000}"/>
    <cellStyle name="Normal 7 4 2 4 3" xfId="5116" xr:uid="{00000000-0005-0000-0000-000021C00000}"/>
    <cellStyle name="Normal 7 4 2 4 3 2" xfId="13953" xr:uid="{00000000-0005-0000-0000-000022C00000}"/>
    <cellStyle name="Normal 7 4 2 4 3 2 2" xfId="24204" xr:uid="{00000000-0005-0000-0000-000023C00000}"/>
    <cellStyle name="Normal 7 4 2 4 3 2 2 2" xfId="49757" xr:uid="{00000000-0005-0000-0000-000024C00000}"/>
    <cellStyle name="Normal 7 4 2 4 3 2 3" xfId="39508" xr:uid="{00000000-0005-0000-0000-000025C00000}"/>
    <cellStyle name="Normal 7 4 2 4 3 3" xfId="10374" xr:uid="{00000000-0005-0000-0000-000026C00000}"/>
    <cellStyle name="Normal 7 4 2 4 3 3 2" xfId="35931" xr:uid="{00000000-0005-0000-0000-000027C00000}"/>
    <cellStyle name="Normal 7 4 2 4 3 4" xfId="19197" xr:uid="{00000000-0005-0000-0000-000028C00000}"/>
    <cellStyle name="Normal 7 4 2 4 3 4 2" xfId="44750" xr:uid="{00000000-0005-0000-0000-000029C00000}"/>
    <cellStyle name="Normal 7 4 2 4 3 5" xfId="30687" xr:uid="{00000000-0005-0000-0000-00002AC00000}"/>
    <cellStyle name="Normal 7 4 2 4 4" xfId="2547" xr:uid="{00000000-0005-0000-0000-00002BC00000}"/>
    <cellStyle name="Normal 7 4 2 4 4 2" xfId="11912" xr:uid="{00000000-0005-0000-0000-00002CC00000}"/>
    <cellStyle name="Normal 7 4 2 4 4 2 2" xfId="37467" xr:uid="{00000000-0005-0000-0000-00002DC00000}"/>
    <cellStyle name="Normal 7 4 2 4 4 3" xfId="21916" xr:uid="{00000000-0005-0000-0000-00002EC00000}"/>
    <cellStyle name="Normal 7 4 2 4 4 3 2" xfId="47469" xr:uid="{00000000-0005-0000-0000-00002FC00000}"/>
    <cellStyle name="Normal 7 4 2 4 4 4" xfId="28399" xr:uid="{00000000-0005-0000-0000-000030C00000}"/>
    <cellStyle name="Normal 7 4 2 4 5" xfId="6571" xr:uid="{00000000-0005-0000-0000-000031C00000}"/>
    <cellStyle name="Normal 7 4 2 4 5 2" xfId="15398" xr:uid="{00000000-0005-0000-0000-000032C00000}"/>
    <cellStyle name="Normal 7 4 2 4 5 2 2" xfId="40953" xr:uid="{00000000-0005-0000-0000-000033C00000}"/>
    <cellStyle name="Normal 7 4 2 4 5 3" xfId="25649" xr:uid="{00000000-0005-0000-0000-000034C00000}"/>
    <cellStyle name="Normal 7 4 2 4 5 3 2" xfId="51202" xr:uid="{00000000-0005-0000-0000-000035C00000}"/>
    <cellStyle name="Normal 7 4 2 4 5 4" xfId="32132" xr:uid="{00000000-0005-0000-0000-000036C00000}"/>
    <cellStyle name="Normal 7 4 2 4 6" xfId="8017" xr:uid="{00000000-0005-0000-0000-000037C00000}"/>
    <cellStyle name="Normal 7 4 2 4 6 2" xfId="20398" xr:uid="{00000000-0005-0000-0000-000038C00000}"/>
    <cellStyle name="Normal 7 4 2 4 6 2 2" xfId="45951" xr:uid="{00000000-0005-0000-0000-000039C00000}"/>
    <cellStyle name="Normal 7 4 2 4 6 3" xfId="33574" xr:uid="{00000000-0005-0000-0000-00003AC00000}"/>
    <cellStyle name="Normal 7 4 2 4 7" xfId="16909" xr:uid="{00000000-0005-0000-0000-00003BC00000}"/>
    <cellStyle name="Normal 7 4 2 4 7 2" xfId="42462" xr:uid="{00000000-0005-0000-0000-00003CC00000}"/>
    <cellStyle name="Normal 7 4 2 4 8" xfId="26881" xr:uid="{00000000-0005-0000-0000-00003DC00000}"/>
    <cellStyle name="Normal 7 4 2 5" xfId="1190" xr:uid="{00000000-0005-0000-0000-00003EC00000}"/>
    <cellStyle name="Normal 7 4 2 5 2" xfId="3619" xr:uid="{00000000-0005-0000-0000-00003FC00000}"/>
    <cellStyle name="Normal 7 4 2 5 2 2" xfId="12755" xr:uid="{00000000-0005-0000-0000-000040C00000}"/>
    <cellStyle name="Normal 7 4 2 5 2 2 2" xfId="22974" xr:uid="{00000000-0005-0000-0000-000041C00000}"/>
    <cellStyle name="Normal 7 4 2 5 2 2 2 2" xfId="48527" xr:uid="{00000000-0005-0000-0000-000042C00000}"/>
    <cellStyle name="Normal 7 4 2 5 2 2 3" xfId="38310" xr:uid="{00000000-0005-0000-0000-000043C00000}"/>
    <cellStyle name="Normal 7 4 2 5 2 3" xfId="9176" xr:uid="{00000000-0005-0000-0000-000044C00000}"/>
    <cellStyle name="Normal 7 4 2 5 2 3 2" xfId="34733" xr:uid="{00000000-0005-0000-0000-000045C00000}"/>
    <cellStyle name="Normal 7 4 2 5 2 4" xfId="17967" xr:uid="{00000000-0005-0000-0000-000046C00000}"/>
    <cellStyle name="Normal 7 4 2 5 2 4 2" xfId="43520" xr:uid="{00000000-0005-0000-0000-000047C00000}"/>
    <cellStyle name="Normal 7 4 2 5 2 5" xfId="29457" xr:uid="{00000000-0005-0000-0000-000048C00000}"/>
    <cellStyle name="Normal 7 4 2 5 3" xfId="5282" xr:uid="{00000000-0005-0000-0000-000049C00000}"/>
    <cellStyle name="Normal 7 4 2 5 3 2" xfId="14119" xr:uid="{00000000-0005-0000-0000-00004AC00000}"/>
    <cellStyle name="Normal 7 4 2 5 3 2 2" xfId="24370" xr:uid="{00000000-0005-0000-0000-00004BC00000}"/>
    <cellStyle name="Normal 7 4 2 5 3 2 2 2" xfId="49923" xr:uid="{00000000-0005-0000-0000-00004CC00000}"/>
    <cellStyle name="Normal 7 4 2 5 3 2 3" xfId="39674" xr:uid="{00000000-0005-0000-0000-00004DC00000}"/>
    <cellStyle name="Normal 7 4 2 5 3 3" xfId="10540" xr:uid="{00000000-0005-0000-0000-00004EC00000}"/>
    <cellStyle name="Normal 7 4 2 5 3 3 2" xfId="36097" xr:uid="{00000000-0005-0000-0000-00004FC00000}"/>
    <cellStyle name="Normal 7 4 2 5 3 4" xfId="19363" xr:uid="{00000000-0005-0000-0000-000050C00000}"/>
    <cellStyle name="Normal 7 4 2 5 3 4 2" xfId="44916" xr:uid="{00000000-0005-0000-0000-000051C00000}"/>
    <cellStyle name="Normal 7 4 2 5 3 5" xfId="30853" xr:uid="{00000000-0005-0000-0000-000052C00000}"/>
    <cellStyle name="Normal 7 4 2 5 4" xfId="1792" xr:uid="{00000000-0005-0000-0000-000053C00000}"/>
    <cellStyle name="Normal 7 4 2 5 4 2" xfId="11161" xr:uid="{00000000-0005-0000-0000-000054C00000}"/>
    <cellStyle name="Normal 7 4 2 5 4 2 2" xfId="36716" xr:uid="{00000000-0005-0000-0000-000055C00000}"/>
    <cellStyle name="Normal 7 4 2 5 4 3" xfId="21165" xr:uid="{00000000-0005-0000-0000-000056C00000}"/>
    <cellStyle name="Normal 7 4 2 5 4 3 2" xfId="46718" xr:uid="{00000000-0005-0000-0000-000057C00000}"/>
    <cellStyle name="Normal 7 4 2 5 4 4" xfId="27648" xr:uid="{00000000-0005-0000-0000-000058C00000}"/>
    <cellStyle name="Normal 7 4 2 5 5" xfId="6737" xr:uid="{00000000-0005-0000-0000-000059C00000}"/>
    <cellStyle name="Normal 7 4 2 5 5 2" xfId="15564" xr:uid="{00000000-0005-0000-0000-00005AC00000}"/>
    <cellStyle name="Normal 7 4 2 5 5 2 2" xfId="41119" xr:uid="{00000000-0005-0000-0000-00005BC00000}"/>
    <cellStyle name="Normal 7 4 2 5 5 3" xfId="25815" xr:uid="{00000000-0005-0000-0000-00005CC00000}"/>
    <cellStyle name="Normal 7 4 2 5 5 3 2" xfId="51368" xr:uid="{00000000-0005-0000-0000-00005DC00000}"/>
    <cellStyle name="Normal 7 4 2 5 5 4" xfId="32298" xr:uid="{00000000-0005-0000-0000-00005EC00000}"/>
    <cellStyle name="Normal 7 4 2 5 6" xfId="8183" xr:uid="{00000000-0005-0000-0000-00005FC00000}"/>
    <cellStyle name="Normal 7 4 2 5 6 2" xfId="20573" xr:uid="{00000000-0005-0000-0000-000060C00000}"/>
    <cellStyle name="Normal 7 4 2 5 6 2 2" xfId="46126" xr:uid="{00000000-0005-0000-0000-000061C00000}"/>
    <cellStyle name="Normal 7 4 2 5 6 3" xfId="33740" xr:uid="{00000000-0005-0000-0000-000062C00000}"/>
    <cellStyle name="Normal 7 4 2 5 7" xfId="16158" xr:uid="{00000000-0005-0000-0000-000063C00000}"/>
    <cellStyle name="Normal 7 4 2 5 7 2" xfId="41711" xr:uid="{00000000-0005-0000-0000-000064C00000}"/>
    <cellStyle name="Normal 7 4 2 5 8" xfId="27056" xr:uid="{00000000-0005-0000-0000-000065C00000}"/>
    <cellStyle name="Normal 7 4 2 6" xfId="2687" xr:uid="{00000000-0005-0000-0000-000066C00000}"/>
    <cellStyle name="Normal 7 4 2 6 2" xfId="12004" xr:uid="{00000000-0005-0000-0000-000067C00000}"/>
    <cellStyle name="Normal 7 4 2 6 2 2" xfId="22048" xr:uid="{00000000-0005-0000-0000-000068C00000}"/>
    <cellStyle name="Normal 7 4 2 6 2 2 2" xfId="47601" xr:uid="{00000000-0005-0000-0000-000069C00000}"/>
    <cellStyle name="Normal 7 4 2 6 2 3" xfId="37559" xr:uid="{00000000-0005-0000-0000-00006AC00000}"/>
    <cellStyle name="Normal 7 4 2 6 3" xfId="8637" xr:uid="{00000000-0005-0000-0000-00006BC00000}"/>
    <cellStyle name="Normal 7 4 2 6 3 2" xfId="34194" xr:uid="{00000000-0005-0000-0000-00006CC00000}"/>
    <cellStyle name="Normal 7 4 2 6 4" xfId="17041" xr:uid="{00000000-0005-0000-0000-00006DC00000}"/>
    <cellStyle name="Normal 7 4 2 6 4 2" xfId="42594" xr:uid="{00000000-0005-0000-0000-00006EC00000}"/>
    <cellStyle name="Normal 7 4 2 6 5" xfId="28531" xr:uid="{00000000-0005-0000-0000-00006FC00000}"/>
    <cellStyle name="Normal 7 4 2 7" xfId="4238" xr:uid="{00000000-0005-0000-0000-000070C00000}"/>
    <cellStyle name="Normal 7 4 2 7 2" xfId="13076" xr:uid="{00000000-0005-0000-0000-000071C00000}"/>
    <cellStyle name="Normal 7 4 2 7 2 2" xfId="23327" xr:uid="{00000000-0005-0000-0000-000072C00000}"/>
    <cellStyle name="Normal 7 4 2 7 2 2 2" xfId="48880" xr:uid="{00000000-0005-0000-0000-000073C00000}"/>
    <cellStyle name="Normal 7 4 2 7 2 3" xfId="38631" xr:uid="{00000000-0005-0000-0000-000074C00000}"/>
    <cellStyle name="Normal 7 4 2 7 3" xfId="9497" xr:uid="{00000000-0005-0000-0000-000075C00000}"/>
    <cellStyle name="Normal 7 4 2 7 3 2" xfId="35054" xr:uid="{00000000-0005-0000-0000-000076C00000}"/>
    <cellStyle name="Normal 7 4 2 7 4" xfId="18320" xr:uid="{00000000-0005-0000-0000-000077C00000}"/>
    <cellStyle name="Normal 7 4 2 7 4 2" xfId="43873" xr:uid="{00000000-0005-0000-0000-000078C00000}"/>
    <cellStyle name="Normal 7 4 2 7 5" xfId="29810" xr:uid="{00000000-0005-0000-0000-000079C00000}"/>
    <cellStyle name="Normal 7 4 2 8" xfId="1510" xr:uid="{00000000-0005-0000-0000-00007AC00000}"/>
    <cellStyle name="Normal 7 4 2 8 2" xfId="10887" xr:uid="{00000000-0005-0000-0000-00007BC00000}"/>
    <cellStyle name="Normal 7 4 2 8 2 2" xfId="36442" xr:uid="{00000000-0005-0000-0000-00007CC00000}"/>
    <cellStyle name="Normal 7 4 2 8 3" xfId="20891" xr:uid="{00000000-0005-0000-0000-00007DC00000}"/>
    <cellStyle name="Normal 7 4 2 8 3 2" xfId="46444" xr:uid="{00000000-0005-0000-0000-00007EC00000}"/>
    <cellStyle name="Normal 7 4 2 8 4" xfId="27374" xr:uid="{00000000-0005-0000-0000-00007FC00000}"/>
    <cellStyle name="Normal 7 4 2 9" xfId="5694" xr:uid="{00000000-0005-0000-0000-000080C00000}"/>
    <cellStyle name="Normal 7 4 2 9 2" xfId="14521" xr:uid="{00000000-0005-0000-0000-000081C00000}"/>
    <cellStyle name="Normal 7 4 2 9 2 2" xfId="40076" xr:uid="{00000000-0005-0000-0000-000082C00000}"/>
    <cellStyle name="Normal 7 4 2 9 3" xfId="24772" xr:uid="{00000000-0005-0000-0000-000083C00000}"/>
    <cellStyle name="Normal 7 4 2 9 3 2" xfId="50325" xr:uid="{00000000-0005-0000-0000-000084C00000}"/>
    <cellStyle name="Normal 7 4 2 9 4" xfId="31255" xr:uid="{00000000-0005-0000-0000-000085C00000}"/>
    <cellStyle name="Normal 7 4 2_Degree data" xfId="4068" xr:uid="{00000000-0005-0000-0000-000086C00000}"/>
    <cellStyle name="Normal 7 4 3" xfId="257" xr:uid="{00000000-0005-0000-0000-000087C00000}"/>
    <cellStyle name="Normal 7 4 3 10" xfId="7095" xr:uid="{00000000-0005-0000-0000-000088C00000}"/>
    <cellStyle name="Normal 7 4 3 10 2" xfId="19709" xr:uid="{00000000-0005-0000-0000-000089C00000}"/>
    <cellStyle name="Normal 7 4 3 10 2 2" xfId="45262" xr:uid="{00000000-0005-0000-0000-00008AC00000}"/>
    <cellStyle name="Normal 7 4 3 10 3" xfId="32652" xr:uid="{00000000-0005-0000-0000-00008BC00000}"/>
    <cellStyle name="Normal 7 4 3 11" xfId="15841" xr:uid="{00000000-0005-0000-0000-00008CC00000}"/>
    <cellStyle name="Normal 7 4 3 11 2" xfId="41394" xr:uid="{00000000-0005-0000-0000-00008DC00000}"/>
    <cellStyle name="Normal 7 4 3 12" xfId="26192" xr:uid="{00000000-0005-0000-0000-00008EC00000}"/>
    <cellStyle name="Normal 7 4 3 2" xfId="580" xr:uid="{00000000-0005-0000-0000-00008FC00000}"/>
    <cellStyle name="Normal 7 4 3 2 10" xfId="26509" xr:uid="{00000000-0005-0000-0000-000090C00000}"/>
    <cellStyle name="Normal 7 4 3 2 2" xfId="965" xr:uid="{00000000-0005-0000-0000-000091C00000}"/>
    <cellStyle name="Normal 7 4 3 2 2 2" xfId="3441" xr:uid="{00000000-0005-0000-0000-000092C00000}"/>
    <cellStyle name="Normal 7 4 3 2 2 2 2" xfId="12583" xr:uid="{00000000-0005-0000-0000-000093C00000}"/>
    <cellStyle name="Normal 7 4 3 2 2 2 2 2" xfId="22802" xr:uid="{00000000-0005-0000-0000-000094C00000}"/>
    <cellStyle name="Normal 7 4 3 2 2 2 2 2 2" xfId="48355" xr:uid="{00000000-0005-0000-0000-000095C00000}"/>
    <cellStyle name="Normal 7 4 3 2 2 2 2 3" xfId="38138" xr:uid="{00000000-0005-0000-0000-000096C00000}"/>
    <cellStyle name="Normal 7 4 3 2 2 2 3" xfId="9005" xr:uid="{00000000-0005-0000-0000-000097C00000}"/>
    <cellStyle name="Normal 7 4 3 2 2 2 3 2" xfId="34562" xr:uid="{00000000-0005-0000-0000-000098C00000}"/>
    <cellStyle name="Normal 7 4 3 2 2 2 4" xfId="17795" xr:uid="{00000000-0005-0000-0000-000099C00000}"/>
    <cellStyle name="Normal 7 4 3 2 2 2 4 2" xfId="43348" xr:uid="{00000000-0005-0000-0000-00009AC00000}"/>
    <cellStyle name="Normal 7 4 3 2 2 2 5" xfId="29285" xr:uid="{00000000-0005-0000-0000-00009BC00000}"/>
    <cellStyle name="Normal 7 4 3 2 2 3" xfId="4771" xr:uid="{00000000-0005-0000-0000-00009CC00000}"/>
    <cellStyle name="Normal 7 4 3 2 2 3 2" xfId="13608" xr:uid="{00000000-0005-0000-0000-00009DC00000}"/>
    <cellStyle name="Normal 7 4 3 2 2 3 2 2" xfId="23859" xr:uid="{00000000-0005-0000-0000-00009EC00000}"/>
    <cellStyle name="Normal 7 4 3 2 2 3 2 2 2" xfId="49412" xr:uid="{00000000-0005-0000-0000-00009FC00000}"/>
    <cellStyle name="Normal 7 4 3 2 2 3 2 3" xfId="39163" xr:uid="{00000000-0005-0000-0000-0000A0C00000}"/>
    <cellStyle name="Normal 7 4 3 2 2 3 3" xfId="10029" xr:uid="{00000000-0005-0000-0000-0000A1C00000}"/>
    <cellStyle name="Normal 7 4 3 2 2 3 3 2" xfId="35586" xr:uid="{00000000-0005-0000-0000-0000A2C00000}"/>
    <cellStyle name="Normal 7 4 3 2 2 3 4" xfId="18852" xr:uid="{00000000-0005-0000-0000-0000A3C00000}"/>
    <cellStyle name="Normal 7 4 3 2 2 3 4 2" xfId="44405" xr:uid="{00000000-0005-0000-0000-0000A4C00000}"/>
    <cellStyle name="Normal 7 4 3 2 2 3 5" xfId="30342" xr:uid="{00000000-0005-0000-0000-0000A5C00000}"/>
    <cellStyle name="Normal 7 4 3 2 2 4" xfId="2550" xr:uid="{00000000-0005-0000-0000-0000A6C00000}"/>
    <cellStyle name="Normal 7 4 3 2 2 4 2" xfId="11915" xr:uid="{00000000-0005-0000-0000-0000A7C00000}"/>
    <cellStyle name="Normal 7 4 3 2 2 4 2 2" xfId="37470" xr:uid="{00000000-0005-0000-0000-0000A8C00000}"/>
    <cellStyle name="Normal 7 4 3 2 2 4 3" xfId="21919" xr:uid="{00000000-0005-0000-0000-0000A9C00000}"/>
    <cellStyle name="Normal 7 4 3 2 2 4 3 2" xfId="47472" xr:uid="{00000000-0005-0000-0000-0000AAC00000}"/>
    <cellStyle name="Normal 7 4 3 2 2 4 4" xfId="28402" xr:uid="{00000000-0005-0000-0000-0000ABC00000}"/>
    <cellStyle name="Normal 7 4 3 2 2 5" xfId="6226" xr:uid="{00000000-0005-0000-0000-0000ACC00000}"/>
    <cellStyle name="Normal 7 4 3 2 2 5 2" xfId="15053" xr:uid="{00000000-0005-0000-0000-0000ADC00000}"/>
    <cellStyle name="Normal 7 4 3 2 2 5 2 2" xfId="40608" xr:uid="{00000000-0005-0000-0000-0000AEC00000}"/>
    <cellStyle name="Normal 7 4 3 2 2 5 3" xfId="25304" xr:uid="{00000000-0005-0000-0000-0000AFC00000}"/>
    <cellStyle name="Normal 7 4 3 2 2 5 3 2" xfId="50857" xr:uid="{00000000-0005-0000-0000-0000B0C00000}"/>
    <cellStyle name="Normal 7 4 3 2 2 5 4" xfId="31787" xr:uid="{00000000-0005-0000-0000-0000B1C00000}"/>
    <cellStyle name="Normal 7 4 3 2 2 6" xfId="7672" xr:uid="{00000000-0005-0000-0000-0000B2C00000}"/>
    <cellStyle name="Normal 7 4 3 2 2 6 2" xfId="20401" xr:uid="{00000000-0005-0000-0000-0000B3C00000}"/>
    <cellStyle name="Normal 7 4 3 2 2 6 2 2" xfId="45954" xr:uid="{00000000-0005-0000-0000-0000B4C00000}"/>
    <cellStyle name="Normal 7 4 3 2 2 6 3" xfId="33229" xr:uid="{00000000-0005-0000-0000-0000B5C00000}"/>
    <cellStyle name="Normal 7 4 3 2 2 7" xfId="16912" xr:uid="{00000000-0005-0000-0000-0000B6C00000}"/>
    <cellStyle name="Normal 7 4 3 2 2 7 2" xfId="42465" xr:uid="{00000000-0005-0000-0000-0000B7C00000}"/>
    <cellStyle name="Normal 7 4 3 2 2 8" xfId="26884" xr:uid="{00000000-0005-0000-0000-0000B8C00000}"/>
    <cellStyle name="Normal 7 4 3 2 3" xfId="1352" xr:uid="{00000000-0005-0000-0000-0000B9C00000}"/>
    <cellStyle name="Normal 7 4 3 2 3 2" xfId="3781" xr:uid="{00000000-0005-0000-0000-0000BAC00000}"/>
    <cellStyle name="Normal 7 4 3 2 3 2 2" xfId="12917" xr:uid="{00000000-0005-0000-0000-0000BBC00000}"/>
    <cellStyle name="Normal 7 4 3 2 3 2 2 2" xfId="23136" xr:uid="{00000000-0005-0000-0000-0000BCC00000}"/>
    <cellStyle name="Normal 7 4 3 2 3 2 2 2 2" xfId="48689" xr:uid="{00000000-0005-0000-0000-0000BDC00000}"/>
    <cellStyle name="Normal 7 4 3 2 3 2 2 3" xfId="38472" xr:uid="{00000000-0005-0000-0000-0000BEC00000}"/>
    <cellStyle name="Normal 7 4 3 2 3 2 3" xfId="9338" xr:uid="{00000000-0005-0000-0000-0000BFC00000}"/>
    <cellStyle name="Normal 7 4 3 2 3 2 3 2" xfId="34895" xr:uid="{00000000-0005-0000-0000-0000C0C00000}"/>
    <cellStyle name="Normal 7 4 3 2 3 2 4" xfId="18129" xr:uid="{00000000-0005-0000-0000-0000C1C00000}"/>
    <cellStyle name="Normal 7 4 3 2 3 2 4 2" xfId="43682" xr:uid="{00000000-0005-0000-0000-0000C2C00000}"/>
    <cellStyle name="Normal 7 4 3 2 3 2 5" xfId="29619" xr:uid="{00000000-0005-0000-0000-0000C3C00000}"/>
    <cellStyle name="Normal 7 4 3 2 3 3" xfId="5119" xr:uid="{00000000-0005-0000-0000-0000C4C00000}"/>
    <cellStyle name="Normal 7 4 3 2 3 3 2" xfId="13956" xr:uid="{00000000-0005-0000-0000-0000C5C00000}"/>
    <cellStyle name="Normal 7 4 3 2 3 3 2 2" xfId="24207" xr:uid="{00000000-0005-0000-0000-0000C6C00000}"/>
    <cellStyle name="Normal 7 4 3 2 3 3 2 2 2" xfId="49760" xr:uid="{00000000-0005-0000-0000-0000C7C00000}"/>
    <cellStyle name="Normal 7 4 3 2 3 3 2 3" xfId="39511" xr:uid="{00000000-0005-0000-0000-0000C8C00000}"/>
    <cellStyle name="Normal 7 4 3 2 3 3 3" xfId="10377" xr:uid="{00000000-0005-0000-0000-0000C9C00000}"/>
    <cellStyle name="Normal 7 4 3 2 3 3 3 2" xfId="35934" xr:uid="{00000000-0005-0000-0000-0000CAC00000}"/>
    <cellStyle name="Normal 7 4 3 2 3 3 4" xfId="19200" xr:uid="{00000000-0005-0000-0000-0000CBC00000}"/>
    <cellStyle name="Normal 7 4 3 2 3 3 4 2" xfId="44753" xr:uid="{00000000-0005-0000-0000-0000CCC00000}"/>
    <cellStyle name="Normal 7 4 3 2 3 3 5" xfId="30690" xr:uid="{00000000-0005-0000-0000-0000CDC00000}"/>
    <cellStyle name="Normal 7 4 3 2 3 4" xfId="2175" xr:uid="{00000000-0005-0000-0000-0000CEC00000}"/>
    <cellStyle name="Normal 7 4 3 2 3 4 2" xfId="11540" xr:uid="{00000000-0005-0000-0000-0000CFC00000}"/>
    <cellStyle name="Normal 7 4 3 2 3 4 2 2" xfId="37095" xr:uid="{00000000-0005-0000-0000-0000D0C00000}"/>
    <cellStyle name="Normal 7 4 3 2 3 4 3" xfId="21544" xr:uid="{00000000-0005-0000-0000-0000D1C00000}"/>
    <cellStyle name="Normal 7 4 3 2 3 4 3 2" xfId="47097" xr:uid="{00000000-0005-0000-0000-0000D2C00000}"/>
    <cellStyle name="Normal 7 4 3 2 3 4 4" xfId="28027" xr:uid="{00000000-0005-0000-0000-0000D3C00000}"/>
    <cellStyle name="Normal 7 4 3 2 3 5" xfId="6574" xr:uid="{00000000-0005-0000-0000-0000D4C00000}"/>
    <cellStyle name="Normal 7 4 3 2 3 5 2" xfId="15401" xr:uid="{00000000-0005-0000-0000-0000D5C00000}"/>
    <cellStyle name="Normal 7 4 3 2 3 5 2 2" xfId="40956" xr:uid="{00000000-0005-0000-0000-0000D6C00000}"/>
    <cellStyle name="Normal 7 4 3 2 3 5 3" xfId="25652" xr:uid="{00000000-0005-0000-0000-0000D7C00000}"/>
    <cellStyle name="Normal 7 4 3 2 3 5 3 2" xfId="51205" xr:uid="{00000000-0005-0000-0000-0000D8C00000}"/>
    <cellStyle name="Normal 7 4 3 2 3 5 4" xfId="32135" xr:uid="{00000000-0005-0000-0000-0000D9C00000}"/>
    <cellStyle name="Normal 7 4 3 2 3 6" xfId="8020" xr:uid="{00000000-0005-0000-0000-0000DAC00000}"/>
    <cellStyle name="Normal 7 4 3 2 3 6 2" xfId="20735" xr:uid="{00000000-0005-0000-0000-0000DBC00000}"/>
    <cellStyle name="Normal 7 4 3 2 3 6 2 2" xfId="46288" xr:uid="{00000000-0005-0000-0000-0000DCC00000}"/>
    <cellStyle name="Normal 7 4 3 2 3 6 3" xfId="33577" xr:uid="{00000000-0005-0000-0000-0000DDC00000}"/>
    <cellStyle name="Normal 7 4 3 2 3 7" xfId="16537" xr:uid="{00000000-0005-0000-0000-0000DEC00000}"/>
    <cellStyle name="Normal 7 4 3 2 3 7 2" xfId="42090" xr:uid="{00000000-0005-0000-0000-0000DFC00000}"/>
    <cellStyle name="Normal 7 4 3 2 3 8" xfId="27218" xr:uid="{00000000-0005-0000-0000-0000E0C00000}"/>
    <cellStyle name="Normal 7 4 3 2 4" xfId="3066" xr:uid="{00000000-0005-0000-0000-0000E1C00000}"/>
    <cellStyle name="Normal 7 4 3 2 4 2" xfId="5444" xr:uid="{00000000-0005-0000-0000-0000E2C00000}"/>
    <cellStyle name="Normal 7 4 3 2 4 2 2" xfId="14281" xr:uid="{00000000-0005-0000-0000-0000E3C00000}"/>
    <cellStyle name="Normal 7 4 3 2 4 2 2 2" xfId="24532" xr:uid="{00000000-0005-0000-0000-0000E4C00000}"/>
    <cellStyle name="Normal 7 4 3 2 4 2 2 2 2" xfId="50085" xr:uid="{00000000-0005-0000-0000-0000E5C00000}"/>
    <cellStyle name="Normal 7 4 3 2 4 2 2 3" xfId="39836" xr:uid="{00000000-0005-0000-0000-0000E6C00000}"/>
    <cellStyle name="Normal 7 4 3 2 4 2 3" xfId="10702" xr:uid="{00000000-0005-0000-0000-0000E7C00000}"/>
    <cellStyle name="Normal 7 4 3 2 4 2 3 2" xfId="36259" xr:uid="{00000000-0005-0000-0000-0000E8C00000}"/>
    <cellStyle name="Normal 7 4 3 2 4 2 4" xfId="19525" xr:uid="{00000000-0005-0000-0000-0000E9C00000}"/>
    <cellStyle name="Normal 7 4 3 2 4 2 4 2" xfId="45078" xr:uid="{00000000-0005-0000-0000-0000EAC00000}"/>
    <cellStyle name="Normal 7 4 3 2 4 2 5" xfId="31015" xr:uid="{00000000-0005-0000-0000-0000EBC00000}"/>
    <cellStyle name="Normal 7 4 3 2 4 3" xfId="6899" xr:uid="{00000000-0005-0000-0000-0000ECC00000}"/>
    <cellStyle name="Normal 7 4 3 2 4 3 2" xfId="15726" xr:uid="{00000000-0005-0000-0000-0000EDC00000}"/>
    <cellStyle name="Normal 7 4 3 2 4 3 2 2" xfId="41281" xr:uid="{00000000-0005-0000-0000-0000EEC00000}"/>
    <cellStyle name="Normal 7 4 3 2 4 3 3" xfId="25977" xr:uid="{00000000-0005-0000-0000-0000EFC00000}"/>
    <cellStyle name="Normal 7 4 3 2 4 3 3 2" xfId="51530" xr:uid="{00000000-0005-0000-0000-0000F0C00000}"/>
    <cellStyle name="Normal 7 4 3 2 4 3 4" xfId="32460" xr:uid="{00000000-0005-0000-0000-0000F1C00000}"/>
    <cellStyle name="Normal 7 4 3 2 4 4" xfId="8345" xr:uid="{00000000-0005-0000-0000-0000F2C00000}"/>
    <cellStyle name="Normal 7 4 3 2 4 4 2" xfId="22427" xr:uid="{00000000-0005-0000-0000-0000F3C00000}"/>
    <cellStyle name="Normal 7 4 3 2 4 4 2 2" xfId="47980" xr:uid="{00000000-0005-0000-0000-0000F4C00000}"/>
    <cellStyle name="Normal 7 4 3 2 4 4 3" xfId="33902" xr:uid="{00000000-0005-0000-0000-0000F5C00000}"/>
    <cellStyle name="Normal 7 4 3 2 4 5" xfId="17420" xr:uid="{00000000-0005-0000-0000-0000F6C00000}"/>
    <cellStyle name="Normal 7 4 3 2 4 5 2" xfId="42973" xr:uid="{00000000-0005-0000-0000-0000F7C00000}"/>
    <cellStyle name="Normal 7 4 3 2 4 6" xfId="28910" xr:uid="{00000000-0005-0000-0000-0000F8C00000}"/>
    <cellStyle name="Normal 7 4 3 2 5" xfId="4400" xr:uid="{00000000-0005-0000-0000-0000F9C00000}"/>
    <cellStyle name="Normal 7 4 3 2 5 2" xfId="13238" xr:uid="{00000000-0005-0000-0000-0000FAC00000}"/>
    <cellStyle name="Normal 7 4 3 2 5 2 2" xfId="23489" xr:uid="{00000000-0005-0000-0000-0000FBC00000}"/>
    <cellStyle name="Normal 7 4 3 2 5 2 2 2" xfId="49042" xr:uid="{00000000-0005-0000-0000-0000FCC00000}"/>
    <cellStyle name="Normal 7 4 3 2 5 2 3" xfId="38793" xr:uid="{00000000-0005-0000-0000-0000FDC00000}"/>
    <cellStyle name="Normal 7 4 3 2 5 3" xfId="9659" xr:uid="{00000000-0005-0000-0000-0000FEC00000}"/>
    <cellStyle name="Normal 7 4 3 2 5 3 2" xfId="35216" xr:uid="{00000000-0005-0000-0000-0000FFC00000}"/>
    <cellStyle name="Normal 7 4 3 2 5 4" xfId="18482" xr:uid="{00000000-0005-0000-0000-000000C10000}"/>
    <cellStyle name="Normal 7 4 3 2 5 4 2" xfId="44035" xr:uid="{00000000-0005-0000-0000-000001C10000}"/>
    <cellStyle name="Normal 7 4 3 2 5 5" xfId="29972" xr:uid="{00000000-0005-0000-0000-000002C10000}"/>
    <cellStyle name="Normal 7 4 3 2 6" xfId="1672" xr:uid="{00000000-0005-0000-0000-000003C10000}"/>
    <cellStyle name="Normal 7 4 3 2 6 2" xfId="11049" xr:uid="{00000000-0005-0000-0000-000004C10000}"/>
    <cellStyle name="Normal 7 4 3 2 6 2 2" xfId="36604" xr:uid="{00000000-0005-0000-0000-000005C10000}"/>
    <cellStyle name="Normal 7 4 3 2 6 3" xfId="21053" xr:uid="{00000000-0005-0000-0000-000006C10000}"/>
    <cellStyle name="Normal 7 4 3 2 6 3 2" xfId="46606" xr:uid="{00000000-0005-0000-0000-000007C10000}"/>
    <cellStyle name="Normal 7 4 3 2 6 4" xfId="27536" xr:uid="{00000000-0005-0000-0000-000008C10000}"/>
    <cellStyle name="Normal 7 4 3 2 7" xfId="5856" xr:uid="{00000000-0005-0000-0000-000009C10000}"/>
    <cellStyle name="Normal 7 4 3 2 7 2" xfId="14683" xr:uid="{00000000-0005-0000-0000-00000AC10000}"/>
    <cellStyle name="Normal 7 4 3 2 7 2 2" xfId="40238" xr:uid="{00000000-0005-0000-0000-00000BC10000}"/>
    <cellStyle name="Normal 7 4 3 2 7 3" xfId="24934" xr:uid="{00000000-0005-0000-0000-00000CC10000}"/>
    <cellStyle name="Normal 7 4 3 2 7 3 2" xfId="50487" xr:uid="{00000000-0005-0000-0000-00000DC10000}"/>
    <cellStyle name="Normal 7 4 3 2 7 4" xfId="31417" xr:uid="{00000000-0005-0000-0000-00000EC10000}"/>
    <cellStyle name="Normal 7 4 3 2 8" xfId="7300" xr:uid="{00000000-0005-0000-0000-00000FC10000}"/>
    <cellStyle name="Normal 7 4 3 2 8 2" xfId="20026" xr:uid="{00000000-0005-0000-0000-000010C10000}"/>
    <cellStyle name="Normal 7 4 3 2 8 2 2" xfId="45579" xr:uid="{00000000-0005-0000-0000-000011C10000}"/>
    <cellStyle name="Normal 7 4 3 2 8 3" xfId="32857" xr:uid="{00000000-0005-0000-0000-000012C10000}"/>
    <cellStyle name="Normal 7 4 3 2 9" xfId="16046" xr:uid="{00000000-0005-0000-0000-000013C10000}"/>
    <cellStyle name="Normal 7 4 3 2 9 2" xfId="41599" xr:uid="{00000000-0005-0000-0000-000014C10000}"/>
    <cellStyle name="Normal 7 4 3 2_Degree data" xfId="4071" xr:uid="{00000000-0005-0000-0000-000015C10000}"/>
    <cellStyle name="Normal 7 4 3 3" xfId="375" xr:uid="{00000000-0005-0000-0000-000016C10000}"/>
    <cellStyle name="Normal 7 4 3 3 2" xfId="2861" xr:uid="{00000000-0005-0000-0000-000017C10000}"/>
    <cellStyle name="Normal 7 4 3 3 2 2" xfId="12149" xr:uid="{00000000-0005-0000-0000-000018C10000}"/>
    <cellStyle name="Normal 7 4 3 3 2 2 2" xfId="22222" xr:uid="{00000000-0005-0000-0000-000019C10000}"/>
    <cellStyle name="Normal 7 4 3 3 2 2 2 2" xfId="47775" xr:uid="{00000000-0005-0000-0000-00001AC10000}"/>
    <cellStyle name="Normal 7 4 3 3 2 2 3" xfId="37704" xr:uid="{00000000-0005-0000-0000-00001BC10000}"/>
    <cellStyle name="Normal 7 4 3 3 2 3" xfId="8523" xr:uid="{00000000-0005-0000-0000-00001CC10000}"/>
    <cellStyle name="Normal 7 4 3 3 2 3 2" xfId="34080" xr:uid="{00000000-0005-0000-0000-00001DC10000}"/>
    <cellStyle name="Normal 7 4 3 3 2 4" xfId="17215" xr:uid="{00000000-0005-0000-0000-00001EC10000}"/>
    <cellStyle name="Normal 7 4 3 3 2 4 2" xfId="42768" xr:uid="{00000000-0005-0000-0000-00001FC10000}"/>
    <cellStyle name="Normal 7 4 3 3 2 5" xfId="28705" xr:uid="{00000000-0005-0000-0000-000020C10000}"/>
    <cellStyle name="Normal 7 4 3 3 3" xfId="4770" xr:uid="{00000000-0005-0000-0000-000021C10000}"/>
    <cellStyle name="Normal 7 4 3 3 3 2" xfId="13607" xr:uid="{00000000-0005-0000-0000-000022C10000}"/>
    <cellStyle name="Normal 7 4 3 3 3 2 2" xfId="23858" xr:uid="{00000000-0005-0000-0000-000023C10000}"/>
    <cellStyle name="Normal 7 4 3 3 3 2 2 2" xfId="49411" xr:uid="{00000000-0005-0000-0000-000024C10000}"/>
    <cellStyle name="Normal 7 4 3 3 3 2 3" xfId="39162" xr:uid="{00000000-0005-0000-0000-000025C10000}"/>
    <cellStyle name="Normal 7 4 3 3 3 3" xfId="10028" xr:uid="{00000000-0005-0000-0000-000026C10000}"/>
    <cellStyle name="Normal 7 4 3 3 3 3 2" xfId="35585" xr:uid="{00000000-0005-0000-0000-000027C10000}"/>
    <cellStyle name="Normal 7 4 3 3 3 4" xfId="18851" xr:uid="{00000000-0005-0000-0000-000028C10000}"/>
    <cellStyle name="Normal 7 4 3 3 3 4 2" xfId="44404" xr:uid="{00000000-0005-0000-0000-000029C10000}"/>
    <cellStyle name="Normal 7 4 3 3 3 5" xfId="30341" xr:uid="{00000000-0005-0000-0000-00002AC10000}"/>
    <cellStyle name="Normal 7 4 3 3 4" xfId="1970" xr:uid="{00000000-0005-0000-0000-00002BC10000}"/>
    <cellStyle name="Normal 7 4 3 3 4 2" xfId="11335" xr:uid="{00000000-0005-0000-0000-00002CC10000}"/>
    <cellStyle name="Normal 7 4 3 3 4 2 2" xfId="36890" xr:uid="{00000000-0005-0000-0000-00002DC10000}"/>
    <cellStyle name="Normal 7 4 3 3 4 3" xfId="21339" xr:uid="{00000000-0005-0000-0000-00002EC10000}"/>
    <cellStyle name="Normal 7 4 3 3 4 3 2" xfId="46892" xr:uid="{00000000-0005-0000-0000-00002FC10000}"/>
    <cellStyle name="Normal 7 4 3 3 4 4" xfId="27822" xr:uid="{00000000-0005-0000-0000-000030C10000}"/>
    <cellStyle name="Normal 7 4 3 3 5" xfId="6225" xr:uid="{00000000-0005-0000-0000-000031C10000}"/>
    <cellStyle name="Normal 7 4 3 3 5 2" xfId="15052" xr:uid="{00000000-0005-0000-0000-000032C10000}"/>
    <cellStyle name="Normal 7 4 3 3 5 2 2" xfId="40607" xr:uid="{00000000-0005-0000-0000-000033C10000}"/>
    <cellStyle name="Normal 7 4 3 3 5 3" xfId="25303" xr:uid="{00000000-0005-0000-0000-000034C10000}"/>
    <cellStyle name="Normal 7 4 3 3 5 3 2" xfId="50856" xr:uid="{00000000-0005-0000-0000-000035C10000}"/>
    <cellStyle name="Normal 7 4 3 3 5 4" xfId="31786" xr:uid="{00000000-0005-0000-0000-000036C10000}"/>
    <cellStyle name="Normal 7 4 3 3 6" xfId="7671" xr:uid="{00000000-0005-0000-0000-000037C10000}"/>
    <cellStyle name="Normal 7 4 3 3 6 2" xfId="19821" xr:uid="{00000000-0005-0000-0000-000038C10000}"/>
    <cellStyle name="Normal 7 4 3 3 6 2 2" xfId="45374" xr:uid="{00000000-0005-0000-0000-000039C10000}"/>
    <cellStyle name="Normal 7 4 3 3 6 3" xfId="33228" xr:uid="{00000000-0005-0000-0000-00003AC10000}"/>
    <cellStyle name="Normal 7 4 3 3 7" xfId="16332" xr:uid="{00000000-0005-0000-0000-00003BC10000}"/>
    <cellStyle name="Normal 7 4 3 3 7 2" xfId="41885" xr:uid="{00000000-0005-0000-0000-00003CC10000}"/>
    <cellStyle name="Normal 7 4 3 3 8" xfId="26304" xr:uid="{00000000-0005-0000-0000-00003DC10000}"/>
    <cellStyle name="Normal 7 4 3 4" xfId="964" xr:uid="{00000000-0005-0000-0000-00003EC10000}"/>
    <cellStyle name="Normal 7 4 3 4 2" xfId="3440" xr:uid="{00000000-0005-0000-0000-00003FC10000}"/>
    <cellStyle name="Normal 7 4 3 4 2 2" xfId="12582" xr:uid="{00000000-0005-0000-0000-000040C10000}"/>
    <cellStyle name="Normal 7 4 3 4 2 2 2" xfId="22801" xr:uid="{00000000-0005-0000-0000-000041C10000}"/>
    <cellStyle name="Normal 7 4 3 4 2 2 2 2" xfId="48354" xr:uid="{00000000-0005-0000-0000-000042C10000}"/>
    <cellStyle name="Normal 7 4 3 4 2 2 3" xfId="38137" xr:uid="{00000000-0005-0000-0000-000043C10000}"/>
    <cellStyle name="Normal 7 4 3 4 2 3" xfId="9004" xr:uid="{00000000-0005-0000-0000-000044C10000}"/>
    <cellStyle name="Normal 7 4 3 4 2 3 2" xfId="34561" xr:uid="{00000000-0005-0000-0000-000045C10000}"/>
    <cellStyle name="Normal 7 4 3 4 2 4" xfId="17794" xr:uid="{00000000-0005-0000-0000-000046C10000}"/>
    <cellStyle name="Normal 7 4 3 4 2 4 2" xfId="43347" xr:uid="{00000000-0005-0000-0000-000047C10000}"/>
    <cellStyle name="Normal 7 4 3 4 2 5" xfId="29284" xr:uid="{00000000-0005-0000-0000-000048C10000}"/>
    <cellStyle name="Normal 7 4 3 4 3" xfId="5118" xr:uid="{00000000-0005-0000-0000-000049C10000}"/>
    <cellStyle name="Normal 7 4 3 4 3 2" xfId="13955" xr:uid="{00000000-0005-0000-0000-00004AC10000}"/>
    <cellStyle name="Normal 7 4 3 4 3 2 2" xfId="24206" xr:uid="{00000000-0005-0000-0000-00004BC10000}"/>
    <cellStyle name="Normal 7 4 3 4 3 2 2 2" xfId="49759" xr:uid="{00000000-0005-0000-0000-00004CC10000}"/>
    <cellStyle name="Normal 7 4 3 4 3 2 3" xfId="39510" xr:uid="{00000000-0005-0000-0000-00004DC10000}"/>
    <cellStyle name="Normal 7 4 3 4 3 3" xfId="10376" xr:uid="{00000000-0005-0000-0000-00004EC10000}"/>
    <cellStyle name="Normal 7 4 3 4 3 3 2" xfId="35933" xr:uid="{00000000-0005-0000-0000-00004FC10000}"/>
    <cellStyle name="Normal 7 4 3 4 3 4" xfId="19199" xr:uid="{00000000-0005-0000-0000-000050C10000}"/>
    <cellStyle name="Normal 7 4 3 4 3 4 2" xfId="44752" xr:uid="{00000000-0005-0000-0000-000051C10000}"/>
    <cellStyle name="Normal 7 4 3 4 3 5" xfId="30689" xr:uid="{00000000-0005-0000-0000-000052C10000}"/>
    <cellStyle name="Normal 7 4 3 4 4" xfId="2549" xr:uid="{00000000-0005-0000-0000-000053C10000}"/>
    <cellStyle name="Normal 7 4 3 4 4 2" xfId="11914" xr:uid="{00000000-0005-0000-0000-000054C10000}"/>
    <cellStyle name="Normal 7 4 3 4 4 2 2" xfId="37469" xr:uid="{00000000-0005-0000-0000-000055C10000}"/>
    <cellStyle name="Normal 7 4 3 4 4 3" xfId="21918" xr:uid="{00000000-0005-0000-0000-000056C10000}"/>
    <cellStyle name="Normal 7 4 3 4 4 3 2" xfId="47471" xr:uid="{00000000-0005-0000-0000-000057C10000}"/>
    <cellStyle name="Normal 7 4 3 4 4 4" xfId="28401" xr:uid="{00000000-0005-0000-0000-000058C10000}"/>
    <cellStyle name="Normal 7 4 3 4 5" xfId="6573" xr:uid="{00000000-0005-0000-0000-000059C10000}"/>
    <cellStyle name="Normal 7 4 3 4 5 2" xfId="15400" xr:uid="{00000000-0005-0000-0000-00005AC10000}"/>
    <cellStyle name="Normal 7 4 3 4 5 2 2" xfId="40955" xr:uid="{00000000-0005-0000-0000-00005BC10000}"/>
    <cellStyle name="Normal 7 4 3 4 5 3" xfId="25651" xr:uid="{00000000-0005-0000-0000-00005CC10000}"/>
    <cellStyle name="Normal 7 4 3 4 5 3 2" xfId="51204" xr:uid="{00000000-0005-0000-0000-00005DC10000}"/>
    <cellStyle name="Normal 7 4 3 4 5 4" xfId="32134" xr:uid="{00000000-0005-0000-0000-00005EC10000}"/>
    <cellStyle name="Normal 7 4 3 4 6" xfId="8019" xr:uid="{00000000-0005-0000-0000-00005FC10000}"/>
    <cellStyle name="Normal 7 4 3 4 6 2" xfId="20400" xr:uid="{00000000-0005-0000-0000-000060C10000}"/>
    <cellStyle name="Normal 7 4 3 4 6 2 2" xfId="45953" xr:uid="{00000000-0005-0000-0000-000061C10000}"/>
    <cellStyle name="Normal 7 4 3 4 6 3" xfId="33576" xr:uid="{00000000-0005-0000-0000-000062C10000}"/>
    <cellStyle name="Normal 7 4 3 4 7" xfId="16911" xr:uid="{00000000-0005-0000-0000-000063C10000}"/>
    <cellStyle name="Normal 7 4 3 4 7 2" xfId="42464" xr:uid="{00000000-0005-0000-0000-000064C10000}"/>
    <cellStyle name="Normal 7 4 3 4 8" xfId="26883" xr:uid="{00000000-0005-0000-0000-000065C10000}"/>
    <cellStyle name="Normal 7 4 3 5" xfId="1147" xr:uid="{00000000-0005-0000-0000-000066C10000}"/>
    <cellStyle name="Normal 7 4 3 5 2" xfId="3576" xr:uid="{00000000-0005-0000-0000-000067C10000}"/>
    <cellStyle name="Normal 7 4 3 5 2 2" xfId="12712" xr:uid="{00000000-0005-0000-0000-000068C10000}"/>
    <cellStyle name="Normal 7 4 3 5 2 2 2" xfId="22931" xr:uid="{00000000-0005-0000-0000-000069C10000}"/>
    <cellStyle name="Normal 7 4 3 5 2 2 2 2" xfId="48484" xr:uid="{00000000-0005-0000-0000-00006AC10000}"/>
    <cellStyle name="Normal 7 4 3 5 2 2 3" xfId="38267" xr:uid="{00000000-0005-0000-0000-00006BC10000}"/>
    <cellStyle name="Normal 7 4 3 5 2 3" xfId="9133" xr:uid="{00000000-0005-0000-0000-00006CC10000}"/>
    <cellStyle name="Normal 7 4 3 5 2 3 2" xfId="34690" xr:uid="{00000000-0005-0000-0000-00006DC10000}"/>
    <cellStyle name="Normal 7 4 3 5 2 4" xfId="17924" xr:uid="{00000000-0005-0000-0000-00006EC10000}"/>
    <cellStyle name="Normal 7 4 3 5 2 4 2" xfId="43477" xr:uid="{00000000-0005-0000-0000-00006FC10000}"/>
    <cellStyle name="Normal 7 4 3 5 2 5" xfId="29414" xr:uid="{00000000-0005-0000-0000-000070C10000}"/>
    <cellStyle name="Normal 7 4 3 5 3" xfId="5239" xr:uid="{00000000-0005-0000-0000-000071C10000}"/>
    <cellStyle name="Normal 7 4 3 5 3 2" xfId="14076" xr:uid="{00000000-0005-0000-0000-000072C10000}"/>
    <cellStyle name="Normal 7 4 3 5 3 2 2" xfId="24327" xr:uid="{00000000-0005-0000-0000-000073C10000}"/>
    <cellStyle name="Normal 7 4 3 5 3 2 2 2" xfId="49880" xr:uid="{00000000-0005-0000-0000-000074C10000}"/>
    <cellStyle name="Normal 7 4 3 5 3 2 3" xfId="39631" xr:uid="{00000000-0005-0000-0000-000075C10000}"/>
    <cellStyle name="Normal 7 4 3 5 3 3" xfId="10497" xr:uid="{00000000-0005-0000-0000-000076C10000}"/>
    <cellStyle name="Normal 7 4 3 5 3 3 2" xfId="36054" xr:uid="{00000000-0005-0000-0000-000077C10000}"/>
    <cellStyle name="Normal 7 4 3 5 3 4" xfId="19320" xr:uid="{00000000-0005-0000-0000-000078C10000}"/>
    <cellStyle name="Normal 7 4 3 5 3 4 2" xfId="44873" xr:uid="{00000000-0005-0000-0000-000079C10000}"/>
    <cellStyle name="Normal 7 4 3 5 3 5" xfId="30810" xr:uid="{00000000-0005-0000-0000-00007AC10000}"/>
    <cellStyle name="Normal 7 4 3 5 4" xfId="1855" xr:uid="{00000000-0005-0000-0000-00007BC10000}"/>
    <cellStyle name="Normal 7 4 3 5 4 2" xfId="11223" xr:uid="{00000000-0005-0000-0000-00007CC10000}"/>
    <cellStyle name="Normal 7 4 3 5 4 2 2" xfId="36778" xr:uid="{00000000-0005-0000-0000-00007DC10000}"/>
    <cellStyle name="Normal 7 4 3 5 4 3" xfId="21227" xr:uid="{00000000-0005-0000-0000-00007EC10000}"/>
    <cellStyle name="Normal 7 4 3 5 4 3 2" xfId="46780" xr:uid="{00000000-0005-0000-0000-00007FC10000}"/>
    <cellStyle name="Normal 7 4 3 5 4 4" xfId="27710" xr:uid="{00000000-0005-0000-0000-000080C10000}"/>
    <cellStyle name="Normal 7 4 3 5 5" xfId="6694" xr:uid="{00000000-0005-0000-0000-000081C10000}"/>
    <cellStyle name="Normal 7 4 3 5 5 2" xfId="15521" xr:uid="{00000000-0005-0000-0000-000082C10000}"/>
    <cellStyle name="Normal 7 4 3 5 5 2 2" xfId="41076" xr:uid="{00000000-0005-0000-0000-000083C10000}"/>
    <cellStyle name="Normal 7 4 3 5 5 3" xfId="25772" xr:uid="{00000000-0005-0000-0000-000084C10000}"/>
    <cellStyle name="Normal 7 4 3 5 5 3 2" xfId="51325" xr:uid="{00000000-0005-0000-0000-000085C10000}"/>
    <cellStyle name="Normal 7 4 3 5 5 4" xfId="32255" xr:uid="{00000000-0005-0000-0000-000086C10000}"/>
    <cellStyle name="Normal 7 4 3 5 6" xfId="8140" xr:uid="{00000000-0005-0000-0000-000087C10000}"/>
    <cellStyle name="Normal 7 4 3 5 6 2" xfId="20530" xr:uid="{00000000-0005-0000-0000-000088C10000}"/>
    <cellStyle name="Normal 7 4 3 5 6 2 2" xfId="46083" xr:uid="{00000000-0005-0000-0000-000089C10000}"/>
    <cellStyle name="Normal 7 4 3 5 6 3" xfId="33697" xr:uid="{00000000-0005-0000-0000-00008AC10000}"/>
    <cellStyle name="Normal 7 4 3 5 7" xfId="16220" xr:uid="{00000000-0005-0000-0000-00008BC10000}"/>
    <cellStyle name="Normal 7 4 3 5 7 2" xfId="41773" xr:uid="{00000000-0005-0000-0000-00008CC10000}"/>
    <cellStyle name="Normal 7 4 3 5 8" xfId="27013" xr:uid="{00000000-0005-0000-0000-00008DC10000}"/>
    <cellStyle name="Normal 7 4 3 6" xfId="2749" xr:uid="{00000000-0005-0000-0000-00008EC10000}"/>
    <cellStyle name="Normal 7 4 3 6 2" xfId="12066" xr:uid="{00000000-0005-0000-0000-00008FC10000}"/>
    <cellStyle name="Normal 7 4 3 6 2 2" xfId="22110" xr:uid="{00000000-0005-0000-0000-000090C10000}"/>
    <cellStyle name="Normal 7 4 3 6 2 2 2" xfId="47663" xr:uid="{00000000-0005-0000-0000-000091C10000}"/>
    <cellStyle name="Normal 7 4 3 6 2 3" xfId="37621" xr:uid="{00000000-0005-0000-0000-000092C10000}"/>
    <cellStyle name="Normal 7 4 3 6 3" xfId="8543" xr:uid="{00000000-0005-0000-0000-000093C10000}"/>
    <cellStyle name="Normal 7 4 3 6 3 2" xfId="34100" xr:uid="{00000000-0005-0000-0000-000094C10000}"/>
    <cellStyle name="Normal 7 4 3 6 4" xfId="17103" xr:uid="{00000000-0005-0000-0000-000095C10000}"/>
    <cellStyle name="Normal 7 4 3 6 4 2" xfId="42656" xr:uid="{00000000-0005-0000-0000-000096C10000}"/>
    <cellStyle name="Normal 7 4 3 6 5" xfId="28593" xr:uid="{00000000-0005-0000-0000-000097C10000}"/>
    <cellStyle name="Normal 7 4 3 7" xfId="4195" xr:uid="{00000000-0005-0000-0000-000098C10000}"/>
    <cellStyle name="Normal 7 4 3 7 2" xfId="13033" xr:uid="{00000000-0005-0000-0000-000099C10000}"/>
    <cellStyle name="Normal 7 4 3 7 2 2" xfId="23284" xr:uid="{00000000-0005-0000-0000-00009AC10000}"/>
    <cellStyle name="Normal 7 4 3 7 2 2 2" xfId="48837" xr:uid="{00000000-0005-0000-0000-00009BC10000}"/>
    <cellStyle name="Normal 7 4 3 7 2 3" xfId="38588" xr:uid="{00000000-0005-0000-0000-00009CC10000}"/>
    <cellStyle name="Normal 7 4 3 7 3" xfId="9454" xr:uid="{00000000-0005-0000-0000-00009DC10000}"/>
    <cellStyle name="Normal 7 4 3 7 3 2" xfId="35011" xr:uid="{00000000-0005-0000-0000-00009EC10000}"/>
    <cellStyle name="Normal 7 4 3 7 4" xfId="18277" xr:uid="{00000000-0005-0000-0000-00009FC10000}"/>
    <cellStyle name="Normal 7 4 3 7 4 2" xfId="43830" xr:uid="{00000000-0005-0000-0000-0000A0C10000}"/>
    <cellStyle name="Normal 7 4 3 7 5" xfId="29767" xr:uid="{00000000-0005-0000-0000-0000A1C10000}"/>
    <cellStyle name="Normal 7 4 3 8" xfId="1467" xr:uid="{00000000-0005-0000-0000-0000A2C10000}"/>
    <cellStyle name="Normal 7 4 3 8 2" xfId="10844" xr:uid="{00000000-0005-0000-0000-0000A3C10000}"/>
    <cellStyle name="Normal 7 4 3 8 2 2" xfId="36399" xr:uid="{00000000-0005-0000-0000-0000A4C10000}"/>
    <cellStyle name="Normal 7 4 3 8 3" xfId="20848" xr:uid="{00000000-0005-0000-0000-0000A5C10000}"/>
    <cellStyle name="Normal 7 4 3 8 3 2" xfId="46401" xr:uid="{00000000-0005-0000-0000-0000A6C10000}"/>
    <cellStyle name="Normal 7 4 3 8 4" xfId="27331" xr:uid="{00000000-0005-0000-0000-0000A7C10000}"/>
    <cellStyle name="Normal 7 4 3 9" xfId="5651" xr:uid="{00000000-0005-0000-0000-0000A8C10000}"/>
    <cellStyle name="Normal 7 4 3 9 2" xfId="14478" xr:uid="{00000000-0005-0000-0000-0000A9C10000}"/>
    <cellStyle name="Normal 7 4 3 9 2 2" xfId="40033" xr:uid="{00000000-0005-0000-0000-0000AAC10000}"/>
    <cellStyle name="Normal 7 4 3 9 3" xfId="24729" xr:uid="{00000000-0005-0000-0000-0000ABC10000}"/>
    <cellStyle name="Normal 7 4 3 9 3 2" xfId="50282" xr:uid="{00000000-0005-0000-0000-0000ACC10000}"/>
    <cellStyle name="Normal 7 4 3 9 4" xfId="31212" xr:uid="{00000000-0005-0000-0000-0000ADC10000}"/>
    <cellStyle name="Normal 7 4 3_Degree data" xfId="4070" xr:uid="{00000000-0005-0000-0000-0000AEC10000}"/>
    <cellStyle name="Normal 7 4 4" xfId="475" xr:uid="{00000000-0005-0000-0000-0000AFC10000}"/>
    <cellStyle name="Normal 7 4 4 10" xfId="26404" xr:uid="{00000000-0005-0000-0000-0000B0C10000}"/>
    <cellStyle name="Normal 7 4 4 2" xfId="966" xr:uid="{00000000-0005-0000-0000-0000B1C10000}"/>
    <cellStyle name="Normal 7 4 4 2 2" xfId="3442" xr:uid="{00000000-0005-0000-0000-0000B2C10000}"/>
    <cellStyle name="Normal 7 4 4 2 2 2" xfId="12584" xr:uid="{00000000-0005-0000-0000-0000B3C10000}"/>
    <cellStyle name="Normal 7 4 4 2 2 2 2" xfId="22803" xr:uid="{00000000-0005-0000-0000-0000B4C10000}"/>
    <cellStyle name="Normal 7 4 4 2 2 2 2 2" xfId="48356" xr:uid="{00000000-0005-0000-0000-0000B5C10000}"/>
    <cellStyle name="Normal 7 4 4 2 2 2 3" xfId="38139" xr:uid="{00000000-0005-0000-0000-0000B6C10000}"/>
    <cellStyle name="Normal 7 4 4 2 2 3" xfId="9006" xr:uid="{00000000-0005-0000-0000-0000B7C10000}"/>
    <cellStyle name="Normal 7 4 4 2 2 3 2" xfId="34563" xr:uid="{00000000-0005-0000-0000-0000B8C10000}"/>
    <cellStyle name="Normal 7 4 4 2 2 4" xfId="17796" xr:uid="{00000000-0005-0000-0000-0000B9C10000}"/>
    <cellStyle name="Normal 7 4 4 2 2 4 2" xfId="43349" xr:uid="{00000000-0005-0000-0000-0000BAC10000}"/>
    <cellStyle name="Normal 7 4 4 2 2 5" xfId="29286" xr:uid="{00000000-0005-0000-0000-0000BBC10000}"/>
    <cellStyle name="Normal 7 4 4 2 3" xfId="4772" xr:uid="{00000000-0005-0000-0000-0000BCC10000}"/>
    <cellStyle name="Normal 7 4 4 2 3 2" xfId="13609" xr:uid="{00000000-0005-0000-0000-0000BDC10000}"/>
    <cellStyle name="Normal 7 4 4 2 3 2 2" xfId="23860" xr:uid="{00000000-0005-0000-0000-0000BEC10000}"/>
    <cellStyle name="Normal 7 4 4 2 3 2 2 2" xfId="49413" xr:uid="{00000000-0005-0000-0000-0000BFC10000}"/>
    <cellStyle name="Normal 7 4 4 2 3 2 3" xfId="39164" xr:uid="{00000000-0005-0000-0000-0000C0C10000}"/>
    <cellStyle name="Normal 7 4 4 2 3 3" xfId="10030" xr:uid="{00000000-0005-0000-0000-0000C1C10000}"/>
    <cellStyle name="Normal 7 4 4 2 3 3 2" xfId="35587" xr:uid="{00000000-0005-0000-0000-0000C2C10000}"/>
    <cellStyle name="Normal 7 4 4 2 3 4" xfId="18853" xr:uid="{00000000-0005-0000-0000-0000C3C10000}"/>
    <cellStyle name="Normal 7 4 4 2 3 4 2" xfId="44406" xr:uid="{00000000-0005-0000-0000-0000C4C10000}"/>
    <cellStyle name="Normal 7 4 4 2 3 5" xfId="30343" xr:uid="{00000000-0005-0000-0000-0000C5C10000}"/>
    <cellStyle name="Normal 7 4 4 2 4" xfId="2551" xr:uid="{00000000-0005-0000-0000-0000C6C10000}"/>
    <cellStyle name="Normal 7 4 4 2 4 2" xfId="11916" xr:uid="{00000000-0005-0000-0000-0000C7C10000}"/>
    <cellStyle name="Normal 7 4 4 2 4 2 2" xfId="37471" xr:uid="{00000000-0005-0000-0000-0000C8C10000}"/>
    <cellStyle name="Normal 7 4 4 2 4 3" xfId="21920" xr:uid="{00000000-0005-0000-0000-0000C9C10000}"/>
    <cellStyle name="Normal 7 4 4 2 4 3 2" xfId="47473" xr:uid="{00000000-0005-0000-0000-0000CAC10000}"/>
    <cellStyle name="Normal 7 4 4 2 4 4" xfId="28403" xr:uid="{00000000-0005-0000-0000-0000CBC10000}"/>
    <cellStyle name="Normal 7 4 4 2 5" xfId="6227" xr:uid="{00000000-0005-0000-0000-0000CCC10000}"/>
    <cellStyle name="Normal 7 4 4 2 5 2" xfId="15054" xr:uid="{00000000-0005-0000-0000-0000CDC10000}"/>
    <cellStyle name="Normal 7 4 4 2 5 2 2" xfId="40609" xr:uid="{00000000-0005-0000-0000-0000CEC10000}"/>
    <cellStyle name="Normal 7 4 4 2 5 3" xfId="25305" xr:uid="{00000000-0005-0000-0000-0000CFC10000}"/>
    <cellStyle name="Normal 7 4 4 2 5 3 2" xfId="50858" xr:uid="{00000000-0005-0000-0000-0000D0C10000}"/>
    <cellStyle name="Normal 7 4 4 2 5 4" xfId="31788" xr:uid="{00000000-0005-0000-0000-0000D1C10000}"/>
    <cellStyle name="Normal 7 4 4 2 6" xfId="7673" xr:uid="{00000000-0005-0000-0000-0000D2C10000}"/>
    <cellStyle name="Normal 7 4 4 2 6 2" xfId="20402" xr:uid="{00000000-0005-0000-0000-0000D3C10000}"/>
    <cellStyle name="Normal 7 4 4 2 6 2 2" xfId="45955" xr:uid="{00000000-0005-0000-0000-0000D4C10000}"/>
    <cellStyle name="Normal 7 4 4 2 6 3" xfId="33230" xr:uid="{00000000-0005-0000-0000-0000D5C10000}"/>
    <cellStyle name="Normal 7 4 4 2 7" xfId="16913" xr:uid="{00000000-0005-0000-0000-0000D6C10000}"/>
    <cellStyle name="Normal 7 4 4 2 7 2" xfId="42466" xr:uid="{00000000-0005-0000-0000-0000D7C10000}"/>
    <cellStyle name="Normal 7 4 4 2 8" xfId="26885" xr:uid="{00000000-0005-0000-0000-0000D8C10000}"/>
    <cellStyle name="Normal 7 4 4 3" xfId="1247" xr:uid="{00000000-0005-0000-0000-0000D9C10000}"/>
    <cellStyle name="Normal 7 4 4 3 2" xfId="3676" xr:uid="{00000000-0005-0000-0000-0000DAC10000}"/>
    <cellStyle name="Normal 7 4 4 3 2 2" xfId="12812" xr:uid="{00000000-0005-0000-0000-0000DBC10000}"/>
    <cellStyle name="Normal 7 4 4 3 2 2 2" xfId="23031" xr:uid="{00000000-0005-0000-0000-0000DCC10000}"/>
    <cellStyle name="Normal 7 4 4 3 2 2 2 2" xfId="48584" xr:uid="{00000000-0005-0000-0000-0000DDC10000}"/>
    <cellStyle name="Normal 7 4 4 3 2 2 3" xfId="38367" xr:uid="{00000000-0005-0000-0000-0000DEC10000}"/>
    <cellStyle name="Normal 7 4 4 3 2 3" xfId="9233" xr:uid="{00000000-0005-0000-0000-0000DFC10000}"/>
    <cellStyle name="Normal 7 4 4 3 2 3 2" xfId="34790" xr:uid="{00000000-0005-0000-0000-0000E0C10000}"/>
    <cellStyle name="Normal 7 4 4 3 2 4" xfId="18024" xr:uid="{00000000-0005-0000-0000-0000E1C10000}"/>
    <cellStyle name="Normal 7 4 4 3 2 4 2" xfId="43577" xr:uid="{00000000-0005-0000-0000-0000E2C10000}"/>
    <cellStyle name="Normal 7 4 4 3 2 5" xfId="29514" xr:uid="{00000000-0005-0000-0000-0000E3C10000}"/>
    <cellStyle name="Normal 7 4 4 3 3" xfId="5120" xr:uid="{00000000-0005-0000-0000-0000E4C10000}"/>
    <cellStyle name="Normal 7 4 4 3 3 2" xfId="13957" xr:uid="{00000000-0005-0000-0000-0000E5C10000}"/>
    <cellStyle name="Normal 7 4 4 3 3 2 2" xfId="24208" xr:uid="{00000000-0005-0000-0000-0000E6C10000}"/>
    <cellStyle name="Normal 7 4 4 3 3 2 2 2" xfId="49761" xr:uid="{00000000-0005-0000-0000-0000E7C10000}"/>
    <cellStyle name="Normal 7 4 4 3 3 2 3" xfId="39512" xr:uid="{00000000-0005-0000-0000-0000E8C10000}"/>
    <cellStyle name="Normal 7 4 4 3 3 3" xfId="10378" xr:uid="{00000000-0005-0000-0000-0000E9C10000}"/>
    <cellStyle name="Normal 7 4 4 3 3 3 2" xfId="35935" xr:uid="{00000000-0005-0000-0000-0000EAC10000}"/>
    <cellStyle name="Normal 7 4 4 3 3 4" xfId="19201" xr:uid="{00000000-0005-0000-0000-0000EBC10000}"/>
    <cellStyle name="Normal 7 4 4 3 3 4 2" xfId="44754" xr:uid="{00000000-0005-0000-0000-0000ECC10000}"/>
    <cellStyle name="Normal 7 4 4 3 3 5" xfId="30691" xr:uid="{00000000-0005-0000-0000-0000EDC10000}"/>
    <cellStyle name="Normal 7 4 4 3 4" xfId="2070" xr:uid="{00000000-0005-0000-0000-0000EEC10000}"/>
    <cellStyle name="Normal 7 4 4 3 4 2" xfId="11435" xr:uid="{00000000-0005-0000-0000-0000EFC10000}"/>
    <cellStyle name="Normal 7 4 4 3 4 2 2" xfId="36990" xr:uid="{00000000-0005-0000-0000-0000F0C10000}"/>
    <cellStyle name="Normal 7 4 4 3 4 3" xfId="21439" xr:uid="{00000000-0005-0000-0000-0000F1C10000}"/>
    <cellStyle name="Normal 7 4 4 3 4 3 2" xfId="46992" xr:uid="{00000000-0005-0000-0000-0000F2C10000}"/>
    <cellStyle name="Normal 7 4 4 3 4 4" xfId="27922" xr:uid="{00000000-0005-0000-0000-0000F3C10000}"/>
    <cellStyle name="Normal 7 4 4 3 5" xfId="6575" xr:uid="{00000000-0005-0000-0000-0000F4C10000}"/>
    <cellStyle name="Normal 7 4 4 3 5 2" xfId="15402" xr:uid="{00000000-0005-0000-0000-0000F5C10000}"/>
    <cellStyle name="Normal 7 4 4 3 5 2 2" xfId="40957" xr:uid="{00000000-0005-0000-0000-0000F6C10000}"/>
    <cellStyle name="Normal 7 4 4 3 5 3" xfId="25653" xr:uid="{00000000-0005-0000-0000-0000F7C10000}"/>
    <cellStyle name="Normal 7 4 4 3 5 3 2" xfId="51206" xr:uid="{00000000-0005-0000-0000-0000F8C10000}"/>
    <cellStyle name="Normal 7 4 4 3 5 4" xfId="32136" xr:uid="{00000000-0005-0000-0000-0000F9C10000}"/>
    <cellStyle name="Normal 7 4 4 3 6" xfId="8021" xr:uid="{00000000-0005-0000-0000-0000FAC10000}"/>
    <cellStyle name="Normal 7 4 4 3 6 2" xfId="20630" xr:uid="{00000000-0005-0000-0000-0000FBC10000}"/>
    <cellStyle name="Normal 7 4 4 3 6 2 2" xfId="46183" xr:uid="{00000000-0005-0000-0000-0000FCC10000}"/>
    <cellStyle name="Normal 7 4 4 3 6 3" xfId="33578" xr:uid="{00000000-0005-0000-0000-0000FDC10000}"/>
    <cellStyle name="Normal 7 4 4 3 7" xfId="16432" xr:uid="{00000000-0005-0000-0000-0000FEC10000}"/>
    <cellStyle name="Normal 7 4 4 3 7 2" xfId="41985" xr:uid="{00000000-0005-0000-0000-0000FFC10000}"/>
    <cellStyle name="Normal 7 4 4 3 8" xfId="27113" xr:uid="{00000000-0005-0000-0000-000000C20000}"/>
    <cellStyle name="Normal 7 4 4 4" xfId="2961" xr:uid="{00000000-0005-0000-0000-000001C20000}"/>
    <cellStyle name="Normal 7 4 4 4 2" xfId="5339" xr:uid="{00000000-0005-0000-0000-000002C20000}"/>
    <cellStyle name="Normal 7 4 4 4 2 2" xfId="14176" xr:uid="{00000000-0005-0000-0000-000003C20000}"/>
    <cellStyle name="Normal 7 4 4 4 2 2 2" xfId="24427" xr:uid="{00000000-0005-0000-0000-000004C20000}"/>
    <cellStyle name="Normal 7 4 4 4 2 2 2 2" xfId="49980" xr:uid="{00000000-0005-0000-0000-000005C20000}"/>
    <cellStyle name="Normal 7 4 4 4 2 2 3" xfId="39731" xr:uid="{00000000-0005-0000-0000-000006C20000}"/>
    <cellStyle name="Normal 7 4 4 4 2 3" xfId="10597" xr:uid="{00000000-0005-0000-0000-000007C20000}"/>
    <cellStyle name="Normal 7 4 4 4 2 3 2" xfId="36154" xr:uid="{00000000-0005-0000-0000-000008C20000}"/>
    <cellStyle name="Normal 7 4 4 4 2 4" xfId="19420" xr:uid="{00000000-0005-0000-0000-000009C20000}"/>
    <cellStyle name="Normal 7 4 4 4 2 4 2" xfId="44973" xr:uid="{00000000-0005-0000-0000-00000AC20000}"/>
    <cellStyle name="Normal 7 4 4 4 2 5" xfId="30910" xr:uid="{00000000-0005-0000-0000-00000BC20000}"/>
    <cellStyle name="Normal 7 4 4 4 3" xfId="6794" xr:uid="{00000000-0005-0000-0000-00000CC20000}"/>
    <cellStyle name="Normal 7 4 4 4 3 2" xfId="15621" xr:uid="{00000000-0005-0000-0000-00000DC20000}"/>
    <cellStyle name="Normal 7 4 4 4 3 2 2" xfId="41176" xr:uid="{00000000-0005-0000-0000-00000EC20000}"/>
    <cellStyle name="Normal 7 4 4 4 3 3" xfId="25872" xr:uid="{00000000-0005-0000-0000-00000FC20000}"/>
    <cellStyle name="Normal 7 4 4 4 3 3 2" xfId="51425" xr:uid="{00000000-0005-0000-0000-000010C20000}"/>
    <cellStyle name="Normal 7 4 4 4 3 4" xfId="32355" xr:uid="{00000000-0005-0000-0000-000011C20000}"/>
    <cellStyle name="Normal 7 4 4 4 4" xfId="8240" xr:uid="{00000000-0005-0000-0000-000012C20000}"/>
    <cellStyle name="Normal 7 4 4 4 4 2" xfId="22322" xr:uid="{00000000-0005-0000-0000-000013C20000}"/>
    <cellStyle name="Normal 7 4 4 4 4 2 2" xfId="47875" xr:uid="{00000000-0005-0000-0000-000014C20000}"/>
    <cellStyle name="Normal 7 4 4 4 4 3" xfId="33797" xr:uid="{00000000-0005-0000-0000-000015C20000}"/>
    <cellStyle name="Normal 7 4 4 4 5" xfId="17315" xr:uid="{00000000-0005-0000-0000-000016C20000}"/>
    <cellStyle name="Normal 7 4 4 4 5 2" xfId="42868" xr:uid="{00000000-0005-0000-0000-000017C20000}"/>
    <cellStyle name="Normal 7 4 4 4 6" xfId="28805" xr:uid="{00000000-0005-0000-0000-000018C20000}"/>
    <cellStyle name="Normal 7 4 4 5" xfId="4295" xr:uid="{00000000-0005-0000-0000-000019C20000}"/>
    <cellStyle name="Normal 7 4 4 5 2" xfId="13133" xr:uid="{00000000-0005-0000-0000-00001AC20000}"/>
    <cellStyle name="Normal 7 4 4 5 2 2" xfId="23384" xr:uid="{00000000-0005-0000-0000-00001BC20000}"/>
    <cellStyle name="Normal 7 4 4 5 2 2 2" xfId="48937" xr:uid="{00000000-0005-0000-0000-00001CC20000}"/>
    <cellStyle name="Normal 7 4 4 5 2 3" xfId="38688" xr:uid="{00000000-0005-0000-0000-00001DC20000}"/>
    <cellStyle name="Normal 7 4 4 5 3" xfId="9554" xr:uid="{00000000-0005-0000-0000-00001EC20000}"/>
    <cellStyle name="Normal 7 4 4 5 3 2" xfId="35111" xr:uid="{00000000-0005-0000-0000-00001FC20000}"/>
    <cellStyle name="Normal 7 4 4 5 4" xfId="18377" xr:uid="{00000000-0005-0000-0000-000020C20000}"/>
    <cellStyle name="Normal 7 4 4 5 4 2" xfId="43930" xr:uid="{00000000-0005-0000-0000-000021C20000}"/>
    <cellStyle name="Normal 7 4 4 5 5" xfId="29867" xr:uid="{00000000-0005-0000-0000-000022C20000}"/>
    <cellStyle name="Normal 7 4 4 6" xfId="1567" xr:uid="{00000000-0005-0000-0000-000023C20000}"/>
    <cellStyle name="Normal 7 4 4 6 2" xfId="10944" xr:uid="{00000000-0005-0000-0000-000024C20000}"/>
    <cellStyle name="Normal 7 4 4 6 2 2" xfId="36499" xr:uid="{00000000-0005-0000-0000-000025C20000}"/>
    <cellStyle name="Normal 7 4 4 6 3" xfId="20948" xr:uid="{00000000-0005-0000-0000-000026C20000}"/>
    <cellStyle name="Normal 7 4 4 6 3 2" xfId="46501" xr:uid="{00000000-0005-0000-0000-000027C20000}"/>
    <cellStyle name="Normal 7 4 4 6 4" xfId="27431" xr:uid="{00000000-0005-0000-0000-000028C20000}"/>
    <cellStyle name="Normal 7 4 4 7" xfId="5751" xr:uid="{00000000-0005-0000-0000-000029C20000}"/>
    <cellStyle name="Normal 7 4 4 7 2" xfId="14578" xr:uid="{00000000-0005-0000-0000-00002AC20000}"/>
    <cellStyle name="Normal 7 4 4 7 2 2" xfId="40133" xr:uid="{00000000-0005-0000-0000-00002BC20000}"/>
    <cellStyle name="Normal 7 4 4 7 3" xfId="24829" xr:uid="{00000000-0005-0000-0000-00002CC20000}"/>
    <cellStyle name="Normal 7 4 4 7 3 2" xfId="50382" xr:uid="{00000000-0005-0000-0000-00002DC20000}"/>
    <cellStyle name="Normal 7 4 4 7 4" xfId="31312" xr:uid="{00000000-0005-0000-0000-00002EC20000}"/>
    <cellStyle name="Normal 7 4 4 8" xfId="7195" xr:uid="{00000000-0005-0000-0000-00002FC20000}"/>
    <cellStyle name="Normal 7 4 4 8 2" xfId="19921" xr:uid="{00000000-0005-0000-0000-000030C20000}"/>
    <cellStyle name="Normal 7 4 4 8 2 2" xfId="45474" xr:uid="{00000000-0005-0000-0000-000031C20000}"/>
    <cellStyle name="Normal 7 4 4 8 3" xfId="32752" xr:uid="{00000000-0005-0000-0000-000032C20000}"/>
    <cellStyle name="Normal 7 4 4 9" xfId="15941" xr:uid="{00000000-0005-0000-0000-000033C20000}"/>
    <cellStyle name="Normal 7 4 4 9 2" xfId="41494" xr:uid="{00000000-0005-0000-0000-000034C20000}"/>
    <cellStyle name="Normal 7 4 4_Degree data" xfId="4072" xr:uid="{00000000-0005-0000-0000-000035C20000}"/>
    <cellStyle name="Normal 7 4 5" xfId="316" xr:uid="{00000000-0005-0000-0000-000036C20000}"/>
    <cellStyle name="Normal 7 4 5 2" xfId="2802" xr:uid="{00000000-0005-0000-0000-000037C20000}"/>
    <cellStyle name="Normal 7 4 5 2 2" xfId="12106" xr:uid="{00000000-0005-0000-0000-000038C20000}"/>
    <cellStyle name="Normal 7 4 5 2 2 2" xfId="22163" xr:uid="{00000000-0005-0000-0000-000039C20000}"/>
    <cellStyle name="Normal 7 4 5 2 2 2 2" xfId="47716" xr:uid="{00000000-0005-0000-0000-00003AC20000}"/>
    <cellStyle name="Normal 7 4 5 2 2 3" xfId="37661" xr:uid="{00000000-0005-0000-0000-00003BC20000}"/>
    <cellStyle name="Normal 7 4 5 2 3" xfId="8423" xr:uid="{00000000-0005-0000-0000-00003CC20000}"/>
    <cellStyle name="Normal 7 4 5 2 3 2" xfId="33980" xr:uid="{00000000-0005-0000-0000-00003DC20000}"/>
    <cellStyle name="Normal 7 4 5 2 4" xfId="17156" xr:uid="{00000000-0005-0000-0000-00003EC20000}"/>
    <cellStyle name="Normal 7 4 5 2 4 2" xfId="42709" xr:uid="{00000000-0005-0000-0000-00003FC20000}"/>
    <cellStyle name="Normal 7 4 5 2 5" xfId="28646" xr:uid="{00000000-0005-0000-0000-000040C20000}"/>
    <cellStyle name="Normal 7 4 5 3" xfId="4767" xr:uid="{00000000-0005-0000-0000-000041C20000}"/>
    <cellStyle name="Normal 7 4 5 3 2" xfId="13604" xr:uid="{00000000-0005-0000-0000-000042C20000}"/>
    <cellStyle name="Normal 7 4 5 3 2 2" xfId="23855" xr:uid="{00000000-0005-0000-0000-000043C20000}"/>
    <cellStyle name="Normal 7 4 5 3 2 2 2" xfId="49408" xr:uid="{00000000-0005-0000-0000-000044C20000}"/>
    <cellStyle name="Normal 7 4 5 3 2 3" xfId="39159" xr:uid="{00000000-0005-0000-0000-000045C20000}"/>
    <cellStyle name="Normal 7 4 5 3 3" xfId="10025" xr:uid="{00000000-0005-0000-0000-000046C20000}"/>
    <cellStyle name="Normal 7 4 5 3 3 2" xfId="35582" xr:uid="{00000000-0005-0000-0000-000047C20000}"/>
    <cellStyle name="Normal 7 4 5 3 4" xfId="18848" xr:uid="{00000000-0005-0000-0000-000048C20000}"/>
    <cellStyle name="Normal 7 4 5 3 4 2" xfId="44401" xr:uid="{00000000-0005-0000-0000-000049C20000}"/>
    <cellStyle name="Normal 7 4 5 3 5" xfId="30338" xr:uid="{00000000-0005-0000-0000-00004AC20000}"/>
    <cellStyle name="Normal 7 4 5 4" xfId="1911" xr:uid="{00000000-0005-0000-0000-00004BC20000}"/>
    <cellStyle name="Normal 7 4 5 4 2" xfId="11276" xr:uid="{00000000-0005-0000-0000-00004CC20000}"/>
    <cellStyle name="Normal 7 4 5 4 2 2" xfId="36831" xr:uid="{00000000-0005-0000-0000-00004DC20000}"/>
    <cellStyle name="Normal 7 4 5 4 3" xfId="21280" xr:uid="{00000000-0005-0000-0000-00004EC20000}"/>
    <cellStyle name="Normal 7 4 5 4 3 2" xfId="46833" xr:uid="{00000000-0005-0000-0000-00004FC20000}"/>
    <cellStyle name="Normal 7 4 5 4 4" xfId="27763" xr:uid="{00000000-0005-0000-0000-000050C20000}"/>
    <cellStyle name="Normal 7 4 5 5" xfId="6222" xr:uid="{00000000-0005-0000-0000-000051C20000}"/>
    <cellStyle name="Normal 7 4 5 5 2" xfId="15049" xr:uid="{00000000-0005-0000-0000-000052C20000}"/>
    <cellStyle name="Normal 7 4 5 5 2 2" xfId="40604" xr:uid="{00000000-0005-0000-0000-000053C20000}"/>
    <cellStyle name="Normal 7 4 5 5 3" xfId="25300" xr:uid="{00000000-0005-0000-0000-000054C20000}"/>
    <cellStyle name="Normal 7 4 5 5 3 2" xfId="50853" xr:uid="{00000000-0005-0000-0000-000055C20000}"/>
    <cellStyle name="Normal 7 4 5 5 4" xfId="31783" xr:uid="{00000000-0005-0000-0000-000056C20000}"/>
    <cellStyle name="Normal 7 4 5 6" xfId="7668" xr:uid="{00000000-0005-0000-0000-000057C20000}"/>
    <cellStyle name="Normal 7 4 5 6 2" xfId="19762" xr:uid="{00000000-0005-0000-0000-000058C20000}"/>
    <cellStyle name="Normal 7 4 5 6 2 2" xfId="45315" xr:uid="{00000000-0005-0000-0000-000059C20000}"/>
    <cellStyle name="Normal 7 4 5 6 3" xfId="33225" xr:uid="{00000000-0005-0000-0000-00005AC20000}"/>
    <cellStyle name="Normal 7 4 5 7" xfId="16273" xr:uid="{00000000-0005-0000-0000-00005BC20000}"/>
    <cellStyle name="Normal 7 4 5 7 2" xfId="41826" xr:uid="{00000000-0005-0000-0000-00005CC20000}"/>
    <cellStyle name="Normal 7 4 5 8" xfId="26245" xr:uid="{00000000-0005-0000-0000-00005DC20000}"/>
    <cellStyle name="Normal 7 4 6" xfId="961" xr:uid="{00000000-0005-0000-0000-00005EC20000}"/>
    <cellStyle name="Normal 7 4 6 2" xfId="3437" xr:uid="{00000000-0005-0000-0000-00005FC20000}"/>
    <cellStyle name="Normal 7 4 6 2 2" xfId="12579" xr:uid="{00000000-0005-0000-0000-000060C20000}"/>
    <cellStyle name="Normal 7 4 6 2 2 2" xfId="22798" xr:uid="{00000000-0005-0000-0000-000061C20000}"/>
    <cellStyle name="Normal 7 4 6 2 2 2 2" xfId="48351" xr:uid="{00000000-0005-0000-0000-000062C20000}"/>
    <cellStyle name="Normal 7 4 6 2 2 3" xfId="38134" xr:uid="{00000000-0005-0000-0000-000063C20000}"/>
    <cellStyle name="Normal 7 4 6 2 3" xfId="9001" xr:uid="{00000000-0005-0000-0000-000064C20000}"/>
    <cellStyle name="Normal 7 4 6 2 3 2" xfId="34558" xr:uid="{00000000-0005-0000-0000-000065C20000}"/>
    <cellStyle name="Normal 7 4 6 2 4" xfId="17791" xr:uid="{00000000-0005-0000-0000-000066C20000}"/>
    <cellStyle name="Normal 7 4 6 2 4 2" xfId="43344" xr:uid="{00000000-0005-0000-0000-000067C20000}"/>
    <cellStyle name="Normal 7 4 6 2 5" xfId="29281" xr:uid="{00000000-0005-0000-0000-000068C20000}"/>
    <cellStyle name="Normal 7 4 6 3" xfId="5115" xr:uid="{00000000-0005-0000-0000-000069C20000}"/>
    <cellStyle name="Normal 7 4 6 3 2" xfId="13952" xr:uid="{00000000-0005-0000-0000-00006AC20000}"/>
    <cellStyle name="Normal 7 4 6 3 2 2" xfId="24203" xr:uid="{00000000-0005-0000-0000-00006BC20000}"/>
    <cellStyle name="Normal 7 4 6 3 2 2 2" xfId="49756" xr:uid="{00000000-0005-0000-0000-00006CC20000}"/>
    <cellStyle name="Normal 7 4 6 3 2 3" xfId="39507" xr:uid="{00000000-0005-0000-0000-00006DC20000}"/>
    <cellStyle name="Normal 7 4 6 3 3" xfId="10373" xr:uid="{00000000-0005-0000-0000-00006EC20000}"/>
    <cellStyle name="Normal 7 4 6 3 3 2" xfId="35930" xr:uid="{00000000-0005-0000-0000-00006FC20000}"/>
    <cellStyle name="Normal 7 4 6 3 4" xfId="19196" xr:uid="{00000000-0005-0000-0000-000070C20000}"/>
    <cellStyle name="Normal 7 4 6 3 4 2" xfId="44749" xr:uid="{00000000-0005-0000-0000-000071C20000}"/>
    <cellStyle name="Normal 7 4 6 3 5" xfId="30686" xr:uid="{00000000-0005-0000-0000-000072C20000}"/>
    <cellStyle name="Normal 7 4 6 4" xfId="2546" xr:uid="{00000000-0005-0000-0000-000073C20000}"/>
    <cellStyle name="Normal 7 4 6 4 2" xfId="11911" xr:uid="{00000000-0005-0000-0000-000074C20000}"/>
    <cellStyle name="Normal 7 4 6 4 2 2" xfId="37466" xr:uid="{00000000-0005-0000-0000-000075C20000}"/>
    <cellStyle name="Normal 7 4 6 4 3" xfId="21915" xr:uid="{00000000-0005-0000-0000-000076C20000}"/>
    <cellStyle name="Normal 7 4 6 4 3 2" xfId="47468" xr:uid="{00000000-0005-0000-0000-000077C20000}"/>
    <cellStyle name="Normal 7 4 6 4 4" xfId="28398" xr:uid="{00000000-0005-0000-0000-000078C20000}"/>
    <cellStyle name="Normal 7 4 6 5" xfId="6570" xr:uid="{00000000-0005-0000-0000-000079C20000}"/>
    <cellStyle name="Normal 7 4 6 5 2" xfId="15397" xr:uid="{00000000-0005-0000-0000-00007AC20000}"/>
    <cellStyle name="Normal 7 4 6 5 2 2" xfId="40952" xr:uid="{00000000-0005-0000-0000-00007BC20000}"/>
    <cellStyle name="Normal 7 4 6 5 3" xfId="25648" xr:uid="{00000000-0005-0000-0000-00007CC20000}"/>
    <cellStyle name="Normal 7 4 6 5 3 2" xfId="51201" xr:uid="{00000000-0005-0000-0000-00007DC20000}"/>
    <cellStyle name="Normal 7 4 6 5 4" xfId="32131" xr:uid="{00000000-0005-0000-0000-00007EC20000}"/>
    <cellStyle name="Normal 7 4 6 6" xfId="8016" xr:uid="{00000000-0005-0000-0000-00007FC20000}"/>
    <cellStyle name="Normal 7 4 6 6 2" xfId="20397" xr:uid="{00000000-0005-0000-0000-000080C20000}"/>
    <cellStyle name="Normal 7 4 6 6 2 2" xfId="45950" xr:uid="{00000000-0005-0000-0000-000081C20000}"/>
    <cellStyle name="Normal 7 4 6 6 3" xfId="33573" xr:uid="{00000000-0005-0000-0000-000082C20000}"/>
    <cellStyle name="Normal 7 4 6 7" xfId="16908" xr:uid="{00000000-0005-0000-0000-000083C20000}"/>
    <cellStyle name="Normal 7 4 6 7 2" xfId="42461" xr:uid="{00000000-0005-0000-0000-000084C20000}"/>
    <cellStyle name="Normal 7 4 6 8" xfId="26880" xr:uid="{00000000-0005-0000-0000-000085C20000}"/>
    <cellStyle name="Normal 7 4 7" xfId="1088" xr:uid="{00000000-0005-0000-0000-000086C20000}"/>
    <cellStyle name="Normal 7 4 7 2" xfId="3517" xr:uid="{00000000-0005-0000-0000-000087C20000}"/>
    <cellStyle name="Normal 7 4 7 2 2" xfId="12653" xr:uid="{00000000-0005-0000-0000-000088C20000}"/>
    <cellStyle name="Normal 7 4 7 2 2 2" xfId="22872" xr:uid="{00000000-0005-0000-0000-000089C20000}"/>
    <cellStyle name="Normal 7 4 7 2 2 2 2" xfId="48425" xr:uid="{00000000-0005-0000-0000-00008AC20000}"/>
    <cellStyle name="Normal 7 4 7 2 2 3" xfId="38208" xr:uid="{00000000-0005-0000-0000-00008BC20000}"/>
    <cellStyle name="Normal 7 4 7 2 3" xfId="9075" xr:uid="{00000000-0005-0000-0000-00008CC20000}"/>
    <cellStyle name="Normal 7 4 7 2 3 2" xfId="34632" xr:uid="{00000000-0005-0000-0000-00008DC20000}"/>
    <cellStyle name="Normal 7 4 7 2 4" xfId="17865" xr:uid="{00000000-0005-0000-0000-00008EC20000}"/>
    <cellStyle name="Normal 7 4 7 2 4 2" xfId="43418" xr:uid="{00000000-0005-0000-0000-00008FC20000}"/>
    <cellStyle name="Normal 7 4 7 2 5" xfId="29355" xr:uid="{00000000-0005-0000-0000-000090C20000}"/>
    <cellStyle name="Normal 7 4 7 3" xfId="5180" xr:uid="{00000000-0005-0000-0000-000091C20000}"/>
    <cellStyle name="Normal 7 4 7 3 2" xfId="14017" xr:uid="{00000000-0005-0000-0000-000092C20000}"/>
    <cellStyle name="Normal 7 4 7 3 2 2" xfId="24268" xr:uid="{00000000-0005-0000-0000-000093C20000}"/>
    <cellStyle name="Normal 7 4 7 3 2 2 2" xfId="49821" xr:uid="{00000000-0005-0000-0000-000094C20000}"/>
    <cellStyle name="Normal 7 4 7 3 2 3" xfId="39572" xr:uid="{00000000-0005-0000-0000-000095C20000}"/>
    <cellStyle name="Normal 7 4 7 3 3" xfId="10438" xr:uid="{00000000-0005-0000-0000-000096C20000}"/>
    <cellStyle name="Normal 7 4 7 3 3 2" xfId="35995" xr:uid="{00000000-0005-0000-0000-000097C20000}"/>
    <cellStyle name="Normal 7 4 7 3 4" xfId="19261" xr:uid="{00000000-0005-0000-0000-000098C20000}"/>
    <cellStyle name="Normal 7 4 7 3 4 2" xfId="44814" xr:uid="{00000000-0005-0000-0000-000099C20000}"/>
    <cellStyle name="Normal 7 4 7 3 5" xfId="30751" xr:uid="{00000000-0005-0000-0000-00009AC20000}"/>
    <cellStyle name="Normal 7 4 7 4" xfId="1746" xr:uid="{00000000-0005-0000-0000-00009BC20000}"/>
    <cellStyle name="Normal 7 4 7 4 2" xfId="11117" xr:uid="{00000000-0005-0000-0000-00009CC20000}"/>
    <cellStyle name="Normal 7 4 7 4 2 2" xfId="36672" xr:uid="{00000000-0005-0000-0000-00009DC20000}"/>
    <cellStyle name="Normal 7 4 7 4 3" xfId="21121" xr:uid="{00000000-0005-0000-0000-00009EC20000}"/>
    <cellStyle name="Normal 7 4 7 4 3 2" xfId="46674" xr:uid="{00000000-0005-0000-0000-00009FC20000}"/>
    <cellStyle name="Normal 7 4 7 4 4" xfId="27604" xr:uid="{00000000-0005-0000-0000-0000A0C20000}"/>
    <cellStyle name="Normal 7 4 7 5" xfId="6635" xr:uid="{00000000-0005-0000-0000-0000A1C20000}"/>
    <cellStyle name="Normal 7 4 7 5 2" xfId="15462" xr:uid="{00000000-0005-0000-0000-0000A2C20000}"/>
    <cellStyle name="Normal 7 4 7 5 2 2" xfId="41017" xr:uid="{00000000-0005-0000-0000-0000A3C20000}"/>
    <cellStyle name="Normal 7 4 7 5 3" xfId="25713" xr:uid="{00000000-0005-0000-0000-0000A4C20000}"/>
    <cellStyle name="Normal 7 4 7 5 3 2" xfId="51266" xr:uid="{00000000-0005-0000-0000-0000A5C20000}"/>
    <cellStyle name="Normal 7 4 7 5 4" xfId="32196" xr:uid="{00000000-0005-0000-0000-0000A6C20000}"/>
    <cellStyle name="Normal 7 4 7 6" xfId="8081" xr:uid="{00000000-0005-0000-0000-0000A7C20000}"/>
    <cellStyle name="Normal 7 4 7 6 2" xfId="20471" xr:uid="{00000000-0005-0000-0000-0000A8C20000}"/>
    <cellStyle name="Normal 7 4 7 6 2 2" xfId="46024" xr:uid="{00000000-0005-0000-0000-0000A9C20000}"/>
    <cellStyle name="Normal 7 4 7 6 3" xfId="33638" xr:uid="{00000000-0005-0000-0000-0000AAC20000}"/>
    <cellStyle name="Normal 7 4 7 7" xfId="16114" xr:uid="{00000000-0005-0000-0000-0000ABC20000}"/>
    <cellStyle name="Normal 7 4 7 7 2" xfId="41667" xr:uid="{00000000-0005-0000-0000-0000ACC20000}"/>
    <cellStyle name="Normal 7 4 7 8" xfId="26954" xr:uid="{00000000-0005-0000-0000-0000ADC20000}"/>
    <cellStyle name="Normal 7 4 8" xfId="2644" xr:uid="{00000000-0005-0000-0000-0000AEC20000}"/>
    <cellStyle name="Normal 7 4 8 2" xfId="5592" xr:uid="{00000000-0005-0000-0000-0000AFC20000}"/>
    <cellStyle name="Normal 7 4 8 2 2" xfId="14419" xr:uid="{00000000-0005-0000-0000-0000B0C20000}"/>
    <cellStyle name="Normal 7 4 8 2 2 2" xfId="39974" xr:uid="{00000000-0005-0000-0000-0000B1C20000}"/>
    <cellStyle name="Normal 7 4 8 2 3" xfId="24670" xr:uid="{00000000-0005-0000-0000-0000B2C20000}"/>
    <cellStyle name="Normal 7 4 8 2 3 2" xfId="50223" xr:uid="{00000000-0005-0000-0000-0000B3C20000}"/>
    <cellStyle name="Normal 7 4 8 2 4" xfId="31153" xr:uid="{00000000-0005-0000-0000-0000B4C20000}"/>
    <cellStyle name="Normal 7 4 8 3" xfId="7036" xr:uid="{00000000-0005-0000-0000-0000B5C20000}"/>
    <cellStyle name="Normal 7 4 8 3 2" xfId="22005" xr:uid="{00000000-0005-0000-0000-0000B6C20000}"/>
    <cellStyle name="Normal 7 4 8 3 2 2" xfId="47558" xr:uid="{00000000-0005-0000-0000-0000B7C20000}"/>
    <cellStyle name="Normal 7 4 8 3 3" xfId="32593" xr:uid="{00000000-0005-0000-0000-0000B8C20000}"/>
    <cellStyle name="Normal 7 4 8 4" xfId="16998" xr:uid="{00000000-0005-0000-0000-0000B9C20000}"/>
    <cellStyle name="Normal 7 4 8 4 2" xfId="42551" xr:uid="{00000000-0005-0000-0000-0000BAC20000}"/>
    <cellStyle name="Normal 7 4 8 5" xfId="28488" xr:uid="{00000000-0005-0000-0000-0000BBC20000}"/>
    <cellStyle name="Normal 7 4 9" xfId="4134" xr:uid="{00000000-0005-0000-0000-0000BCC20000}"/>
    <cellStyle name="Normal 7 4 9 2" xfId="12972" xr:uid="{00000000-0005-0000-0000-0000BDC20000}"/>
    <cellStyle name="Normal 7 4 9 2 2" xfId="23223" xr:uid="{00000000-0005-0000-0000-0000BEC20000}"/>
    <cellStyle name="Normal 7 4 9 2 2 2" xfId="48776" xr:uid="{00000000-0005-0000-0000-0000BFC20000}"/>
    <cellStyle name="Normal 7 4 9 2 3" xfId="38527" xr:uid="{00000000-0005-0000-0000-0000C0C20000}"/>
    <cellStyle name="Normal 7 4 9 3" xfId="9393" xr:uid="{00000000-0005-0000-0000-0000C1C20000}"/>
    <cellStyle name="Normal 7 4 9 3 2" xfId="34950" xr:uid="{00000000-0005-0000-0000-0000C2C20000}"/>
    <cellStyle name="Normal 7 4 9 4" xfId="18216" xr:uid="{00000000-0005-0000-0000-0000C3C20000}"/>
    <cellStyle name="Normal 7 4 9 4 2" xfId="43769" xr:uid="{00000000-0005-0000-0000-0000C4C20000}"/>
    <cellStyle name="Normal 7 4 9 5" xfId="29706" xr:uid="{00000000-0005-0000-0000-0000C5C20000}"/>
    <cellStyle name="Normal 7 4_Degree data" xfId="4067" xr:uid="{00000000-0005-0000-0000-0000C6C20000}"/>
    <cellStyle name="Normal 7 5" xfId="173" xr:uid="{00000000-0005-0000-0000-0000C7C20000}"/>
    <cellStyle name="Normal 7 5 10" xfId="7121" xr:uid="{00000000-0005-0000-0000-0000C8C20000}"/>
    <cellStyle name="Normal 7 5 10 2" xfId="19630" xr:uid="{00000000-0005-0000-0000-0000C9C20000}"/>
    <cellStyle name="Normal 7 5 10 2 2" xfId="45183" xr:uid="{00000000-0005-0000-0000-0000CAC20000}"/>
    <cellStyle name="Normal 7 5 10 3" xfId="32678" xr:uid="{00000000-0005-0000-0000-0000CBC20000}"/>
    <cellStyle name="Normal 7 5 11" xfId="15867" xr:uid="{00000000-0005-0000-0000-0000CCC20000}"/>
    <cellStyle name="Normal 7 5 11 2" xfId="41420" xr:uid="{00000000-0005-0000-0000-0000CDC20000}"/>
    <cellStyle name="Normal 7 5 12" xfId="26113" xr:uid="{00000000-0005-0000-0000-0000CEC20000}"/>
    <cellStyle name="Normal 7 5 2" xfId="501" xr:uid="{00000000-0005-0000-0000-0000CFC20000}"/>
    <cellStyle name="Normal 7 5 2 10" xfId="26430" xr:uid="{00000000-0005-0000-0000-0000D0C20000}"/>
    <cellStyle name="Normal 7 5 2 2" xfId="968" xr:uid="{00000000-0005-0000-0000-0000D1C20000}"/>
    <cellStyle name="Normal 7 5 2 2 2" xfId="3444" xr:uid="{00000000-0005-0000-0000-0000D2C20000}"/>
    <cellStyle name="Normal 7 5 2 2 2 2" xfId="12586" xr:uid="{00000000-0005-0000-0000-0000D3C20000}"/>
    <cellStyle name="Normal 7 5 2 2 2 2 2" xfId="22805" xr:uid="{00000000-0005-0000-0000-0000D4C20000}"/>
    <cellStyle name="Normal 7 5 2 2 2 2 2 2" xfId="48358" xr:uid="{00000000-0005-0000-0000-0000D5C20000}"/>
    <cellStyle name="Normal 7 5 2 2 2 2 3" xfId="38141" xr:uid="{00000000-0005-0000-0000-0000D6C20000}"/>
    <cellStyle name="Normal 7 5 2 2 2 3" xfId="9008" xr:uid="{00000000-0005-0000-0000-0000D7C20000}"/>
    <cellStyle name="Normal 7 5 2 2 2 3 2" xfId="34565" xr:uid="{00000000-0005-0000-0000-0000D8C20000}"/>
    <cellStyle name="Normal 7 5 2 2 2 4" xfId="17798" xr:uid="{00000000-0005-0000-0000-0000D9C20000}"/>
    <cellStyle name="Normal 7 5 2 2 2 4 2" xfId="43351" xr:uid="{00000000-0005-0000-0000-0000DAC20000}"/>
    <cellStyle name="Normal 7 5 2 2 2 5" xfId="29288" xr:uid="{00000000-0005-0000-0000-0000DBC20000}"/>
    <cellStyle name="Normal 7 5 2 2 3" xfId="4774" xr:uid="{00000000-0005-0000-0000-0000DCC20000}"/>
    <cellStyle name="Normal 7 5 2 2 3 2" xfId="13611" xr:uid="{00000000-0005-0000-0000-0000DDC20000}"/>
    <cellStyle name="Normal 7 5 2 2 3 2 2" xfId="23862" xr:uid="{00000000-0005-0000-0000-0000DEC20000}"/>
    <cellStyle name="Normal 7 5 2 2 3 2 2 2" xfId="49415" xr:uid="{00000000-0005-0000-0000-0000DFC20000}"/>
    <cellStyle name="Normal 7 5 2 2 3 2 3" xfId="39166" xr:uid="{00000000-0005-0000-0000-0000E0C20000}"/>
    <cellStyle name="Normal 7 5 2 2 3 3" xfId="10032" xr:uid="{00000000-0005-0000-0000-0000E1C20000}"/>
    <cellStyle name="Normal 7 5 2 2 3 3 2" xfId="35589" xr:uid="{00000000-0005-0000-0000-0000E2C20000}"/>
    <cellStyle name="Normal 7 5 2 2 3 4" xfId="18855" xr:uid="{00000000-0005-0000-0000-0000E3C20000}"/>
    <cellStyle name="Normal 7 5 2 2 3 4 2" xfId="44408" xr:uid="{00000000-0005-0000-0000-0000E4C20000}"/>
    <cellStyle name="Normal 7 5 2 2 3 5" xfId="30345" xr:uid="{00000000-0005-0000-0000-0000E5C20000}"/>
    <cellStyle name="Normal 7 5 2 2 4" xfId="2553" xr:uid="{00000000-0005-0000-0000-0000E6C20000}"/>
    <cellStyle name="Normal 7 5 2 2 4 2" xfId="11918" xr:uid="{00000000-0005-0000-0000-0000E7C20000}"/>
    <cellStyle name="Normal 7 5 2 2 4 2 2" xfId="37473" xr:uid="{00000000-0005-0000-0000-0000E8C20000}"/>
    <cellStyle name="Normal 7 5 2 2 4 3" xfId="21922" xr:uid="{00000000-0005-0000-0000-0000E9C20000}"/>
    <cellStyle name="Normal 7 5 2 2 4 3 2" xfId="47475" xr:uid="{00000000-0005-0000-0000-0000EAC20000}"/>
    <cellStyle name="Normal 7 5 2 2 4 4" xfId="28405" xr:uid="{00000000-0005-0000-0000-0000EBC20000}"/>
    <cellStyle name="Normal 7 5 2 2 5" xfId="6229" xr:uid="{00000000-0005-0000-0000-0000ECC20000}"/>
    <cellStyle name="Normal 7 5 2 2 5 2" xfId="15056" xr:uid="{00000000-0005-0000-0000-0000EDC20000}"/>
    <cellStyle name="Normal 7 5 2 2 5 2 2" xfId="40611" xr:uid="{00000000-0005-0000-0000-0000EEC20000}"/>
    <cellStyle name="Normal 7 5 2 2 5 3" xfId="25307" xr:uid="{00000000-0005-0000-0000-0000EFC20000}"/>
    <cellStyle name="Normal 7 5 2 2 5 3 2" xfId="50860" xr:uid="{00000000-0005-0000-0000-0000F0C20000}"/>
    <cellStyle name="Normal 7 5 2 2 5 4" xfId="31790" xr:uid="{00000000-0005-0000-0000-0000F1C20000}"/>
    <cellStyle name="Normal 7 5 2 2 6" xfId="7675" xr:uid="{00000000-0005-0000-0000-0000F2C20000}"/>
    <cellStyle name="Normal 7 5 2 2 6 2" xfId="20404" xr:uid="{00000000-0005-0000-0000-0000F3C20000}"/>
    <cellStyle name="Normal 7 5 2 2 6 2 2" xfId="45957" xr:uid="{00000000-0005-0000-0000-0000F4C20000}"/>
    <cellStyle name="Normal 7 5 2 2 6 3" xfId="33232" xr:uid="{00000000-0005-0000-0000-0000F5C20000}"/>
    <cellStyle name="Normal 7 5 2 2 7" xfId="16915" xr:uid="{00000000-0005-0000-0000-0000F6C20000}"/>
    <cellStyle name="Normal 7 5 2 2 7 2" xfId="42468" xr:uid="{00000000-0005-0000-0000-0000F7C20000}"/>
    <cellStyle name="Normal 7 5 2 2 8" xfId="26887" xr:uid="{00000000-0005-0000-0000-0000F8C20000}"/>
    <cellStyle name="Normal 7 5 2 3" xfId="1273" xr:uid="{00000000-0005-0000-0000-0000F9C20000}"/>
    <cellStyle name="Normal 7 5 2 3 2" xfId="3702" xr:uid="{00000000-0005-0000-0000-0000FAC20000}"/>
    <cellStyle name="Normal 7 5 2 3 2 2" xfId="12838" xr:uid="{00000000-0005-0000-0000-0000FBC20000}"/>
    <cellStyle name="Normal 7 5 2 3 2 2 2" xfId="23057" xr:uid="{00000000-0005-0000-0000-0000FCC20000}"/>
    <cellStyle name="Normal 7 5 2 3 2 2 2 2" xfId="48610" xr:uid="{00000000-0005-0000-0000-0000FDC20000}"/>
    <cellStyle name="Normal 7 5 2 3 2 2 3" xfId="38393" xr:uid="{00000000-0005-0000-0000-0000FEC20000}"/>
    <cellStyle name="Normal 7 5 2 3 2 3" xfId="9259" xr:uid="{00000000-0005-0000-0000-0000FFC20000}"/>
    <cellStyle name="Normal 7 5 2 3 2 3 2" xfId="34816" xr:uid="{00000000-0005-0000-0000-000000C30000}"/>
    <cellStyle name="Normal 7 5 2 3 2 4" xfId="18050" xr:uid="{00000000-0005-0000-0000-000001C30000}"/>
    <cellStyle name="Normal 7 5 2 3 2 4 2" xfId="43603" xr:uid="{00000000-0005-0000-0000-000002C30000}"/>
    <cellStyle name="Normal 7 5 2 3 2 5" xfId="29540" xr:uid="{00000000-0005-0000-0000-000003C30000}"/>
    <cellStyle name="Normal 7 5 2 3 3" xfId="5122" xr:uid="{00000000-0005-0000-0000-000004C30000}"/>
    <cellStyle name="Normal 7 5 2 3 3 2" xfId="13959" xr:uid="{00000000-0005-0000-0000-000005C30000}"/>
    <cellStyle name="Normal 7 5 2 3 3 2 2" xfId="24210" xr:uid="{00000000-0005-0000-0000-000006C30000}"/>
    <cellStyle name="Normal 7 5 2 3 3 2 2 2" xfId="49763" xr:uid="{00000000-0005-0000-0000-000007C30000}"/>
    <cellStyle name="Normal 7 5 2 3 3 2 3" xfId="39514" xr:uid="{00000000-0005-0000-0000-000008C30000}"/>
    <cellStyle name="Normal 7 5 2 3 3 3" xfId="10380" xr:uid="{00000000-0005-0000-0000-000009C30000}"/>
    <cellStyle name="Normal 7 5 2 3 3 3 2" xfId="35937" xr:uid="{00000000-0005-0000-0000-00000AC30000}"/>
    <cellStyle name="Normal 7 5 2 3 3 4" xfId="19203" xr:uid="{00000000-0005-0000-0000-00000BC30000}"/>
    <cellStyle name="Normal 7 5 2 3 3 4 2" xfId="44756" xr:uid="{00000000-0005-0000-0000-00000CC30000}"/>
    <cellStyle name="Normal 7 5 2 3 3 5" xfId="30693" xr:uid="{00000000-0005-0000-0000-00000DC30000}"/>
    <cellStyle name="Normal 7 5 2 3 4" xfId="2096" xr:uid="{00000000-0005-0000-0000-00000EC30000}"/>
    <cellStyle name="Normal 7 5 2 3 4 2" xfId="11461" xr:uid="{00000000-0005-0000-0000-00000FC30000}"/>
    <cellStyle name="Normal 7 5 2 3 4 2 2" xfId="37016" xr:uid="{00000000-0005-0000-0000-000010C30000}"/>
    <cellStyle name="Normal 7 5 2 3 4 3" xfId="21465" xr:uid="{00000000-0005-0000-0000-000011C30000}"/>
    <cellStyle name="Normal 7 5 2 3 4 3 2" xfId="47018" xr:uid="{00000000-0005-0000-0000-000012C30000}"/>
    <cellStyle name="Normal 7 5 2 3 4 4" xfId="27948" xr:uid="{00000000-0005-0000-0000-000013C30000}"/>
    <cellStyle name="Normal 7 5 2 3 5" xfId="6577" xr:uid="{00000000-0005-0000-0000-000014C30000}"/>
    <cellStyle name="Normal 7 5 2 3 5 2" xfId="15404" xr:uid="{00000000-0005-0000-0000-000015C30000}"/>
    <cellStyle name="Normal 7 5 2 3 5 2 2" xfId="40959" xr:uid="{00000000-0005-0000-0000-000016C30000}"/>
    <cellStyle name="Normal 7 5 2 3 5 3" xfId="25655" xr:uid="{00000000-0005-0000-0000-000017C30000}"/>
    <cellStyle name="Normal 7 5 2 3 5 3 2" xfId="51208" xr:uid="{00000000-0005-0000-0000-000018C30000}"/>
    <cellStyle name="Normal 7 5 2 3 5 4" xfId="32138" xr:uid="{00000000-0005-0000-0000-000019C30000}"/>
    <cellStyle name="Normal 7 5 2 3 6" xfId="8023" xr:uid="{00000000-0005-0000-0000-00001AC30000}"/>
    <cellStyle name="Normal 7 5 2 3 6 2" xfId="20656" xr:uid="{00000000-0005-0000-0000-00001BC30000}"/>
    <cellStyle name="Normal 7 5 2 3 6 2 2" xfId="46209" xr:uid="{00000000-0005-0000-0000-00001CC30000}"/>
    <cellStyle name="Normal 7 5 2 3 6 3" xfId="33580" xr:uid="{00000000-0005-0000-0000-00001DC30000}"/>
    <cellStyle name="Normal 7 5 2 3 7" xfId="16458" xr:uid="{00000000-0005-0000-0000-00001EC30000}"/>
    <cellStyle name="Normal 7 5 2 3 7 2" xfId="42011" xr:uid="{00000000-0005-0000-0000-00001FC30000}"/>
    <cellStyle name="Normal 7 5 2 3 8" xfId="27139" xr:uid="{00000000-0005-0000-0000-000020C30000}"/>
    <cellStyle name="Normal 7 5 2 4" xfId="2987" xr:uid="{00000000-0005-0000-0000-000021C30000}"/>
    <cellStyle name="Normal 7 5 2 4 2" xfId="5365" xr:uid="{00000000-0005-0000-0000-000022C30000}"/>
    <cellStyle name="Normal 7 5 2 4 2 2" xfId="14202" xr:uid="{00000000-0005-0000-0000-000023C30000}"/>
    <cellStyle name="Normal 7 5 2 4 2 2 2" xfId="24453" xr:uid="{00000000-0005-0000-0000-000024C30000}"/>
    <cellStyle name="Normal 7 5 2 4 2 2 2 2" xfId="50006" xr:uid="{00000000-0005-0000-0000-000025C30000}"/>
    <cellStyle name="Normal 7 5 2 4 2 2 3" xfId="39757" xr:uid="{00000000-0005-0000-0000-000026C30000}"/>
    <cellStyle name="Normal 7 5 2 4 2 3" xfId="10623" xr:uid="{00000000-0005-0000-0000-000027C30000}"/>
    <cellStyle name="Normal 7 5 2 4 2 3 2" xfId="36180" xr:uid="{00000000-0005-0000-0000-000028C30000}"/>
    <cellStyle name="Normal 7 5 2 4 2 4" xfId="19446" xr:uid="{00000000-0005-0000-0000-000029C30000}"/>
    <cellStyle name="Normal 7 5 2 4 2 4 2" xfId="44999" xr:uid="{00000000-0005-0000-0000-00002AC30000}"/>
    <cellStyle name="Normal 7 5 2 4 2 5" xfId="30936" xr:uid="{00000000-0005-0000-0000-00002BC30000}"/>
    <cellStyle name="Normal 7 5 2 4 3" xfId="6820" xr:uid="{00000000-0005-0000-0000-00002CC30000}"/>
    <cellStyle name="Normal 7 5 2 4 3 2" xfId="15647" xr:uid="{00000000-0005-0000-0000-00002DC30000}"/>
    <cellStyle name="Normal 7 5 2 4 3 2 2" xfId="41202" xr:uid="{00000000-0005-0000-0000-00002EC30000}"/>
    <cellStyle name="Normal 7 5 2 4 3 3" xfId="25898" xr:uid="{00000000-0005-0000-0000-00002FC30000}"/>
    <cellStyle name="Normal 7 5 2 4 3 3 2" xfId="51451" xr:uid="{00000000-0005-0000-0000-000030C30000}"/>
    <cellStyle name="Normal 7 5 2 4 3 4" xfId="32381" xr:uid="{00000000-0005-0000-0000-000031C30000}"/>
    <cellStyle name="Normal 7 5 2 4 4" xfId="8266" xr:uid="{00000000-0005-0000-0000-000032C30000}"/>
    <cellStyle name="Normal 7 5 2 4 4 2" xfId="22348" xr:uid="{00000000-0005-0000-0000-000033C30000}"/>
    <cellStyle name="Normal 7 5 2 4 4 2 2" xfId="47901" xr:uid="{00000000-0005-0000-0000-000034C30000}"/>
    <cellStyle name="Normal 7 5 2 4 4 3" xfId="33823" xr:uid="{00000000-0005-0000-0000-000035C30000}"/>
    <cellStyle name="Normal 7 5 2 4 5" xfId="17341" xr:uid="{00000000-0005-0000-0000-000036C30000}"/>
    <cellStyle name="Normal 7 5 2 4 5 2" xfId="42894" xr:uid="{00000000-0005-0000-0000-000037C30000}"/>
    <cellStyle name="Normal 7 5 2 4 6" xfId="28831" xr:uid="{00000000-0005-0000-0000-000038C30000}"/>
    <cellStyle name="Normal 7 5 2 5" xfId="4321" xr:uid="{00000000-0005-0000-0000-000039C30000}"/>
    <cellStyle name="Normal 7 5 2 5 2" xfId="13159" xr:uid="{00000000-0005-0000-0000-00003AC30000}"/>
    <cellStyle name="Normal 7 5 2 5 2 2" xfId="23410" xr:uid="{00000000-0005-0000-0000-00003BC30000}"/>
    <cellStyle name="Normal 7 5 2 5 2 2 2" xfId="48963" xr:uid="{00000000-0005-0000-0000-00003CC30000}"/>
    <cellStyle name="Normal 7 5 2 5 2 3" xfId="38714" xr:uid="{00000000-0005-0000-0000-00003DC30000}"/>
    <cellStyle name="Normal 7 5 2 5 3" xfId="9580" xr:uid="{00000000-0005-0000-0000-00003EC30000}"/>
    <cellStyle name="Normal 7 5 2 5 3 2" xfId="35137" xr:uid="{00000000-0005-0000-0000-00003FC30000}"/>
    <cellStyle name="Normal 7 5 2 5 4" xfId="18403" xr:uid="{00000000-0005-0000-0000-000040C30000}"/>
    <cellStyle name="Normal 7 5 2 5 4 2" xfId="43956" xr:uid="{00000000-0005-0000-0000-000041C30000}"/>
    <cellStyle name="Normal 7 5 2 5 5" xfId="29893" xr:uid="{00000000-0005-0000-0000-000042C30000}"/>
    <cellStyle name="Normal 7 5 2 6" xfId="1593" xr:uid="{00000000-0005-0000-0000-000043C30000}"/>
    <cellStyle name="Normal 7 5 2 6 2" xfId="10970" xr:uid="{00000000-0005-0000-0000-000044C30000}"/>
    <cellStyle name="Normal 7 5 2 6 2 2" xfId="36525" xr:uid="{00000000-0005-0000-0000-000045C30000}"/>
    <cellStyle name="Normal 7 5 2 6 3" xfId="20974" xr:uid="{00000000-0005-0000-0000-000046C30000}"/>
    <cellStyle name="Normal 7 5 2 6 3 2" xfId="46527" xr:uid="{00000000-0005-0000-0000-000047C30000}"/>
    <cellStyle name="Normal 7 5 2 6 4" xfId="27457" xr:uid="{00000000-0005-0000-0000-000048C30000}"/>
    <cellStyle name="Normal 7 5 2 7" xfId="5777" xr:uid="{00000000-0005-0000-0000-000049C30000}"/>
    <cellStyle name="Normal 7 5 2 7 2" xfId="14604" xr:uid="{00000000-0005-0000-0000-00004AC30000}"/>
    <cellStyle name="Normal 7 5 2 7 2 2" xfId="40159" xr:uid="{00000000-0005-0000-0000-00004BC30000}"/>
    <cellStyle name="Normal 7 5 2 7 3" xfId="24855" xr:uid="{00000000-0005-0000-0000-00004CC30000}"/>
    <cellStyle name="Normal 7 5 2 7 3 2" xfId="50408" xr:uid="{00000000-0005-0000-0000-00004DC30000}"/>
    <cellStyle name="Normal 7 5 2 7 4" xfId="31338" xr:uid="{00000000-0005-0000-0000-00004EC30000}"/>
    <cellStyle name="Normal 7 5 2 8" xfId="7221" xr:uid="{00000000-0005-0000-0000-00004FC30000}"/>
    <cellStyle name="Normal 7 5 2 8 2" xfId="19947" xr:uid="{00000000-0005-0000-0000-000050C30000}"/>
    <cellStyle name="Normal 7 5 2 8 2 2" xfId="45500" xr:uid="{00000000-0005-0000-0000-000051C30000}"/>
    <cellStyle name="Normal 7 5 2 8 3" xfId="32778" xr:uid="{00000000-0005-0000-0000-000052C30000}"/>
    <cellStyle name="Normal 7 5 2 9" xfId="15967" xr:uid="{00000000-0005-0000-0000-000053C30000}"/>
    <cellStyle name="Normal 7 5 2 9 2" xfId="41520" xr:uid="{00000000-0005-0000-0000-000054C30000}"/>
    <cellStyle name="Normal 7 5 2_Degree data" xfId="4074" xr:uid="{00000000-0005-0000-0000-000055C30000}"/>
    <cellStyle name="Normal 7 5 3" xfId="401" xr:uid="{00000000-0005-0000-0000-000056C30000}"/>
    <cellStyle name="Normal 7 5 3 2" xfId="2887" xr:uid="{00000000-0005-0000-0000-000057C30000}"/>
    <cellStyle name="Normal 7 5 3 2 2" xfId="12175" xr:uid="{00000000-0005-0000-0000-000058C30000}"/>
    <cellStyle name="Normal 7 5 3 2 2 2" xfId="22248" xr:uid="{00000000-0005-0000-0000-000059C30000}"/>
    <cellStyle name="Normal 7 5 3 2 2 2 2" xfId="47801" xr:uid="{00000000-0005-0000-0000-00005AC30000}"/>
    <cellStyle name="Normal 7 5 3 2 2 3" xfId="37730" xr:uid="{00000000-0005-0000-0000-00005BC30000}"/>
    <cellStyle name="Normal 7 5 3 2 3" xfId="8580" xr:uid="{00000000-0005-0000-0000-00005CC30000}"/>
    <cellStyle name="Normal 7 5 3 2 3 2" xfId="34137" xr:uid="{00000000-0005-0000-0000-00005DC30000}"/>
    <cellStyle name="Normal 7 5 3 2 4" xfId="17241" xr:uid="{00000000-0005-0000-0000-00005EC30000}"/>
    <cellStyle name="Normal 7 5 3 2 4 2" xfId="42794" xr:uid="{00000000-0005-0000-0000-00005FC30000}"/>
    <cellStyle name="Normal 7 5 3 2 5" xfId="28731" xr:uid="{00000000-0005-0000-0000-000060C30000}"/>
    <cellStyle name="Normal 7 5 3 3" xfId="4773" xr:uid="{00000000-0005-0000-0000-000061C30000}"/>
    <cellStyle name="Normal 7 5 3 3 2" xfId="13610" xr:uid="{00000000-0005-0000-0000-000062C30000}"/>
    <cellStyle name="Normal 7 5 3 3 2 2" xfId="23861" xr:uid="{00000000-0005-0000-0000-000063C30000}"/>
    <cellStyle name="Normal 7 5 3 3 2 2 2" xfId="49414" xr:uid="{00000000-0005-0000-0000-000064C30000}"/>
    <cellStyle name="Normal 7 5 3 3 2 3" xfId="39165" xr:uid="{00000000-0005-0000-0000-000065C30000}"/>
    <cellStyle name="Normal 7 5 3 3 3" xfId="10031" xr:uid="{00000000-0005-0000-0000-000066C30000}"/>
    <cellStyle name="Normal 7 5 3 3 3 2" xfId="35588" xr:uid="{00000000-0005-0000-0000-000067C30000}"/>
    <cellStyle name="Normal 7 5 3 3 4" xfId="18854" xr:uid="{00000000-0005-0000-0000-000068C30000}"/>
    <cellStyle name="Normal 7 5 3 3 4 2" xfId="44407" xr:uid="{00000000-0005-0000-0000-000069C30000}"/>
    <cellStyle name="Normal 7 5 3 3 5" xfId="30344" xr:uid="{00000000-0005-0000-0000-00006AC30000}"/>
    <cellStyle name="Normal 7 5 3 4" xfId="1996" xr:uid="{00000000-0005-0000-0000-00006BC30000}"/>
    <cellStyle name="Normal 7 5 3 4 2" xfId="11361" xr:uid="{00000000-0005-0000-0000-00006CC30000}"/>
    <cellStyle name="Normal 7 5 3 4 2 2" xfId="36916" xr:uid="{00000000-0005-0000-0000-00006DC30000}"/>
    <cellStyle name="Normal 7 5 3 4 3" xfId="21365" xr:uid="{00000000-0005-0000-0000-00006EC30000}"/>
    <cellStyle name="Normal 7 5 3 4 3 2" xfId="46918" xr:uid="{00000000-0005-0000-0000-00006FC30000}"/>
    <cellStyle name="Normal 7 5 3 4 4" xfId="27848" xr:uid="{00000000-0005-0000-0000-000070C30000}"/>
    <cellStyle name="Normal 7 5 3 5" xfId="6228" xr:uid="{00000000-0005-0000-0000-000071C30000}"/>
    <cellStyle name="Normal 7 5 3 5 2" xfId="15055" xr:uid="{00000000-0005-0000-0000-000072C30000}"/>
    <cellStyle name="Normal 7 5 3 5 2 2" xfId="40610" xr:uid="{00000000-0005-0000-0000-000073C30000}"/>
    <cellStyle name="Normal 7 5 3 5 3" xfId="25306" xr:uid="{00000000-0005-0000-0000-000074C30000}"/>
    <cellStyle name="Normal 7 5 3 5 3 2" xfId="50859" xr:uid="{00000000-0005-0000-0000-000075C30000}"/>
    <cellStyle name="Normal 7 5 3 5 4" xfId="31789" xr:uid="{00000000-0005-0000-0000-000076C30000}"/>
    <cellStyle name="Normal 7 5 3 6" xfId="7674" xr:uid="{00000000-0005-0000-0000-000077C30000}"/>
    <cellStyle name="Normal 7 5 3 6 2" xfId="19847" xr:uid="{00000000-0005-0000-0000-000078C30000}"/>
    <cellStyle name="Normal 7 5 3 6 2 2" xfId="45400" xr:uid="{00000000-0005-0000-0000-000079C30000}"/>
    <cellStyle name="Normal 7 5 3 6 3" xfId="33231" xr:uid="{00000000-0005-0000-0000-00007AC30000}"/>
    <cellStyle name="Normal 7 5 3 7" xfId="16358" xr:uid="{00000000-0005-0000-0000-00007BC30000}"/>
    <cellStyle name="Normal 7 5 3 7 2" xfId="41911" xr:uid="{00000000-0005-0000-0000-00007CC30000}"/>
    <cellStyle name="Normal 7 5 3 8" xfId="26330" xr:uid="{00000000-0005-0000-0000-00007DC30000}"/>
    <cellStyle name="Normal 7 5 4" xfId="967" xr:uid="{00000000-0005-0000-0000-00007EC30000}"/>
    <cellStyle name="Normal 7 5 4 2" xfId="3443" xr:uid="{00000000-0005-0000-0000-00007FC30000}"/>
    <cellStyle name="Normal 7 5 4 2 2" xfId="12585" xr:uid="{00000000-0005-0000-0000-000080C30000}"/>
    <cellStyle name="Normal 7 5 4 2 2 2" xfId="22804" xr:uid="{00000000-0005-0000-0000-000081C30000}"/>
    <cellStyle name="Normal 7 5 4 2 2 2 2" xfId="48357" xr:uid="{00000000-0005-0000-0000-000082C30000}"/>
    <cellStyle name="Normal 7 5 4 2 2 3" xfId="38140" xr:uid="{00000000-0005-0000-0000-000083C30000}"/>
    <cellStyle name="Normal 7 5 4 2 3" xfId="9007" xr:uid="{00000000-0005-0000-0000-000084C30000}"/>
    <cellStyle name="Normal 7 5 4 2 3 2" xfId="34564" xr:uid="{00000000-0005-0000-0000-000085C30000}"/>
    <cellStyle name="Normal 7 5 4 2 4" xfId="17797" xr:uid="{00000000-0005-0000-0000-000086C30000}"/>
    <cellStyle name="Normal 7 5 4 2 4 2" xfId="43350" xr:uid="{00000000-0005-0000-0000-000087C30000}"/>
    <cellStyle name="Normal 7 5 4 2 5" xfId="29287" xr:uid="{00000000-0005-0000-0000-000088C30000}"/>
    <cellStyle name="Normal 7 5 4 3" xfId="5121" xr:uid="{00000000-0005-0000-0000-000089C30000}"/>
    <cellStyle name="Normal 7 5 4 3 2" xfId="13958" xr:uid="{00000000-0005-0000-0000-00008AC30000}"/>
    <cellStyle name="Normal 7 5 4 3 2 2" xfId="24209" xr:uid="{00000000-0005-0000-0000-00008BC30000}"/>
    <cellStyle name="Normal 7 5 4 3 2 2 2" xfId="49762" xr:uid="{00000000-0005-0000-0000-00008CC30000}"/>
    <cellStyle name="Normal 7 5 4 3 2 3" xfId="39513" xr:uid="{00000000-0005-0000-0000-00008DC30000}"/>
    <cellStyle name="Normal 7 5 4 3 3" xfId="10379" xr:uid="{00000000-0005-0000-0000-00008EC30000}"/>
    <cellStyle name="Normal 7 5 4 3 3 2" xfId="35936" xr:uid="{00000000-0005-0000-0000-00008FC30000}"/>
    <cellStyle name="Normal 7 5 4 3 4" xfId="19202" xr:uid="{00000000-0005-0000-0000-000090C30000}"/>
    <cellStyle name="Normal 7 5 4 3 4 2" xfId="44755" xr:uid="{00000000-0005-0000-0000-000091C30000}"/>
    <cellStyle name="Normal 7 5 4 3 5" xfId="30692" xr:uid="{00000000-0005-0000-0000-000092C30000}"/>
    <cellStyle name="Normal 7 5 4 4" xfId="2552" xr:uid="{00000000-0005-0000-0000-000093C30000}"/>
    <cellStyle name="Normal 7 5 4 4 2" xfId="11917" xr:uid="{00000000-0005-0000-0000-000094C30000}"/>
    <cellStyle name="Normal 7 5 4 4 2 2" xfId="37472" xr:uid="{00000000-0005-0000-0000-000095C30000}"/>
    <cellStyle name="Normal 7 5 4 4 3" xfId="21921" xr:uid="{00000000-0005-0000-0000-000096C30000}"/>
    <cellStyle name="Normal 7 5 4 4 3 2" xfId="47474" xr:uid="{00000000-0005-0000-0000-000097C30000}"/>
    <cellStyle name="Normal 7 5 4 4 4" xfId="28404" xr:uid="{00000000-0005-0000-0000-000098C30000}"/>
    <cellStyle name="Normal 7 5 4 5" xfId="6576" xr:uid="{00000000-0005-0000-0000-000099C30000}"/>
    <cellStyle name="Normal 7 5 4 5 2" xfId="15403" xr:uid="{00000000-0005-0000-0000-00009AC30000}"/>
    <cellStyle name="Normal 7 5 4 5 2 2" xfId="40958" xr:uid="{00000000-0005-0000-0000-00009BC30000}"/>
    <cellStyle name="Normal 7 5 4 5 3" xfId="25654" xr:uid="{00000000-0005-0000-0000-00009CC30000}"/>
    <cellStyle name="Normal 7 5 4 5 3 2" xfId="51207" xr:uid="{00000000-0005-0000-0000-00009DC30000}"/>
    <cellStyle name="Normal 7 5 4 5 4" xfId="32137" xr:uid="{00000000-0005-0000-0000-00009EC30000}"/>
    <cellStyle name="Normal 7 5 4 6" xfId="8022" xr:uid="{00000000-0005-0000-0000-00009FC30000}"/>
    <cellStyle name="Normal 7 5 4 6 2" xfId="20403" xr:uid="{00000000-0005-0000-0000-0000A0C30000}"/>
    <cellStyle name="Normal 7 5 4 6 2 2" xfId="45956" xr:uid="{00000000-0005-0000-0000-0000A1C30000}"/>
    <cellStyle name="Normal 7 5 4 6 3" xfId="33579" xr:uid="{00000000-0005-0000-0000-0000A2C30000}"/>
    <cellStyle name="Normal 7 5 4 7" xfId="16914" xr:uid="{00000000-0005-0000-0000-0000A3C30000}"/>
    <cellStyle name="Normal 7 5 4 7 2" xfId="42467" xr:uid="{00000000-0005-0000-0000-0000A4C30000}"/>
    <cellStyle name="Normal 7 5 4 8" xfId="26886" xr:uid="{00000000-0005-0000-0000-0000A5C30000}"/>
    <cellStyle name="Normal 7 5 5" xfId="1173" xr:uid="{00000000-0005-0000-0000-0000A6C30000}"/>
    <cellStyle name="Normal 7 5 5 2" xfId="3602" xr:uid="{00000000-0005-0000-0000-0000A7C30000}"/>
    <cellStyle name="Normal 7 5 5 2 2" xfId="12738" xr:uid="{00000000-0005-0000-0000-0000A8C30000}"/>
    <cellStyle name="Normal 7 5 5 2 2 2" xfId="22957" xr:uid="{00000000-0005-0000-0000-0000A9C30000}"/>
    <cellStyle name="Normal 7 5 5 2 2 2 2" xfId="48510" xr:uid="{00000000-0005-0000-0000-0000AAC30000}"/>
    <cellStyle name="Normal 7 5 5 2 2 3" xfId="38293" xr:uid="{00000000-0005-0000-0000-0000ABC30000}"/>
    <cellStyle name="Normal 7 5 5 2 3" xfId="9159" xr:uid="{00000000-0005-0000-0000-0000ACC30000}"/>
    <cellStyle name="Normal 7 5 5 2 3 2" xfId="34716" xr:uid="{00000000-0005-0000-0000-0000ADC30000}"/>
    <cellStyle name="Normal 7 5 5 2 4" xfId="17950" xr:uid="{00000000-0005-0000-0000-0000AEC30000}"/>
    <cellStyle name="Normal 7 5 5 2 4 2" xfId="43503" xr:uid="{00000000-0005-0000-0000-0000AFC30000}"/>
    <cellStyle name="Normal 7 5 5 2 5" xfId="29440" xr:uid="{00000000-0005-0000-0000-0000B0C30000}"/>
    <cellStyle name="Normal 7 5 5 3" xfId="5265" xr:uid="{00000000-0005-0000-0000-0000B1C30000}"/>
    <cellStyle name="Normal 7 5 5 3 2" xfId="14102" xr:uid="{00000000-0005-0000-0000-0000B2C30000}"/>
    <cellStyle name="Normal 7 5 5 3 2 2" xfId="24353" xr:uid="{00000000-0005-0000-0000-0000B3C30000}"/>
    <cellStyle name="Normal 7 5 5 3 2 2 2" xfId="49906" xr:uid="{00000000-0005-0000-0000-0000B4C30000}"/>
    <cellStyle name="Normal 7 5 5 3 2 3" xfId="39657" xr:uid="{00000000-0005-0000-0000-0000B5C30000}"/>
    <cellStyle name="Normal 7 5 5 3 3" xfId="10523" xr:uid="{00000000-0005-0000-0000-0000B6C30000}"/>
    <cellStyle name="Normal 7 5 5 3 3 2" xfId="36080" xr:uid="{00000000-0005-0000-0000-0000B7C30000}"/>
    <cellStyle name="Normal 7 5 5 3 4" xfId="19346" xr:uid="{00000000-0005-0000-0000-0000B8C30000}"/>
    <cellStyle name="Normal 7 5 5 3 4 2" xfId="44899" xr:uid="{00000000-0005-0000-0000-0000B9C30000}"/>
    <cellStyle name="Normal 7 5 5 3 5" xfId="30836" xr:uid="{00000000-0005-0000-0000-0000BAC30000}"/>
    <cellStyle name="Normal 7 5 5 4" xfId="1775" xr:uid="{00000000-0005-0000-0000-0000BBC30000}"/>
    <cellStyle name="Normal 7 5 5 4 2" xfId="11144" xr:uid="{00000000-0005-0000-0000-0000BCC30000}"/>
    <cellStyle name="Normal 7 5 5 4 2 2" xfId="36699" xr:uid="{00000000-0005-0000-0000-0000BDC30000}"/>
    <cellStyle name="Normal 7 5 5 4 3" xfId="21148" xr:uid="{00000000-0005-0000-0000-0000BEC30000}"/>
    <cellStyle name="Normal 7 5 5 4 3 2" xfId="46701" xr:uid="{00000000-0005-0000-0000-0000BFC30000}"/>
    <cellStyle name="Normal 7 5 5 4 4" xfId="27631" xr:uid="{00000000-0005-0000-0000-0000C0C30000}"/>
    <cellStyle name="Normal 7 5 5 5" xfId="6720" xr:uid="{00000000-0005-0000-0000-0000C1C30000}"/>
    <cellStyle name="Normal 7 5 5 5 2" xfId="15547" xr:uid="{00000000-0005-0000-0000-0000C2C30000}"/>
    <cellStyle name="Normal 7 5 5 5 2 2" xfId="41102" xr:uid="{00000000-0005-0000-0000-0000C3C30000}"/>
    <cellStyle name="Normal 7 5 5 5 3" xfId="25798" xr:uid="{00000000-0005-0000-0000-0000C4C30000}"/>
    <cellStyle name="Normal 7 5 5 5 3 2" xfId="51351" xr:uid="{00000000-0005-0000-0000-0000C5C30000}"/>
    <cellStyle name="Normal 7 5 5 5 4" xfId="32281" xr:uid="{00000000-0005-0000-0000-0000C6C30000}"/>
    <cellStyle name="Normal 7 5 5 6" xfId="8166" xr:uid="{00000000-0005-0000-0000-0000C7C30000}"/>
    <cellStyle name="Normal 7 5 5 6 2" xfId="20556" xr:uid="{00000000-0005-0000-0000-0000C8C30000}"/>
    <cellStyle name="Normal 7 5 5 6 2 2" xfId="46109" xr:uid="{00000000-0005-0000-0000-0000C9C30000}"/>
    <cellStyle name="Normal 7 5 5 6 3" xfId="33723" xr:uid="{00000000-0005-0000-0000-0000CAC30000}"/>
    <cellStyle name="Normal 7 5 5 7" xfId="16141" xr:uid="{00000000-0005-0000-0000-0000CBC30000}"/>
    <cellStyle name="Normal 7 5 5 7 2" xfId="41694" xr:uid="{00000000-0005-0000-0000-0000CCC30000}"/>
    <cellStyle name="Normal 7 5 5 8" xfId="27039" xr:uid="{00000000-0005-0000-0000-0000CDC30000}"/>
    <cellStyle name="Normal 7 5 6" xfId="2670" xr:uid="{00000000-0005-0000-0000-0000CEC30000}"/>
    <cellStyle name="Normal 7 5 6 2" xfId="11987" xr:uid="{00000000-0005-0000-0000-0000CFC30000}"/>
    <cellStyle name="Normal 7 5 6 2 2" xfId="22031" xr:uid="{00000000-0005-0000-0000-0000D0C30000}"/>
    <cellStyle name="Normal 7 5 6 2 2 2" xfId="47584" xr:uid="{00000000-0005-0000-0000-0000D1C30000}"/>
    <cellStyle name="Normal 7 5 6 2 3" xfId="37542" xr:uid="{00000000-0005-0000-0000-0000D2C30000}"/>
    <cellStyle name="Normal 7 5 6 3" xfId="8422" xr:uid="{00000000-0005-0000-0000-0000D3C30000}"/>
    <cellStyle name="Normal 7 5 6 3 2" xfId="33979" xr:uid="{00000000-0005-0000-0000-0000D4C30000}"/>
    <cellStyle name="Normal 7 5 6 4" xfId="17024" xr:uid="{00000000-0005-0000-0000-0000D5C30000}"/>
    <cellStyle name="Normal 7 5 6 4 2" xfId="42577" xr:uid="{00000000-0005-0000-0000-0000D6C30000}"/>
    <cellStyle name="Normal 7 5 6 5" xfId="28514" xr:uid="{00000000-0005-0000-0000-0000D7C30000}"/>
    <cellStyle name="Normal 7 5 7" xfId="4221" xr:uid="{00000000-0005-0000-0000-0000D8C30000}"/>
    <cellStyle name="Normal 7 5 7 2" xfId="13059" xr:uid="{00000000-0005-0000-0000-0000D9C30000}"/>
    <cellStyle name="Normal 7 5 7 2 2" xfId="23310" xr:uid="{00000000-0005-0000-0000-0000DAC30000}"/>
    <cellStyle name="Normal 7 5 7 2 2 2" xfId="48863" xr:uid="{00000000-0005-0000-0000-0000DBC30000}"/>
    <cellStyle name="Normal 7 5 7 2 3" xfId="38614" xr:uid="{00000000-0005-0000-0000-0000DCC30000}"/>
    <cellStyle name="Normal 7 5 7 3" xfId="9480" xr:uid="{00000000-0005-0000-0000-0000DDC30000}"/>
    <cellStyle name="Normal 7 5 7 3 2" xfId="35037" xr:uid="{00000000-0005-0000-0000-0000DEC30000}"/>
    <cellStyle name="Normal 7 5 7 4" xfId="18303" xr:uid="{00000000-0005-0000-0000-0000DFC30000}"/>
    <cellStyle name="Normal 7 5 7 4 2" xfId="43856" xr:uid="{00000000-0005-0000-0000-0000E0C30000}"/>
    <cellStyle name="Normal 7 5 7 5" xfId="29793" xr:uid="{00000000-0005-0000-0000-0000E1C30000}"/>
    <cellStyle name="Normal 7 5 8" xfId="1493" xr:uid="{00000000-0005-0000-0000-0000E2C30000}"/>
    <cellStyle name="Normal 7 5 8 2" xfId="10870" xr:uid="{00000000-0005-0000-0000-0000E3C30000}"/>
    <cellStyle name="Normal 7 5 8 2 2" xfId="36425" xr:uid="{00000000-0005-0000-0000-0000E4C30000}"/>
    <cellStyle name="Normal 7 5 8 3" xfId="20874" xr:uid="{00000000-0005-0000-0000-0000E5C30000}"/>
    <cellStyle name="Normal 7 5 8 3 2" xfId="46427" xr:uid="{00000000-0005-0000-0000-0000E6C30000}"/>
    <cellStyle name="Normal 7 5 8 4" xfId="27357" xr:uid="{00000000-0005-0000-0000-0000E7C30000}"/>
    <cellStyle name="Normal 7 5 9" xfId="5677" xr:uid="{00000000-0005-0000-0000-0000E8C30000}"/>
    <cellStyle name="Normal 7 5 9 2" xfId="14504" xr:uid="{00000000-0005-0000-0000-0000E9C30000}"/>
    <cellStyle name="Normal 7 5 9 2 2" xfId="40059" xr:uid="{00000000-0005-0000-0000-0000EAC30000}"/>
    <cellStyle name="Normal 7 5 9 3" xfId="24755" xr:uid="{00000000-0005-0000-0000-0000EBC30000}"/>
    <cellStyle name="Normal 7 5 9 3 2" xfId="50308" xr:uid="{00000000-0005-0000-0000-0000ECC30000}"/>
    <cellStyle name="Normal 7 5 9 4" xfId="31238" xr:uid="{00000000-0005-0000-0000-0000EDC30000}"/>
    <cellStyle name="Normal 7 5_Degree data" xfId="4073" xr:uid="{00000000-0005-0000-0000-0000EEC30000}"/>
    <cellStyle name="Normal 7 6" xfId="226" xr:uid="{00000000-0005-0000-0000-0000EFC30000}"/>
    <cellStyle name="Normal 7 6 10" xfId="7064" xr:uid="{00000000-0005-0000-0000-0000F0C30000}"/>
    <cellStyle name="Normal 7 6 10 2" xfId="19678" xr:uid="{00000000-0005-0000-0000-0000F1C30000}"/>
    <cellStyle name="Normal 7 6 10 2 2" xfId="45231" xr:uid="{00000000-0005-0000-0000-0000F2C30000}"/>
    <cellStyle name="Normal 7 6 10 3" xfId="32621" xr:uid="{00000000-0005-0000-0000-0000F3C30000}"/>
    <cellStyle name="Normal 7 6 11" xfId="15810" xr:uid="{00000000-0005-0000-0000-0000F4C30000}"/>
    <cellStyle name="Normal 7 6 11 2" xfId="41363" xr:uid="{00000000-0005-0000-0000-0000F5C30000}"/>
    <cellStyle name="Normal 7 6 12" xfId="26161" xr:uid="{00000000-0005-0000-0000-0000F6C30000}"/>
    <cellStyle name="Normal 7 6 2" xfId="549" xr:uid="{00000000-0005-0000-0000-0000F7C30000}"/>
    <cellStyle name="Normal 7 6 2 10" xfId="26478" xr:uid="{00000000-0005-0000-0000-0000F8C30000}"/>
    <cellStyle name="Normal 7 6 2 2" xfId="970" xr:uid="{00000000-0005-0000-0000-0000F9C30000}"/>
    <cellStyle name="Normal 7 6 2 2 2" xfId="3446" xr:uid="{00000000-0005-0000-0000-0000FAC30000}"/>
    <cellStyle name="Normal 7 6 2 2 2 2" xfId="12588" xr:uid="{00000000-0005-0000-0000-0000FBC30000}"/>
    <cellStyle name="Normal 7 6 2 2 2 2 2" xfId="22807" xr:uid="{00000000-0005-0000-0000-0000FCC30000}"/>
    <cellStyle name="Normal 7 6 2 2 2 2 2 2" xfId="48360" xr:uid="{00000000-0005-0000-0000-0000FDC30000}"/>
    <cellStyle name="Normal 7 6 2 2 2 2 3" xfId="38143" xr:uid="{00000000-0005-0000-0000-0000FEC30000}"/>
    <cellStyle name="Normal 7 6 2 2 2 3" xfId="9010" xr:uid="{00000000-0005-0000-0000-0000FFC30000}"/>
    <cellStyle name="Normal 7 6 2 2 2 3 2" xfId="34567" xr:uid="{00000000-0005-0000-0000-000000C40000}"/>
    <cellStyle name="Normal 7 6 2 2 2 4" xfId="17800" xr:uid="{00000000-0005-0000-0000-000001C40000}"/>
    <cellStyle name="Normal 7 6 2 2 2 4 2" xfId="43353" xr:uid="{00000000-0005-0000-0000-000002C40000}"/>
    <cellStyle name="Normal 7 6 2 2 2 5" xfId="29290" xr:uid="{00000000-0005-0000-0000-000003C40000}"/>
    <cellStyle name="Normal 7 6 2 2 3" xfId="4776" xr:uid="{00000000-0005-0000-0000-000004C40000}"/>
    <cellStyle name="Normal 7 6 2 2 3 2" xfId="13613" xr:uid="{00000000-0005-0000-0000-000005C40000}"/>
    <cellStyle name="Normal 7 6 2 2 3 2 2" xfId="23864" xr:uid="{00000000-0005-0000-0000-000006C40000}"/>
    <cellStyle name="Normal 7 6 2 2 3 2 2 2" xfId="49417" xr:uid="{00000000-0005-0000-0000-000007C40000}"/>
    <cellStyle name="Normal 7 6 2 2 3 2 3" xfId="39168" xr:uid="{00000000-0005-0000-0000-000008C40000}"/>
    <cellStyle name="Normal 7 6 2 2 3 3" xfId="10034" xr:uid="{00000000-0005-0000-0000-000009C40000}"/>
    <cellStyle name="Normal 7 6 2 2 3 3 2" xfId="35591" xr:uid="{00000000-0005-0000-0000-00000AC40000}"/>
    <cellStyle name="Normal 7 6 2 2 3 4" xfId="18857" xr:uid="{00000000-0005-0000-0000-00000BC40000}"/>
    <cellStyle name="Normal 7 6 2 2 3 4 2" xfId="44410" xr:uid="{00000000-0005-0000-0000-00000CC40000}"/>
    <cellStyle name="Normal 7 6 2 2 3 5" xfId="30347" xr:uid="{00000000-0005-0000-0000-00000DC40000}"/>
    <cellStyle name="Normal 7 6 2 2 4" xfId="2555" xr:uid="{00000000-0005-0000-0000-00000EC40000}"/>
    <cellStyle name="Normal 7 6 2 2 4 2" xfId="11920" xr:uid="{00000000-0005-0000-0000-00000FC40000}"/>
    <cellStyle name="Normal 7 6 2 2 4 2 2" xfId="37475" xr:uid="{00000000-0005-0000-0000-000010C40000}"/>
    <cellStyle name="Normal 7 6 2 2 4 3" xfId="21924" xr:uid="{00000000-0005-0000-0000-000011C40000}"/>
    <cellStyle name="Normal 7 6 2 2 4 3 2" xfId="47477" xr:uid="{00000000-0005-0000-0000-000012C40000}"/>
    <cellStyle name="Normal 7 6 2 2 4 4" xfId="28407" xr:uid="{00000000-0005-0000-0000-000013C40000}"/>
    <cellStyle name="Normal 7 6 2 2 5" xfId="6231" xr:uid="{00000000-0005-0000-0000-000014C40000}"/>
    <cellStyle name="Normal 7 6 2 2 5 2" xfId="15058" xr:uid="{00000000-0005-0000-0000-000015C40000}"/>
    <cellStyle name="Normal 7 6 2 2 5 2 2" xfId="40613" xr:uid="{00000000-0005-0000-0000-000016C40000}"/>
    <cellStyle name="Normal 7 6 2 2 5 3" xfId="25309" xr:uid="{00000000-0005-0000-0000-000017C40000}"/>
    <cellStyle name="Normal 7 6 2 2 5 3 2" xfId="50862" xr:uid="{00000000-0005-0000-0000-000018C40000}"/>
    <cellStyle name="Normal 7 6 2 2 5 4" xfId="31792" xr:uid="{00000000-0005-0000-0000-000019C40000}"/>
    <cellStyle name="Normal 7 6 2 2 6" xfId="7677" xr:uid="{00000000-0005-0000-0000-00001AC40000}"/>
    <cellStyle name="Normal 7 6 2 2 6 2" xfId="20406" xr:uid="{00000000-0005-0000-0000-00001BC40000}"/>
    <cellStyle name="Normal 7 6 2 2 6 2 2" xfId="45959" xr:uid="{00000000-0005-0000-0000-00001CC40000}"/>
    <cellStyle name="Normal 7 6 2 2 6 3" xfId="33234" xr:uid="{00000000-0005-0000-0000-00001DC40000}"/>
    <cellStyle name="Normal 7 6 2 2 7" xfId="16917" xr:uid="{00000000-0005-0000-0000-00001EC40000}"/>
    <cellStyle name="Normal 7 6 2 2 7 2" xfId="42470" xr:uid="{00000000-0005-0000-0000-00001FC40000}"/>
    <cellStyle name="Normal 7 6 2 2 8" xfId="26889" xr:uid="{00000000-0005-0000-0000-000020C40000}"/>
    <cellStyle name="Normal 7 6 2 3" xfId="1321" xr:uid="{00000000-0005-0000-0000-000021C40000}"/>
    <cellStyle name="Normal 7 6 2 3 2" xfId="3750" xr:uid="{00000000-0005-0000-0000-000022C40000}"/>
    <cellStyle name="Normal 7 6 2 3 2 2" xfId="12886" xr:uid="{00000000-0005-0000-0000-000023C40000}"/>
    <cellStyle name="Normal 7 6 2 3 2 2 2" xfId="23105" xr:uid="{00000000-0005-0000-0000-000024C40000}"/>
    <cellStyle name="Normal 7 6 2 3 2 2 2 2" xfId="48658" xr:uid="{00000000-0005-0000-0000-000025C40000}"/>
    <cellStyle name="Normal 7 6 2 3 2 2 3" xfId="38441" xr:uid="{00000000-0005-0000-0000-000026C40000}"/>
    <cellStyle name="Normal 7 6 2 3 2 3" xfId="9307" xr:uid="{00000000-0005-0000-0000-000027C40000}"/>
    <cellStyle name="Normal 7 6 2 3 2 3 2" xfId="34864" xr:uid="{00000000-0005-0000-0000-000028C40000}"/>
    <cellStyle name="Normal 7 6 2 3 2 4" xfId="18098" xr:uid="{00000000-0005-0000-0000-000029C40000}"/>
    <cellStyle name="Normal 7 6 2 3 2 4 2" xfId="43651" xr:uid="{00000000-0005-0000-0000-00002AC40000}"/>
    <cellStyle name="Normal 7 6 2 3 2 5" xfId="29588" xr:uid="{00000000-0005-0000-0000-00002BC40000}"/>
    <cellStyle name="Normal 7 6 2 3 3" xfId="5124" xr:uid="{00000000-0005-0000-0000-00002CC40000}"/>
    <cellStyle name="Normal 7 6 2 3 3 2" xfId="13961" xr:uid="{00000000-0005-0000-0000-00002DC40000}"/>
    <cellStyle name="Normal 7 6 2 3 3 2 2" xfId="24212" xr:uid="{00000000-0005-0000-0000-00002EC40000}"/>
    <cellStyle name="Normal 7 6 2 3 3 2 2 2" xfId="49765" xr:uid="{00000000-0005-0000-0000-00002FC40000}"/>
    <cellStyle name="Normal 7 6 2 3 3 2 3" xfId="39516" xr:uid="{00000000-0005-0000-0000-000030C40000}"/>
    <cellStyle name="Normal 7 6 2 3 3 3" xfId="10382" xr:uid="{00000000-0005-0000-0000-000031C40000}"/>
    <cellStyle name="Normal 7 6 2 3 3 3 2" xfId="35939" xr:uid="{00000000-0005-0000-0000-000032C40000}"/>
    <cellStyle name="Normal 7 6 2 3 3 4" xfId="19205" xr:uid="{00000000-0005-0000-0000-000033C40000}"/>
    <cellStyle name="Normal 7 6 2 3 3 4 2" xfId="44758" xr:uid="{00000000-0005-0000-0000-000034C40000}"/>
    <cellStyle name="Normal 7 6 2 3 3 5" xfId="30695" xr:uid="{00000000-0005-0000-0000-000035C40000}"/>
    <cellStyle name="Normal 7 6 2 3 4" xfId="2144" xr:uid="{00000000-0005-0000-0000-000036C40000}"/>
    <cellStyle name="Normal 7 6 2 3 4 2" xfId="11509" xr:uid="{00000000-0005-0000-0000-000037C40000}"/>
    <cellStyle name="Normal 7 6 2 3 4 2 2" xfId="37064" xr:uid="{00000000-0005-0000-0000-000038C40000}"/>
    <cellStyle name="Normal 7 6 2 3 4 3" xfId="21513" xr:uid="{00000000-0005-0000-0000-000039C40000}"/>
    <cellStyle name="Normal 7 6 2 3 4 3 2" xfId="47066" xr:uid="{00000000-0005-0000-0000-00003AC40000}"/>
    <cellStyle name="Normal 7 6 2 3 4 4" xfId="27996" xr:uid="{00000000-0005-0000-0000-00003BC40000}"/>
    <cellStyle name="Normal 7 6 2 3 5" xfId="6579" xr:uid="{00000000-0005-0000-0000-00003CC40000}"/>
    <cellStyle name="Normal 7 6 2 3 5 2" xfId="15406" xr:uid="{00000000-0005-0000-0000-00003DC40000}"/>
    <cellStyle name="Normal 7 6 2 3 5 2 2" xfId="40961" xr:uid="{00000000-0005-0000-0000-00003EC40000}"/>
    <cellStyle name="Normal 7 6 2 3 5 3" xfId="25657" xr:uid="{00000000-0005-0000-0000-00003FC40000}"/>
    <cellStyle name="Normal 7 6 2 3 5 3 2" xfId="51210" xr:uid="{00000000-0005-0000-0000-000040C40000}"/>
    <cellStyle name="Normal 7 6 2 3 5 4" xfId="32140" xr:uid="{00000000-0005-0000-0000-000041C40000}"/>
    <cellStyle name="Normal 7 6 2 3 6" xfId="8025" xr:uid="{00000000-0005-0000-0000-000042C40000}"/>
    <cellStyle name="Normal 7 6 2 3 6 2" xfId="20704" xr:uid="{00000000-0005-0000-0000-000043C40000}"/>
    <cellStyle name="Normal 7 6 2 3 6 2 2" xfId="46257" xr:uid="{00000000-0005-0000-0000-000044C40000}"/>
    <cellStyle name="Normal 7 6 2 3 6 3" xfId="33582" xr:uid="{00000000-0005-0000-0000-000045C40000}"/>
    <cellStyle name="Normal 7 6 2 3 7" xfId="16506" xr:uid="{00000000-0005-0000-0000-000046C40000}"/>
    <cellStyle name="Normal 7 6 2 3 7 2" xfId="42059" xr:uid="{00000000-0005-0000-0000-000047C40000}"/>
    <cellStyle name="Normal 7 6 2 3 8" xfId="27187" xr:uid="{00000000-0005-0000-0000-000048C40000}"/>
    <cellStyle name="Normal 7 6 2 4" xfId="3035" xr:uid="{00000000-0005-0000-0000-000049C40000}"/>
    <cellStyle name="Normal 7 6 2 4 2" xfId="5413" xr:uid="{00000000-0005-0000-0000-00004AC40000}"/>
    <cellStyle name="Normal 7 6 2 4 2 2" xfId="14250" xr:uid="{00000000-0005-0000-0000-00004BC40000}"/>
    <cellStyle name="Normal 7 6 2 4 2 2 2" xfId="24501" xr:uid="{00000000-0005-0000-0000-00004CC40000}"/>
    <cellStyle name="Normal 7 6 2 4 2 2 2 2" xfId="50054" xr:uid="{00000000-0005-0000-0000-00004DC40000}"/>
    <cellStyle name="Normal 7 6 2 4 2 2 3" xfId="39805" xr:uid="{00000000-0005-0000-0000-00004EC40000}"/>
    <cellStyle name="Normal 7 6 2 4 2 3" xfId="10671" xr:uid="{00000000-0005-0000-0000-00004FC40000}"/>
    <cellStyle name="Normal 7 6 2 4 2 3 2" xfId="36228" xr:uid="{00000000-0005-0000-0000-000050C40000}"/>
    <cellStyle name="Normal 7 6 2 4 2 4" xfId="19494" xr:uid="{00000000-0005-0000-0000-000051C40000}"/>
    <cellStyle name="Normal 7 6 2 4 2 4 2" xfId="45047" xr:uid="{00000000-0005-0000-0000-000052C40000}"/>
    <cellStyle name="Normal 7 6 2 4 2 5" xfId="30984" xr:uid="{00000000-0005-0000-0000-000053C40000}"/>
    <cellStyle name="Normal 7 6 2 4 3" xfId="6868" xr:uid="{00000000-0005-0000-0000-000054C40000}"/>
    <cellStyle name="Normal 7 6 2 4 3 2" xfId="15695" xr:uid="{00000000-0005-0000-0000-000055C40000}"/>
    <cellStyle name="Normal 7 6 2 4 3 2 2" xfId="41250" xr:uid="{00000000-0005-0000-0000-000056C40000}"/>
    <cellStyle name="Normal 7 6 2 4 3 3" xfId="25946" xr:uid="{00000000-0005-0000-0000-000057C40000}"/>
    <cellStyle name="Normal 7 6 2 4 3 3 2" xfId="51499" xr:uid="{00000000-0005-0000-0000-000058C40000}"/>
    <cellStyle name="Normal 7 6 2 4 3 4" xfId="32429" xr:uid="{00000000-0005-0000-0000-000059C40000}"/>
    <cellStyle name="Normal 7 6 2 4 4" xfId="8314" xr:uid="{00000000-0005-0000-0000-00005AC40000}"/>
    <cellStyle name="Normal 7 6 2 4 4 2" xfId="22396" xr:uid="{00000000-0005-0000-0000-00005BC40000}"/>
    <cellStyle name="Normal 7 6 2 4 4 2 2" xfId="47949" xr:uid="{00000000-0005-0000-0000-00005CC40000}"/>
    <cellStyle name="Normal 7 6 2 4 4 3" xfId="33871" xr:uid="{00000000-0005-0000-0000-00005DC40000}"/>
    <cellStyle name="Normal 7 6 2 4 5" xfId="17389" xr:uid="{00000000-0005-0000-0000-00005EC40000}"/>
    <cellStyle name="Normal 7 6 2 4 5 2" xfId="42942" xr:uid="{00000000-0005-0000-0000-00005FC40000}"/>
    <cellStyle name="Normal 7 6 2 4 6" xfId="28879" xr:uid="{00000000-0005-0000-0000-000060C40000}"/>
    <cellStyle name="Normal 7 6 2 5" xfId="4369" xr:uid="{00000000-0005-0000-0000-000061C40000}"/>
    <cellStyle name="Normal 7 6 2 5 2" xfId="13207" xr:uid="{00000000-0005-0000-0000-000062C40000}"/>
    <cellStyle name="Normal 7 6 2 5 2 2" xfId="23458" xr:uid="{00000000-0005-0000-0000-000063C40000}"/>
    <cellStyle name="Normal 7 6 2 5 2 2 2" xfId="49011" xr:uid="{00000000-0005-0000-0000-000064C40000}"/>
    <cellStyle name="Normal 7 6 2 5 2 3" xfId="38762" xr:uid="{00000000-0005-0000-0000-000065C40000}"/>
    <cellStyle name="Normal 7 6 2 5 3" xfId="9628" xr:uid="{00000000-0005-0000-0000-000066C40000}"/>
    <cellStyle name="Normal 7 6 2 5 3 2" xfId="35185" xr:uid="{00000000-0005-0000-0000-000067C40000}"/>
    <cellStyle name="Normal 7 6 2 5 4" xfId="18451" xr:uid="{00000000-0005-0000-0000-000068C40000}"/>
    <cellStyle name="Normal 7 6 2 5 4 2" xfId="44004" xr:uid="{00000000-0005-0000-0000-000069C40000}"/>
    <cellStyle name="Normal 7 6 2 5 5" xfId="29941" xr:uid="{00000000-0005-0000-0000-00006AC40000}"/>
    <cellStyle name="Normal 7 6 2 6" xfId="1641" xr:uid="{00000000-0005-0000-0000-00006BC40000}"/>
    <cellStyle name="Normal 7 6 2 6 2" xfId="11018" xr:uid="{00000000-0005-0000-0000-00006CC40000}"/>
    <cellStyle name="Normal 7 6 2 6 2 2" xfId="36573" xr:uid="{00000000-0005-0000-0000-00006DC40000}"/>
    <cellStyle name="Normal 7 6 2 6 3" xfId="21022" xr:uid="{00000000-0005-0000-0000-00006EC40000}"/>
    <cellStyle name="Normal 7 6 2 6 3 2" xfId="46575" xr:uid="{00000000-0005-0000-0000-00006FC40000}"/>
    <cellStyle name="Normal 7 6 2 6 4" xfId="27505" xr:uid="{00000000-0005-0000-0000-000070C40000}"/>
    <cellStyle name="Normal 7 6 2 7" xfId="5825" xr:uid="{00000000-0005-0000-0000-000071C40000}"/>
    <cellStyle name="Normal 7 6 2 7 2" xfId="14652" xr:uid="{00000000-0005-0000-0000-000072C40000}"/>
    <cellStyle name="Normal 7 6 2 7 2 2" xfId="40207" xr:uid="{00000000-0005-0000-0000-000073C40000}"/>
    <cellStyle name="Normal 7 6 2 7 3" xfId="24903" xr:uid="{00000000-0005-0000-0000-000074C40000}"/>
    <cellStyle name="Normal 7 6 2 7 3 2" xfId="50456" xr:uid="{00000000-0005-0000-0000-000075C40000}"/>
    <cellStyle name="Normal 7 6 2 7 4" xfId="31386" xr:uid="{00000000-0005-0000-0000-000076C40000}"/>
    <cellStyle name="Normal 7 6 2 8" xfId="7269" xr:uid="{00000000-0005-0000-0000-000077C40000}"/>
    <cellStyle name="Normal 7 6 2 8 2" xfId="19995" xr:uid="{00000000-0005-0000-0000-000078C40000}"/>
    <cellStyle name="Normal 7 6 2 8 2 2" xfId="45548" xr:uid="{00000000-0005-0000-0000-000079C40000}"/>
    <cellStyle name="Normal 7 6 2 8 3" xfId="32826" xr:uid="{00000000-0005-0000-0000-00007AC40000}"/>
    <cellStyle name="Normal 7 6 2 9" xfId="16015" xr:uid="{00000000-0005-0000-0000-00007BC40000}"/>
    <cellStyle name="Normal 7 6 2 9 2" xfId="41568" xr:uid="{00000000-0005-0000-0000-00007CC40000}"/>
    <cellStyle name="Normal 7 6 2_Degree data" xfId="4076" xr:uid="{00000000-0005-0000-0000-00007DC40000}"/>
    <cellStyle name="Normal 7 6 3" xfId="344" xr:uid="{00000000-0005-0000-0000-00007EC40000}"/>
    <cellStyle name="Normal 7 6 3 2" xfId="2830" xr:uid="{00000000-0005-0000-0000-00007FC40000}"/>
    <cellStyle name="Normal 7 6 3 2 2" xfId="12118" xr:uid="{00000000-0005-0000-0000-000080C40000}"/>
    <cellStyle name="Normal 7 6 3 2 2 2" xfId="22191" xr:uid="{00000000-0005-0000-0000-000081C40000}"/>
    <cellStyle name="Normal 7 6 3 2 2 2 2" xfId="47744" xr:uid="{00000000-0005-0000-0000-000082C40000}"/>
    <cellStyle name="Normal 7 6 3 2 2 3" xfId="37673" xr:uid="{00000000-0005-0000-0000-000083C40000}"/>
    <cellStyle name="Normal 7 6 3 2 3" xfId="8427" xr:uid="{00000000-0005-0000-0000-000084C40000}"/>
    <cellStyle name="Normal 7 6 3 2 3 2" xfId="33984" xr:uid="{00000000-0005-0000-0000-000085C40000}"/>
    <cellStyle name="Normal 7 6 3 2 4" xfId="17184" xr:uid="{00000000-0005-0000-0000-000086C40000}"/>
    <cellStyle name="Normal 7 6 3 2 4 2" xfId="42737" xr:uid="{00000000-0005-0000-0000-000087C40000}"/>
    <cellStyle name="Normal 7 6 3 2 5" xfId="28674" xr:uid="{00000000-0005-0000-0000-000088C40000}"/>
    <cellStyle name="Normal 7 6 3 3" xfId="4775" xr:uid="{00000000-0005-0000-0000-000089C40000}"/>
    <cellStyle name="Normal 7 6 3 3 2" xfId="13612" xr:uid="{00000000-0005-0000-0000-00008AC40000}"/>
    <cellStyle name="Normal 7 6 3 3 2 2" xfId="23863" xr:uid="{00000000-0005-0000-0000-00008BC40000}"/>
    <cellStyle name="Normal 7 6 3 3 2 2 2" xfId="49416" xr:uid="{00000000-0005-0000-0000-00008CC40000}"/>
    <cellStyle name="Normal 7 6 3 3 2 3" xfId="39167" xr:uid="{00000000-0005-0000-0000-00008DC40000}"/>
    <cellStyle name="Normal 7 6 3 3 3" xfId="10033" xr:uid="{00000000-0005-0000-0000-00008EC40000}"/>
    <cellStyle name="Normal 7 6 3 3 3 2" xfId="35590" xr:uid="{00000000-0005-0000-0000-00008FC40000}"/>
    <cellStyle name="Normal 7 6 3 3 4" xfId="18856" xr:uid="{00000000-0005-0000-0000-000090C40000}"/>
    <cellStyle name="Normal 7 6 3 3 4 2" xfId="44409" xr:uid="{00000000-0005-0000-0000-000091C40000}"/>
    <cellStyle name="Normal 7 6 3 3 5" xfId="30346" xr:uid="{00000000-0005-0000-0000-000092C40000}"/>
    <cellStyle name="Normal 7 6 3 4" xfId="1939" xr:uid="{00000000-0005-0000-0000-000093C40000}"/>
    <cellStyle name="Normal 7 6 3 4 2" xfId="11304" xr:uid="{00000000-0005-0000-0000-000094C40000}"/>
    <cellStyle name="Normal 7 6 3 4 2 2" xfId="36859" xr:uid="{00000000-0005-0000-0000-000095C40000}"/>
    <cellStyle name="Normal 7 6 3 4 3" xfId="21308" xr:uid="{00000000-0005-0000-0000-000096C40000}"/>
    <cellStyle name="Normal 7 6 3 4 3 2" xfId="46861" xr:uid="{00000000-0005-0000-0000-000097C40000}"/>
    <cellStyle name="Normal 7 6 3 4 4" xfId="27791" xr:uid="{00000000-0005-0000-0000-000098C40000}"/>
    <cellStyle name="Normal 7 6 3 5" xfId="6230" xr:uid="{00000000-0005-0000-0000-000099C40000}"/>
    <cellStyle name="Normal 7 6 3 5 2" xfId="15057" xr:uid="{00000000-0005-0000-0000-00009AC40000}"/>
    <cellStyle name="Normal 7 6 3 5 2 2" xfId="40612" xr:uid="{00000000-0005-0000-0000-00009BC40000}"/>
    <cellStyle name="Normal 7 6 3 5 3" xfId="25308" xr:uid="{00000000-0005-0000-0000-00009CC40000}"/>
    <cellStyle name="Normal 7 6 3 5 3 2" xfId="50861" xr:uid="{00000000-0005-0000-0000-00009DC40000}"/>
    <cellStyle name="Normal 7 6 3 5 4" xfId="31791" xr:uid="{00000000-0005-0000-0000-00009EC40000}"/>
    <cellStyle name="Normal 7 6 3 6" xfId="7676" xr:uid="{00000000-0005-0000-0000-00009FC40000}"/>
    <cellStyle name="Normal 7 6 3 6 2" xfId="19790" xr:uid="{00000000-0005-0000-0000-0000A0C40000}"/>
    <cellStyle name="Normal 7 6 3 6 2 2" xfId="45343" xr:uid="{00000000-0005-0000-0000-0000A1C40000}"/>
    <cellStyle name="Normal 7 6 3 6 3" xfId="33233" xr:uid="{00000000-0005-0000-0000-0000A2C40000}"/>
    <cellStyle name="Normal 7 6 3 7" xfId="16301" xr:uid="{00000000-0005-0000-0000-0000A3C40000}"/>
    <cellStyle name="Normal 7 6 3 7 2" xfId="41854" xr:uid="{00000000-0005-0000-0000-0000A4C40000}"/>
    <cellStyle name="Normal 7 6 3 8" xfId="26273" xr:uid="{00000000-0005-0000-0000-0000A5C40000}"/>
    <cellStyle name="Normal 7 6 4" xfId="969" xr:uid="{00000000-0005-0000-0000-0000A6C40000}"/>
    <cellStyle name="Normal 7 6 4 2" xfId="3445" xr:uid="{00000000-0005-0000-0000-0000A7C40000}"/>
    <cellStyle name="Normal 7 6 4 2 2" xfId="12587" xr:uid="{00000000-0005-0000-0000-0000A8C40000}"/>
    <cellStyle name="Normal 7 6 4 2 2 2" xfId="22806" xr:uid="{00000000-0005-0000-0000-0000A9C40000}"/>
    <cellStyle name="Normal 7 6 4 2 2 2 2" xfId="48359" xr:uid="{00000000-0005-0000-0000-0000AAC40000}"/>
    <cellStyle name="Normal 7 6 4 2 2 3" xfId="38142" xr:uid="{00000000-0005-0000-0000-0000ABC40000}"/>
    <cellStyle name="Normal 7 6 4 2 3" xfId="9009" xr:uid="{00000000-0005-0000-0000-0000ACC40000}"/>
    <cellStyle name="Normal 7 6 4 2 3 2" xfId="34566" xr:uid="{00000000-0005-0000-0000-0000ADC40000}"/>
    <cellStyle name="Normal 7 6 4 2 4" xfId="17799" xr:uid="{00000000-0005-0000-0000-0000AEC40000}"/>
    <cellStyle name="Normal 7 6 4 2 4 2" xfId="43352" xr:uid="{00000000-0005-0000-0000-0000AFC40000}"/>
    <cellStyle name="Normal 7 6 4 2 5" xfId="29289" xr:uid="{00000000-0005-0000-0000-0000B0C40000}"/>
    <cellStyle name="Normal 7 6 4 3" xfId="5123" xr:uid="{00000000-0005-0000-0000-0000B1C40000}"/>
    <cellStyle name="Normal 7 6 4 3 2" xfId="13960" xr:uid="{00000000-0005-0000-0000-0000B2C40000}"/>
    <cellStyle name="Normal 7 6 4 3 2 2" xfId="24211" xr:uid="{00000000-0005-0000-0000-0000B3C40000}"/>
    <cellStyle name="Normal 7 6 4 3 2 2 2" xfId="49764" xr:uid="{00000000-0005-0000-0000-0000B4C40000}"/>
    <cellStyle name="Normal 7 6 4 3 2 3" xfId="39515" xr:uid="{00000000-0005-0000-0000-0000B5C40000}"/>
    <cellStyle name="Normal 7 6 4 3 3" xfId="10381" xr:uid="{00000000-0005-0000-0000-0000B6C40000}"/>
    <cellStyle name="Normal 7 6 4 3 3 2" xfId="35938" xr:uid="{00000000-0005-0000-0000-0000B7C40000}"/>
    <cellStyle name="Normal 7 6 4 3 4" xfId="19204" xr:uid="{00000000-0005-0000-0000-0000B8C40000}"/>
    <cellStyle name="Normal 7 6 4 3 4 2" xfId="44757" xr:uid="{00000000-0005-0000-0000-0000B9C40000}"/>
    <cellStyle name="Normal 7 6 4 3 5" xfId="30694" xr:uid="{00000000-0005-0000-0000-0000BAC40000}"/>
    <cellStyle name="Normal 7 6 4 4" xfId="2554" xr:uid="{00000000-0005-0000-0000-0000BBC40000}"/>
    <cellStyle name="Normal 7 6 4 4 2" xfId="11919" xr:uid="{00000000-0005-0000-0000-0000BCC40000}"/>
    <cellStyle name="Normal 7 6 4 4 2 2" xfId="37474" xr:uid="{00000000-0005-0000-0000-0000BDC40000}"/>
    <cellStyle name="Normal 7 6 4 4 3" xfId="21923" xr:uid="{00000000-0005-0000-0000-0000BEC40000}"/>
    <cellStyle name="Normal 7 6 4 4 3 2" xfId="47476" xr:uid="{00000000-0005-0000-0000-0000BFC40000}"/>
    <cellStyle name="Normal 7 6 4 4 4" xfId="28406" xr:uid="{00000000-0005-0000-0000-0000C0C40000}"/>
    <cellStyle name="Normal 7 6 4 5" xfId="6578" xr:uid="{00000000-0005-0000-0000-0000C1C40000}"/>
    <cellStyle name="Normal 7 6 4 5 2" xfId="15405" xr:uid="{00000000-0005-0000-0000-0000C2C40000}"/>
    <cellStyle name="Normal 7 6 4 5 2 2" xfId="40960" xr:uid="{00000000-0005-0000-0000-0000C3C40000}"/>
    <cellStyle name="Normal 7 6 4 5 3" xfId="25656" xr:uid="{00000000-0005-0000-0000-0000C4C40000}"/>
    <cellStyle name="Normal 7 6 4 5 3 2" xfId="51209" xr:uid="{00000000-0005-0000-0000-0000C5C40000}"/>
    <cellStyle name="Normal 7 6 4 5 4" xfId="32139" xr:uid="{00000000-0005-0000-0000-0000C6C40000}"/>
    <cellStyle name="Normal 7 6 4 6" xfId="8024" xr:uid="{00000000-0005-0000-0000-0000C7C40000}"/>
    <cellStyle name="Normal 7 6 4 6 2" xfId="20405" xr:uid="{00000000-0005-0000-0000-0000C8C40000}"/>
    <cellStyle name="Normal 7 6 4 6 2 2" xfId="45958" xr:uid="{00000000-0005-0000-0000-0000C9C40000}"/>
    <cellStyle name="Normal 7 6 4 6 3" xfId="33581" xr:uid="{00000000-0005-0000-0000-0000CAC40000}"/>
    <cellStyle name="Normal 7 6 4 7" xfId="16916" xr:uid="{00000000-0005-0000-0000-0000CBC40000}"/>
    <cellStyle name="Normal 7 6 4 7 2" xfId="42469" xr:uid="{00000000-0005-0000-0000-0000CCC40000}"/>
    <cellStyle name="Normal 7 6 4 8" xfId="26888" xr:uid="{00000000-0005-0000-0000-0000CDC40000}"/>
    <cellStyle name="Normal 7 6 5" xfId="1116" xr:uid="{00000000-0005-0000-0000-0000CEC40000}"/>
    <cellStyle name="Normal 7 6 5 2" xfId="3545" xr:uid="{00000000-0005-0000-0000-0000CFC40000}"/>
    <cellStyle name="Normal 7 6 5 2 2" xfId="12681" xr:uid="{00000000-0005-0000-0000-0000D0C40000}"/>
    <cellStyle name="Normal 7 6 5 2 2 2" xfId="22900" xr:uid="{00000000-0005-0000-0000-0000D1C40000}"/>
    <cellStyle name="Normal 7 6 5 2 2 2 2" xfId="48453" xr:uid="{00000000-0005-0000-0000-0000D2C40000}"/>
    <cellStyle name="Normal 7 6 5 2 2 3" xfId="38236" xr:uid="{00000000-0005-0000-0000-0000D3C40000}"/>
    <cellStyle name="Normal 7 6 5 2 3" xfId="9102" xr:uid="{00000000-0005-0000-0000-0000D4C40000}"/>
    <cellStyle name="Normal 7 6 5 2 3 2" xfId="34659" xr:uid="{00000000-0005-0000-0000-0000D5C40000}"/>
    <cellStyle name="Normal 7 6 5 2 4" xfId="17893" xr:uid="{00000000-0005-0000-0000-0000D6C40000}"/>
    <cellStyle name="Normal 7 6 5 2 4 2" xfId="43446" xr:uid="{00000000-0005-0000-0000-0000D7C40000}"/>
    <cellStyle name="Normal 7 6 5 2 5" xfId="29383" xr:uid="{00000000-0005-0000-0000-0000D8C40000}"/>
    <cellStyle name="Normal 7 6 5 3" xfId="5208" xr:uid="{00000000-0005-0000-0000-0000D9C40000}"/>
    <cellStyle name="Normal 7 6 5 3 2" xfId="14045" xr:uid="{00000000-0005-0000-0000-0000DAC40000}"/>
    <cellStyle name="Normal 7 6 5 3 2 2" xfId="24296" xr:uid="{00000000-0005-0000-0000-0000DBC40000}"/>
    <cellStyle name="Normal 7 6 5 3 2 2 2" xfId="49849" xr:uid="{00000000-0005-0000-0000-0000DCC40000}"/>
    <cellStyle name="Normal 7 6 5 3 2 3" xfId="39600" xr:uid="{00000000-0005-0000-0000-0000DDC40000}"/>
    <cellStyle name="Normal 7 6 5 3 3" xfId="10466" xr:uid="{00000000-0005-0000-0000-0000DEC40000}"/>
    <cellStyle name="Normal 7 6 5 3 3 2" xfId="36023" xr:uid="{00000000-0005-0000-0000-0000DFC40000}"/>
    <cellStyle name="Normal 7 6 5 3 4" xfId="19289" xr:uid="{00000000-0005-0000-0000-0000E0C40000}"/>
    <cellStyle name="Normal 7 6 5 3 4 2" xfId="44842" xr:uid="{00000000-0005-0000-0000-0000E1C40000}"/>
    <cellStyle name="Normal 7 6 5 3 5" xfId="30779" xr:uid="{00000000-0005-0000-0000-0000E2C40000}"/>
    <cellStyle name="Normal 7 6 5 4" xfId="1824" xr:uid="{00000000-0005-0000-0000-0000E3C40000}"/>
    <cellStyle name="Normal 7 6 5 4 2" xfId="11192" xr:uid="{00000000-0005-0000-0000-0000E4C40000}"/>
    <cellStyle name="Normal 7 6 5 4 2 2" xfId="36747" xr:uid="{00000000-0005-0000-0000-0000E5C40000}"/>
    <cellStyle name="Normal 7 6 5 4 3" xfId="21196" xr:uid="{00000000-0005-0000-0000-0000E6C40000}"/>
    <cellStyle name="Normal 7 6 5 4 3 2" xfId="46749" xr:uid="{00000000-0005-0000-0000-0000E7C40000}"/>
    <cellStyle name="Normal 7 6 5 4 4" xfId="27679" xr:uid="{00000000-0005-0000-0000-0000E8C40000}"/>
    <cellStyle name="Normal 7 6 5 5" xfId="6663" xr:uid="{00000000-0005-0000-0000-0000E9C40000}"/>
    <cellStyle name="Normal 7 6 5 5 2" xfId="15490" xr:uid="{00000000-0005-0000-0000-0000EAC40000}"/>
    <cellStyle name="Normal 7 6 5 5 2 2" xfId="41045" xr:uid="{00000000-0005-0000-0000-0000EBC40000}"/>
    <cellStyle name="Normal 7 6 5 5 3" xfId="25741" xr:uid="{00000000-0005-0000-0000-0000ECC40000}"/>
    <cellStyle name="Normal 7 6 5 5 3 2" xfId="51294" xr:uid="{00000000-0005-0000-0000-0000EDC40000}"/>
    <cellStyle name="Normal 7 6 5 5 4" xfId="32224" xr:uid="{00000000-0005-0000-0000-0000EEC40000}"/>
    <cellStyle name="Normal 7 6 5 6" xfId="8109" xr:uid="{00000000-0005-0000-0000-0000EFC40000}"/>
    <cellStyle name="Normal 7 6 5 6 2" xfId="20499" xr:uid="{00000000-0005-0000-0000-0000F0C40000}"/>
    <cellStyle name="Normal 7 6 5 6 2 2" xfId="46052" xr:uid="{00000000-0005-0000-0000-0000F1C40000}"/>
    <cellStyle name="Normal 7 6 5 6 3" xfId="33666" xr:uid="{00000000-0005-0000-0000-0000F2C40000}"/>
    <cellStyle name="Normal 7 6 5 7" xfId="16189" xr:uid="{00000000-0005-0000-0000-0000F3C40000}"/>
    <cellStyle name="Normal 7 6 5 7 2" xfId="41742" xr:uid="{00000000-0005-0000-0000-0000F4C40000}"/>
    <cellStyle name="Normal 7 6 5 8" xfId="26982" xr:uid="{00000000-0005-0000-0000-0000F5C40000}"/>
    <cellStyle name="Normal 7 6 6" xfId="2718" xr:uid="{00000000-0005-0000-0000-0000F6C40000}"/>
    <cellStyle name="Normal 7 6 6 2" xfId="12035" xr:uid="{00000000-0005-0000-0000-0000F7C40000}"/>
    <cellStyle name="Normal 7 6 6 2 2" xfId="22079" xr:uid="{00000000-0005-0000-0000-0000F8C40000}"/>
    <cellStyle name="Normal 7 6 6 2 2 2" xfId="47632" xr:uid="{00000000-0005-0000-0000-0000F9C40000}"/>
    <cellStyle name="Normal 7 6 6 2 3" xfId="37590" xr:uid="{00000000-0005-0000-0000-0000FAC40000}"/>
    <cellStyle name="Normal 7 6 6 3" xfId="8593" xr:uid="{00000000-0005-0000-0000-0000FBC40000}"/>
    <cellStyle name="Normal 7 6 6 3 2" xfId="34150" xr:uid="{00000000-0005-0000-0000-0000FCC40000}"/>
    <cellStyle name="Normal 7 6 6 4" xfId="17072" xr:uid="{00000000-0005-0000-0000-0000FDC40000}"/>
    <cellStyle name="Normal 7 6 6 4 2" xfId="42625" xr:uid="{00000000-0005-0000-0000-0000FEC40000}"/>
    <cellStyle name="Normal 7 6 6 5" xfId="28562" xr:uid="{00000000-0005-0000-0000-0000FFC40000}"/>
    <cellStyle name="Normal 7 6 7" xfId="4164" xr:uid="{00000000-0005-0000-0000-000000C50000}"/>
    <cellStyle name="Normal 7 6 7 2" xfId="13002" xr:uid="{00000000-0005-0000-0000-000001C50000}"/>
    <cellStyle name="Normal 7 6 7 2 2" xfId="23253" xr:uid="{00000000-0005-0000-0000-000002C50000}"/>
    <cellStyle name="Normal 7 6 7 2 2 2" xfId="48806" xr:uid="{00000000-0005-0000-0000-000003C50000}"/>
    <cellStyle name="Normal 7 6 7 2 3" xfId="38557" xr:uid="{00000000-0005-0000-0000-000004C50000}"/>
    <cellStyle name="Normal 7 6 7 3" xfId="9423" xr:uid="{00000000-0005-0000-0000-000005C50000}"/>
    <cellStyle name="Normal 7 6 7 3 2" xfId="34980" xr:uid="{00000000-0005-0000-0000-000006C50000}"/>
    <cellStyle name="Normal 7 6 7 4" xfId="18246" xr:uid="{00000000-0005-0000-0000-000007C50000}"/>
    <cellStyle name="Normal 7 6 7 4 2" xfId="43799" xr:uid="{00000000-0005-0000-0000-000008C50000}"/>
    <cellStyle name="Normal 7 6 7 5" xfId="29736" xr:uid="{00000000-0005-0000-0000-000009C50000}"/>
    <cellStyle name="Normal 7 6 8" xfId="1436" xr:uid="{00000000-0005-0000-0000-00000AC50000}"/>
    <cellStyle name="Normal 7 6 8 2" xfId="10813" xr:uid="{00000000-0005-0000-0000-00000BC50000}"/>
    <cellStyle name="Normal 7 6 8 2 2" xfId="36368" xr:uid="{00000000-0005-0000-0000-00000CC50000}"/>
    <cellStyle name="Normal 7 6 8 3" xfId="20817" xr:uid="{00000000-0005-0000-0000-00000DC50000}"/>
    <cellStyle name="Normal 7 6 8 3 2" xfId="46370" xr:uid="{00000000-0005-0000-0000-00000EC50000}"/>
    <cellStyle name="Normal 7 6 8 4" xfId="27300" xr:uid="{00000000-0005-0000-0000-00000FC50000}"/>
    <cellStyle name="Normal 7 6 9" xfId="5620" xr:uid="{00000000-0005-0000-0000-000010C50000}"/>
    <cellStyle name="Normal 7 6 9 2" xfId="14447" xr:uid="{00000000-0005-0000-0000-000011C50000}"/>
    <cellStyle name="Normal 7 6 9 2 2" xfId="40002" xr:uid="{00000000-0005-0000-0000-000012C50000}"/>
    <cellStyle name="Normal 7 6 9 3" xfId="24698" xr:uid="{00000000-0005-0000-0000-000013C50000}"/>
    <cellStyle name="Normal 7 6 9 3 2" xfId="50251" xr:uid="{00000000-0005-0000-0000-000014C50000}"/>
    <cellStyle name="Normal 7 6 9 4" xfId="31181" xr:uid="{00000000-0005-0000-0000-000015C50000}"/>
    <cellStyle name="Normal 7 6_Degree data" xfId="4075" xr:uid="{00000000-0005-0000-0000-000016C50000}"/>
    <cellStyle name="Normal 7 7" xfId="283" xr:uid="{00000000-0005-0000-0000-000017C50000}"/>
    <cellStyle name="Normal 7 7 10" xfId="16071" xr:uid="{00000000-0005-0000-0000-000018C50000}"/>
    <cellStyle name="Normal 7 7 10 2" xfId="41624" xr:uid="{00000000-0005-0000-0000-000019C50000}"/>
    <cellStyle name="Normal 7 7 11" xfId="26217" xr:uid="{00000000-0005-0000-0000-00001AC50000}"/>
    <cellStyle name="Normal 7 7 2" xfId="605" xr:uid="{00000000-0005-0000-0000-00001BC50000}"/>
    <cellStyle name="Normal 7 7 2 2" xfId="3091" xr:uid="{00000000-0005-0000-0000-00001CC50000}"/>
    <cellStyle name="Normal 7 7 2 2 2" xfId="12234" xr:uid="{00000000-0005-0000-0000-00001DC50000}"/>
    <cellStyle name="Normal 7 7 2 2 2 2" xfId="22452" xr:uid="{00000000-0005-0000-0000-00001EC50000}"/>
    <cellStyle name="Normal 7 7 2 2 2 2 2" xfId="48005" xr:uid="{00000000-0005-0000-0000-00001FC50000}"/>
    <cellStyle name="Normal 7 7 2 2 2 3" xfId="37789" xr:uid="{00000000-0005-0000-0000-000020C50000}"/>
    <cellStyle name="Normal 7 7 2 2 3" xfId="8656" xr:uid="{00000000-0005-0000-0000-000021C50000}"/>
    <cellStyle name="Normal 7 7 2 2 3 2" xfId="34213" xr:uid="{00000000-0005-0000-0000-000022C50000}"/>
    <cellStyle name="Normal 7 7 2 2 4" xfId="17445" xr:uid="{00000000-0005-0000-0000-000023C50000}"/>
    <cellStyle name="Normal 7 7 2 2 4 2" xfId="42998" xr:uid="{00000000-0005-0000-0000-000024C50000}"/>
    <cellStyle name="Normal 7 7 2 2 5" xfId="28935" xr:uid="{00000000-0005-0000-0000-000025C50000}"/>
    <cellStyle name="Normal 7 7 2 3" xfId="4777" xr:uid="{00000000-0005-0000-0000-000026C50000}"/>
    <cellStyle name="Normal 7 7 2 3 2" xfId="13614" xr:uid="{00000000-0005-0000-0000-000027C50000}"/>
    <cellStyle name="Normal 7 7 2 3 2 2" xfId="23865" xr:uid="{00000000-0005-0000-0000-000028C50000}"/>
    <cellStyle name="Normal 7 7 2 3 2 2 2" xfId="49418" xr:uid="{00000000-0005-0000-0000-000029C50000}"/>
    <cellStyle name="Normal 7 7 2 3 2 3" xfId="39169" xr:uid="{00000000-0005-0000-0000-00002AC50000}"/>
    <cellStyle name="Normal 7 7 2 3 3" xfId="10035" xr:uid="{00000000-0005-0000-0000-00002BC50000}"/>
    <cellStyle name="Normal 7 7 2 3 3 2" xfId="35592" xr:uid="{00000000-0005-0000-0000-00002CC50000}"/>
    <cellStyle name="Normal 7 7 2 3 4" xfId="18858" xr:uid="{00000000-0005-0000-0000-00002DC50000}"/>
    <cellStyle name="Normal 7 7 2 3 4 2" xfId="44411" xr:uid="{00000000-0005-0000-0000-00002EC50000}"/>
    <cellStyle name="Normal 7 7 2 3 5" xfId="30348" xr:uid="{00000000-0005-0000-0000-00002FC50000}"/>
    <cellStyle name="Normal 7 7 2 4" xfId="2200" xr:uid="{00000000-0005-0000-0000-000030C50000}"/>
    <cellStyle name="Normal 7 7 2 4 2" xfId="11565" xr:uid="{00000000-0005-0000-0000-000031C50000}"/>
    <cellStyle name="Normal 7 7 2 4 2 2" xfId="37120" xr:uid="{00000000-0005-0000-0000-000032C50000}"/>
    <cellStyle name="Normal 7 7 2 4 3" xfId="21569" xr:uid="{00000000-0005-0000-0000-000033C50000}"/>
    <cellStyle name="Normal 7 7 2 4 3 2" xfId="47122" xr:uid="{00000000-0005-0000-0000-000034C50000}"/>
    <cellStyle name="Normal 7 7 2 4 4" xfId="28052" xr:uid="{00000000-0005-0000-0000-000035C50000}"/>
    <cellStyle name="Normal 7 7 2 5" xfId="6232" xr:uid="{00000000-0005-0000-0000-000036C50000}"/>
    <cellStyle name="Normal 7 7 2 5 2" xfId="15059" xr:uid="{00000000-0005-0000-0000-000037C50000}"/>
    <cellStyle name="Normal 7 7 2 5 2 2" xfId="40614" xr:uid="{00000000-0005-0000-0000-000038C50000}"/>
    <cellStyle name="Normal 7 7 2 5 3" xfId="25310" xr:uid="{00000000-0005-0000-0000-000039C50000}"/>
    <cellStyle name="Normal 7 7 2 5 3 2" xfId="50863" xr:uid="{00000000-0005-0000-0000-00003AC50000}"/>
    <cellStyle name="Normal 7 7 2 5 4" xfId="31793" xr:uid="{00000000-0005-0000-0000-00003BC50000}"/>
    <cellStyle name="Normal 7 7 2 6" xfId="7678" xr:uid="{00000000-0005-0000-0000-00003CC50000}"/>
    <cellStyle name="Normal 7 7 2 6 2" xfId="20051" xr:uid="{00000000-0005-0000-0000-00003DC50000}"/>
    <cellStyle name="Normal 7 7 2 6 2 2" xfId="45604" xr:uid="{00000000-0005-0000-0000-00003EC50000}"/>
    <cellStyle name="Normal 7 7 2 6 3" xfId="33235" xr:uid="{00000000-0005-0000-0000-00003FC50000}"/>
    <cellStyle name="Normal 7 7 2 7" xfId="16562" xr:uid="{00000000-0005-0000-0000-000040C50000}"/>
    <cellStyle name="Normal 7 7 2 7 2" xfId="42115" xr:uid="{00000000-0005-0000-0000-000041C50000}"/>
    <cellStyle name="Normal 7 7 2 8" xfId="26534" xr:uid="{00000000-0005-0000-0000-000042C50000}"/>
    <cellStyle name="Normal 7 7 3" xfId="971" xr:uid="{00000000-0005-0000-0000-000043C50000}"/>
    <cellStyle name="Normal 7 7 3 2" xfId="3447" xr:uid="{00000000-0005-0000-0000-000044C50000}"/>
    <cellStyle name="Normal 7 7 3 2 2" xfId="12589" xr:uid="{00000000-0005-0000-0000-000045C50000}"/>
    <cellStyle name="Normal 7 7 3 2 2 2" xfId="22808" xr:uid="{00000000-0005-0000-0000-000046C50000}"/>
    <cellStyle name="Normal 7 7 3 2 2 2 2" xfId="48361" xr:uid="{00000000-0005-0000-0000-000047C50000}"/>
    <cellStyle name="Normal 7 7 3 2 2 3" xfId="38144" xr:uid="{00000000-0005-0000-0000-000048C50000}"/>
    <cellStyle name="Normal 7 7 3 2 3" xfId="9011" xr:uid="{00000000-0005-0000-0000-000049C50000}"/>
    <cellStyle name="Normal 7 7 3 2 3 2" xfId="34568" xr:uid="{00000000-0005-0000-0000-00004AC50000}"/>
    <cellStyle name="Normal 7 7 3 2 4" xfId="17801" xr:uid="{00000000-0005-0000-0000-00004BC50000}"/>
    <cellStyle name="Normal 7 7 3 2 4 2" xfId="43354" xr:uid="{00000000-0005-0000-0000-00004CC50000}"/>
    <cellStyle name="Normal 7 7 3 2 5" xfId="29291" xr:uid="{00000000-0005-0000-0000-00004DC50000}"/>
    <cellStyle name="Normal 7 7 3 3" xfId="5125" xr:uid="{00000000-0005-0000-0000-00004EC50000}"/>
    <cellStyle name="Normal 7 7 3 3 2" xfId="13962" xr:uid="{00000000-0005-0000-0000-00004FC50000}"/>
    <cellStyle name="Normal 7 7 3 3 2 2" xfId="24213" xr:uid="{00000000-0005-0000-0000-000050C50000}"/>
    <cellStyle name="Normal 7 7 3 3 2 2 2" xfId="49766" xr:uid="{00000000-0005-0000-0000-000051C50000}"/>
    <cellStyle name="Normal 7 7 3 3 2 3" xfId="39517" xr:uid="{00000000-0005-0000-0000-000052C50000}"/>
    <cellStyle name="Normal 7 7 3 3 3" xfId="10383" xr:uid="{00000000-0005-0000-0000-000053C50000}"/>
    <cellStyle name="Normal 7 7 3 3 3 2" xfId="35940" xr:uid="{00000000-0005-0000-0000-000054C50000}"/>
    <cellStyle name="Normal 7 7 3 3 4" xfId="19206" xr:uid="{00000000-0005-0000-0000-000055C50000}"/>
    <cellStyle name="Normal 7 7 3 3 4 2" xfId="44759" xr:uid="{00000000-0005-0000-0000-000056C50000}"/>
    <cellStyle name="Normal 7 7 3 3 5" xfId="30696" xr:uid="{00000000-0005-0000-0000-000057C50000}"/>
    <cellStyle name="Normal 7 7 3 4" xfId="2556" xr:uid="{00000000-0005-0000-0000-000058C50000}"/>
    <cellStyle name="Normal 7 7 3 4 2" xfId="11921" xr:uid="{00000000-0005-0000-0000-000059C50000}"/>
    <cellStyle name="Normal 7 7 3 4 2 2" xfId="37476" xr:uid="{00000000-0005-0000-0000-00005AC50000}"/>
    <cellStyle name="Normal 7 7 3 4 3" xfId="21925" xr:uid="{00000000-0005-0000-0000-00005BC50000}"/>
    <cellStyle name="Normal 7 7 3 4 3 2" xfId="47478" xr:uid="{00000000-0005-0000-0000-00005CC50000}"/>
    <cellStyle name="Normal 7 7 3 4 4" xfId="28408" xr:uid="{00000000-0005-0000-0000-00005DC50000}"/>
    <cellStyle name="Normal 7 7 3 5" xfId="6580" xr:uid="{00000000-0005-0000-0000-00005EC50000}"/>
    <cellStyle name="Normal 7 7 3 5 2" xfId="15407" xr:uid="{00000000-0005-0000-0000-00005FC50000}"/>
    <cellStyle name="Normal 7 7 3 5 2 2" xfId="40962" xr:uid="{00000000-0005-0000-0000-000060C50000}"/>
    <cellStyle name="Normal 7 7 3 5 3" xfId="25658" xr:uid="{00000000-0005-0000-0000-000061C50000}"/>
    <cellStyle name="Normal 7 7 3 5 3 2" xfId="51211" xr:uid="{00000000-0005-0000-0000-000062C50000}"/>
    <cellStyle name="Normal 7 7 3 5 4" xfId="32141" xr:uid="{00000000-0005-0000-0000-000063C50000}"/>
    <cellStyle name="Normal 7 7 3 6" xfId="8026" xr:uid="{00000000-0005-0000-0000-000064C50000}"/>
    <cellStyle name="Normal 7 7 3 6 2" xfId="20407" xr:uid="{00000000-0005-0000-0000-000065C50000}"/>
    <cellStyle name="Normal 7 7 3 6 2 2" xfId="45960" xr:uid="{00000000-0005-0000-0000-000066C50000}"/>
    <cellStyle name="Normal 7 7 3 6 3" xfId="33583" xr:uid="{00000000-0005-0000-0000-000067C50000}"/>
    <cellStyle name="Normal 7 7 3 7" xfId="16918" xr:uid="{00000000-0005-0000-0000-000068C50000}"/>
    <cellStyle name="Normal 7 7 3 7 2" xfId="42471" xr:uid="{00000000-0005-0000-0000-000069C50000}"/>
    <cellStyle name="Normal 7 7 3 8" xfId="26890" xr:uid="{00000000-0005-0000-0000-00006AC50000}"/>
    <cellStyle name="Normal 7 7 4" xfId="1377" xr:uid="{00000000-0005-0000-0000-00006BC50000}"/>
    <cellStyle name="Normal 7 7 4 2" xfId="3806" xr:uid="{00000000-0005-0000-0000-00006CC50000}"/>
    <cellStyle name="Normal 7 7 4 2 2" xfId="12942" xr:uid="{00000000-0005-0000-0000-00006DC50000}"/>
    <cellStyle name="Normal 7 7 4 2 2 2" xfId="23161" xr:uid="{00000000-0005-0000-0000-00006EC50000}"/>
    <cellStyle name="Normal 7 7 4 2 2 2 2" xfId="48714" xr:uid="{00000000-0005-0000-0000-00006FC50000}"/>
    <cellStyle name="Normal 7 7 4 2 2 3" xfId="38497" xr:uid="{00000000-0005-0000-0000-000070C50000}"/>
    <cellStyle name="Normal 7 7 4 2 3" xfId="9363" xr:uid="{00000000-0005-0000-0000-000071C50000}"/>
    <cellStyle name="Normal 7 7 4 2 3 2" xfId="34920" xr:uid="{00000000-0005-0000-0000-000072C50000}"/>
    <cellStyle name="Normal 7 7 4 2 4" xfId="18154" xr:uid="{00000000-0005-0000-0000-000073C50000}"/>
    <cellStyle name="Normal 7 7 4 2 4 2" xfId="43707" xr:uid="{00000000-0005-0000-0000-000074C50000}"/>
    <cellStyle name="Normal 7 7 4 2 5" xfId="29644" xr:uid="{00000000-0005-0000-0000-000075C50000}"/>
    <cellStyle name="Normal 7 7 4 3" xfId="5469" xr:uid="{00000000-0005-0000-0000-000076C50000}"/>
    <cellStyle name="Normal 7 7 4 3 2" xfId="14306" xr:uid="{00000000-0005-0000-0000-000077C50000}"/>
    <cellStyle name="Normal 7 7 4 3 2 2" xfId="24557" xr:uid="{00000000-0005-0000-0000-000078C50000}"/>
    <cellStyle name="Normal 7 7 4 3 2 2 2" xfId="50110" xr:uid="{00000000-0005-0000-0000-000079C50000}"/>
    <cellStyle name="Normal 7 7 4 3 2 3" xfId="39861" xr:uid="{00000000-0005-0000-0000-00007AC50000}"/>
    <cellStyle name="Normal 7 7 4 3 3" xfId="10727" xr:uid="{00000000-0005-0000-0000-00007BC50000}"/>
    <cellStyle name="Normal 7 7 4 3 3 2" xfId="36284" xr:uid="{00000000-0005-0000-0000-00007CC50000}"/>
    <cellStyle name="Normal 7 7 4 3 4" xfId="19550" xr:uid="{00000000-0005-0000-0000-00007DC50000}"/>
    <cellStyle name="Normal 7 7 4 3 4 2" xfId="45103" xr:uid="{00000000-0005-0000-0000-00007EC50000}"/>
    <cellStyle name="Normal 7 7 4 3 5" xfId="31040" xr:uid="{00000000-0005-0000-0000-00007FC50000}"/>
    <cellStyle name="Normal 7 7 4 4" xfId="1880" xr:uid="{00000000-0005-0000-0000-000080C50000}"/>
    <cellStyle name="Normal 7 7 4 4 2" xfId="11248" xr:uid="{00000000-0005-0000-0000-000081C50000}"/>
    <cellStyle name="Normal 7 7 4 4 2 2" xfId="36803" xr:uid="{00000000-0005-0000-0000-000082C50000}"/>
    <cellStyle name="Normal 7 7 4 4 3" xfId="21252" xr:uid="{00000000-0005-0000-0000-000083C50000}"/>
    <cellStyle name="Normal 7 7 4 4 3 2" xfId="46805" xr:uid="{00000000-0005-0000-0000-000084C50000}"/>
    <cellStyle name="Normal 7 7 4 4 4" xfId="27735" xr:uid="{00000000-0005-0000-0000-000085C50000}"/>
    <cellStyle name="Normal 7 7 4 5" xfId="6924" xr:uid="{00000000-0005-0000-0000-000086C50000}"/>
    <cellStyle name="Normal 7 7 4 5 2" xfId="15751" xr:uid="{00000000-0005-0000-0000-000087C50000}"/>
    <cellStyle name="Normal 7 7 4 5 2 2" xfId="41306" xr:uid="{00000000-0005-0000-0000-000088C50000}"/>
    <cellStyle name="Normal 7 7 4 5 3" xfId="26002" xr:uid="{00000000-0005-0000-0000-000089C50000}"/>
    <cellStyle name="Normal 7 7 4 5 3 2" xfId="51555" xr:uid="{00000000-0005-0000-0000-00008AC50000}"/>
    <cellStyle name="Normal 7 7 4 5 4" xfId="32485" xr:uid="{00000000-0005-0000-0000-00008BC50000}"/>
    <cellStyle name="Normal 7 7 4 6" xfId="8370" xr:uid="{00000000-0005-0000-0000-00008CC50000}"/>
    <cellStyle name="Normal 7 7 4 6 2" xfId="20760" xr:uid="{00000000-0005-0000-0000-00008DC50000}"/>
    <cellStyle name="Normal 7 7 4 6 2 2" xfId="46313" xr:uid="{00000000-0005-0000-0000-00008EC50000}"/>
    <cellStyle name="Normal 7 7 4 6 3" xfId="33927" xr:uid="{00000000-0005-0000-0000-00008FC50000}"/>
    <cellStyle name="Normal 7 7 4 7" xfId="16245" xr:uid="{00000000-0005-0000-0000-000090C50000}"/>
    <cellStyle name="Normal 7 7 4 7 2" xfId="41798" xr:uid="{00000000-0005-0000-0000-000091C50000}"/>
    <cellStyle name="Normal 7 7 4 8" xfId="27243" xr:uid="{00000000-0005-0000-0000-000092C50000}"/>
    <cellStyle name="Normal 7 7 5" xfId="2774" xr:uid="{00000000-0005-0000-0000-000093C50000}"/>
    <cellStyle name="Normal 7 7 5 2" xfId="12091" xr:uid="{00000000-0005-0000-0000-000094C50000}"/>
    <cellStyle name="Normal 7 7 5 2 2" xfId="22135" xr:uid="{00000000-0005-0000-0000-000095C50000}"/>
    <cellStyle name="Normal 7 7 5 2 2 2" xfId="47688" xr:uid="{00000000-0005-0000-0000-000096C50000}"/>
    <cellStyle name="Normal 7 7 5 2 3" xfId="37646" xr:uid="{00000000-0005-0000-0000-000097C50000}"/>
    <cellStyle name="Normal 7 7 5 3" xfId="8473" xr:uid="{00000000-0005-0000-0000-000098C50000}"/>
    <cellStyle name="Normal 7 7 5 3 2" xfId="34030" xr:uid="{00000000-0005-0000-0000-000099C50000}"/>
    <cellStyle name="Normal 7 7 5 4" xfId="17128" xr:uid="{00000000-0005-0000-0000-00009AC50000}"/>
    <cellStyle name="Normal 7 7 5 4 2" xfId="42681" xr:uid="{00000000-0005-0000-0000-00009BC50000}"/>
    <cellStyle name="Normal 7 7 5 5" xfId="28618" xr:uid="{00000000-0005-0000-0000-00009CC50000}"/>
    <cellStyle name="Normal 7 7 6" xfId="4425" xr:uid="{00000000-0005-0000-0000-00009DC50000}"/>
    <cellStyle name="Normal 7 7 6 2" xfId="13263" xr:uid="{00000000-0005-0000-0000-00009EC50000}"/>
    <cellStyle name="Normal 7 7 6 2 2" xfId="23514" xr:uid="{00000000-0005-0000-0000-00009FC50000}"/>
    <cellStyle name="Normal 7 7 6 2 2 2" xfId="49067" xr:uid="{00000000-0005-0000-0000-0000A0C50000}"/>
    <cellStyle name="Normal 7 7 6 2 3" xfId="38818" xr:uid="{00000000-0005-0000-0000-0000A1C50000}"/>
    <cellStyle name="Normal 7 7 6 3" xfId="9684" xr:uid="{00000000-0005-0000-0000-0000A2C50000}"/>
    <cellStyle name="Normal 7 7 6 3 2" xfId="35241" xr:uid="{00000000-0005-0000-0000-0000A3C50000}"/>
    <cellStyle name="Normal 7 7 6 4" xfId="18507" xr:uid="{00000000-0005-0000-0000-0000A4C50000}"/>
    <cellStyle name="Normal 7 7 6 4 2" xfId="44060" xr:uid="{00000000-0005-0000-0000-0000A5C50000}"/>
    <cellStyle name="Normal 7 7 6 5" xfId="29997" xr:uid="{00000000-0005-0000-0000-0000A6C50000}"/>
    <cellStyle name="Normal 7 7 7" xfId="1697" xr:uid="{00000000-0005-0000-0000-0000A7C50000}"/>
    <cellStyle name="Normal 7 7 7 2" xfId="11074" xr:uid="{00000000-0005-0000-0000-0000A8C50000}"/>
    <cellStyle name="Normal 7 7 7 2 2" xfId="36629" xr:uid="{00000000-0005-0000-0000-0000A9C50000}"/>
    <cellStyle name="Normal 7 7 7 3" xfId="21078" xr:uid="{00000000-0005-0000-0000-0000AAC50000}"/>
    <cellStyle name="Normal 7 7 7 3 2" xfId="46631" xr:uid="{00000000-0005-0000-0000-0000ABC50000}"/>
    <cellStyle name="Normal 7 7 7 4" xfId="27561" xr:uid="{00000000-0005-0000-0000-0000ACC50000}"/>
    <cellStyle name="Normal 7 7 8" xfId="5881" xr:uid="{00000000-0005-0000-0000-0000ADC50000}"/>
    <cellStyle name="Normal 7 7 8 2" xfId="14708" xr:uid="{00000000-0005-0000-0000-0000AEC50000}"/>
    <cellStyle name="Normal 7 7 8 2 2" xfId="40263" xr:uid="{00000000-0005-0000-0000-0000AFC50000}"/>
    <cellStyle name="Normal 7 7 8 3" xfId="24959" xr:uid="{00000000-0005-0000-0000-0000B0C50000}"/>
    <cellStyle name="Normal 7 7 8 3 2" xfId="50512" xr:uid="{00000000-0005-0000-0000-0000B1C50000}"/>
    <cellStyle name="Normal 7 7 8 4" xfId="31442" xr:uid="{00000000-0005-0000-0000-0000B2C50000}"/>
    <cellStyle name="Normal 7 7 9" xfId="7325" xr:uid="{00000000-0005-0000-0000-0000B3C50000}"/>
    <cellStyle name="Normal 7 7 9 2" xfId="19734" xr:uid="{00000000-0005-0000-0000-0000B4C50000}"/>
    <cellStyle name="Normal 7 7 9 2 2" xfId="45287" xr:uid="{00000000-0005-0000-0000-0000B5C50000}"/>
    <cellStyle name="Normal 7 7 9 3" xfId="32882" xr:uid="{00000000-0005-0000-0000-0000B6C50000}"/>
    <cellStyle name="Normal 7 7_Degree data" xfId="4077" xr:uid="{00000000-0005-0000-0000-0000B7C50000}"/>
    <cellStyle name="Normal 7 8" xfId="444" xr:uid="{00000000-0005-0000-0000-0000B8C50000}"/>
    <cellStyle name="Normal 7 8 10" xfId="26373" xr:uid="{00000000-0005-0000-0000-0000B9C50000}"/>
    <cellStyle name="Normal 7 8 2" xfId="972" xr:uid="{00000000-0005-0000-0000-0000BAC50000}"/>
    <cellStyle name="Normal 7 8 2 2" xfId="3448" xr:uid="{00000000-0005-0000-0000-0000BBC50000}"/>
    <cellStyle name="Normal 7 8 2 2 2" xfId="12590" xr:uid="{00000000-0005-0000-0000-0000BCC50000}"/>
    <cellStyle name="Normal 7 8 2 2 2 2" xfId="22809" xr:uid="{00000000-0005-0000-0000-0000BDC50000}"/>
    <cellStyle name="Normal 7 8 2 2 2 2 2" xfId="48362" xr:uid="{00000000-0005-0000-0000-0000BEC50000}"/>
    <cellStyle name="Normal 7 8 2 2 2 3" xfId="38145" xr:uid="{00000000-0005-0000-0000-0000BFC50000}"/>
    <cellStyle name="Normal 7 8 2 2 3" xfId="9012" xr:uid="{00000000-0005-0000-0000-0000C0C50000}"/>
    <cellStyle name="Normal 7 8 2 2 3 2" xfId="34569" xr:uid="{00000000-0005-0000-0000-0000C1C50000}"/>
    <cellStyle name="Normal 7 8 2 2 4" xfId="17802" xr:uid="{00000000-0005-0000-0000-0000C2C50000}"/>
    <cellStyle name="Normal 7 8 2 2 4 2" xfId="43355" xr:uid="{00000000-0005-0000-0000-0000C3C50000}"/>
    <cellStyle name="Normal 7 8 2 2 5" xfId="29292" xr:uid="{00000000-0005-0000-0000-0000C4C50000}"/>
    <cellStyle name="Normal 7 8 2 3" xfId="4778" xr:uid="{00000000-0005-0000-0000-0000C5C50000}"/>
    <cellStyle name="Normal 7 8 2 3 2" xfId="13615" xr:uid="{00000000-0005-0000-0000-0000C6C50000}"/>
    <cellStyle name="Normal 7 8 2 3 2 2" xfId="23866" xr:uid="{00000000-0005-0000-0000-0000C7C50000}"/>
    <cellStyle name="Normal 7 8 2 3 2 2 2" xfId="49419" xr:uid="{00000000-0005-0000-0000-0000C8C50000}"/>
    <cellStyle name="Normal 7 8 2 3 2 3" xfId="39170" xr:uid="{00000000-0005-0000-0000-0000C9C50000}"/>
    <cellStyle name="Normal 7 8 2 3 3" xfId="10036" xr:uid="{00000000-0005-0000-0000-0000CAC50000}"/>
    <cellStyle name="Normal 7 8 2 3 3 2" xfId="35593" xr:uid="{00000000-0005-0000-0000-0000CBC50000}"/>
    <cellStyle name="Normal 7 8 2 3 4" xfId="18859" xr:uid="{00000000-0005-0000-0000-0000CCC50000}"/>
    <cellStyle name="Normal 7 8 2 3 4 2" xfId="44412" xr:uid="{00000000-0005-0000-0000-0000CDC50000}"/>
    <cellStyle name="Normal 7 8 2 3 5" xfId="30349" xr:uid="{00000000-0005-0000-0000-0000CEC50000}"/>
    <cellStyle name="Normal 7 8 2 4" xfId="2557" xr:uid="{00000000-0005-0000-0000-0000CFC50000}"/>
    <cellStyle name="Normal 7 8 2 4 2" xfId="11922" xr:uid="{00000000-0005-0000-0000-0000D0C50000}"/>
    <cellStyle name="Normal 7 8 2 4 2 2" xfId="37477" xr:uid="{00000000-0005-0000-0000-0000D1C50000}"/>
    <cellStyle name="Normal 7 8 2 4 3" xfId="21926" xr:uid="{00000000-0005-0000-0000-0000D2C50000}"/>
    <cellStyle name="Normal 7 8 2 4 3 2" xfId="47479" xr:uid="{00000000-0005-0000-0000-0000D3C50000}"/>
    <cellStyle name="Normal 7 8 2 4 4" xfId="28409" xr:uid="{00000000-0005-0000-0000-0000D4C50000}"/>
    <cellStyle name="Normal 7 8 2 5" xfId="6233" xr:uid="{00000000-0005-0000-0000-0000D5C50000}"/>
    <cellStyle name="Normal 7 8 2 5 2" xfId="15060" xr:uid="{00000000-0005-0000-0000-0000D6C50000}"/>
    <cellStyle name="Normal 7 8 2 5 2 2" xfId="40615" xr:uid="{00000000-0005-0000-0000-0000D7C50000}"/>
    <cellStyle name="Normal 7 8 2 5 3" xfId="25311" xr:uid="{00000000-0005-0000-0000-0000D8C50000}"/>
    <cellStyle name="Normal 7 8 2 5 3 2" xfId="50864" xr:uid="{00000000-0005-0000-0000-0000D9C50000}"/>
    <cellStyle name="Normal 7 8 2 5 4" xfId="31794" xr:uid="{00000000-0005-0000-0000-0000DAC50000}"/>
    <cellStyle name="Normal 7 8 2 6" xfId="7679" xr:uid="{00000000-0005-0000-0000-0000DBC50000}"/>
    <cellStyle name="Normal 7 8 2 6 2" xfId="20408" xr:uid="{00000000-0005-0000-0000-0000DCC50000}"/>
    <cellStyle name="Normal 7 8 2 6 2 2" xfId="45961" xr:uid="{00000000-0005-0000-0000-0000DDC50000}"/>
    <cellStyle name="Normal 7 8 2 6 3" xfId="33236" xr:uid="{00000000-0005-0000-0000-0000DEC50000}"/>
    <cellStyle name="Normal 7 8 2 7" xfId="16919" xr:uid="{00000000-0005-0000-0000-0000DFC50000}"/>
    <cellStyle name="Normal 7 8 2 7 2" xfId="42472" xr:uid="{00000000-0005-0000-0000-0000E0C50000}"/>
    <cellStyle name="Normal 7 8 2 8" xfId="26891" xr:uid="{00000000-0005-0000-0000-0000E1C50000}"/>
    <cellStyle name="Normal 7 8 3" xfId="1216" xr:uid="{00000000-0005-0000-0000-0000E2C50000}"/>
    <cellStyle name="Normal 7 8 3 2" xfId="3645" xr:uid="{00000000-0005-0000-0000-0000E3C50000}"/>
    <cellStyle name="Normal 7 8 3 2 2" xfId="12781" xr:uid="{00000000-0005-0000-0000-0000E4C50000}"/>
    <cellStyle name="Normal 7 8 3 2 2 2" xfId="23000" xr:uid="{00000000-0005-0000-0000-0000E5C50000}"/>
    <cellStyle name="Normal 7 8 3 2 2 2 2" xfId="48553" xr:uid="{00000000-0005-0000-0000-0000E6C50000}"/>
    <cellStyle name="Normal 7 8 3 2 2 3" xfId="38336" xr:uid="{00000000-0005-0000-0000-0000E7C50000}"/>
    <cellStyle name="Normal 7 8 3 2 3" xfId="9202" xr:uid="{00000000-0005-0000-0000-0000E8C50000}"/>
    <cellStyle name="Normal 7 8 3 2 3 2" xfId="34759" xr:uid="{00000000-0005-0000-0000-0000E9C50000}"/>
    <cellStyle name="Normal 7 8 3 2 4" xfId="17993" xr:uid="{00000000-0005-0000-0000-0000EAC50000}"/>
    <cellStyle name="Normal 7 8 3 2 4 2" xfId="43546" xr:uid="{00000000-0005-0000-0000-0000EBC50000}"/>
    <cellStyle name="Normal 7 8 3 2 5" xfId="29483" xr:uid="{00000000-0005-0000-0000-0000ECC50000}"/>
    <cellStyle name="Normal 7 8 3 3" xfId="5126" xr:uid="{00000000-0005-0000-0000-0000EDC50000}"/>
    <cellStyle name="Normal 7 8 3 3 2" xfId="13963" xr:uid="{00000000-0005-0000-0000-0000EEC50000}"/>
    <cellStyle name="Normal 7 8 3 3 2 2" xfId="24214" xr:uid="{00000000-0005-0000-0000-0000EFC50000}"/>
    <cellStyle name="Normal 7 8 3 3 2 2 2" xfId="49767" xr:uid="{00000000-0005-0000-0000-0000F0C50000}"/>
    <cellStyle name="Normal 7 8 3 3 2 3" xfId="39518" xr:uid="{00000000-0005-0000-0000-0000F1C50000}"/>
    <cellStyle name="Normal 7 8 3 3 3" xfId="10384" xr:uid="{00000000-0005-0000-0000-0000F2C50000}"/>
    <cellStyle name="Normal 7 8 3 3 3 2" xfId="35941" xr:uid="{00000000-0005-0000-0000-0000F3C50000}"/>
    <cellStyle name="Normal 7 8 3 3 4" xfId="19207" xr:uid="{00000000-0005-0000-0000-0000F4C50000}"/>
    <cellStyle name="Normal 7 8 3 3 4 2" xfId="44760" xr:uid="{00000000-0005-0000-0000-0000F5C50000}"/>
    <cellStyle name="Normal 7 8 3 3 5" xfId="30697" xr:uid="{00000000-0005-0000-0000-0000F6C50000}"/>
    <cellStyle name="Normal 7 8 3 4" xfId="2039" xr:uid="{00000000-0005-0000-0000-0000F7C50000}"/>
    <cellStyle name="Normal 7 8 3 4 2" xfId="11404" xr:uid="{00000000-0005-0000-0000-0000F8C50000}"/>
    <cellStyle name="Normal 7 8 3 4 2 2" xfId="36959" xr:uid="{00000000-0005-0000-0000-0000F9C50000}"/>
    <cellStyle name="Normal 7 8 3 4 3" xfId="21408" xr:uid="{00000000-0005-0000-0000-0000FAC50000}"/>
    <cellStyle name="Normal 7 8 3 4 3 2" xfId="46961" xr:uid="{00000000-0005-0000-0000-0000FBC50000}"/>
    <cellStyle name="Normal 7 8 3 4 4" xfId="27891" xr:uid="{00000000-0005-0000-0000-0000FCC50000}"/>
    <cellStyle name="Normal 7 8 3 5" xfId="6581" xr:uid="{00000000-0005-0000-0000-0000FDC50000}"/>
    <cellStyle name="Normal 7 8 3 5 2" xfId="15408" xr:uid="{00000000-0005-0000-0000-0000FEC50000}"/>
    <cellStyle name="Normal 7 8 3 5 2 2" xfId="40963" xr:uid="{00000000-0005-0000-0000-0000FFC50000}"/>
    <cellStyle name="Normal 7 8 3 5 3" xfId="25659" xr:uid="{00000000-0005-0000-0000-000000C60000}"/>
    <cellStyle name="Normal 7 8 3 5 3 2" xfId="51212" xr:uid="{00000000-0005-0000-0000-000001C60000}"/>
    <cellStyle name="Normal 7 8 3 5 4" xfId="32142" xr:uid="{00000000-0005-0000-0000-000002C60000}"/>
    <cellStyle name="Normal 7 8 3 6" xfId="8027" xr:uid="{00000000-0005-0000-0000-000003C60000}"/>
    <cellStyle name="Normal 7 8 3 6 2" xfId="20599" xr:uid="{00000000-0005-0000-0000-000004C60000}"/>
    <cellStyle name="Normal 7 8 3 6 2 2" xfId="46152" xr:uid="{00000000-0005-0000-0000-000005C60000}"/>
    <cellStyle name="Normal 7 8 3 6 3" xfId="33584" xr:uid="{00000000-0005-0000-0000-000006C60000}"/>
    <cellStyle name="Normal 7 8 3 7" xfId="16401" xr:uid="{00000000-0005-0000-0000-000007C60000}"/>
    <cellStyle name="Normal 7 8 3 7 2" xfId="41954" xr:uid="{00000000-0005-0000-0000-000008C60000}"/>
    <cellStyle name="Normal 7 8 3 8" xfId="27082" xr:uid="{00000000-0005-0000-0000-000009C60000}"/>
    <cellStyle name="Normal 7 8 4" xfId="2930" xr:uid="{00000000-0005-0000-0000-00000AC60000}"/>
    <cellStyle name="Normal 7 8 4 2" xfId="5308" xr:uid="{00000000-0005-0000-0000-00000BC60000}"/>
    <cellStyle name="Normal 7 8 4 2 2" xfId="14145" xr:uid="{00000000-0005-0000-0000-00000CC60000}"/>
    <cellStyle name="Normal 7 8 4 2 2 2" xfId="24396" xr:uid="{00000000-0005-0000-0000-00000DC60000}"/>
    <cellStyle name="Normal 7 8 4 2 2 2 2" xfId="49949" xr:uid="{00000000-0005-0000-0000-00000EC60000}"/>
    <cellStyle name="Normal 7 8 4 2 2 3" xfId="39700" xr:uid="{00000000-0005-0000-0000-00000FC60000}"/>
    <cellStyle name="Normal 7 8 4 2 3" xfId="10566" xr:uid="{00000000-0005-0000-0000-000010C60000}"/>
    <cellStyle name="Normal 7 8 4 2 3 2" xfId="36123" xr:uid="{00000000-0005-0000-0000-000011C60000}"/>
    <cellStyle name="Normal 7 8 4 2 4" xfId="19389" xr:uid="{00000000-0005-0000-0000-000012C60000}"/>
    <cellStyle name="Normal 7 8 4 2 4 2" xfId="44942" xr:uid="{00000000-0005-0000-0000-000013C60000}"/>
    <cellStyle name="Normal 7 8 4 2 5" xfId="30879" xr:uid="{00000000-0005-0000-0000-000014C60000}"/>
    <cellStyle name="Normal 7 8 4 3" xfId="6763" xr:uid="{00000000-0005-0000-0000-000015C60000}"/>
    <cellStyle name="Normal 7 8 4 3 2" xfId="15590" xr:uid="{00000000-0005-0000-0000-000016C60000}"/>
    <cellStyle name="Normal 7 8 4 3 2 2" xfId="41145" xr:uid="{00000000-0005-0000-0000-000017C60000}"/>
    <cellStyle name="Normal 7 8 4 3 3" xfId="25841" xr:uid="{00000000-0005-0000-0000-000018C60000}"/>
    <cellStyle name="Normal 7 8 4 3 3 2" xfId="51394" xr:uid="{00000000-0005-0000-0000-000019C60000}"/>
    <cellStyle name="Normal 7 8 4 3 4" xfId="32324" xr:uid="{00000000-0005-0000-0000-00001AC60000}"/>
    <cellStyle name="Normal 7 8 4 4" xfId="8209" xr:uid="{00000000-0005-0000-0000-00001BC60000}"/>
    <cellStyle name="Normal 7 8 4 4 2" xfId="22291" xr:uid="{00000000-0005-0000-0000-00001CC60000}"/>
    <cellStyle name="Normal 7 8 4 4 2 2" xfId="47844" xr:uid="{00000000-0005-0000-0000-00001DC60000}"/>
    <cellStyle name="Normal 7 8 4 4 3" xfId="33766" xr:uid="{00000000-0005-0000-0000-00001EC60000}"/>
    <cellStyle name="Normal 7 8 4 5" xfId="17284" xr:uid="{00000000-0005-0000-0000-00001FC60000}"/>
    <cellStyle name="Normal 7 8 4 5 2" xfId="42837" xr:uid="{00000000-0005-0000-0000-000020C60000}"/>
    <cellStyle name="Normal 7 8 4 6" xfId="28774" xr:uid="{00000000-0005-0000-0000-000021C60000}"/>
    <cellStyle name="Normal 7 8 5" xfId="4264" xr:uid="{00000000-0005-0000-0000-000022C60000}"/>
    <cellStyle name="Normal 7 8 5 2" xfId="13102" xr:uid="{00000000-0005-0000-0000-000023C60000}"/>
    <cellStyle name="Normal 7 8 5 2 2" xfId="23353" xr:uid="{00000000-0005-0000-0000-000024C60000}"/>
    <cellStyle name="Normal 7 8 5 2 2 2" xfId="48906" xr:uid="{00000000-0005-0000-0000-000025C60000}"/>
    <cellStyle name="Normal 7 8 5 2 3" xfId="38657" xr:uid="{00000000-0005-0000-0000-000026C60000}"/>
    <cellStyle name="Normal 7 8 5 3" xfId="9523" xr:uid="{00000000-0005-0000-0000-000027C60000}"/>
    <cellStyle name="Normal 7 8 5 3 2" xfId="35080" xr:uid="{00000000-0005-0000-0000-000028C60000}"/>
    <cellStyle name="Normal 7 8 5 4" xfId="18346" xr:uid="{00000000-0005-0000-0000-000029C60000}"/>
    <cellStyle name="Normal 7 8 5 4 2" xfId="43899" xr:uid="{00000000-0005-0000-0000-00002AC60000}"/>
    <cellStyle name="Normal 7 8 5 5" xfId="29836" xr:uid="{00000000-0005-0000-0000-00002BC60000}"/>
    <cellStyle name="Normal 7 8 6" xfId="1536" xr:uid="{00000000-0005-0000-0000-00002CC60000}"/>
    <cellStyle name="Normal 7 8 6 2" xfId="10913" xr:uid="{00000000-0005-0000-0000-00002DC60000}"/>
    <cellStyle name="Normal 7 8 6 2 2" xfId="36468" xr:uid="{00000000-0005-0000-0000-00002EC60000}"/>
    <cellStyle name="Normal 7 8 6 3" xfId="20917" xr:uid="{00000000-0005-0000-0000-00002FC60000}"/>
    <cellStyle name="Normal 7 8 6 3 2" xfId="46470" xr:uid="{00000000-0005-0000-0000-000030C60000}"/>
    <cellStyle name="Normal 7 8 6 4" xfId="27400" xr:uid="{00000000-0005-0000-0000-000031C60000}"/>
    <cellStyle name="Normal 7 8 7" xfId="5720" xr:uid="{00000000-0005-0000-0000-000032C60000}"/>
    <cellStyle name="Normal 7 8 7 2" xfId="14547" xr:uid="{00000000-0005-0000-0000-000033C60000}"/>
    <cellStyle name="Normal 7 8 7 2 2" xfId="40102" xr:uid="{00000000-0005-0000-0000-000034C60000}"/>
    <cellStyle name="Normal 7 8 7 3" xfId="24798" xr:uid="{00000000-0005-0000-0000-000035C60000}"/>
    <cellStyle name="Normal 7 8 7 3 2" xfId="50351" xr:uid="{00000000-0005-0000-0000-000036C60000}"/>
    <cellStyle name="Normal 7 8 7 4" xfId="31281" xr:uid="{00000000-0005-0000-0000-000037C60000}"/>
    <cellStyle name="Normal 7 8 8" xfId="7164" xr:uid="{00000000-0005-0000-0000-000038C60000}"/>
    <cellStyle name="Normal 7 8 8 2" xfId="19890" xr:uid="{00000000-0005-0000-0000-000039C60000}"/>
    <cellStyle name="Normal 7 8 8 2 2" xfId="45443" xr:uid="{00000000-0005-0000-0000-00003AC60000}"/>
    <cellStyle name="Normal 7 8 8 3" xfId="32721" xr:uid="{00000000-0005-0000-0000-00003BC60000}"/>
    <cellStyle name="Normal 7 8 9" xfId="15910" xr:uid="{00000000-0005-0000-0000-00003CC60000}"/>
    <cellStyle name="Normal 7 8 9 2" xfId="41463" xr:uid="{00000000-0005-0000-0000-00003DC60000}"/>
    <cellStyle name="Normal 7 8_Degree data" xfId="4078" xr:uid="{00000000-0005-0000-0000-00003EC60000}"/>
    <cellStyle name="Normal 7 9" xfId="305" xr:uid="{00000000-0005-0000-0000-00003FC60000}"/>
    <cellStyle name="Normal 7 9 10" xfId="26234" xr:uid="{00000000-0005-0000-0000-000040C60000}"/>
    <cellStyle name="Normal 7 9 2" xfId="973" xr:uid="{00000000-0005-0000-0000-000041C60000}"/>
    <cellStyle name="Normal 7 9 2 2" xfId="3449" xr:uid="{00000000-0005-0000-0000-000042C60000}"/>
    <cellStyle name="Normal 7 9 2 2 2" xfId="12591" xr:uid="{00000000-0005-0000-0000-000043C60000}"/>
    <cellStyle name="Normal 7 9 2 2 2 2" xfId="22810" xr:uid="{00000000-0005-0000-0000-000044C60000}"/>
    <cellStyle name="Normal 7 9 2 2 2 2 2" xfId="48363" xr:uid="{00000000-0005-0000-0000-000045C60000}"/>
    <cellStyle name="Normal 7 9 2 2 2 3" xfId="38146" xr:uid="{00000000-0005-0000-0000-000046C60000}"/>
    <cellStyle name="Normal 7 9 2 2 3" xfId="9013" xr:uid="{00000000-0005-0000-0000-000047C60000}"/>
    <cellStyle name="Normal 7 9 2 2 3 2" xfId="34570" xr:uid="{00000000-0005-0000-0000-000048C60000}"/>
    <cellStyle name="Normal 7 9 2 2 4" xfId="17803" xr:uid="{00000000-0005-0000-0000-000049C60000}"/>
    <cellStyle name="Normal 7 9 2 2 4 2" xfId="43356" xr:uid="{00000000-0005-0000-0000-00004AC60000}"/>
    <cellStyle name="Normal 7 9 2 2 5" xfId="29293" xr:uid="{00000000-0005-0000-0000-00004BC60000}"/>
    <cellStyle name="Normal 7 9 2 3" xfId="4779" xr:uid="{00000000-0005-0000-0000-00004CC60000}"/>
    <cellStyle name="Normal 7 9 2 3 2" xfId="13616" xr:uid="{00000000-0005-0000-0000-00004DC60000}"/>
    <cellStyle name="Normal 7 9 2 3 2 2" xfId="23867" xr:uid="{00000000-0005-0000-0000-00004EC60000}"/>
    <cellStyle name="Normal 7 9 2 3 2 2 2" xfId="49420" xr:uid="{00000000-0005-0000-0000-00004FC60000}"/>
    <cellStyle name="Normal 7 9 2 3 2 3" xfId="39171" xr:uid="{00000000-0005-0000-0000-000050C60000}"/>
    <cellStyle name="Normal 7 9 2 3 3" xfId="10037" xr:uid="{00000000-0005-0000-0000-000051C60000}"/>
    <cellStyle name="Normal 7 9 2 3 3 2" xfId="35594" xr:uid="{00000000-0005-0000-0000-000052C60000}"/>
    <cellStyle name="Normal 7 9 2 3 4" xfId="18860" xr:uid="{00000000-0005-0000-0000-000053C60000}"/>
    <cellStyle name="Normal 7 9 2 3 4 2" xfId="44413" xr:uid="{00000000-0005-0000-0000-000054C60000}"/>
    <cellStyle name="Normal 7 9 2 3 5" xfId="30350" xr:uid="{00000000-0005-0000-0000-000055C60000}"/>
    <cellStyle name="Normal 7 9 2 4" xfId="2558" xr:uid="{00000000-0005-0000-0000-000056C60000}"/>
    <cellStyle name="Normal 7 9 2 4 2" xfId="11923" xr:uid="{00000000-0005-0000-0000-000057C60000}"/>
    <cellStyle name="Normal 7 9 2 4 2 2" xfId="37478" xr:uid="{00000000-0005-0000-0000-000058C60000}"/>
    <cellStyle name="Normal 7 9 2 4 3" xfId="21927" xr:uid="{00000000-0005-0000-0000-000059C60000}"/>
    <cellStyle name="Normal 7 9 2 4 3 2" xfId="47480" xr:uid="{00000000-0005-0000-0000-00005AC60000}"/>
    <cellStyle name="Normal 7 9 2 4 4" xfId="28410" xr:uid="{00000000-0005-0000-0000-00005BC60000}"/>
    <cellStyle name="Normal 7 9 2 5" xfId="6234" xr:uid="{00000000-0005-0000-0000-00005CC60000}"/>
    <cellStyle name="Normal 7 9 2 5 2" xfId="15061" xr:uid="{00000000-0005-0000-0000-00005DC60000}"/>
    <cellStyle name="Normal 7 9 2 5 2 2" xfId="40616" xr:uid="{00000000-0005-0000-0000-00005EC60000}"/>
    <cellStyle name="Normal 7 9 2 5 3" xfId="25312" xr:uid="{00000000-0005-0000-0000-00005FC60000}"/>
    <cellStyle name="Normal 7 9 2 5 3 2" xfId="50865" xr:uid="{00000000-0005-0000-0000-000060C60000}"/>
    <cellStyle name="Normal 7 9 2 5 4" xfId="31795" xr:uid="{00000000-0005-0000-0000-000061C60000}"/>
    <cellStyle name="Normal 7 9 2 6" xfId="7680" xr:uid="{00000000-0005-0000-0000-000062C60000}"/>
    <cellStyle name="Normal 7 9 2 6 2" xfId="20409" xr:uid="{00000000-0005-0000-0000-000063C60000}"/>
    <cellStyle name="Normal 7 9 2 6 2 2" xfId="45962" xr:uid="{00000000-0005-0000-0000-000064C60000}"/>
    <cellStyle name="Normal 7 9 2 6 3" xfId="33237" xr:uid="{00000000-0005-0000-0000-000065C60000}"/>
    <cellStyle name="Normal 7 9 2 7" xfId="16920" xr:uid="{00000000-0005-0000-0000-000066C60000}"/>
    <cellStyle name="Normal 7 9 2 7 2" xfId="42473" xr:uid="{00000000-0005-0000-0000-000067C60000}"/>
    <cellStyle name="Normal 7 9 2 8" xfId="26892" xr:uid="{00000000-0005-0000-0000-000068C60000}"/>
    <cellStyle name="Normal 7 9 3" xfId="1077" xr:uid="{00000000-0005-0000-0000-000069C60000}"/>
    <cellStyle name="Normal 7 9 3 2" xfId="3506" xr:uid="{00000000-0005-0000-0000-00006AC60000}"/>
    <cellStyle name="Normal 7 9 3 2 2" xfId="12642" xr:uid="{00000000-0005-0000-0000-00006BC60000}"/>
    <cellStyle name="Normal 7 9 3 2 2 2" xfId="22861" xr:uid="{00000000-0005-0000-0000-00006CC60000}"/>
    <cellStyle name="Normal 7 9 3 2 2 2 2" xfId="48414" xr:uid="{00000000-0005-0000-0000-00006DC60000}"/>
    <cellStyle name="Normal 7 9 3 2 2 3" xfId="38197" xr:uid="{00000000-0005-0000-0000-00006EC60000}"/>
    <cellStyle name="Normal 7 9 3 2 3" xfId="9064" xr:uid="{00000000-0005-0000-0000-00006FC60000}"/>
    <cellStyle name="Normal 7 9 3 2 3 2" xfId="34621" xr:uid="{00000000-0005-0000-0000-000070C60000}"/>
    <cellStyle name="Normal 7 9 3 2 4" xfId="17854" xr:uid="{00000000-0005-0000-0000-000071C60000}"/>
    <cellStyle name="Normal 7 9 3 2 4 2" xfId="43407" xr:uid="{00000000-0005-0000-0000-000072C60000}"/>
    <cellStyle name="Normal 7 9 3 2 5" xfId="29344" xr:uid="{00000000-0005-0000-0000-000073C60000}"/>
    <cellStyle name="Normal 7 9 3 3" xfId="5127" xr:uid="{00000000-0005-0000-0000-000074C60000}"/>
    <cellStyle name="Normal 7 9 3 3 2" xfId="13964" xr:uid="{00000000-0005-0000-0000-000075C60000}"/>
    <cellStyle name="Normal 7 9 3 3 2 2" xfId="24215" xr:uid="{00000000-0005-0000-0000-000076C60000}"/>
    <cellStyle name="Normal 7 9 3 3 2 2 2" xfId="49768" xr:uid="{00000000-0005-0000-0000-000077C60000}"/>
    <cellStyle name="Normal 7 9 3 3 2 3" xfId="39519" xr:uid="{00000000-0005-0000-0000-000078C60000}"/>
    <cellStyle name="Normal 7 9 3 3 3" xfId="10385" xr:uid="{00000000-0005-0000-0000-000079C60000}"/>
    <cellStyle name="Normal 7 9 3 3 3 2" xfId="35942" xr:uid="{00000000-0005-0000-0000-00007AC60000}"/>
    <cellStyle name="Normal 7 9 3 3 4" xfId="19208" xr:uid="{00000000-0005-0000-0000-00007BC60000}"/>
    <cellStyle name="Normal 7 9 3 3 4 2" xfId="44761" xr:uid="{00000000-0005-0000-0000-00007CC60000}"/>
    <cellStyle name="Normal 7 9 3 3 5" xfId="30698" xr:uid="{00000000-0005-0000-0000-00007DC60000}"/>
    <cellStyle name="Normal 7 9 3 4" xfId="2600" xr:uid="{00000000-0005-0000-0000-00007EC60000}"/>
    <cellStyle name="Normal 7 9 3 4 2" xfId="11964" xr:uid="{00000000-0005-0000-0000-00007FC60000}"/>
    <cellStyle name="Normal 7 9 3 4 2 2" xfId="37519" xr:uid="{00000000-0005-0000-0000-000080C60000}"/>
    <cellStyle name="Normal 7 9 3 4 3" xfId="21968" xr:uid="{00000000-0005-0000-0000-000081C60000}"/>
    <cellStyle name="Normal 7 9 3 4 3 2" xfId="47521" xr:uid="{00000000-0005-0000-0000-000082C60000}"/>
    <cellStyle name="Normal 7 9 3 4 4" xfId="28451" xr:uid="{00000000-0005-0000-0000-000083C60000}"/>
    <cellStyle name="Normal 7 9 3 5" xfId="6582" xr:uid="{00000000-0005-0000-0000-000084C60000}"/>
    <cellStyle name="Normal 7 9 3 5 2" xfId="15409" xr:uid="{00000000-0005-0000-0000-000085C60000}"/>
    <cellStyle name="Normal 7 9 3 5 2 2" xfId="40964" xr:uid="{00000000-0005-0000-0000-000086C60000}"/>
    <cellStyle name="Normal 7 9 3 5 3" xfId="25660" xr:uid="{00000000-0005-0000-0000-000087C60000}"/>
    <cellStyle name="Normal 7 9 3 5 3 2" xfId="51213" xr:uid="{00000000-0005-0000-0000-000088C60000}"/>
    <cellStyle name="Normal 7 9 3 5 4" xfId="32143" xr:uid="{00000000-0005-0000-0000-000089C60000}"/>
    <cellStyle name="Normal 7 9 3 6" xfId="8028" xr:uid="{00000000-0005-0000-0000-00008AC60000}"/>
    <cellStyle name="Normal 7 9 3 6 2" xfId="20460" xr:uid="{00000000-0005-0000-0000-00008BC60000}"/>
    <cellStyle name="Normal 7 9 3 6 2 2" xfId="46013" xr:uid="{00000000-0005-0000-0000-00008CC60000}"/>
    <cellStyle name="Normal 7 9 3 6 3" xfId="33585" xr:uid="{00000000-0005-0000-0000-00008DC60000}"/>
    <cellStyle name="Normal 7 9 3 7" xfId="16961" xr:uid="{00000000-0005-0000-0000-00008EC60000}"/>
    <cellStyle name="Normal 7 9 3 7 2" xfId="42514" xr:uid="{00000000-0005-0000-0000-00008FC60000}"/>
    <cellStyle name="Normal 7 9 3 8" xfId="26943" xr:uid="{00000000-0005-0000-0000-000090C60000}"/>
    <cellStyle name="Normal 7 9 4" xfId="2791" xr:uid="{00000000-0005-0000-0000-000091C60000}"/>
    <cellStyle name="Normal 7 9 4 2" xfId="5169" xr:uid="{00000000-0005-0000-0000-000092C60000}"/>
    <cellStyle name="Normal 7 9 4 2 2" xfId="14006" xr:uid="{00000000-0005-0000-0000-000093C60000}"/>
    <cellStyle name="Normal 7 9 4 2 2 2" xfId="24257" xr:uid="{00000000-0005-0000-0000-000094C60000}"/>
    <cellStyle name="Normal 7 9 4 2 2 2 2" xfId="49810" xr:uid="{00000000-0005-0000-0000-000095C60000}"/>
    <cellStyle name="Normal 7 9 4 2 2 3" xfId="39561" xr:uid="{00000000-0005-0000-0000-000096C60000}"/>
    <cellStyle name="Normal 7 9 4 2 3" xfId="10427" xr:uid="{00000000-0005-0000-0000-000097C60000}"/>
    <cellStyle name="Normal 7 9 4 2 3 2" xfId="35984" xr:uid="{00000000-0005-0000-0000-000098C60000}"/>
    <cellStyle name="Normal 7 9 4 2 4" xfId="19250" xr:uid="{00000000-0005-0000-0000-000099C60000}"/>
    <cellStyle name="Normal 7 9 4 2 4 2" xfId="44803" xr:uid="{00000000-0005-0000-0000-00009AC60000}"/>
    <cellStyle name="Normal 7 9 4 2 5" xfId="30740" xr:uid="{00000000-0005-0000-0000-00009BC60000}"/>
    <cellStyle name="Normal 7 9 4 3" xfId="6624" xr:uid="{00000000-0005-0000-0000-00009CC60000}"/>
    <cellStyle name="Normal 7 9 4 3 2" xfId="15451" xr:uid="{00000000-0005-0000-0000-00009DC60000}"/>
    <cellStyle name="Normal 7 9 4 3 2 2" xfId="41006" xr:uid="{00000000-0005-0000-0000-00009EC60000}"/>
    <cellStyle name="Normal 7 9 4 3 3" xfId="25702" xr:uid="{00000000-0005-0000-0000-00009FC60000}"/>
    <cellStyle name="Normal 7 9 4 3 3 2" xfId="51255" xr:uid="{00000000-0005-0000-0000-0000A0C60000}"/>
    <cellStyle name="Normal 7 9 4 3 4" xfId="32185" xr:uid="{00000000-0005-0000-0000-0000A1C60000}"/>
    <cellStyle name="Normal 7 9 4 4" xfId="8070" xr:uid="{00000000-0005-0000-0000-0000A2C60000}"/>
    <cellStyle name="Normal 7 9 4 4 2" xfId="22152" xr:uid="{00000000-0005-0000-0000-0000A3C60000}"/>
    <cellStyle name="Normal 7 9 4 4 2 2" xfId="47705" xr:uid="{00000000-0005-0000-0000-0000A4C60000}"/>
    <cellStyle name="Normal 7 9 4 4 3" xfId="33627" xr:uid="{00000000-0005-0000-0000-0000A5C60000}"/>
    <cellStyle name="Normal 7 9 4 5" xfId="17145" xr:uid="{00000000-0005-0000-0000-0000A6C60000}"/>
    <cellStyle name="Normal 7 9 4 5 2" xfId="42698" xr:uid="{00000000-0005-0000-0000-0000A7C60000}"/>
    <cellStyle name="Normal 7 9 4 6" xfId="28635" xr:uid="{00000000-0005-0000-0000-0000A8C60000}"/>
    <cellStyle name="Normal 7 9 5" xfId="4123" xr:uid="{00000000-0005-0000-0000-0000A9C60000}"/>
    <cellStyle name="Normal 7 9 5 2" xfId="12961" xr:uid="{00000000-0005-0000-0000-0000AAC60000}"/>
    <cellStyle name="Normal 7 9 5 2 2" xfId="23212" xr:uid="{00000000-0005-0000-0000-0000ABC60000}"/>
    <cellStyle name="Normal 7 9 5 2 2 2" xfId="48765" xr:uid="{00000000-0005-0000-0000-0000ACC60000}"/>
    <cellStyle name="Normal 7 9 5 2 3" xfId="38516" xr:uid="{00000000-0005-0000-0000-0000ADC60000}"/>
    <cellStyle name="Normal 7 9 5 3" xfId="9382" xr:uid="{00000000-0005-0000-0000-0000AEC60000}"/>
    <cellStyle name="Normal 7 9 5 3 2" xfId="34939" xr:uid="{00000000-0005-0000-0000-0000AFC60000}"/>
    <cellStyle name="Normal 7 9 5 4" xfId="18205" xr:uid="{00000000-0005-0000-0000-0000B0C60000}"/>
    <cellStyle name="Normal 7 9 5 4 2" xfId="43758" xr:uid="{00000000-0005-0000-0000-0000B1C60000}"/>
    <cellStyle name="Normal 7 9 5 5" xfId="29695" xr:uid="{00000000-0005-0000-0000-0000B2C60000}"/>
    <cellStyle name="Normal 7 9 6" xfId="1900" xr:uid="{00000000-0005-0000-0000-0000B3C60000}"/>
    <cellStyle name="Normal 7 9 6 2" xfId="11265" xr:uid="{00000000-0005-0000-0000-0000B4C60000}"/>
    <cellStyle name="Normal 7 9 6 2 2" xfId="36820" xr:uid="{00000000-0005-0000-0000-0000B5C60000}"/>
    <cellStyle name="Normal 7 9 6 3" xfId="21269" xr:uid="{00000000-0005-0000-0000-0000B6C60000}"/>
    <cellStyle name="Normal 7 9 6 3 2" xfId="46822" xr:uid="{00000000-0005-0000-0000-0000B7C60000}"/>
    <cellStyle name="Normal 7 9 6 4" xfId="27752" xr:uid="{00000000-0005-0000-0000-0000B8C60000}"/>
    <cellStyle name="Normal 7 9 7" xfId="5581" xr:uid="{00000000-0005-0000-0000-0000B9C60000}"/>
    <cellStyle name="Normal 7 9 7 2" xfId="14408" xr:uid="{00000000-0005-0000-0000-0000BAC60000}"/>
    <cellStyle name="Normal 7 9 7 2 2" xfId="39963" xr:uid="{00000000-0005-0000-0000-0000BBC60000}"/>
    <cellStyle name="Normal 7 9 7 3" xfId="24659" xr:uid="{00000000-0005-0000-0000-0000BCC60000}"/>
    <cellStyle name="Normal 7 9 7 3 2" xfId="50212" xr:uid="{00000000-0005-0000-0000-0000BDC60000}"/>
    <cellStyle name="Normal 7 9 7 4" xfId="31142" xr:uid="{00000000-0005-0000-0000-0000BEC60000}"/>
    <cellStyle name="Normal 7 9 8" xfId="7025" xr:uid="{00000000-0005-0000-0000-0000BFC60000}"/>
    <cellStyle name="Normal 7 9 8 2" xfId="19751" xr:uid="{00000000-0005-0000-0000-0000C0C60000}"/>
    <cellStyle name="Normal 7 9 8 2 2" xfId="45304" xr:uid="{00000000-0005-0000-0000-0000C1C60000}"/>
    <cellStyle name="Normal 7 9 8 3" xfId="32582" xr:uid="{00000000-0005-0000-0000-0000C2C60000}"/>
    <cellStyle name="Normal 7 9 9" xfId="16262" xr:uid="{00000000-0005-0000-0000-0000C3C60000}"/>
    <cellStyle name="Normal 7 9 9 2" xfId="41815" xr:uid="{00000000-0005-0000-0000-0000C4C60000}"/>
    <cellStyle name="Normal 7 9_Degree data" xfId="4079" xr:uid="{00000000-0005-0000-0000-0000C5C60000}"/>
    <cellStyle name="Normal 7_Degree data" xfId="4046" xr:uid="{00000000-0005-0000-0000-0000C6C60000}"/>
    <cellStyle name="Normal 70" xfId="293" xr:uid="{00000000-0005-0000-0000-0000C7C60000}"/>
    <cellStyle name="Normal 70 2" xfId="974" xr:uid="{00000000-0005-0000-0000-0000C8C60000}"/>
    <cellStyle name="Normal 70 2 2" xfId="3450" xr:uid="{00000000-0005-0000-0000-0000C9C60000}"/>
    <cellStyle name="Normal 70 2 2 2" xfId="12592" xr:uid="{00000000-0005-0000-0000-0000CAC60000}"/>
    <cellStyle name="Normal 70 2 2 2 2" xfId="22811" xr:uid="{00000000-0005-0000-0000-0000CBC60000}"/>
    <cellStyle name="Normal 70 2 2 2 2 2" xfId="48364" xr:uid="{00000000-0005-0000-0000-0000CCC60000}"/>
    <cellStyle name="Normal 70 2 2 2 3" xfId="38147" xr:uid="{00000000-0005-0000-0000-0000CDC60000}"/>
    <cellStyle name="Normal 70 2 2 3" xfId="9014" xr:uid="{00000000-0005-0000-0000-0000CEC60000}"/>
    <cellStyle name="Normal 70 2 2 3 2" xfId="34571" xr:uid="{00000000-0005-0000-0000-0000CFC60000}"/>
    <cellStyle name="Normal 70 2 2 4" xfId="17804" xr:uid="{00000000-0005-0000-0000-0000D0C60000}"/>
    <cellStyle name="Normal 70 2 2 4 2" xfId="43357" xr:uid="{00000000-0005-0000-0000-0000D1C60000}"/>
    <cellStyle name="Normal 70 2 2 5" xfId="29294" xr:uid="{00000000-0005-0000-0000-0000D2C60000}"/>
    <cellStyle name="Normal 70 2 3" xfId="5485" xr:uid="{00000000-0005-0000-0000-0000D3C60000}"/>
    <cellStyle name="Normal 70 2 3 2" xfId="14321" xr:uid="{00000000-0005-0000-0000-0000D4C60000}"/>
    <cellStyle name="Normal 70 2 3 2 2" xfId="24572" xr:uid="{00000000-0005-0000-0000-0000D5C60000}"/>
    <cellStyle name="Normal 70 2 3 2 2 2" xfId="50125" xr:uid="{00000000-0005-0000-0000-0000D6C60000}"/>
    <cellStyle name="Normal 70 2 3 2 3" xfId="39876" xr:uid="{00000000-0005-0000-0000-0000D7C60000}"/>
    <cellStyle name="Normal 70 2 3 3" xfId="10742" xr:uid="{00000000-0005-0000-0000-0000D8C60000}"/>
    <cellStyle name="Normal 70 2 3 3 2" xfId="36299" xr:uid="{00000000-0005-0000-0000-0000D9C60000}"/>
    <cellStyle name="Normal 70 2 3 4" xfId="19565" xr:uid="{00000000-0005-0000-0000-0000DAC60000}"/>
    <cellStyle name="Normal 70 2 3 4 2" xfId="45118" xr:uid="{00000000-0005-0000-0000-0000DBC60000}"/>
    <cellStyle name="Normal 70 2 3 5" xfId="31055" xr:uid="{00000000-0005-0000-0000-0000DCC60000}"/>
    <cellStyle name="Normal 70 2 4" xfId="2559" xr:uid="{00000000-0005-0000-0000-0000DDC60000}"/>
    <cellStyle name="Normal 70 2 4 2" xfId="11924" xr:uid="{00000000-0005-0000-0000-0000DEC60000}"/>
    <cellStyle name="Normal 70 2 4 2 2" xfId="37479" xr:uid="{00000000-0005-0000-0000-0000DFC60000}"/>
    <cellStyle name="Normal 70 2 4 3" xfId="21928" xr:uid="{00000000-0005-0000-0000-0000E0C60000}"/>
    <cellStyle name="Normal 70 2 4 3 2" xfId="47481" xr:uid="{00000000-0005-0000-0000-0000E1C60000}"/>
    <cellStyle name="Normal 70 2 4 4" xfId="28411" xr:uid="{00000000-0005-0000-0000-0000E2C60000}"/>
    <cellStyle name="Normal 70 2 5" xfId="10754" xr:uid="{00000000-0005-0000-0000-0000E3C60000}"/>
    <cellStyle name="Normal 70 2 5 2" xfId="20410" xr:uid="{00000000-0005-0000-0000-0000E4C60000}"/>
    <cellStyle name="Normal 70 2 5 2 2" xfId="45963" xr:uid="{00000000-0005-0000-0000-0000E5C60000}"/>
    <cellStyle name="Normal 70 2 5 3" xfId="36310" xr:uid="{00000000-0005-0000-0000-0000E6C60000}"/>
    <cellStyle name="Normal 70 2 6" xfId="8564" xr:uid="{00000000-0005-0000-0000-0000E7C60000}"/>
    <cellStyle name="Normal 70 2 6 2" xfId="34121" xr:uid="{00000000-0005-0000-0000-0000E8C60000}"/>
    <cellStyle name="Normal 70 2 7" xfId="16921" xr:uid="{00000000-0005-0000-0000-0000E9C60000}"/>
    <cellStyle name="Normal 70 2 7 2" xfId="42474" xr:uid="{00000000-0005-0000-0000-0000EAC60000}"/>
    <cellStyle name="Normal 70 2 8" xfId="26893" xr:uid="{00000000-0005-0000-0000-0000EBC60000}"/>
    <cellStyle name="Normal 70 3" xfId="1888" xr:uid="{00000000-0005-0000-0000-0000ECC60000}"/>
    <cellStyle name="Normal 71" xfId="50" xr:uid="{00000000-0005-0000-0000-0000EDC60000}"/>
    <cellStyle name="Normal 72" xfId="51" xr:uid="{00000000-0005-0000-0000-0000EEC60000}"/>
    <cellStyle name="Normal 73" xfId="294" xr:uid="{00000000-0005-0000-0000-0000EFC60000}"/>
    <cellStyle name="Normal 73 2" xfId="975" xr:uid="{00000000-0005-0000-0000-0000F0C60000}"/>
    <cellStyle name="Normal 73 2 2" xfId="3451" xr:uid="{00000000-0005-0000-0000-0000F1C60000}"/>
    <cellStyle name="Normal 73 2 2 2" xfId="12593" xr:uid="{00000000-0005-0000-0000-0000F2C60000}"/>
    <cellStyle name="Normal 73 2 2 2 2" xfId="22812" xr:uid="{00000000-0005-0000-0000-0000F3C60000}"/>
    <cellStyle name="Normal 73 2 2 2 2 2" xfId="48365" xr:uid="{00000000-0005-0000-0000-0000F4C60000}"/>
    <cellStyle name="Normal 73 2 2 2 3" xfId="38148" xr:uid="{00000000-0005-0000-0000-0000F5C60000}"/>
    <cellStyle name="Normal 73 2 2 3" xfId="9015" xr:uid="{00000000-0005-0000-0000-0000F6C60000}"/>
    <cellStyle name="Normal 73 2 2 3 2" xfId="34572" xr:uid="{00000000-0005-0000-0000-0000F7C60000}"/>
    <cellStyle name="Normal 73 2 2 4" xfId="17805" xr:uid="{00000000-0005-0000-0000-0000F8C60000}"/>
    <cellStyle name="Normal 73 2 2 4 2" xfId="43358" xr:uid="{00000000-0005-0000-0000-0000F9C60000}"/>
    <cellStyle name="Normal 73 2 2 5" xfId="29295" xr:uid="{00000000-0005-0000-0000-0000FAC60000}"/>
    <cellStyle name="Normal 73 2 3" xfId="5483" xr:uid="{00000000-0005-0000-0000-0000FBC60000}"/>
    <cellStyle name="Normal 73 2 3 2" xfId="14319" xr:uid="{00000000-0005-0000-0000-0000FCC60000}"/>
    <cellStyle name="Normal 73 2 3 2 2" xfId="24570" xr:uid="{00000000-0005-0000-0000-0000FDC60000}"/>
    <cellStyle name="Normal 73 2 3 2 2 2" xfId="50123" xr:uid="{00000000-0005-0000-0000-0000FEC60000}"/>
    <cellStyle name="Normal 73 2 3 2 3" xfId="39874" xr:uid="{00000000-0005-0000-0000-0000FFC60000}"/>
    <cellStyle name="Normal 73 2 3 3" xfId="10740" xr:uid="{00000000-0005-0000-0000-000000C70000}"/>
    <cellStyle name="Normal 73 2 3 3 2" xfId="36297" xr:uid="{00000000-0005-0000-0000-000001C70000}"/>
    <cellStyle name="Normal 73 2 3 4" xfId="19563" xr:uid="{00000000-0005-0000-0000-000002C70000}"/>
    <cellStyle name="Normal 73 2 3 4 2" xfId="45116" xr:uid="{00000000-0005-0000-0000-000003C70000}"/>
    <cellStyle name="Normal 73 2 3 5" xfId="31053" xr:uid="{00000000-0005-0000-0000-000004C70000}"/>
    <cellStyle name="Normal 73 2 4" xfId="2560" xr:uid="{00000000-0005-0000-0000-000005C70000}"/>
    <cellStyle name="Normal 73 2 4 2" xfId="11925" xr:uid="{00000000-0005-0000-0000-000006C70000}"/>
    <cellStyle name="Normal 73 2 4 2 2" xfId="37480" xr:uid="{00000000-0005-0000-0000-000007C70000}"/>
    <cellStyle name="Normal 73 2 4 3" xfId="21929" xr:uid="{00000000-0005-0000-0000-000008C70000}"/>
    <cellStyle name="Normal 73 2 4 3 2" xfId="47482" xr:uid="{00000000-0005-0000-0000-000009C70000}"/>
    <cellStyle name="Normal 73 2 4 4" xfId="28412" xr:uid="{00000000-0005-0000-0000-00000AC70000}"/>
    <cellStyle name="Normal 73 2 5" xfId="10755" xr:uid="{00000000-0005-0000-0000-00000BC70000}"/>
    <cellStyle name="Normal 73 2 5 2" xfId="20411" xr:uid="{00000000-0005-0000-0000-00000CC70000}"/>
    <cellStyle name="Normal 73 2 5 2 2" xfId="45964" xr:uid="{00000000-0005-0000-0000-00000DC70000}"/>
    <cellStyle name="Normal 73 2 5 3" xfId="36311" xr:uid="{00000000-0005-0000-0000-00000EC70000}"/>
    <cellStyle name="Normal 73 2 6" xfId="8503" xr:uid="{00000000-0005-0000-0000-00000FC70000}"/>
    <cellStyle name="Normal 73 2 6 2" xfId="34060" xr:uid="{00000000-0005-0000-0000-000010C70000}"/>
    <cellStyle name="Normal 73 2 7" xfId="16922" xr:uid="{00000000-0005-0000-0000-000011C70000}"/>
    <cellStyle name="Normal 73 2 7 2" xfId="42475" xr:uid="{00000000-0005-0000-0000-000012C70000}"/>
    <cellStyle name="Normal 73 2 8" xfId="26894" xr:uid="{00000000-0005-0000-0000-000013C70000}"/>
    <cellStyle name="Normal 73 3" xfId="1889" xr:uid="{00000000-0005-0000-0000-000014C70000}"/>
    <cellStyle name="Normal 74" xfId="976" xr:uid="{00000000-0005-0000-0000-000015C70000}"/>
    <cellStyle name="Normal 74 2" xfId="3452" xr:uid="{00000000-0005-0000-0000-000016C70000}"/>
    <cellStyle name="Normal 74 2 2" xfId="12594" xr:uid="{00000000-0005-0000-0000-000017C70000}"/>
    <cellStyle name="Normal 74 2 2 2" xfId="22813" xr:uid="{00000000-0005-0000-0000-000018C70000}"/>
    <cellStyle name="Normal 74 2 2 2 2" xfId="48366" xr:uid="{00000000-0005-0000-0000-000019C70000}"/>
    <cellStyle name="Normal 74 2 2 3" xfId="38149" xr:uid="{00000000-0005-0000-0000-00001AC70000}"/>
    <cellStyle name="Normal 74 2 3" xfId="9016" xr:uid="{00000000-0005-0000-0000-00001BC70000}"/>
    <cellStyle name="Normal 74 2 3 2" xfId="34573" xr:uid="{00000000-0005-0000-0000-00001CC70000}"/>
    <cellStyle name="Normal 74 2 4" xfId="17806" xr:uid="{00000000-0005-0000-0000-00001DC70000}"/>
    <cellStyle name="Normal 74 2 4 2" xfId="43359" xr:uid="{00000000-0005-0000-0000-00001EC70000}"/>
    <cellStyle name="Normal 74 2 5" xfId="29296" xr:uid="{00000000-0005-0000-0000-00001FC70000}"/>
    <cellStyle name="Normal 74 3" xfId="5481" xr:uid="{00000000-0005-0000-0000-000020C70000}"/>
    <cellStyle name="Normal 74 3 2" xfId="14318" xr:uid="{00000000-0005-0000-0000-000021C70000}"/>
    <cellStyle name="Normal 74 3 2 2" xfId="24569" xr:uid="{00000000-0005-0000-0000-000022C70000}"/>
    <cellStyle name="Normal 74 3 2 2 2" xfId="50122" xr:uid="{00000000-0005-0000-0000-000023C70000}"/>
    <cellStyle name="Normal 74 3 2 3" xfId="39873" xr:uid="{00000000-0005-0000-0000-000024C70000}"/>
    <cellStyle name="Normal 74 3 3" xfId="10739" xr:uid="{00000000-0005-0000-0000-000025C70000}"/>
    <cellStyle name="Normal 74 3 3 2" xfId="36296" xr:uid="{00000000-0005-0000-0000-000026C70000}"/>
    <cellStyle name="Normal 74 3 4" xfId="19562" xr:uid="{00000000-0005-0000-0000-000027C70000}"/>
    <cellStyle name="Normal 74 3 4 2" xfId="45115" xr:uid="{00000000-0005-0000-0000-000028C70000}"/>
    <cellStyle name="Normal 74 3 5" xfId="31052" xr:uid="{00000000-0005-0000-0000-000029C70000}"/>
    <cellStyle name="Normal 74 4" xfId="2561" xr:uid="{00000000-0005-0000-0000-00002AC70000}"/>
    <cellStyle name="Normal 74 4 2" xfId="11926" xr:uid="{00000000-0005-0000-0000-00002BC70000}"/>
    <cellStyle name="Normal 74 4 2 2" xfId="37481" xr:uid="{00000000-0005-0000-0000-00002CC70000}"/>
    <cellStyle name="Normal 74 4 3" xfId="21930" xr:uid="{00000000-0005-0000-0000-00002DC70000}"/>
    <cellStyle name="Normal 74 4 3 2" xfId="47483" xr:uid="{00000000-0005-0000-0000-00002EC70000}"/>
    <cellStyle name="Normal 74 4 4" xfId="28413" xr:uid="{00000000-0005-0000-0000-00002FC70000}"/>
    <cellStyle name="Normal 74 5" xfId="10756" xr:uid="{00000000-0005-0000-0000-000030C70000}"/>
    <cellStyle name="Normal 74 5 2" xfId="20412" xr:uid="{00000000-0005-0000-0000-000031C70000}"/>
    <cellStyle name="Normal 74 5 2 2" xfId="45965" xr:uid="{00000000-0005-0000-0000-000032C70000}"/>
    <cellStyle name="Normal 74 5 3" xfId="36312" xr:uid="{00000000-0005-0000-0000-000033C70000}"/>
    <cellStyle name="Normal 74 6" xfId="8438" xr:uid="{00000000-0005-0000-0000-000034C70000}"/>
    <cellStyle name="Normal 74 6 2" xfId="33995" xr:uid="{00000000-0005-0000-0000-000035C70000}"/>
    <cellStyle name="Normal 74 7" xfId="16923" xr:uid="{00000000-0005-0000-0000-000036C70000}"/>
    <cellStyle name="Normal 74 7 2" xfId="42476" xr:uid="{00000000-0005-0000-0000-000037C70000}"/>
    <cellStyle name="Normal 74 8" xfId="26895" xr:uid="{00000000-0005-0000-0000-000038C70000}"/>
    <cellStyle name="Normal 75" xfId="977" xr:uid="{00000000-0005-0000-0000-000039C70000}"/>
    <cellStyle name="Normal 75 2" xfId="3453" xr:uid="{00000000-0005-0000-0000-00003AC70000}"/>
    <cellStyle name="Normal 75 2 2" xfId="12595" xr:uid="{00000000-0005-0000-0000-00003BC70000}"/>
    <cellStyle name="Normal 75 2 2 2" xfId="22814" xr:uid="{00000000-0005-0000-0000-00003CC70000}"/>
    <cellStyle name="Normal 75 2 2 2 2" xfId="48367" xr:uid="{00000000-0005-0000-0000-00003DC70000}"/>
    <cellStyle name="Normal 75 2 2 3" xfId="38150" xr:uid="{00000000-0005-0000-0000-00003EC70000}"/>
    <cellStyle name="Normal 75 2 3" xfId="9017" xr:uid="{00000000-0005-0000-0000-00003FC70000}"/>
    <cellStyle name="Normal 75 2 3 2" xfId="34574" xr:uid="{00000000-0005-0000-0000-000040C70000}"/>
    <cellStyle name="Normal 75 2 4" xfId="17807" xr:uid="{00000000-0005-0000-0000-000041C70000}"/>
    <cellStyle name="Normal 75 2 4 2" xfId="43360" xr:uid="{00000000-0005-0000-0000-000042C70000}"/>
    <cellStyle name="Normal 75 2 5" xfId="29297" xr:uid="{00000000-0005-0000-0000-000043C70000}"/>
    <cellStyle name="Normal 75 3" xfId="5478" xr:uid="{00000000-0005-0000-0000-000044C70000}"/>
    <cellStyle name="Normal 75 3 2" xfId="14315" xr:uid="{00000000-0005-0000-0000-000045C70000}"/>
    <cellStyle name="Normal 75 3 2 2" xfId="24566" xr:uid="{00000000-0005-0000-0000-000046C70000}"/>
    <cellStyle name="Normal 75 3 2 2 2" xfId="50119" xr:uid="{00000000-0005-0000-0000-000047C70000}"/>
    <cellStyle name="Normal 75 3 2 3" xfId="39870" xr:uid="{00000000-0005-0000-0000-000048C70000}"/>
    <cellStyle name="Normal 75 3 3" xfId="10736" xr:uid="{00000000-0005-0000-0000-000049C70000}"/>
    <cellStyle name="Normal 75 3 3 2" xfId="36293" xr:uid="{00000000-0005-0000-0000-00004AC70000}"/>
    <cellStyle name="Normal 75 3 4" xfId="19559" xr:uid="{00000000-0005-0000-0000-00004BC70000}"/>
    <cellStyle name="Normal 75 3 4 2" xfId="45112" xr:uid="{00000000-0005-0000-0000-00004CC70000}"/>
    <cellStyle name="Normal 75 3 5" xfId="31049" xr:uid="{00000000-0005-0000-0000-00004DC70000}"/>
    <cellStyle name="Normal 75 4" xfId="2562" xr:uid="{00000000-0005-0000-0000-00004EC70000}"/>
    <cellStyle name="Normal 75 4 2" xfId="11927" xr:uid="{00000000-0005-0000-0000-00004FC70000}"/>
    <cellStyle name="Normal 75 4 2 2" xfId="37482" xr:uid="{00000000-0005-0000-0000-000050C70000}"/>
    <cellStyle name="Normal 75 4 3" xfId="21931" xr:uid="{00000000-0005-0000-0000-000051C70000}"/>
    <cellStyle name="Normal 75 4 3 2" xfId="47484" xr:uid="{00000000-0005-0000-0000-000052C70000}"/>
    <cellStyle name="Normal 75 4 4" xfId="28414" xr:uid="{00000000-0005-0000-0000-000053C70000}"/>
    <cellStyle name="Normal 75 5" xfId="10757" xr:uid="{00000000-0005-0000-0000-000054C70000}"/>
    <cellStyle name="Normal 75 5 2" xfId="20413" xr:uid="{00000000-0005-0000-0000-000055C70000}"/>
    <cellStyle name="Normal 75 5 2 2" xfId="45966" xr:uid="{00000000-0005-0000-0000-000056C70000}"/>
    <cellStyle name="Normal 75 5 3" xfId="36313" xr:uid="{00000000-0005-0000-0000-000057C70000}"/>
    <cellStyle name="Normal 75 6" xfId="8399" xr:uid="{00000000-0005-0000-0000-000058C70000}"/>
    <cellStyle name="Normal 75 6 2" xfId="33956" xr:uid="{00000000-0005-0000-0000-000059C70000}"/>
    <cellStyle name="Normal 75 7" xfId="16924" xr:uid="{00000000-0005-0000-0000-00005AC70000}"/>
    <cellStyle name="Normal 75 7 2" xfId="42477" xr:uid="{00000000-0005-0000-0000-00005BC70000}"/>
    <cellStyle name="Normal 75 8" xfId="26896" xr:uid="{00000000-0005-0000-0000-00005CC70000}"/>
    <cellStyle name="Normal 76" xfId="978" xr:uid="{00000000-0005-0000-0000-00005DC70000}"/>
    <cellStyle name="Normal 76 2" xfId="3454" xr:uid="{00000000-0005-0000-0000-00005EC70000}"/>
    <cellStyle name="Normal 76 2 2" xfId="12596" xr:uid="{00000000-0005-0000-0000-00005FC70000}"/>
    <cellStyle name="Normal 76 2 2 2" xfId="22815" xr:uid="{00000000-0005-0000-0000-000060C70000}"/>
    <cellStyle name="Normal 76 2 2 2 2" xfId="48368" xr:uid="{00000000-0005-0000-0000-000061C70000}"/>
    <cellStyle name="Normal 76 2 2 3" xfId="38151" xr:uid="{00000000-0005-0000-0000-000062C70000}"/>
    <cellStyle name="Normal 76 2 3" xfId="9018" xr:uid="{00000000-0005-0000-0000-000063C70000}"/>
    <cellStyle name="Normal 76 2 3 2" xfId="34575" xr:uid="{00000000-0005-0000-0000-000064C70000}"/>
    <cellStyle name="Normal 76 2 4" xfId="17808" xr:uid="{00000000-0005-0000-0000-000065C70000}"/>
    <cellStyle name="Normal 76 2 4 2" xfId="43361" xr:uid="{00000000-0005-0000-0000-000066C70000}"/>
    <cellStyle name="Normal 76 2 5" xfId="29298" xr:uid="{00000000-0005-0000-0000-000067C70000}"/>
    <cellStyle name="Normal 76 3" xfId="5477" xr:uid="{00000000-0005-0000-0000-000068C70000}"/>
    <cellStyle name="Normal 76 3 2" xfId="14314" xr:uid="{00000000-0005-0000-0000-000069C70000}"/>
    <cellStyle name="Normal 76 3 2 2" xfId="24565" xr:uid="{00000000-0005-0000-0000-00006AC70000}"/>
    <cellStyle name="Normal 76 3 2 2 2" xfId="50118" xr:uid="{00000000-0005-0000-0000-00006BC70000}"/>
    <cellStyle name="Normal 76 3 2 3" xfId="39869" xr:uid="{00000000-0005-0000-0000-00006CC70000}"/>
    <cellStyle name="Normal 76 3 3" xfId="10735" xr:uid="{00000000-0005-0000-0000-00006DC70000}"/>
    <cellStyle name="Normal 76 3 3 2" xfId="36292" xr:uid="{00000000-0005-0000-0000-00006EC70000}"/>
    <cellStyle name="Normal 76 3 4" xfId="19558" xr:uid="{00000000-0005-0000-0000-00006FC70000}"/>
    <cellStyle name="Normal 76 3 4 2" xfId="45111" xr:uid="{00000000-0005-0000-0000-000070C70000}"/>
    <cellStyle name="Normal 76 3 5" xfId="31048" xr:uid="{00000000-0005-0000-0000-000071C70000}"/>
    <cellStyle name="Normal 76 4" xfId="2563" xr:uid="{00000000-0005-0000-0000-000072C70000}"/>
    <cellStyle name="Normal 76 4 2" xfId="11928" xr:uid="{00000000-0005-0000-0000-000073C70000}"/>
    <cellStyle name="Normal 76 4 2 2" xfId="37483" xr:uid="{00000000-0005-0000-0000-000074C70000}"/>
    <cellStyle name="Normal 76 4 3" xfId="21932" xr:uid="{00000000-0005-0000-0000-000075C70000}"/>
    <cellStyle name="Normal 76 4 3 2" xfId="47485" xr:uid="{00000000-0005-0000-0000-000076C70000}"/>
    <cellStyle name="Normal 76 4 4" xfId="28415" xr:uid="{00000000-0005-0000-0000-000077C70000}"/>
    <cellStyle name="Normal 76 5" xfId="10758" xr:uid="{00000000-0005-0000-0000-000078C70000}"/>
    <cellStyle name="Normal 76 5 2" xfId="20414" xr:uid="{00000000-0005-0000-0000-000079C70000}"/>
    <cellStyle name="Normal 76 5 2 2" xfId="45967" xr:uid="{00000000-0005-0000-0000-00007AC70000}"/>
    <cellStyle name="Normal 76 5 3" xfId="36314" xr:uid="{00000000-0005-0000-0000-00007BC70000}"/>
    <cellStyle name="Normal 76 6" xfId="8594" xr:uid="{00000000-0005-0000-0000-00007CC70000}"/>
    <cellStyle name="Normal 76 6 2" xfId="34151" xr:uid="{00000000-0005-0000-0000-00007DC70000}"/>
    <cellStyle name="Normal 76 7" xfId="16925" xr:uid="{00000000-0005-0000-0000-00007EC70000}"/>
    <cellStyle name="Normal 76 7 2" xfId="42478" xr:uid="{00000000-0005-0000-0000-00007FC70000}"/>
    <cellStyle name="Normal 76 8" xfId="26897" xr:uid="{00000000-0005-0000-0000-000080C70000}"/>
    <cellStyle name="Normal 77" xfId="613" xr:uid="{00000000-0005-0000-0000-000081C70000}"/>
    <cellStyle name="Normal 77 2" xfId="3099" xr:uid="{00000000-0005-0000-0000-000082C70000}"/>
    <cellStyle name="Normal 77 2 2" xfId="12242" xr:uid="{00000000-0005-0000-0000-000083C70000}"/>
    <cellStyle name="Normal 77 2 2 2" xfId="22460" xr:uid="{00000000-0005-0000-0000-000084C70000}"/>
    <cellStyle name="Normal 77 2 2 2 2" xfId="48013" xr:uid="{00000000-0005-0000-0000-000085C70000}"/>
    <cellStyle name="Normal 77 2 2 3" xfId="37797" xr:uid="{00000000-0005-0000-0000-000086C70000}"/>
    <cellStyle name="Normal 77 2 3" xfId="8664" xr:uid="{00000000-0005-0000-0000-000087C70000}"/>
    <cellStyle name="Normal 77 2 3 2" xfId="34221" xr:uid="{00000000-0005-0000-0000-000088C70000}"/>
    <cellStyle name="Normal 77 2 4" xfId="17453" xr:uid="{00000000-0005-0000-0000-000089C70000}"/>
    <cellStyle name="Normal 77 2 4 2" xfId="43006" xr:uid="{00000000-0005-0000-0000-00008AC70000}"/>
    <cellStyle name="Normal 77 2 5" xfId="28943" xr:uid="{00000000-0005-0000-0000-00008BC70000}"/>
    <cellStyle name="Normal 77 3" xfId="5486" xr:uid="{00000000-0005-0000-0000-00008CC70000}"/>
    <cellStyle name="Normal 77 3 2" xfId="14322" xr:uid="{00000000-0005-0000-0000-00008DC70000}"/>
    <cellStyle name="Normal 77 3 2 2" xfId="24573" xr:uid="{00000000-0005-0000-0000-00008EC70000}"/>
    <cellStyle name="Normal 77 3 2 2 2" xfId="50126" xr:uid="{00000000-0005-0000-0000-00008FC70000}"/>
    <cellStyle name="Normal 77 3 2 3" xfId="39877" xr:uid="{00000000-0005-0000-0000-000090C70000}"/>
    <cellStyle name="Normal 77 3 3" xfId="10743" xr:uid="{00000000-0005-0000-0000-000091C70000}"/>
    <cellStyle name="Normal 77 3 3 2" xfId="36300" xr:uid="{00000000-0005-0000-0000-000092C70000}"/>
    <cellStyle name="Normal 77 3 4" xfId="19566" xr:uid="{00000000-0005-0000-0000-000093C70000}"/>
    <cellStyle name="Normal 77 3 4 2" xfId="45119" xr:uid="{00000000-0005-0000-0000-000094C70000}"/>
    <cellStyle name="Normal 77 3 5" xfId="31056" xr:uid="{00000000-0005-0000-0000-000095C70000}"/>
    <cellStyle name="Normal 77 4" xfId="2208" xr:uid="{00000000-0005-0000-0000-000096C70000}"/>
    <cellStyle name="Normal 77 4 2" xfId="11573" xr:uid="{00000000-0005-0000-0000-000097C70000}"/>
    <cellStyle name="Normal 77 4 2 2" xfId="37128" xr:uid="{00000000-0005-0000-0000-000098C70000}"/>
    <cellStyle name="Normal 77 4 3" xfId="21577" xr:uid="{00000000-0005-0000-0000-000099C70000}"/>
    <cellStyle name="Normal 77 4 3 2" xfId="47130" xr:uid="{00000000-0005-0000-0000-00009AC70000}"/>
    <cellStyle name="Normal 77 4 4" xfId="28060" xr:uid="{00000000-0005-0000-0000-00009BC70000}"/>
    <cellStyle name="Normal 77 5" xfId="10750" xr:uid="{00000000-0005-0000-0000-00009CC70000}"/>
    <cellStyle name="Normal 77 5 2" xfId="20059" xr:uid="{00000000-0005-0000-0000-00009DC70000}"/>
    <cellStyle name="Normal 77 5 2 2" xfId="45612" xr:uid="{00000000-0005-0000-0000-00009EC70000}"/>
    <cellStyle name="Normal 77 5 3" xfId="36306" xr:uid="{00000000-0005-0000-0000-00009FC70000}"/>
    <cellStyle name="Normal 77 6" xfId="8565" xr:uid="{00000000-0005-0000-0000-0000A0C70000}"/>
    <cellStyle name="Normal 77 6 2" xfId="34122" xr:uid="{00000000-0005-0000-0000-0000A1C70000}"/>
    <cellStyle name="Normal 77 7" xfId="16570" xr:uid="{00000000-0005-0000-0000-0000A2C70000}"/>
    <cellStyle name="Normal 77 7 2" xfId="42123" xr:uid="{00000000-0005-0000-0000-0000A3C70000}"/>
    <cellStyle name="Normal 77 8" xfId="26542" xr:uid="{00000000-0005-0000-0000-0000A4C70000}"/>
    <cellStyle name="Normal 78" xfId="979" xr:uid="{00000000-0005-0000-0000-0000A5C70000}"/>
    <cellStyle name="Normal 78 2" xfId="3455" xr:uid="{00000000-0005-0000-0000-0000A6C70000}"/>
    <cellStyle name="Normal 78 2 2" xfId="12597" xr:uid="{00000000-0005-0000-0000-0000A7C70000}"/>
    <cellStyle name="Normal 78 2 2 2" xfId="22816" xr:uid="{00000000-0005-0000-0000-0000A8C70000}"/>
    <cellStyle name="Normal 78 2 2 2 2" xfId="48369" xr:uid="{00000000-0005-0000-0000-0000A9C70000}"/>
    <cellStyle name="Normal 78 2 2 3" xfId="38152" xr:uid="{00000000-0005-0000-0000-0000AAC70000}"/>
    <cellStyle name="Normal 78 2 3" xfId="9019" xr:uid="{00000000-0005-0000-0000-0000ABC70000}"/>
    <cellStyle name="Normal 78 2 3 2" xfId="34576" xr:uid="{00000000-0005-0000-0000-0000ACC70000}"/>
    <cellStyle name="Normal 78 2 4" xfId="17809" xr:uid="{00000000-0005-0000-0000-0000ADC70000}"/>
    <cellStyle name="Normal 78 2 4 2" xfId="43362" xr:uid="{00000000-0005-0000-0000-0000AEC70000}"/>
    <cellStyle name="Normal 78 2 5" xfId="29299" xr:uid="{00000000-0005-0000-0000-0000AFC70000}"/>
    <cellStyle name="Normal 78 3" xfId="4159" xr:uid="{00000000-0005-0000-0000-0000B0C70000}"/>
    <cellStyle name="Normal 78 3 2" xfId="12997" xr:uid="{00000000-0005-0000-0000-0000B1C70000}"/>
    <cellStyle name="Normal 78 3 2 2" xfId="23248" xr:uid="{00000000-0005-0000-0000-0000B2C70000}"/>
    <cellStyle name="Normal 78 3 2 2 2" xfId="48801" xr:uid="{00000000-0005-0000-0000-0000B3C70000}"/>
    <cellStyle name="Normal 78 3 2 3" xfId="38552" xr:uid="{00000000-0005-0000-0000-0000B4C70000}"/>
    <cellStyle name="Normal 78 3 3" xfId="9418" xr:uid="{00000000-0005-0000-0000-0000B5C70000}"/>
    <cellStyle name="Normal 78 3 3 2" xfId="34975" xr:uid="{00000000-0005-0000-0000-0000B6C70000}"/>
    <cellStyle name="Normal 78 3 4" xfId="18241" xr:uid="{00000000-0005-0000-0000-0000B7C70000}"/>
    <cellStyle name="Normal 78 3 4 2" xfId="43794" xr:uid="{00000000-0005-0000-0000-0000B8C70000}"/>
    <cellStyle name="Normal 78 3 5" xfId="29731" xr:uid="{00000000-0005-0000-0000-0000B9C70000}"/>
    <cellStyle name="Normal 78 4" xfId="2564" xr:uid="{00000000-0005-0000-0000-0000BAC70000}"/>
    <cellStyle name="Normal 78 4 2" xfId="11929" xr:uid="{00000000-0005-0000-0000-0000BBC70000}"/>
    <cellStyle name="Normal 78 4 2 2" xfId="37484" xr:uid="{00000000-0005-0000-0000-0000BCC70000}"/>
    <cellStyle name="Normal 78 4 3" xfId="21933" xr:uid="{00000000-0005-0000-0000-0000BDC70000}"/>
    <cellStyle name="Normal 78 4 3 2" xfId="47486" xr:uid="{00000000-0005-0000-0000-0000BEC70000}"/>
    <cellStyle name="Normal 78 4 4" xfId="28416" xr:uid="{00000000-0005-0000-0000-0000BFC70000}"/>
    <cellStyle name="Normal 78 5" xfId="10759" xr:uid="{00000000-0005-0000-0000-0000C0C70000}"/>
    <cellStyle name="Normal 78 5 2" xfId="20415" xr:uid="{00000000-0005-0000-0000-0000C1C70000}"/>
    <cellStyle name="Normal 78 5 2 2" xfId="45968" xr:uid="{00000000-0005-0000-0000-0000C2C70000}"/>
    <cellStyle name="Normal 78 5 3" xfId="36315" xr:uid="{00000000-0005-0000-0000-0000C3C70000}"/>
    <cellStyle name="Normal 78 6" xfId="8607" xr:uid="{00000000-0005-0000-0000-0000C4C70000}"/>
    <cellStyle name="Normal 78 6 2" xfId="34164" xr:uid="{00000000-0005-0000-0000-0000C5C70000}"/>
    <cellStyle name="Normal 78 7" xfId="16926" xr:uid="{00000000-0005-0000-0000-0000C6C70000}"/>
    <cellStyle name="Normal 78 7 2" xfId="42479" xr:uid="{00000000-0005-0000-0000-0000C7C70000}"/>
    <cellStyle name="Normal 78 8" xfId="26898" xr:uid="{00000000-0005-0000-0000-0000C8C70000}"/>
    <cellStyle name="Normal 79" xfId="614" xr:uid="{00000000-0005-0000-0000-0000C9C70000}"/>
    <cellStyle name="Normal 79 2" xfId="3100" xr:uid="{00000000-0005-0000-0000-0000CAC70000}"/>
    <cellStyle name="Normal 79 2 2" xfId="12243" xr:uid="{00000000-0005-0000-0000-0000CBC70000}"/>
    <cellStyle name="Normal 79 2 2 2" xfId="22461" xr:uid="{00000000-0005-0000-0000-0000CCC70000}"/>
    <cellStyle name="Normal 79 2 2 2 2" xfId="48014" xr:uid="{00000000-0005-0000-0000-0000CDC70000}"/>
    <cellStyle name="Normal 79 2 2 3" xfId="37798" xr:uid="{00000000-0005-0000-0000-0000CEC70000}"/>
    <cellStyle name="Normal 79 2 3" xfId="8665" xr:uid="{00000000-0005-0000-0000-0000CFC70000}"/>
    <cellStyle name="Normal 79 2 3 2" xfId="34222" xr:uid="{00000000-0005-0000-0000-0000D0C70000}"/>
    <cellStyle name="Normal 79 2 4" xfId="17454" xr:uid="{00000000-0005-0000-0000-0000D1C70000}"/>
    <cellStyle name="Normal 79 2 4 2" xfId="43007" xr:uid="{00000000-0005-0000-0000-0000D2C70000}"/>
    <cellStyle name="Normal 79 2 5" xfId="28944" xr:uid="{00000000-0005-0000-0000-0000D3C70000}"/>
    <cellStyle name="Normal 79 3" xfId="5484" xr:uid="{00000000-0005-0000-0000-0000D4C70000}"/>
    <cellStyle name="Normal 79 3 2" xfId="14320" xr:uid="{00000000-0005-0000-0000-0000D5C70000}"/>
    <cellStyle name="Normal 79 3 2 2" xfId="24571" xr:uid="{00000000-0005-0000-0000-0000D6C70000}"/>
    <cellStyle name="Normal 79 3 2 2 2" xfId="50124" xr:uid="{00000000-0005-0000-0000-0000D7C70000}"/>
    <cellStyle name="Normal 79 3 2 3" xfId="39875" xr:uid="{00000000-0005-0000-0000-0000D8C70000}"/>
    <cellStyle name="Normal 79 3 3" xfId="10741" xr:uid="{00000000-0005-0000-0000-0000D9C70000}"/>
    <cellStyle name="Normal 79 3 3 2" xfId="36298" xr:uid="{00000000-0005-0000-0000-0000DAC70000}"/>
    <cellStyle name="Normal 79 3 4" xfId="19564" xr:uid="{00000000-0005-0000-0000-0000DBC70000}"/>
    <cellStyle name="Normal 79 3 4 2" xfId="45117" xr:uid="{00000000-0005-0000-0000-0000DCC70000}"/>
    <cellStyle name="Normal 79 3 5" xfId="31054" xr:uid="{00000000-0005-0000-0000-0000DDC70000}"/>
    <cellStyle name="Normal 79 4" xfId="2209" xr:uid="{00000000-0005-0000-0000-0000DEC70000}"/>
    <cellStyle name="Normal 79 4 2" xfId="11574" xr:uid="{00000000-0005-0000-0000-0000DFC70000}"/>
    <cellStyle name="Normal 79 4 2 2" xfId="37129" xr:uid="{00000000-0005-0000-0000-0000E0C70000}"/>
    <cellStyle name="Normal 79 4 3" xfId="21578" xr:uid="{00000000-0005-0000-0000-0000E1C70000}"/>
    <cellStyle name="Normal 79 4 3 2" xfId="47131" xr:uid="{00000000-0005-0000-0000-0000E2C70000}"/>
    <cellStyle name="Normal 79 4 4" xfId="28061" xr:uid="{00000000-0005-0000-0000-0000E3C70000}"/>
    <cellStyle name="Normal 79 5" xfId="10751" xr:uid="{00000000-0005-0000-0000-0000E4C70000}"/>
    <cellStyle name="Normal 79 5 2" xfId="20060" xr:uid="{00000000-0005-0000-0000-0000E5C70000}"/>
    <cellStyle name="Normal 79 5 2 2" xfId="45613" xr:uid="{00000000-0005-0000-0000-0000E6C70000}"/>
    <cellStyle name="Normal 79 5 3" xfId="36307" xr:uid="{00000000-0005-0000-0000-0000E7C70000}"/>
    <cellStyle name="Normal 79 6" xfId="8504" xr:uid="{00000000-0005-0000-0000-0000E8C70000}"/>
    <cellStyle name="Normal 79 6 2" xfId="34061" xr:uid="{00000000-0005-0000-0000-0000E9C70000}"/>
    <cellStyle name="Normal 79 7" xfId="16571" xr:uid="{00000000-0005-0000-0000-0000EAC70000}"/>
    <cellStyle name="Normal 79 7 2" xfId="42124" xr:uid="{00000000-0005-0000-0000-0000EBC70000}"/>
    <cellStyle name="Normal 79 8" xfId="26543" xr:uid="{00000000-0005-0000-0000-0000ECC70000}"/>
    <cellStyle name="Normal 8" xfId="14" xr:uid="{00000000-0005-0000-0000-0000EDC70000}"/>
    <cellStyle name="Normal 8 2" xfId="30" xr:uid="{00000000-0005-0000-0000-0000EEC70000}"/>
    <cellStyle name="Normal 8 3" xfId="150" xr:uid="{00000000-0005-0000-0000-0000EFC70000}"/>
    <cellStyle name="Normal 80" xfId="615" xr:uid="{00000000-0005-0000-0000-0000F0C70000}"/>
    <cellStyle name="Normal 80 2" xfId="3101" xr:uid="{00000000-0005-0000-0000-0000F1C70000}"/>
    <cellStyle name="Normal 80 2 2" xfId="12244" xr:uid="{00000000-0005-0000-0000-0000F2C70000}"/>
    <cellStyle name="Normal 80 2 2 2" xfId="22462" xr:uid="{00000000-0005-0000-0000-0000F3C70000}"/>
    <cellStyle name="Normal 80 2 2 2 2" xfId="48015" xr:uid="{00000000-0005-0000-0000-0000F4C70000}"/>
    <cellStyle name="Normal 80 2 2 3" xfId="37799" xr:uid="{00000000-0005-0000-0000-0000F5C70000}"/>
    <cellStyle name="Normal 80 2 3" xfId="8666" xr:uid="{00000000-0005-0000-0000-0000F6C70000}"/>
    <cellStyle name="Normal 80 2 3 2" xfId="34223" xr:uid="{00000000-0005-0000-0000-0000F7C70000}"/>
    <cellStyle name="Normal 80 2 4" xfId="17455" xr:uid="{00000000-0005-0000-0000-0000F8C70000}"/>
    <cellStyle name="Normal 80 2 4 2" xfId="43008" xr:uid="{00000000-0005-0000-0000-0000F9C70000}"/>
    <cellStyle name="Normal 80 2 5" xfId="28945" xr:uid="{00000000-0005-0000-0000-0000FAC70000}"/>
    <cellStyle name="Normal 80 3" xfId="5480" xr:uid="{00000000-0005-0000-0000-0000FBC70000}"/>
    <cellStyle name="Normal 80 3 2" xfId="14317" xr:uid="{00000000-0005-0000-0000-0000FCC70000}"/>
    <cellStyle name="Normal 80 3 2 2" xfId="24568" xr:uid="{00000000-0005-0000-0000-0000FDC70000}"/>
    <cellStyle name="Normal 80 3 2 2 2" xfId="50121" xr:uid="{00000000-0005-0000-0000-0000FEC70000}"/>
    <cellStyle name="Normal 80 3 2 3" xfId="39872" xr:uid="{00000000-0005-0000-0000-0000FFC70000}"/>
    <cellStyle name="Normal 80 3 3" xfId="10738" xr:uid="{00000000-0005-0000-0000-000000C80000}"/>
    <cellStyle name="Normal 80 3 3 2" xfId="36295" xr:uid="{00000000-0005-0000-0000-000001C80000}"/>
    <cellStyle name="Normal 80 3 4" xfId="19561" xr:uid="{00000000-0005-0000-0000-000002C80000}"/>
    <cellStyle name="Normal 80 3 4 2" xfId="45114" xr:uid="{00000000-0005-0000-0000-000003C80000}"/>
    <cellStyle name="Normal 80 3 5" xfId="31051" xr:uid="{00000000-0005-0000-0000-000004C80000}"/>
    <cellStyle name="Normal 80 4" xfId="2210" xr:uid="{00000000-0005-0000-0000-000005C80000}"/>
    <cellStyle name="Normal 80 4 2" xfId="11575" xr:uid="{00000000-0005-0000-0000-000006C80000}"/>
    <cellStyle name="Normal 80 4 2 2" xfId="37130" xr:uid="{00000000-0005-0000-0000-000007C80000}"/>
    <cellStyle name="Normal 80 4 3" xfId="21579" xr:uid="{00000000-0005-0000-0000-000008C80000}"/>
    <cellStyle name="Normal 80 4 3 2" xfId="47132" xr:uid="{00000000-0005-0000-0000-000009C80000}"/>
    <cellStyle name="Normal 80 4 4" xfId="28062" xr:uid="{00000000-0005-0000-0000-00000AC80000}"/>
    <cellStyle name="Normal 80 5" xfId="10752" xr:uid="{00000000-0005-0000-0000-00000BC80000}"/>
    <cellStyle name="Normal 80 5 2" xfId="20061" xr:uid="{00000000-0005-0000-0000-00000CC80000}"/>
    <cellStyle name="Normal 80 5 2 2" xfId="45614" xr:uid="{00000000-0005-0000-0000-00000DC80000}"/>
    <cellStyle name="Normal 80 5 3" xfId="36308" xr:uid="{00000000-0005-0000-0000-00000EC80000}"/>
    <cellStyle name="Normal 80 6" xfId="8570" xr:uid="{00000000-0005-0000-0000-00000FC80000}"/>
    <cellStyle name="Normal 80 6 2" xfId="34127" xr:uid="{00000000-0005-0000-0000-000010C80000}"/>
    <cellStyle name="Normal 80 7" xfId="16572" xr:uid="{00000000-0005-0000-0000-000011C80000}"/>
    <cellStyle name="Normal 80 7 2" xfId="42125" xr:uid="{00000000-0005-0000-0000-000012C80000}"/>
    <cellStyle name="Normal 80 8" xfId="26544" xr:uid="{00000000-0005-0000-0000-000013C80000}"/>
    <cellStyle name="Normal 80 9" xfId="26010" xr:uid="{00000000-0005-0000-0000-000014C80000}"/>
    <cellStyle name="Normal 80 9 2" xfId="51563" xr:uid="{00000000-0005-0000-0000-000015C80000}"/>
    <cellStyle name="Normal 81" xfId="980" xr:uid="{00000000-0005-0000-0000-000016C80000}"/>
    <cellStyle name="Normal 81 2" xfId="3456" xr:uid="{00000000-0005-0000-0000-000017C80000}"/>
    <cellStyle name="Normal 81 2 2" xfId="12598" xr:uid="{00000000-0005-0000-0000-000018C80000}"/>
    <cellStyle name="Normal 81 2 2 2" xfId="22817" xr:uid="{00000000-0005-0000-0000-000019C80000}"/>
    <cellStyle name="Normal 81 2 2 2 2" xfId="48370" xr:uid="{00000000-0005-0000-0000-00001AC80000}"/>
    <cellStyle name="Normal 81 2 2 3" xfId="38153" xr:uid="{00000000-0005-0000-0000-00001BC80000}"/>
    <cellStyle name="Normal 81 2 3" xfId="9020" xr:uid="{00000000-0005-0000-0000-00001CC80000}"/>
    <cellStyle name="Normal 81 2 3 2" xfId="34577" xr:uid="{00000000-0005-0000-0000-00001DC80000}"/>
    <cellStyle name="Normal 81 2 4" xfId="17810" xr:uid="{00000000-0005-0000-0000-00001EC80000}"/>
    <cellStyle name="Normal 81 2 4 2" xfId="43363" xr:uid="{00000000-0005-0000-0000-00001FC80000}"/>
    <cellStyle name="Normal 81 2 5" xfId="29300" xr:uid="{00000000-0005-0000-0000-000020C80000}"/>
    <cellStyle name="Normal 81 3" xfId="4087" xr:uid="{00000000-0005-0000-0000-000021C80000}"/>
    <cellStyle name="Normal 81 3 2" xfId="12950" xr:uid="{00000000-0005-0000-0000-000022C80000}"/>
    <cellStyle name="Normal 81 3 2 2" xfId="23176" xr:uid="{00000000-0005-0000-0000-000023C80000}"/>
    <cellStyle name="Normal 81 3 2 2 2" xfId="48729" xr:uid="{00000000-0005-0000-0000-000024C80000}"/>
    <cellStyle name="Normal 81 3 2 3" xfId="38505" xr:uid="{00000000-0005-0000-0000-000025C80000}"/>
    <cellStyle name="Normal 81 3 3" xfId="9371" xr:uid="{00000000-0005-0000-0000-000026C80000}"/>
    <cellStyle name="Normal 81 3 3 2" xfId="34928" xr:uid="{00000000-0005-0000-0000-000027C80000}"/>
    <cellStyle name="Normal 81 3 4" xfId="18169" xr:uid="{00000000-0005-0000-0000-000028C80000}"/>
    <cellStyle name="Normal 81 3 4 2" xfId="43722" xr:uid="{00000000-0005-0000-0000-000029C80000}"/>
    <cellStyle name="Normal 81 3 5" xfId="29659" xr:uid="{00000000-0005-0000-0000-00002AC80000}"/>
    <cellStyle name="Normal 81 4" xfId="2565" xr:uid="{00000000-0005-0000-0000-00002BC80000}"/>
    <cellStyle name="Normal 81 4 2" xfId="11930" xr:uid="{00000000-0005-0000-0000-00002CC80000}"/>
    <cellStyle name="Normal 81 4 2 2" xfId="37485" xr:uid="{00000000-0005-0000-0000-00002DC80000}"/>
    <cellStyle name="Normal 81 4 3" xfId="21934" xr:uid="{00000000-0005-0000-0000-00002EC80000}"/>
    <cellStyle name="Normal 81 4 3 2" xfId="47487" xr:uid="{00000000-0005-0000-0000-00002FC80000}"/>
    <cellStyle name="Normal 81 4 4" xfId="28417" xr:uid="{00000000-0005-0000-0000-000030C80000}"/>
    <cellStyle name="Normal 81 5" xfId="10760" xr:uid="{00000000-0005-0000-0000-000031C80000}"/>
    <cellStyle name="Normal 81 5 2" xfId="20416" xr:uid="{00000000-0005-0000-0000-000032C80000}"/>
    <cellStyle name="Normal 81 5 2 2" xfId="45969" xr:uid="{00000000-0005-0000-0000-000033C80000}"/>
    <cellStyle name="Normal 81 5 3" xfId="36316" xr:uid="{00000000-0005-0000-0000-000034C80000}"/>
    <cellStyle name="Normal 81 6" xfId="8563" xr:uid="{00000000-0005-0000-0000-000035C80000}"/>
    <cellStyle name="Normal 81 6 2" xfId="34120" xr:uid="{00000000-0005-0000-0000-000036C80000}"/>
    <cellStyle name="Normal 81 7" xfId="16927" xr:uid="{00000000-0005-0000-0000-000037C80000}"/>
    <cellStyle name="Normal 81 7 2" xfId="42480" xr:uid="{00000000-0005-0000-0000-000038C80000}"/>
    <cellStyle name="Normal 81 8" xfId="26899" xr:uid="{00000000-0005-0000-0000-000039C80000}"/>
    <cellStyle name="Normal 82" xfId="981" xr:uid="{00000000-0005-0000-0000-00003AC80000}"/>
    <cellStyle name="Normal 82 2" xfId="3457" xr:uid="{00000000-0005-0000-0000-00003BC80000}"/>
    <cellStyle name="Normal 82 2 2" xfId="12599" xr:uid="{00000000-0005-0000-0000-00003CC80000}"/>
    <cellStyle name="Normal 82 2 2 2" xfId="22818" xr:uid="{00000000-0005-0000-0000-00003DC80000}"/>
    <cellStyle name="Normal 82 2 2 2 2" xfId="48371" xr:uid="{00000000-0005-0000-0000-00003EC80000}"/>
    <cellStyle name="Normal 82 2 2 3" xfId="38154" xr:uid="{00000000-0005-0000-0000-00003FC80000}"/>
    <cellStyle name="Normal 82 2 3" xfId="9021" xr:uid="{00000000-0005-0000-0000-000040C80000}"/>
    <cellStyle name="Normal 82 2 3 2" xfId="34578" xr:uid="{00000000-0005-0000-0000-000041C80000}"/>
    <cellStyle name="Normal 82 2 4" xfId="17811" xr:uid="{00000000-0005-0000-0000-000042C80000}"/>
    <cellStyle name="Normal 82 2 4 2" xfId="43364" xr:uid="{00000000-0005-0000-0000-000043C80000}"/>
    <cellStyle name="Normal 82 2 5" xfId="29301" xr:uid="{00000000-0005-0000-0000-000044C80000}"/>
    <cellStyle name="Normal 82 3" xfId="5487" xr:uid="{00000000-0005-0000-0000-000045C80000}"/>
    <cellStyle name="Normal 82 3 2" xfId="14323" xr:uid="{00000000-0005-0000-0000-000046C80000}"/>
    <cellStyle name="Normal 82 3 2 2" xfId="24574" xr:uid="{00000000-0005-0000-0000-000047C80000}"/>
    <cellStyle name="Normal 82 3 2 2 2" xfId="50127" xr:uid="{00000000-0005-0000-0000-000048C80000}"/>
    <cellStyle name="Normal 82 3 2 3" xfId="39878" xr:uid="{00000000-0005-0000-0000-000049C80000}"/>
    <cellStyle name="Normal 82 3 3" xfId="10744" xr:uid="{00000000-0005-0000-0000-00004AC80000}"/>
    <cellStyle name="Normal 82 3 3 2" xfId="36301" xr:uid="{00000000-0005-0000-0000-00004BC80000}"/>
    <cellStyle name="Normal 82 3 4" xfId="19567" xr:uid="{00000000-0005-0000-0000-00004CC80000}"/>
    <cellStyle name="Normal 82 3 4 2" xfId="45120" xr:uid="{00000000-0005-0000-0000-00004DC80000}"/>
    <cellStyle name="Normal 82 3 5" xfId="31057" xr:uid="{00000000-0005-0000-0000-00004EC80000}"/>
    <cellStyle name="Normal 82 4" xfId="2566" xr:uid="{00000000-0005-0000-0000-00004FC80000}"/>
    <cellStyle name="Normal 82 4 2" xfId="11931" xr:uid="{00000000-0005-0000-0000-000050C80000}"/>
    <cellStyle name="Normal 82 4 2 2" xfId="37486" xr:uid="{00000000-0005-0000-0000-000051C80000}"/>
    <cellStyle name="Normal 82 4 3" xfId="21935" xr:uid="{00000000-0005-0000-0000-000052C80000}"/>
    <cellStyle name="Normal 82 4 3 2" xfId="47488" xr:uid="{00000000-0005-0000-0000-000053C80000}"/>
    <cellStyle name="Normal 82 4 4" xfId="28418" xr:uid="{00000000-0005-0000-0000-000054C80000}"/>
    <cellStyle name="Normal 82 5" xfId="10761" xr:uid="{00000000-0005-0000-0000-000055C80000}"/>
    <cellStyle name="Normal 82 5 2" xfId="20417" xr:uid="{00000000-0005-0000-0000-000056C80000}"/>
    <cellStyle name="Normal 82 5 2 2" xfId="45970" xr:uid="{00000000-0005-0000-0000-000057C80000}"/>
    <cellStyle name="Normal 82 5 3" xfId="36317" xr:uid="{00000000-0005-0000-0000-000058C80000}"/>
    <cellStyle name="Normal 82 6" xfId="8502" xr:uid="{00000000-0005-0000-0000-000059C80000}"/>
    <cellStyle name="Normal 82 6 2" xfId="34059" xr:uid="{00000000-0005-0000-0000-00005AC80000}"/>
    <cellStyle name="Normal 82 7" xfId="16928" xr:uid="{00000000-0005-0000-0000-00005BC80000}"/>
    <cellStyle name="Normal 82 7 2" xfId="42481" xr:uid="{00000000-0005-0000-0000-00005CC80000}"/>
    <cellStyle name="Normal 82 8" xfId="26900" xr:uid="{00000000-0005-0000-0000-00005DC80000}"/>
    <cellStyle name="Normal 83" xfId="52" xr:uid="{00000000-0005-0000-0000-00005EC80000}"/>
    <cellStyle name="Normal 84" xfId="53" xr:uid="{00000000-0005-0000-0000-00005FC80000}"/>
    <cellStyle name="Normal 85" xfId="616" xr:uid="{00000000-0005-0000-0000-000060C80000}"/>
    <cellStyle name="Normal 85 2" xfId="3102" xr:uid="{00000000-0005-0000-0000-000061C80000}"/>
    <cellStyle name="Normal 85 2 2" xfId="12245" xr:uid="{00000000-0005-0000-0000-000062C80000}"/>
    <cellStyle name="Normal 85 2 2 2" xfId="22463" xr:uid="{00000000-0005-0000-0000-000063C80000}"/>
    <cellStyle name="Normal 85 2 2 2 2" xfId="48016" xr:uid="{00000000-0005-0000-0000-000064C80000}"/>
    <cellStyle name="Normal 85 2 2 3" xfId="37800" xr:uid="{00000000-0005-0000-0000-000065C80000}"/>
    <cellStyle name="Normal 85 2 3" xfId="8667" xr:uid="{00000000-0005-0000-0000-000066C80000}"/>
    <cellStyle name="Normal 85 2 3 2" xfId="34224" xr:uid="{00000000-0005-0000-0000-000067C80000}"/>
    <cellStyle name="Normal 85 2 4" xfId="17456" xr:uid="{00000000-0005-0000-0000-000068C80000}"/>
    <cellStyle name="Normal 85 2 4 2" xfId="43009" xr:uid="{00000000-0005-0000-0000-000069C80000}"/>
    <cellStyle name="Normal 85 2 5" xfId="28946" xr:uid="{00000000-0005-0000-0000-00006AC80000}"/>
    <cellStyle name="Normal 85 3" xfId="5479" xr:uid="{00000000-0005-0000-0000-00006BC80000}"/>
    <cellStyle name="Normal 85 3 2" xfId="14316" xr:uid="{00000000-0005-0000-0000-00006CC80000}"/>
    <cellStyle name="Normal 85 3 2 2" xfId="24567" xr:uid="{00000000-0005-0000-0000-00006DC80000}"/>
    <cellStyle name="Normal 85 3 2 2 2" xfId="50120" xr:uid="{00000000-0005-0000-0000-00006EC80000}"/>
    <cellStyle name="Normal 85 3 2 3" xfId="39871" xr:uid="{00000000-0005-0000-0000-00006FC80000}"/>
    <cellStyle name="Normal 85 3 3" xfId="10737" xr:uid="{00000000-0005-0000-0000-000070C80000}"/>
    <cellStyle name="Normal 85 3 3 2" xfId="36294" xr:uid="{00000000-0005-0000-0000-000071C80000}"/>
    <cellStyle name="Normal 85 3 4" xfId="19560" xr:uid="{00000000-0005-0000-0000-000072C80000}"/>
    <cellStyle name="Normal 85 3 4 2" xfId="45113" xr:uid="{00000000-0005-0000-0000-000073C80000}"/>
    <cellStyle name="Normal 85 3 5" xfId="31050" xr:uid="{00000000-0005-0000-0000-000074C80000}"/>
    <cellStyle name="Normal 85 4" xfId="2211" xr:uid="{00000000-0005-0000-0000-000075C80000}"/>
    <cellStyle name="Normal 85 4 2" xfId="11576" xr:uid="{00000000-0005-0000-0000-000076C80000}"/>
    <cellStyle name="Normal 85 4 2 2" xfId="37131" xr:uid="{00000000-0005-0000-0000-000077C80000}"/>
    <cellStyle name="Normal 85 4 3" xfId="21580" xr:uid="{00000000-0005-0000-0000-000078C80000}"/>
    <cellStyle name="Normal 85 4 3 2" xfId="47133" xr:uid="{00000000-0005-0000-0000-000079C80000}"/>
    <cellStyle name="Normal 85 4 4" xfId="28063" xr:uid="{00000000-0005-0000-0000-00007AC80000}"/>
    <cellStyle name="Normal 85 5" xfId="10753" xr:uid="{00000000-0005-0000-0000-00007BC80000}"/>
    <cellStyle name="Normal 85 5 2" xfId="20062" xr:uid="{00000000-0005-0000-0000-00007CC80000}"/>
    <cellStyle name="Normal 85 5 2 2" xfId="45615" xr:uid="{00000000-0005-0000-0000-00007DC80000}"/>
    <cellStyle name="Normal 85 5 3" xfId="36309" xr:uid="{00000000-0005-0000-0000-00007EC80000}"/>
    <cellStyle name="Normal 85 6" xfId="8631" xr:uid="{00000000-0005-0000-0000-00007FC80000}"/>
    <cellStyle name="Normal 85 6 2" xfId="34188" xr:uid="{00000000-0005-0000-0000-000080C80000}"/>
    <cellStyle name="Normal 85 7" xfId="16573" xr:uid="{00000000-0005-0000-0000-000081C80000}"/>
    <cellStyle name="Normal 85 7 2" xfId="42126" xr:uid="{00000000-0005-0000-0000-000082C80000}"/>
    <cellStyle name="Normal 85 8" xfId="26545" xr:uid="{00000000-0005-0000-0000-000083C80000}"/>
    <cellStyle name="Normal 86" xfId="54" xr:uid="{00000000-0005-0000-0000-000084C80000}"/>
    <cellStyle name="Normal 87" xfId="612" xr:uid="{00000000-0005-0000-0000-000085C80000}"/>
    <cellStyle name="Normal 87 2" xfId="3098" xr:uid="{00000000-0005-0000-0000-000086C80000}"/>
    <cellStyle name="Normal 87 2 2" xfId="12241" xr:uid="{00000000-0005-0000-0000-000087C80000}"/>
    <cellStyle name="Normal 87 2 2 2" xfId="22459" xr:uid="{00000000-0005-0000-0000-000088C80000}"/>
    <cellStyle name="Normal 87 2 2 2 2" xfId="48012" xr:uid="{00000000-0005-0000-0000-000089C80000}"/>
    <cellStyle name="Normal 87 2 2 3" xfId="37796" xr:uid="{00000000-0005-0000-0000-00008AC80000}"/>
    <cellStyle name="Normal 87 2 3" xfId="8663" xr:uid="{00000000-0005-0000-0000-00008BC80000}"/>
    <cellStyle name="Normal 87 2 3 2" xfId="34220" xr:uid="{00000000-0005-0000-0000-00008CC80000}"/>
    <cellStyle name="Normal 87 2 4" xfId="17452" xr:uid="{00000000-0005-0000-0000-00008DC80000}"/>
    <cellStyle name="Normal 87 2 4 2" xfId="43005" xr:uid="{00000000-0005-0000-0000-00008EC80000}"/>
    <cellStyle name="Normal 87 2 5" xfId="28942" xr:uid="{00000000-0005-0000-0000-00008FC80000}"/>
    <cellStyle name="Normal 87 3" xfId="5488" xr:uid="{00000000-0005-0000-0000-000090C80000}"/>
    <cellStyle name="Normal 87 3 2" xfId="14324" xr:uid="{00000000-0005-0000-0000-000091C80000}"/>
    <cellStyle name="Normal 87 3 2 2" xfId="24575" xr:uid="{00000000-0005-0000-0000-000092C80000}"/>
    <cellStyle name="Normal 87 3 2 2 2" xfId="50128" xr:uid="{00000000-0005-0000-0000-000093C80000}"/>
    <cellStyle name="Normal 87 3 2 3" xfId="39879" xr:uid="{00000000-0005-0000-0000-000094C80000}"/>
    <cellStyle name="Normal 87 3 3" xfId="10745" xr:uid="{00000000-0005-0000-0000-000095C80000}"/>
    <cellStyle name="Normal 87 3 3 2" xfId="36302" xr:uid="{00000000-0005-0000-0000-000096C80000}"/>
    <cellStyle name="Normal 87 3 4" xfId="19568" xr:uid="{00000000-0005-0000-0000-000097C80000}"/>
    <cellStyle name="Normal 87 3 4 2" xfId="45121" xr:uid="{00000000-0005-0000-0000-000098C80000}"/>
    <cellStyle name="Normal 87 3 5" xfId="31058" xr:uid="{00000000-0005-0000-0000-000099C80000}"/>
    <cellStyle name="Normal 87 4" xfId="2207" xr:uid="{00000000-0005-0000-0000-00009AC80000}"/>
    <cellStyle name="Normal 87 4 2" xfId="11572" xr:uid="{00000000-0005-0000-0000-00009BC80000}"/>
    <cellStyle name="Normal 87 4 2 2" xfId="37127" xr:uid="{00000000-0005-0000-0000-00009CC80000}"/>
    <cellStyle name="Normal 87 4 3" xfId="21576" xr:uid="{00000000-0005-0000-0000-00009DC80000}"/>
    <cellStyle name="Normal 87 4 3 2" xfId="47129" xr:uid="{00000000-0005-0000-0000-00009EC80000}"/>
    <cellStyle name="Normal 87 4 4" xfId="28059" xr:uid="{00000000-0005-0000-0000-00009FC80000}"/>
    <cellStyle name="Normal 87 5" xfId="10749" xr:uid="{00000000-0005-0000-0000-0000A0C80000}"/>
    <cellStyle name="Normal 87 5 2" xfId="20058" xr:uid="{00000000-0005-0000-0000-0000A1C80000}"/>
    <cellStyle name="Normal 87 5 2 2" xfId="45611" xr:uid="{00000000-0005-0000-0000-0000A2C80000}"/>
    <cellStyle name="Normal 87 5 3" xfId="36305" xr:uid="{00000000-0005-0000-0000-0000A3C80000}"/>
    <cellStyle name="Normal 87 6" xfId="8590" xr:uid="{00000000-0005-0000-0000-0000A4C80000}"/>
    <cellStyle name="Normal 87 6 2" xfId="34147" xr:uid="{00000000-0005-0000-0000-0000A5C80000}"/>
    <cellStyle name="Normal 87 7" xfId="16569" xr:uid="{00000000-0005-0000-0000-0000A6C80000}"/>
    <cellStyle name="Normal 87 7 2" xfId="42122" xr:uid="{00000000-0005-0000-0000-0000A7C80000}"/>
    <cellStyle name="Normal 87 8" xfId="26541" xr:uid="{00000000-0005-0000-0000-0000A8C80000}"/>
    <cellStyle name="Normal 88" xfId="1036" xr:uid="{00000000-0005-0000-0000-0000A9C80000}"/>
    <cellStyle name="Normal 89" xfId="4081" xr:uid="{00000000-0005-0000-0000-0000AAC80000}"/>
    <cellStyle name="Normal 9" xfId="15" xr:uid="{00000000-0005-0000-0000-0000ABC80000}"/>
    <cellStyle name="Normal 9 2" xfId="289" xr:uid="{00000000-0005-0000-0000-0000ACC80000}"/>
    <cellStyle name="Normal 9 2 10" xfId="16075" xr:uid="{00000000-0005-0000-0000-0000ADC80000}"/>
    <cellStyle name="Normal 9 2 10 2" xfId="41628" xr:uid="{00000000-0005-0000-0000-0000AEC80000}"/>
    <cellStyle name="Normal 9 2 11" xfId="26221" xr:uid="{00000000-0005-0000-0000-0000AFC80000}"/>
    <cellStyle name="Normal 9 2 2" xfId="609" xr:uid="{00000000-0005-0000-0000-0000B0C80000}"/>
    <cellStyle name="Normal 9 2 2 2" xfId="3095" xr:uid="{00000000-0005-0000-0000-0000B1C80000}"/>
    <cellStyle name="Normal 9 2 2 2 2" xfId="12238" xr:uid="{00000000-0005-0000-0000-0000B2C80000}"/>
    <cellStyle name="Normal 9 2 2 2 2 2" xfId="22456" xr:uid="{00000000-0005-0000-0000-0000B3C80000}"/>
    <cellStyle name="Normal 9 2 2 2 2 2 2" xfId="48009" xr:uid="{00000000-0005-0000-0000-0000B4C80000}"/>
    <cellStyle name="Normal 9 2 2 2 2 3" xfId="37793" xr:uid="{00000000-0005-0000-0000-0000B5C80000}"/>
    <cellStyle name="Normal 9 2 2 2 3" xfId="8660" xr:uid="{00000000-0005-0000-0000-0000B6C80000}"/>
    <cellStyle name="Normal 9 2 2 2 3 2" xfId="34217" xr:uid="{00000000-0005-0000-0000-0000B7C80000}"/>
    <cellStyle name="Normal 9 2 2 2 4" xfId="17449" xr:uid="{00000000-0005-0000-0000-0000B8C80000}"/>
    <cellStyle name="Normal 9 2 2 2 4 2" xfId="43002" xr:uid="{00000000-0005-0000-0000-0000B9C80000}"/>
    <cellStyle name="Normal 9 2 2 2 5" xfId="28939" xr:uid="{00000000-0005-0000-0000-0000BAC80000}"/>
    <cellStyle name="Normal 9 2 2 3" xfId="4780" xr:uid="{00000000-0005-0000-0000-0000BBC80000}"/>
    <cellStyle name="Normal 9 2 2 3 2" xfId="13617" xr:uid="{00000000-0005-0000-0000-0000BCC80000}"/>
    <cellStyle name="Normal 9 2 2 3 2 2" xfId="23868" xr:uid="{00000000-0005-0000-0000-0000BDC80000}"/>
    <cellStyle name="Normal 9 2 2 3 2 2 2" xfId="49421" xr:uid="{00000000-0005-0000-0000-0000BEC80000}"/>
    <cellStyle name="Normal 9 2 2 3 2 3" xfId="39172" xr:uid="{00000000-0005-0000-0000-0000BFC80000}"/>
    <cellStyle name="Normal 9 2 2 3 3" xfId="10038" xr:uid="{00000000-0005-0000-0000-0000C0C80000}"/>
    <cellStyle name="Normal 9 2 2 3 3 2" xfId="35595" xr:uid="{00000000-0005-0000-0000-0000C1C80000}"/>
    <cellStyle name="Normal 9 2 2 3 4" xfId="18861" xr:uid="{00000000-0005-0000-0000-0000C2C80000}"/>
    <cellStyle name="Normal 9 2 2 3 4 2" xfId="44414" xr:uid="{00000000-0005-0000-0000-0000C3C80000}"/>
    <cellStyle name="Normal 9 2 2 3 5" xfId="30351" xr:uid="{00000000-0005-0000-0000-0000C4C80000}"/>
    <cellStyle name="Normal 9 2 2 4" xfId="2204" xr:uid="{00000000-0005-0000-0000-0000C5C80000}"/>
    <cellStyle name="Normal 9 2 2 4 2" xfId="11569" xr:uid="{00000000-0005-0000-0000-0000C6C80000}"/>
    <cellStyle name="Normal 9 2 2 4 2 2" xfId="37124" xr:uid="{00000000-0005-0000-0000-0000C7C80000}"/>
    <cellStyle name="Normal 9 2 2 4 3" xfId="21573" xr:uid="{00000000-0005-0000-0000-0000C8C80000}"/>
    <cellStyle name="Normal 9 2 2 4 3 2" xfId="47126" xr:uid="{00000000-0005-0000-0000-0000C9C80000}"/>
    <cellStyle name="Normal 9 2 2 4 4" xfId="28056" xr:uid="{00000000-0005-0000-0000-0000CAC80000}"/>
    <cellStyle name="Normal 9 2 2 5" xfId="6235" xr:uid="{00000000-0005-0000-0000-0000CBC80000}"/>
    <cellStyle name="Normal 9 2 2 5 2" xfId="15062" xr:uid="{00000000-0005-0000-0000-0000CCC80000}"/>
    <cellStyle name="Normal 9 2 2 5 2 2" xfId="40617" xr:uid="{00000000-0005-0000-0000-0000CDC80000}"/>
    <cellStyle name="Normal 9 2 2 5 3" xfId="25313" xr:uid="{00000000-0005-0000-0000-0000CEC80000}"/>
    <cellStyle name="Normal 9 2 2 5 3 2" xfId="50866" xr:uid="{00000000-0005-0000-0000-0000CFC80000}"/>
    <cellStyle name="Normal 9 2 2 5 4" xfId="31796" xr:uid="{00000000-0005-0000-0000-0000D0C80000}"/>
    <cellStyle name="Normal 9 2 2 6" xfId="7681" xr:uid="{00000000-0005-0000-0000-0000D1C80000}"/>
    <cellStyle name="Normal 9 2 2 6 2" xfId="20055" xr:uid="{00000000-0005-0000-0000-0000D2C80000}"/>
    <cellStyle name="Normal 9 2 2 6 2 2" xfId="45608" xr:uid="{00000000-0005-0000-0000-0000D3C80000}"/>
    <cellStyle name="Normal 9 2 2 6 3" xfId="33238" xr:uid="{00000000-0005-0000-0000-0000D4C80000}"/>
    <cellStyle name="Normal 9 2 2 7" xfId="16566" xr:uid="{00000000-0005-0000-0000-0000D5C80000}"/>
    <cellStyle name="Normal 9 2 2 7 2" xfId="42119" xr:uid="{00000000-0005-0000-0000-0000D6C80000}"/>
    <cellStyle name="Normal 9 2 2 8" xfId="26538" xr:uid="{00000000-0005-0000-0000-0000D7C80000}"/>
    <cellStyle name="Normal 9 2 3" xfId="982" xr:uid="{00000000-0005-0000-0000-0000D8C80000}"/>
    <cellStyle name="Normal 9 2 3 2" xfId="3458" xr:uid="{00000000-0005-0000-0000-0000D9C80000}"/>
    <cellStyle name="Normal 9 2 3 2 2" xfId="12600" xr:uid="{00000000-0005-0000-0000-0000DAC80000}"/>
    <cellStyle name="Normal 9 2 3 2 2 2" xfId="22819" xr:uid="{00000000-0005-0000-0000-0000DBC80000}"/>
    <cellStyle name="Normal 9 2 3 2 2 2 2" xfId="48372" xr:uid="{00000000-0005-0000-0000-0000DCC80000}"/>
    <cellStyle name="Normal 9 2 3 2 2 3" xfId="38155" xr:uid="{00000000-0005-0000-0000-0000DDC80000}"/>
    <cellStyle name="Normal 9 2 3 2 3" xfId="9022" xr:uid="{00000000-0005-0000-0000-0000DEC80000}"/>
    <cellStyle name="Normal 9 2 3 2 3 2" xfId="34579" xr:uid="{00000000-0005-0000-0000-0000DFC80000}"/>
    <cellStyle name="Normal 9 2 3 2 4" xfId="17812" xr:uid="{00000000-0005-0000-0000-0000E0C80000}"/>
    <cellStyle name="Normal 9 2 3 2 4 2" xfId="43365" xr:uid="{00000000-0005-0000-0000-0000E1C80000}"/>
    <cellStyle name="Normal 9 2 3 2 5" xfId="29302" xr:uid="{00000000-0005-0000-0000-0000E2C80000}"/>
    <cellStyle name="Normal 9 2 3 3" xfId="5128" xr:uid="{00000000-0005-0000-0000-0000E3C80000}"/>
    <cellStyle name="Normal 9 2 3 3 2" xfId="13965" xr:uid="{00000000-0005-0000-0000-0000E4C80000}"/>
    <cellStyle name="Normal 9 2 3 3 2 2" xfId="24216" xr:uid="{00000000-0005-0000-0000-0000E5C80000}"/>
    <cellStyle name="Normal 9 2 3 3 2 2 2" xfId="49769" xr:uid="{00000000-0005-0000-0000-0000E6C80000}"/>
    <cellStyle name="Normal 9 2 3 3 2 3" xfId="39520" xr:uid="{00000000-0005-0000-0000-0000E7C80000}"/>
    <cellStyle name="Normal 9 2 3 3 3" xfId="10386" xr:uid="{00000000-0005-0000-0000-0000E8C80000}"/>
    <cellStyle name="Normal 9 2 3 3 3 2" xfId="35943" xr:uid="{00000000-0005-0000-0000-0000E9C80000}"/>
    <cellStyle name="Normal 9 2 3 3 4" xfId="19209" xr:uid="{00000000-0005-0000-0000-0000EAC80000}"/>
    <cellStyle name="Normal 9 2 3 3 4 2" xfId="44762" xr:uid="{00000000-0005-0000-0000-0000EBC80000}"/>
    <cellStyle name="Normal 9 2 3 3 5" xfId="30699" xr:uid="{00000000-0005-0000-0000-0000ECC80000}"/>
    <cellStyle name="Normal 9 2 3 4" xfId="2567" xr:uid="{00000000-0005-0000-0000-0000EDC80000}"/>
    <cellStyle name="Normal 9 2 3 4 2" xfId="11932" xr:uid="{00000000-0005-0000-0000-0000EEC80000}"/>
    <cellStyle name="Normal 9 2 3 4 2 2" xfId="37487" xr:uid="{00000000-0005-0000-0000-0000EFC80000}"/>
    <cellStyle name="Normal 9 2 3 4 3" xfId="21936" xr:uid="{00000000-0005-0000-0000-0000F0C80000}"/>
    <cellStyle name="Normal 9 2 3 4 3 2" xfId="47489" xr:uid="{00000000-0005-0000-0000-0000F1C80000}"/>
    <cellStyle name="Normal 9 2 3 4 4" xfId="28419" xr:uid="{00000000-0005-0000-0000-0000F2C80000}"/>
    <cellStyle name="Normal 9 2 3 5" xfId="6583" xr:uid="{00000000-0005-0000-0000-0000F3C80000}"/>
    <cellStyle name="Normal 9 2 3 5 2" xfId="15410" xr:uid="{00000000-0005-0000-0000-0000F4C80000}"/>
    <cellStyle name="Normal 9 2 3 5 2 2" xfId="40965" xr:uid="{00000000-0005-0000-0000-0000F5C80000}"/>
    <cellStyle name="Normal 9 2 3 5 3" xfId="25661" xr:uid="{00000000-0005-0000-0000-0000F6C80000}"/>
    <cellStyle name="Normal 9 2 3 5 3 2" xfId="51214" xr:uid="{00000000-0005-0000-0000-0000F7C80000}"/>
    <cellStyle name="Normal 9 2 3 5 4" xfId="32144" xr:uid="{00000000-0005-0000-0000-0000F8C80000}"/>
    <cellStyle name="Normal 9 2 3 6" xfId="8029" xr:uid="{00000000-0005-0000-0000-0000F9C80000}"/>
    <cellStyle name="Normal 9 2 3 6 2" xfId="20418" xr:uid="{00000000-0005-0000-0000-0000FAC80000}"/>
    <cellStyle name="Normal 9 2 3 6 2 2" xfId="45971" xr:uid="{00000000-0005-0000-0000-0000FBC80000}"/>
    <cellStyle name="Normal 9 2 3 6 3" xfId="33586" xr:uid="{00000000-0005-0000-0000-0000FCC80000}"/>
    <cellStyle name="Normal 9 2 3 7" xfId="16929" xr:uid="{00000000-0005-0000-0000-0000FDC80000}"/>
    <cellStyle name="Normal 9 2 3 7 2" xfId="42482" xr:uid="{00000000-0005-0000-0000-0000FEC80000}"/>
    <cellStyle name="Normal 9 2 3 8" xfId="26901" xr:uid="{00000000-0005-0000-0000-0000FFC80000}"/>
    <cellStyle name="Normal 9 2 4" xfId="1381" xr:uid="{00000000-0005-0000-0000-000000C90000}"/>
    <cellStyle name="Normal 9 2 4 2" xfId="3810" xr:uid="{00000000-0005-0000-0000-000001C90000}"/>
    <cellStyle name="Normal 9 2 4 2 2" xfId="12946" xr:uid="{00000000-0005-0000-0000-000002C90000}"/>
    <cellStyle name="Normal 9 2 4 2 2 2" xfId="23165" xr:uid="{00000000-0005-0000-0000-000003C90000}"/>
    <cellStyle name="Normal 9 2 4 2 2 2 2" xfId="48718" xr:uid="{00000000-0005-0000-0000-000004C90000}"/>
    <cellStyle name="Normal 9 2 4 2 2 3" xfId="38501" xr:uid="{00000000-0005-0000-0000-000005C90000}"/>
    <cellStyle name="Normal 9 2 4 2 3" xfId="9367" xr:uid="{00000000-0005-0000-0000-000006C90000}"/>
    <cellStyle name="Normal 9 2 4 2 3 2" xfId="34924" xr:uid="{00000000-0005-0000-0000-000007C90000}"/>
    <cellStyle name="Normal 9 2 4 2 4" xfId="18158" xr:uid="{00000000-0005-0000-0000-000008C90000}"/>
    <cellStyle name="Normal 9 2 4 2 4 2" xfId="43711" xr:uid="{00000000-0005-0000-0000-000009C90000}"/>
    <cellStyle name="Normal 9 2 4 2 5" xfId="29648" xr:uid="{00000000-0005-0000-0000-00000AC90000}"/>
    <cellStyle name="Normal 9 2 4 3" xfId="5473" xr:uid="{00000000-0005-0000-0000-00000BC90000}"/>
    <cellStyle name="Normal 9 2 4 3 2" xfId="14310" xr:uid="{00000000-0005-0000-0000-00000CC90000}"/>
    <cellStyle name="Normal 9 2 4 3 2 2" xfId="24561" xr:uid="{00000000-0005-0000-0000-00000DC90000}"/>
    <cellStyle name="Normal 9 2 4 3 2 2 2" xfId="50114" xr:uid="{00000000-0005-0000-0000-00000EC90000}"/>
    <cellStyle name="Normal 9 2 4 3 2 3" xfId="39865" xr:uid="{00000000-0005-0000-0000-00000FC90000}"/>
    <cellStyle name="Normal 9 2 4 3 3" xfId="10731" xr:uid="{00000000-0005-0000-0000-000010C90000}"/>
    <cellStyle name="Normal 9 2 4 3 3 2" xfId="36288" xr:uid="{00000000-0005-0000-0000-000011C90000}"/>
    <cellStyle name="Normal 9 2 4 3 4" xfId="19554" xr:uid="{00000000-0005-0000-0000-000012C90000}"/>
    <cellStyle name="Normal 9 2 4 3 4 2" xfId="45107" xr:uid="{00000000-0005-0000-0000-000013C90000}"/>
    <cellStyle name="Normal 9 2 4 3 5" xfId="31044" xr:uid="{00000000-0005-0000-0000-000014C90000}"/>
    <cellStyle name="Normal 9 2 4 4" xfId="1885" xr:uid="{00000000-0005-0000-0000-000015C90000}"/>
    <cellStyle name="Normal 9 2 4 4 2" xfId="11252" xr:uid="{00000000-0005-0000-0000-000016C90000}"/>
    <cellStyle name="Normal 9 2 4 4 2 2" xfId="36807" xr:uid="{00000000-0005-0000-0000-000017C90000}"/>
    <cellStyle name="Normal 9 2 4 4 3" xfId="21256" xr:uid="{00000000-0005-0000-0000-000018C90000}"/>
    <cellStyle name="Normal 9 2 4 4 3 2" xfId="46809" xr:uid="{00000000-0005-0000-0000-000019C90000}"/>
    <cellStyle name="Normal 9 2 4 4 4" xfId="27739" xr:uid="{00000000-0005-0000-0000-00001AC90000}"/>
    <cellStyle name="Normal 9 2 4 5" xfId="6928" xr:uid="{00000000-0005-0000-0000-00001BC90000}"/>
    <cellStyle name="Normal 9 2 4 5 2" xfId="15755" xr:uid="{00000000-0005-0000-0000-00001CC90000}"/>
    <cellStyle name="Normal 9 2 4 5 2 2" xfId="41310" xr:uid="{00000000-0005-0000-0000-00001DC90000}"/>
    <cellStyle name="Normal 9 2 4 5 3" xfId="26006" xr:uid="{00000000-0005-0000-0000-00001EC90000}"/>
    <cellStyle name="Normal 9 2 4 5 3 2" xfId="51559" xr:uid="{00000000-0005-0000-0000-00001FC90000}"/>
    <cellStyle name="Normal 9 2 4 5 4" xfId="32489" xr:uid="{00000000-0005-0000-0000-000020C90000}"/>
    <cellStyle name="Normal 9 2 4 6" xfId="8374" xr:uid="{00000000-0005-0000-0000-000021C90000}"/>
    <cellStyle name="Normal 9 2 4 6 2" xfId="20764" xr:uid="{00000000-0005-0000-0000-000022C90000}"/>
    <cellStyle name="Normal 9 2 4 6 2 2" xfId="46317" xr:uid="{00000000-0005-0000-0000-000023C90000}"/>
    <cellStyle name="Normal 9 2 4 6 3" xfId="33931" xr:uid="{00000000-0005-0000-0000-000024C90000}"/>
    <cellStyle name="Normal 9 2 4 7" xfId="16249" xr:uid="{00000000-0005-0000-0000-000025C90000}"/>
    <cellStyle name="Normal 9 2 4 7 2" xfId="41802" xr:uid="{00000000-0005-0000-0000-000026C90000}"/>
    <cellStyle name="Normal 9 2 4 8" xfId="27247" xr:uid="{00000000-0005-0000-0000-000027C90000}"/>
    <cellStyle name="Normal 9 2 5" xfId="2778" xr:uid="{00000000-0005-0000-0000-000028C90000}"/>
    <cellStyle name="Normal 9 2 5 2" xfId="12095" xr:uid="{00000000-0005-0000-0000-000029C90000}"/>
    <cellStyle name="Normal 9 2 5 2 2" xfId="22139" xr:uid="{00000000-0005-0000-0000-00002AC90000}"/>
    <cellStyle name="Normal 9 2 5 2 2 2" xfId="47692" xr:uid="{00000000-0005-0000-0000-00002BC90000}"/>
    <cellStyle name="Normal 9 2 5 2 3" xfId="37650" xr:uid="{00000000-0005-0000-0000-00002CC90000}"/>
    <cellStyle name="Normal 9 2 5 3" xfId="8420" xr:uid="{00000000-0005-0000-0000-00002DC90000}"/>
    <cellStyle name="Normal 9 2 5 3 2" xfId="33977" xr:uid="{00000000-0005-0000-0000-00002EC90000}"/>
    <cellStyle name="Normal 9 2 5 4" xfId="17132" xr:uid="{00000000-0005-0000-0000-00002FC90000}"/>
    <cellStyle name="Normal 9 2 5 4 2" xfId="42685" xr:uid="{00000000-0005-0000-0000-000030C90000}"/>
    <cellStyle name="Normal 9 2 5 5" xfId="28622" xr:uid="{00000000-0005-0000-0000-000031C90000}"/>
    <cellStyle name="Normal 9 2 6" xfId="4429" xr:uid="{00000000-0005-0000-0000-000032C90000}"/>
    <cellStyle name="Normal 9 2 6 2" xfId="13267" xr:uid="{00000000-0005-0000-0000-000033C90000}"/>
    <cellStyle name="Normal 9 2 6 2 2" xfId="23518" xr:uid="{00000000-0005-0000-0000-000034C90000}"/>
    <cellStyle name="Normal 9 2 6 2 2 2" xfId="49071" xr:uid="{00000000-0005-0000-0000-000035C90000}"/>
    <cellStyle name="Normal 9 2 6 2 3" xfId="38822" xr:uid="{00000000-0005-0000-0000-000036C90000}"/>
    <cellStyle name="Normal 9 2 6 3" xfId="9688" xr:uid="{00000000-0005-0000-0000-000037C90000}"/>
    <cellStyle name="Normal 9 2 6 3 2" xfId="35245" xr:uid="{00000000-0005-0000-0000-000038C90000}"/>
    <cellStyle name="Normal 9 2 6 4" xfId="18511" xr:uid="{00000000-0005-0000-0000-000039C90000}"/>
    <cellStyle name="Normal 9 2 6 4 2" xfId="44064" xr:uid="{00000000-0005-0000-0000-00003AC90000}"/>
    <cellStyle name="Normal 9 2 6 5" xfId="30001" xr:uid="{00000000-0005-0000-0000-00003BC90000}"/>
    <cellStyle name="Normal 9 2 7" xfId="1701" xr:uid="{00000000-0005-0000-0000-00003CC90000}"/>
    <cellStyle name="Normal 9 2 7 2" xfId="11078" xr:uid="{00000000-0005-0000-0000-00003DC90000}"/>
    <cellStyle name="Normal 9 2 7 2 2" xfId="36633" xr:uid="{00000000-0005-0000-0000-00003EC90000}"/>
    <cellStyle name="Normal 9 2 7 3" xfId="21082" xr:uid="{00000000-0005-0000-0000-00003FC90000}"/>
    <cellStyle name="Normal 9 2 7 3 2" xfId="46635" xr:uid="{00000000-0005-0000-0000-000040C90000}"/>
    <cellStyle name="Normal 9 2 7 4" xfId="27565" xr:uid="{00000000-0005-0000-0000-000041C90000}"/>
    <cellStyle name="Normal 9 2 8" xfId="5885" xr:uid="{00000000-0005-0000-0000-000042C90000}"/>
    <cellStyle name="Normal 9 2 8 2" xfId="14712" xr:uid="{00000000-0005-0000-0000-000043C90000}"/>
    <cellStyle name="Normal 9 2 8 2 2" xfId="40267" xr:uid="{00000000-0005-0000-0000-000044C90000}"/>
    <cellStyle name="Normal 9 2 8 3" xfId="24963" xr:uid="{00000000-0005-0000-0000-000045C90000}"/>
    <cellStyle name="Normal 9 2 8 3 2" xfId="50516" xr:uid="{00000000-0005-0000-0000-000046C90000}"/>
    <cellStyle name="Normal 9 2 8 4" xfId="31446" xr:uid="{00000000-0005-0000-0000-000047C90000}"/>
    <cellStyle name="Normal 9 2 9" xfId="7329" xr:uid="{00000000-0005-0000-0000-000048C90000}"/>
    <cellStyle name="Normal 9 2 9 2" xfId="19738" xr:uid="{00000000-0005-0000-0000-000049C90000}"/>
    <cellStyle name="Normal 9 2 9 2 2" xfId="45291" xr:uid="{00000000-0005-0000-0000-00004AC90000}"/>
    <cellStyle name="Normal 9 2 9 3" xfId="32886" xr:uid="{00000000-0005-0000-0000-00004BC90000}"/>
    <cellStyle name="Normal 9 2_Degree data" xfId="4080" xr:uid="{00000000-0005-0000-0000-00004CC90000}"/>
    <cellStyle name="Normal 90" xfId="4745" xr:uid="{00000000-0005-0000-0000-00004DC90000}"/>
    <cellStyle name="Normal 91" xfId="5482" xr:uid="{00000000-0005-0000-0000-00004EC90000}"/>
    <cellStyle name="Normal 92" xfId="1385" xr:uid="{00000000-0005-0000-0000-00004FC90000}"/>
    <cellStyle name="Normal 93" xfId="2569" xr:uid="{00000000-0005-0000-0000-000050C90000}"/>
    <cellStyle name="Normal 94" xfId="5490" xr:uid="{00000000-0005-0000-0000-000051C90000}"/>
    <cellStyle name="Normal 95" xfId="5489" xr:uid="{00000000-0005-0000-0000-000052C90000}"/>
    <cellStyle name="Normal 96" xfId="5494" xr:uid="{00000000-0005-0000-0000-000053C90000}"/>
    <cellStyle name="Normal 97" xfId="5495" xr:uid="{00000000-0005-0000-0000-000054C90000}"/>
    <cellStyle name="Normal 98" xfId="55" xr:uid="{00000000-0005-0000-0000-000055C90000}"/>
    <cellStyle name="Normal 99" xfId="5497" xr:uid="{00000000-0005-0000-0000-000056C90000}"/>
    <cellStyle name="Note 2" xfId="983" xr:uid="{00000000-0005-0000-0000-00005EC90000}"/>
    <cellStyle name="Note 2 10" xfId="26902" xr:uid="{00000000-0005-0000-0000-00005FC90000}"/>
    <cellStyle name="Note 2 2" xfId="1023" xr:uid="{00000000-0005-0000-0000-000060C90000}"/>
    <cellStyle name="Note 2 3" xfId="1030" xr:uid="{00000000-0005-0000-0000-000061C90000}"/>
    <cellStyle name="Note 2 4" xfId="3459" xr:uid="{00000000-0005-0000-0000-000062C90000}"/>
    <cellStyle name="Note 2 4 2" xfId="12601" xr:uid="{00000000-0005-0000-0000-000063C90000}"/>
    <cellStyle name="Note 2 4 2 2" xfId="22820" xr:uid="{00000000-0005-0000-0000-000064C90000}"/>
    <cellStyle name="Note 2 4 2 2 2" xfId="48373" xr:uid="{00000000-0005-0000-0000-000065C90000}"/>
    <cellStyle name="Note 2 4 2 3" xfId="38156" xr:uid="{00000000-0005-0000-0000-000066C90000}"/>
    <cellStyle name="Note 2 4 3" xfId="9023" xr:uid="{00000000-0005-0000-0000-000067C90000}"/>
    <cellStyle name="Note 2 4 3 2" xfId="34580" xr:uid="{00000000-0005-0000-0000-000068C90000}"/>
    <cellStyle name="Note 2 4 4" xfId="17813" xr:uid="{00000000-0005-0000-0000-000069C90000}"/>
    <cellStyle name="Note 2 4 4 2" xfId="43366" xr:uid="{00000000-0005-0000-0000-00006AC90000}"/>
    <cellStyle name="Note 2 4 5" xfId="29303" xr:uid="{00000000-0005-0000-0000-00006BC90000}"/>
    <cellStyle name="Note 2 5" xfId="4158" xr:uid="{00000000-0005-0000-0000-00006CC90000}"/>
    <cellStyle name="Note 2 5 2" xfId="12996" xr:uid="{00000000-0005-0000-0000-00006DC90000}"/>
    <cellStyle name="Note 2 5 2 2" xfId="23247" xr:uid="{00000000-0005-0000-0000-00006EC90000}"/>
    <cellStyle name="Note 2 5 2 2 2" xfId="48800" xr:uid="{00000000-0005-0000-0000-00006FC90000}"/>
    <cellStyle name="Note 2 5 2 3" xfId="38551" xr:uid="{00000000-0005-0000-0000-000070C90000}"/>
    <cellStyle name="Note 2 5 3" xfId="9417" xr:uid="{00000000-0005-0000-0000-000071C90000}"/>
    <cellStyle name="Note 2 5 3 2" xfId="34974" xr:uid="{00000000-0005-0000-0000-000072C90000}"/>
    <cellStyle name="Note 2 5 4" xfId="18240" xr:uid="{00000000-0005-0000-0000-000073C90000}"/>
    <cellStyle name="Note 2 5 4 2" xfId="43793" xr:uid="{00000000-0005-0000-0000-000074C90000}"/>
    <cellStyle name="Note 2 5 5" xfId="29730" xr:uid="{00000000-0005-0000-0000-000075C90000}"/>
    <cellStyle name="Note 2 6" xfId="2568" xr:uid="{00000000-0005-0000-0000-000076C90000}"/>
    <cellStyle name="Note 2 6 2" xfId="11933" xr:uid="{00000000-0005-0000-0000-000077C90000}"/>
    <cellStyle name="Note 2 6 2 2" xfId="37488" xr:uid="{00000000-0005-0000-0000-000078C90000}"/>
    <cellStyle name="Note 2 6 3" xfId="21937" xr:uid="{00000000-0005-0000-0000-000079C90000}"/>
    <cellStyle name="Note 2 6 3 2" xfId="47490" xr:uid="{00000000-0005-0000-0000-00007AC90000}"/>
    <cellStyle name="Note 2 6 4" xfId="28420" xr:uid="{00000000-0005-0000-0000-00007BC90000}"/>
    <cellStyle name="Note 2 7" xfId="10762" xr:uid="{00000000-0005-0000-0000-00007CC90000}"/>
    <cellStyle name="Note 2 7 2" xfId="20419" xr:uid="{00000000-0005-0000-0000-00007DC90000}"/>
    <cellStyle name="Note 2 7 2 2" xfId="45972" xr:uid="{00000000-0005-0000-0000-00007EC90000}"/>
    <cellStyle name="Note 2 7 3" xfId="36318" xr:uid="{00000000-0005-0000-0000-00007FC90000}"/>
    <cellStyle name="Note 2 8" xfId="8625" xr:uid="{00000000-0005-0000-0000-000080C90000}"/>
    <cellStyle name="Note 2 8 2" xfId="34182" xr:uid="{00000000-0005-0000-0000-000081C90000}"/>
    <cellStyle name="Note 2 9" xfId="16930" xr:uid="{00000000-0005-0000-0000-000082C90000}"/>
    <cellStyle name="Note 2 9 2" xfId="42483" xr:uid="{00000000-0005-0000-0000-000083C90000}"/>
    <cellStyle name="Note 3" xfId="1022" xr:uid="{00000000-0005-0000-0000-000084C90000}"/>
    <cellStyle name="Note 4" xfId="1031" xr:uid="{00000000-0005-0000-0000-000085C90000}"/>
    <cellStyle name="Output 2" xfId="1024" xr:uid="{00000000-0005-0000-0000-000086C90000}"/>
    <cellStyle name="Output 3" xfId="1034" xr:uid="{00000000-0005-0000-0000-000087C90000}"/>
    <cellStyle name="Percent 2" xfId="23" xr:uid="{00000000-0005-0000-0000-000088C90000}"/>
    <cellStyle name="Percent 2 2" xfId="59" xr:uid="{00000000-0005-0000-0000-000089C90000}"/>
    <cellStyle name="Percent 2 2 2" xfId="120" xr:uid="{00000000-0005-0000-0000-00008AC90000}"/>
    <cellStyle name="Percent 2 2 3" xfId="219" xr:uid="{00000000-0005-0000-0000-00008BC90000}"/>
    <cellStyle name="Percent 2 3" xfId="1026" xr:uid="{00000000-0005-0000-0000-00008CC90000}"/>
    <cellStyle name="Percent 3" xfId="24" xr:uid="{00000000-0005-0000-0000-00008DC90000}"/>
    <cellStyle name="Percent 4" xfId="28" xr:uid="{00000000-0005-0000-0000-00008EC90000}"/>
    <cellStyle name="Percent 5" xfId="108" xr:uid="{00000000-0005-0000-0000-00008FC90000}"/>
    <cellStyle name="Percent 6" xfId="1025" xr:uid="{00000000-0005-0000-0000-000090C90000}"/>
    <cellStyle name="questionable" xfId="3" xr:uid="{00000000-0005-0000-0000-000091C90000}"/>
    <cellStyle name="questionable 2" xfId="96" xr:uid="{00000000-0005-0000-0000-000092C90000}"/>
    <cellStyle name="review" xfId="4" xr:uid="{00000000-0005-0000-0000-000093C90000}"/>
    <cellStyle name="Title 2" xfId="1027" xr:uid="{00000000-0005-0000-0000-000094C90000}"/>
    <cellStyle name="Total 2" xfId="1028" xr:uid="{00000000-0005-0000-0000-000095C90000}"/>
    <cellStyle name="Total 3" xfId="1035" xr:uid="{00000000-0005-0000-0000-000096C90000}"/>
    <cellStyle name="Warning Text 2" xfId="1029" xr:uid="{00000000-0005-0000-0000-000097C90000}"/>
  </cellStyles>
  <dxfs count="2186">
    <dxf>
      <font>
        <b/>
      </font>
    </dxf>
    <dxf>
      <font>
        <sz val="10"/>
      </font>
    </dxf>
    <dxf>
      <font>
        <sz val="10"/>
      </font>
    </dxf>
    <dxf>
      <font>
        <b/>
        <sz val="10"/>
      </font>
      <numFmt numFmtId="168" formatCode="0.0%"/>
    </dxf>
    <dxf>
      <font>
        <b/>
        <sz val="10"/>
      </font>
      <numFmt numFmtId="168" formatCode="0.0%"/>
    </dxf>
    <dxf>
      <numFmt numFmtId="168" formatCode="0.0%"/>
    </dxf>
    <dxf>
      <font>
        <b/>
      </font>
    </dxf>
    <dxf>
      <font>
        <b/>
      </font>
      <numFmt numFmtId="168" formatCode="0.0%"/>
    </dxf>
    <dxf>
      <font>
        <b/>
      </font>
      <numFmt numFmtId="168" formatCode="0.0%"/>
    </dxf>
    <dxf>
      <font>
        <b/>
      </font>
    </dxf>
    <dxf>
      <font>
        <b/>
      </font>
    </dxf>
    <dxf>
      <font>
        <b/>
      </font>
    </dxf>
    <dxf>
      <font>
        <b/>
      </font>
    </dxf>
    <dxf>
      <font>
        <b/>
      </font>
    </dxf>
    <dxf>
      <font>
        <b/>
      </font>
    </dxf>
    <dxf>
      <font>
        <b/>
      </font>
    </dxf>
    <dxf>
      <numFmt numFmtId="14" formatCode="0.00%"/>
    </dxf>
    <dxf>
      <numFmt numFmtId="14" formatCode="0.00%"/>
    </dxf>
    <dxf>
      <numFmt numFmtId="14" formatCode="0.00%"/>
    </dxf>
    <dxf>
      <numFmt numFmtId="14" formatCode="0.00%"/>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ill>
        <patternFill patternType="none">
          <bgColor auto="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numFmt numFmtId="168" formatCode="0.0%"/>
    </dxf>
    <dxf>
      <numFmt numFmtId="168" formatCode="0.0%"/>
    </dxf>
    <dxf>
      <numFmt numFmtId="168" formatCode="0.0%"/>
    </dxf>
    <dxf>
      <numFmt numFmtId="168" formatCode="0.0%"/>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theme="0" tint="-0.249977111117893"/>
        </patternFill>
      </fill>
    </dxf>
    <dxf>
      <fill>
        <patternFill patternType="none">
          <bgColor auto="1"/>
        </patternFill>
      </fill>
    </dxf>
    <dxf>
      <fill>
        <patternFill patternType="none">
          <bgColor auto="1"/>
        </patternFill>
      </fill>
    </dxf>
    <dxf>
      <numFmt numFmtId="168" formatCode="0.0%"/>
    </dxf>
    <dxf>
      <numFmt numFmtId="168" formatCode="0.0%"/>
    </dxf>
    <dxf>
      <numFmt numFmtId="168" formatCode="0.0%"/>
    </dxf>
    <dxf>
      <numFmt numFmtId="168" formatCode="0.0%"/>
    </dxf>
    <dxf>
      <numFmt numFmtId="168" formatCode="0.0%"/>
    </dxf>
    <dxf>
      <numFmt numFmtId="168" formatCode="0.0%"/>
    </dxf>
    <dxf>
      <numFmt numFmtId="168" formatCode="0.0%"/>
    </dxf>
    <dxf>
      <numFmt numFmtId="168" formatCode="0.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ndense val="0"/>
        <extend val="0"/>
        <color indexed="10"/>
      </font>
    </dxf>
    <dxf>
      <font>
        <b/>
        <i val="0"/>
        <condense val="0"/>
        <extend val="0"/>
        <color indexed="10"/>
      </font>
    </dxf>
    <dxf>
      <font>
        <b/>
        <i val="0"/>
        <color rgb="FFFF0000"/>
      </font>
    </dxf>
    <dxf>
      <font>
        <b/>
        <i val="0"/>
        <color rgb="FFFF0000"/>
      </font>
    </dxf>
    <dxf>
      <font>
        <condense val="0"/>
        <extend val="0"/>
        <color indexed="10"/>
      </font>
    </dxf>
    <dxf>
      <font>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b/>
        <i val="0"/>
        <condense val="0"/>
        <extend val="0"/>
        <color indexed="10"/>
      </font>
    </dxf>
    <dxf>
      <font>
        <b/>
        <i val="0"/>
        <condense val="0"/>
        <extend val="0"/>
        <color indexed="10"/>
      </font>
    </dxf>
    <dxf>
      <font>
        <b/>
        <i val="0"/>
        <color rgb="FFC00000"/>
      </font>
    </dxf>
    <dxf>
      <font>
        <b/>
        <i val="0"/>
        <color rgb="FFC00000"/>
      </font>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8" formatCode="0.0%"/>
    </dxf>
    <dxf>
      <numFmt numFmtId="168" formatCode="0.0%"/>
    </dxf>
    <dxf>
      <numFmt numFmtId="168" formatCode="0.0%"/>
    </dxf>
    <dxf>
      <numFmt numFmtId="168" formatCode="0.0%"/>
    </dxf>
    <dxf>
      <numFmt numFmtId="168" formatCode="0.0%"/>
    </dxf>
    <dxf>
      <numFmt numFmtId="168" formatCode="0.0%"/>
    </dxf>
    <dxf>
      <numFmt numFmtId="168" formatCode="0.0%"/>
    </dxf>
    <dxf>
      <numFmt numFmtId="168" formatCode="0.0%"/>
    </dxf>
    <dxf>
      <fill>
        <patternFill patternType="none">
          <bgColor auto="1"/>
        </patternFill>
      </fill>
    </dxf>
    <dxf>
      <fill>
        <patternFill patternType="none">
          <bgColor auto="1"/>
        </patternFill>
      </fill>
    </dxf>
    <dxf>
      <fill>
        <patternFill patternType="solid">
          <bgColor theme="0" tint="-0.249977111117893"/>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numFmt numFmtId="168" formatCode="0.0%"/>
    </dxf>
    <dxf>
      <numFmt numFmtId="168" formatCode="0.0%"/>
    </dxf>
    <dxf>
      <numFmt numFmtId="168" formatCode="0.0%"/>
    </dxf>
    <dxf>
      <numFmt numFmtId="168" formatCode="0.0%"/>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ill>
        <patternFill patternType="none">
          <bgColor auto="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numFmt numFmtId="14" formatCode="0.00%"/>
    </dxf>
    <dxf>
      <numFmt numFmtId="14" formatCode="0.00%"/>
    </dxf>
    <dxf>
      <numFmt numFmtId="14" formatCode="0.00%"/>
    </dxf>
    <dxf>
      <numFmt numFmtId="14" formatCode="0.00%"/>
    </dxf>
    <dxf>
      <font>
        <b/>
      </font>
    </dxf>
    <dxf>
      <font>
        <b/>
      </font>
    </dxf>
    <dxf>
      <font>
        <b/>
      </font>
    </dxf>
    <dxf>
      <font>
        <b/>
      </font>
    </dxf>
    <dxf>
      <font>
        <b/>
      </font>
    </dxf>
    <dxf>
      <font>
        <b/>
      </font>
    </dxf>
    <dxf>
      <font>
        <b/>
      </font>
    </dxf>
    <dxf>
      <font>
        <b/>
      </font>
      <numFmt numFmtId="168" formatCode="0.0%"/>
    </dxf>
    <dxf>
      <font>
        <b/>
      </font>
      <numFmt numFmtId="168" formatCode="0.0%"/>
    </dxf>
    <dxf>
      <font>
        <b/>
      </font>
    </dxf>
    <dxf>
      <numFmt numFmtId="168" formatCode="0.0%"/>
    </dxf>
    <dxf>
      <font>
        <b/>
        <sz val="10"/>
      </font>
      <numFmt numFmtId="168" formatCode="0.0%"/>
    </dxf>
    <dxf>
      <font>
        <b/>
        <sz val="10"/>
      </font>
      <numFmt numFmtId="168" formatCode="0.0%"/>
    </dxf>
    <dxf>
      <font>
        <sz val="10"/>
      </font>
    </dxf>
    <dxf>
      <font>
        <sz val="10"/>
      </font>
    </dxf>
    <dxf>
      <font>
        <b/>
      </font>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s>
  <tableStyles count="0" defaultTableStyle="TableStyleMedium9" defaultPivotStyle="PivotStyleLight16"/>
  <colors>
    <mruColors>
      <color rgb="FF008000"/>
      <color rgb="FF0000FF"/>
      <color rgb="FF00FF00"/>
      <color rgb="FFCCFFCC"/>
      <color rgb="FF00FFFF"/>
      <color rgb="FFFFFFCC"/>
      <color rgb="FFB2A1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ristiana Datubo-Brown" refreshedDate="44237.521283680559" createdVersion="6" refreshedVersion="6" minRefreshableVersion="3" recordCount="666" xr:uid="{7CF5B513-00AE-4DF0-945B-9327B713FA3C}">
  <cacheSource type="worksheet">
    <worksheetSource ref="A6:BA672" sheet="04SCH_FTE"/>
  </cacheSource>
  <cacheFields count="58">
    <cacheField name="State" numFmtId="0">
      <sharedItems count="16">
        <s v="AL"/>
        <s v="AR"/>
        <s v="DE"/>
        <s v="FL"/>
        <s v="GA"/>
        <s v="KY"/>
        <s v="LA"/>
        <s v="MD"/>
        <s v="MS"/>
        <s v="NC"/>
        <s v="OK"/>
        <s v="SC"/>
        <s v="TN"/>
        <s v="TX"/>
        <s v="VA"/>
        <s v="WV"/>
      </sharedItems>
    </cacheField>
    <cacheField name="Institution" numFmtId="0">
      <sharedItems containsBlank="1"/>
    </cacheField>
    <cacheField name="Note" numFmtId="0">
      <sharedItems containsBlank="1"/>
    </cacheField>
    <cacheField name="IPEDS ID #" numFmtId="0">
      <sharedItems containsBlank="1" containsMixedTypes="1" containsNumber="1" containsInteger="1" minValue="100654" maxValue="870501"/>
    </cacheField>
    <cacheField name="Category" numFmtId="0">
      <sharedItems containsBlank="1" containsMixedTypes="1" containsNumber="1" containsInteger="1" minValue="1" maxValue="99" count="19">
        <n v="1"/>
        <n v="2"/>
        <n v="3"/>
        <n v="4"/>
        <n v="5"/>
        <n v="6"/>
        <n v="8"/>
        <n v="9"/>
        <n v="10"/>
        <n v="12"/>
        <n v="13"/>
        <m/>
        <n v="7"/>
        <n v="15"/>
        <n v="11"/>
        <s v="08b"/>
        <s v="09b"/>
        <s v="10b"/>
        <n v="99" u="1"/>
      </sharedItems>
      <fieldGroup par="54"/>
    </cacheField>
    <cacheField name="Old-Term Code" numFmtId="0">
      <sharedItems containsBlank="1"/>
    </cacheField>
    <cacheField name="New-Term Code" numFmtId="0">
      <sharedItems containsBlank="1"/>
    </cacheField>
    <cacheField name="old-Winter Undg SCH" numFmtId="0">
      <sharedItems containsString="0" containsBlank="1" containsNumber="1" containsInteger="1" minValue="0" maxValue="623892"/>
    </cacheField>
    <cacheField name="new-Winter Undg SCH" numFmtId="0">
      <sharedItems containsString="0" containsBlank="1" containsNumber="1" minValue="0" maxValue="593461"/>
    </cacheField>
    <cacheField name="old-Spring Undg SCH" numFmtId="0">
      <sharedItems containsString="0" containsBlank="1" containsNumber="1" minValue="12" maxValue="1245680"/>
    </cacheField>
    <cacheField name="new-Spring Undg SCH" numFmtId="0">
      <sharedItems containsString="0" containsBlank="1" containsNumber="1" minValue="9" maxValue="1226533"/>
    </cacheField>
    <cacheField name="old-Summer Undg SCH" numFmtId="0">
      <sharedItems containsString="0" containsBlank="1" containsNumber="1" minValue="0" maxValue="365339"/>
    </cacheField>
    <cacheField name="new-Summer Undg SCH" numFmtId="0">
      <sharedItems containsString="0" containsBlank="1" containsNumber="1" minValue="0" maxValue="376716"/>
    </cacheField>
    <cacheField name="old-Fall Undg SCH" numFmtId="0">
      <sharedItems containsString="0" containsBlank="1" containsNumber="1" minValue="975" maxValue="1340366"/>
    </cacheField>
    <cacheField name="new-Fall Undg SCH" numFmtId="0">
      <sharedItems containsString="0" containsBlank="1" containsNumber="1" minValue="667" maxValue="1326707"/>
    </cacheField>
    <cacheField name="Old-Total Undg SCH" numFmtId="0">
      <sharedItems containsString="0" containsBlank="1" containsNumber="1" minValue="0" maxValue="2951385"/>
    </cacheField>
    <cacheField name="Old-Total Undg SCH FTE" numFmtId="0">
      <sharedItems containsString="0" containsBlank="1" containsNumber="1" minValue="0" maxValue="98379.5"/>
    </cacheField>
    <cacheField name="New-Total Undg SCH" numFmtId="0">
      <sharedItems containsString="0" containsBlank="1" containsNumber="1" minValue="0" maxValue="2929956"/>
    </cacheField>
    <cacheField name="New-Total Undg SCH FTE" numFmtId="0">
      <sharedItems containsString="0" containsBlank="1" containsNumber="1" minValue="0" maxValue="97665.2"/>
    </cacheField>
    <cacheField name="Old-Total HS SCH" numFmtId="0">
      <sharedItems containsString="0" containsBlank="1" containsNumber="1" minValue="0" maxValue="845453"/>
    </cacheField>
    <cacheField name="New-Total HS SCH" numFmtId="0">
      <sharedItems containsString="0" containsBlank="1" containsNumber="1" minValue="0" maxValue="890041"/>
    </cacheField>
    <cacheField name="Old-Total Undg SCH2" numFmtId="0">
      <sharedItems containsString="0" containsBlank="1" containsNumber="1" minValue="0" maxValue="2951385"/>
    </cacheField>
    <cacheField name="New-Total Undg SCH2" numFmtId="0">
      <sharedItems containsString="0" containsBlank="1" containsNumber="1" minValue="0" maxValue="2929956"/>
    </cacheField>
    <cacheField name="old-Winter Undg CH" numFmtId="0">
      <sharedItems containsString="0" containsBlank="1" containsNumber="1" containsInteger="1" minValue="0" maxValue="472670"/>
    </cacheField>
    <cacheField name="new-Winter Undg CH" numFmtId="0">
      <sharedItems containsString="0" containsBlank="1" containsNumber="1" containsInteger="1" minValue="0" maxValue="472429"/>
    </cacheField>
    <cacheField name="old-Spring Undg CH" numFmtId="0">
      <sharedItems containsString="0" containsBlank="1" containsNumber="1" containsInteger="1" minValue="0" maxValue="1046555"/>
    </cacheField>
    <cacheField name="new-Spring Undg CH" numFmtId="0">
      <sharedItems containsString="0" containsBlank="1" containsNumber="1" containsInteger="1" minValue="0" maxValue="919395"/>
    </cacheField>
    <cacheField name="old-Summer Undg CH" numFmtId="0">
      <sharedItems containsString="0" containsBlank="1" containsNumber="1" containsInteger="1" minValue="0" maxValue="637123"/>
    </cacheField>
    <cacheField name="new-Summer Undg CH" numFmtId="0">
      <sharedItems containsString="0" containsBlank="1" containsNumber="1" containsInteger="1" minValue="0" maxValue="650272"/>
    </cacheField>
    <cacheField name="old-Fall Undg CH" numFmtId="0">
      <sharedItems containsString="0" containsBlank="1" containsNumber="1" minValue="0" maxValue="1594984.13"/>
    </cacheField>
    <cacheField name="new-Fall Undg CH" numFmtId="0">
      <sharedItems containsString="0" containsBlank="1" containsNumber="1" minValue="0" maxValue="1578505.76"/>
    </cacheField>
    <cacheField name="Old-Total Undg CH" numFmtId="0">
      <sharedItems containsString="0" containsBlank="1" containsNumber="1" minValue="0" maxValue="2971175"/>
    </cacheField>
    <cacheField name="Old-Total Undg CH FTE" numFmtId="0">
      <sharedItems containsString="0" containsBlank="1" containsNumber="1" minValue="0" maxValue="3301.3055555555557"/>
    </cacheField>
    <cacheField name="New-Total Undg CH" numFmtId="0">
      <sharedItems containsString="0" containsBlank="1" containsNumber="1" minValue="0" maxValue="2432269"/>
    </cacheField>
    <cacheField name="New-Total Undg CH FTE" numFmtId="0">
      <sharedItems containsString="0" containsBlank="1" containsNumber="1" minValue="0" maxValue="2702.5211111111112"/>
    </cacheField>
    <cacheField name="Old-Total HS CH" numFmtId="0">
      <sharedItems containsString="0" containsBlank="1" containsNumber="1" containsInteger="1" minValue="0" maxValue="68753"/>
    </cacheField>
    <cacheField name="New-Total HS CH" numFmtId="0">
      <sharedItems containsString="0" containsBlank="1" containsNumber="1" containsInteger="1" minValue="0" maxValue="67477"/>
    </cacheField>
    <cacheField name="Old-Total Undg CH2" numFmtId="0">
      <sharedItems containsString="0" containsBlank="1" containsNumber="1" containsInteger="1" minValue="0" maxValue="2971175"/>
    </cacheField>
    <cacheField name="New-Total Undg CH2" numFmtId="0">
      <sharedItems containsString="0" containsBlank="1" containsNumber="1" containsInteger="1" minValue="0" maxValue="1996251"/>
    </cacheField>
    <cacheField name="old-Winter Grad SCH" numFmtId="0">
      <sharedItems containsString="0" containsBlank="1" containsNumber="1" minValue="0" maxValue="6418"/>
    </cacheField>
    <cacheField name="new-Winter Grad SCH" numFmtId="0">
      <sharedItems containsString="0" containsBlank="1" containsNumber="1" containsInteger="1" minValue="0" maxValue="5909"/>
    </cacheField>
    <cacheField name="old-Spring Grad SCH" numFmtId="0">
      <sharedItems containsString="0" containsBlank="1" containsNumber="1" minValue="0" maxValue="128907"/>
    </cacheField>
    <cacheField name="new-Spring Grad SCH" numFmtId="0">
      <sharedItems containsString="0" containsBlank="1" containsNumber="1" minValue="0" maxValue="145863"/>
    </cacheField>
    <cacheField name="old-Summer Grad SCH" numFmtId="0">
      <sharedItems containsString="0" containsBlank="1" containsNumber="1" minValue="0" maxValue="57052.5"/>
    </cacheField>
    <cacheField name="new-Summer Grad SCH" numFmtId="0">
      <sharedItems containsString="0" containsBlank="1" containsNumber="1" minValue="0" maxValue="66190"/>
    </cacheField>
    <cacheField name="old-Fall Grad SCH" numFmtId="0">
      <sharedItems containsString="0" containsBlank="1" containsNumber="1" minValue="0" maxValue="146868"/>
    </cacheField>
    <cacheField name="new-Fall Grad SCH" numFmtId="0">
      <sharedItems containsString="0" containsBlank="1" containsNumber="1" minValue="0" maxValue="163852.5"/>
    </cacheField>
    <cacheField name="Old-Total Grad SCH" numFmtId="38">
      <sharedItems containsSemiMixedTypes="0" containsString="0" containsNumber="1" minValue="0" maxValue="332827.5"/>
    </cacheField>
    <cacheField name="Old-Total Grad FTE" numFmtId="38">
      <sharedItems containsSemiMixedTypes="0" containsString="0" containsNumber="1" minValue="0" maxValue="13867.8125"/>
    </cacheField>
    <cacheField name="New-Total Grad SCH" numFmtId="38">
      <sharedItems containsSemiMixedTypes="0" containsString="0" containsNumber="1" minValue="0" maxValue="375905.5"/>
    </cacheField>
    <cacheField name="New-Total Grad FTE" numFmtId="38">
      <sharedItems containsSemiMixedTypes="0" containsString="0" containsNumber="1" minValue="0" maxValue="15662.729166666666"/>
    </cacheField>
    <cacheField name="Old Grand Total FTE" numFmtId="38">
      <sharedItems containsSemiMixedTypes="0" containsString="0" containsNumber="1" minValue="0" maxValue="98379.5"/>
    </cacheField>
    <cacheField name="New Grand Total FTE" numFmtId="38">
      <sharedItems containsSemiMixedTypes="0" containsString="0" containsNumber="1" minValue="0" maxValue="97665.2"/>
    </cacheField>
    <cacheField name="% Change Grand Total FTE" numFmtId="0" formula="IF('Old Grand Total FTE'&gt;0, ((('New Grand Total FTE'-'Old Grand Total FTE')/'Old Grand Total FTE')))" databaseField="0"/>
    <cacheField name="Category2" numFmtId="0" databaseField="0">
      <fieldGroup base="4">
        <discretePr count="19">
          <x v="5"/>
          <x v="5"/>
          <x v="5"/>
          <x v="5"/>
          <x v="5"/>
          <x v="5"/>
          <x v="6"/>
          <x v="6"/>
          <x v="6"/>
          <x v="7"/>
          <x v="7"/>
          <x v="8"/>
          <x v="6"/>
          <x v="9"/>
          <x v="0"/>
          <x v="2"/>
          <x v="3"/>
          <x v="4"/>
          <x v="1"/>
        </discretePr>
        <groupItems count="10">
          <n v="11"/>
          <n v="99"/>
          <s v="08b"/>
          <s v="09b"/>
          <s v="10b"/>
          <s v="Group1"/>
          <s v="Group2"/>
          <s v="Group3"/>
          <m/>
          <n v="15"/>
        </groupItems>
      </fieldGroup>
    </cacheField>
    <cacheField name="% Change Graduate FTE" numFmtId="0" formula="IF('Old-Total Grad FTE'&gt;0, ((('New-Total Grad FTE'-'Old-Total Grad FTE')/'Old-Total Grad FTE')))" databaseField="0"/>
    <cacheField name="% Change Undergrad CH FTE" numFmtId="0" formula="IF('Old-Total Undg CH FTE'&gt;0,((('New-Total Undg CH FTE'-'Old-Total Undg CH FTE')/'Old-Total Undg CH FTE')))" databaseField="0"/>
    <cacheField name="% Change Undergrad SCH FTE" numFmtId="0" formula="IF('Old-Total Undg SCH FTE'&gt;0,((('New-Total Undg SCH FTE'-'Old-Total Undg SCH FTE')/'Old-Total Undg SCH FTE')))"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ristiana Datubo-Brown" refreshedDate="44237.521314930556" createdVersion="6" refreshedVersion="6" minRefreshableVersion="3" recordCount="666" xr:uid="{63C89252-7352-4817-A036-0406947A733B}">
  <cacheSource type="worksheet">
    <worksheetSource ref="A6:AM672" sheet="04SCH_FTE"/>
  </cacheSource>
  <cacheFields count="47">
    <cacheField name="State" numFmtId="0">
      <sharedItems count="16">
        <s v="AL"/>
        <s v="AR"/>
        <s v="DE"/>
        <s v="FL"/>
        <s v="GA"/>
        <s v="KY"/>
        <s v="LA"/>
        <s v="MD"/>
        <s v="MS"/>
        <s v="NC"/>
        <s v="OK"/>
        <s v="SC"/>
        <s v="TN"/>
        <s v="TX"/>
        <s v="VA"/>
        <s v="WV"/>
      </sharedItems>
    </cacheField>
    <cacheField name="Institution" numFmtId="0">
      <sharedItems containsBlank="1"/>
    </cacheField>
    <cacheField name="Note" numFmtId="0">
      <sharedItems containsBlank="1"/>
    </cacheField>
    <cacheField name="IPEDS ID #" numFmtId="0">
      <sharedItems containsBlank="1" containsMixedTypes="1" containsNumber="1" containsInteger="1" minValue="100654" maxValue="870501"/>
    </cacheField>
    <cacheField name="Category" numFmtId="0">
      <sharedItems containsBlank="1" containsMixedTypes="1" containsNumber="1" containsInteger="1" minValue="1" maxValue="99" count="20">
        <n v="1"/>
        <n v="2"/>
        <n v="3"/>
        <n v="4"/>
        <n v="5"/>
        <n v="6"/>
        <n v="8"/>
        <n v="9"/>
        <n v="10"/>
        <n v="12"/>
        <n v="13"/>
        <m/>
        <n v="7"/>
        <n v="15"/>
        <n v="11"/>
        <s v="08b"/>
        <s v="09b"/>
        <s v="10b"/>
        <n v="14" u="1"/>
        <n v="99" u="1"/>
      </sharedItems>
      <fieldGroup par="43"/>
    </cacheField>
    <cacheField name="Old-Term Code" numFmtId="0">
      <sharedItems containsBlank="1"/>
    </cacheField>
    <cacheField name="New-Term Code" numFmtId="0">
      <sharedItems containsBlank="1"/>
    </cacheField>
    <cacheField name="old-Winter Undg SCH" numFmtId="0">
      <sharedItems containsString="0" containsBlank="1" containsNumber="1" containsInteger="1" minValue="0" maxValue="623892"/>
    </cacheField>
    <cacheField name="new-Winter Undg SCH" numFmtId="0">
      <sharedItems containsString="0" containsBlank="1" containsNumber="1" minValue="0" maxValue="593461"/>
    </cacheField>
    <cacheField name="old-Spring Undg SCH" numFmtId="0">
      <sharedItems containsString="0" containsBlank="1" containsNumber="1" minValue="12" maxValue="1245680"/>
    </cacheField>
    <cacheField name="new-Spring Undg SCH" numFmtId="0">
      <sharedItems containsString="0" containsBlank="1" containsNumber="1" minValue="9" maxValue="1226533"/>
    </cacheField>
    <cacheField name="old-Summer Undg SCH" numFmtId="0">
      <sharedItems containsString="0" containsBlank="1" containsNumber="1" minValue="0" maxValue="365339"/>
    </cacheField>
    <cacheField name="new-Summer Undg SCH" numFmtId="0">
      <sharedItems containsString="0" containsBlank="1" containsNumber="1" minValue="0" maxValue="376716"/>
    </cacheField>
    <cacheField name="old-Fall Undg SCH" numFmtId="0">
      <sharedItems containsString="0" containsBlank="1" containsNumber="1" minValue="975" maxValue="1340366"/>
    </cacheField>
    <cacheField name="new-Fall Undg SCH" numFmtId="0">
      <sharedItems containsString="0" containsBlank="1" containsNumber="1" minValue="667" maxValue="1326707"/>
    </cacheField>
    <cacheField name="Old-Total Undg SCH" numFmtId="0">
      <sharedItems containsString="0" containsBlank="1" containsNumber="1" minValue="0" maxValue="2951385"/>
    </cacheField>
    <cacheField name="Old-Total Undg SCH FTE" numFmtId="0">
      <sharedItems containsString="0" containsBlank="1" containsNumber="1" minValue="0" maxValue="98379.5"/>
    </cacheField>
    <cacheField name="New-Total Undg SCH" numFmtId="0">
      <sharedItems containsString="0" containsBlank="1" containsNumber="1" minValue="0" maxValue="2929956"/>
    </cacheField>
    <cacheField name="New-Total Undg SCH FTE" numFmtId="0">
      <sharedItems containsString="0" containsBlank="1" containsNumber="1" minValue="0" maxValue="97665.2"/>
    </cacheField>
    <cacheField name="Old-Total HS SCH" numFmtId="0">
      <sharedItems containsString="0" containsBlank="1" containsNumber="1" minValue="0" maxValue="845453"/>
    </cacheField>
    <cacheField name="New-Total HS SCH" numFmtId="0">
      <sharedItems containsString="0" containsBlank="1" containsNumber="1" minValue="0" maxValue="890041"/>
    </cacheField>
    <cacheField name="Old-Total Undg SCH2" numFmtId="0">
      <sharedItems containsString="0" containsBlank="1" containsNumber="1" minValue="0" maxValue="2951385"/>
    </cacheField>
    <cacheField name="New-Total Undg SCH2" numFmtId="0">
      <sharedItems containsString="0" containsBlank="1" containsNumber="1" minValue="0" maxValue="2929956"/>
    </cacheField>
    <cacheField name="old-Winter Undg CH" numFmtId="0">
      <sharedItems containsString="0" containsBlank="1" containsNumber="1" containsInteger="1" minValue="0" maxValue="472670"/>
    </cacheField>
    <cacheField name="new-Winter Undg CH" numFmtId="0">
      <sharedItems containsString="0" containsBlank="1" containsNumber="1" containsInteger="1" minValue="0" maxValue="472429"/>
    </cacheField>
    <cacheField name="old-Spring Undg CH" numFmtId="0">
      <sharedItems containsString="0" containsBlank="1" containsNumber="1" containsInteger="1" minValue="0" maxValue="1046555"/>
    </cacheField>
    <cacheField name="new-Spring Undg CH" numFmtId="0">
      <sharedItems containsString="0" containsBlank="1" containsNumber="1" containsInteger="1" minValue="0" maxValue="919395"/>
    </cacheField>
    <cacheField name="old-Summer Undg CH" numFmtId="0">
      <sharedItems containsString="0" containsBlank="1" containsNumber="1" containsInteger="1" minValue="0" maxValue="637123"/>
    </cacheField>
    <cacheField name="new-Summer Undg CH" numFmtId="0">
      <sharedItems containsString="0" containsBlank="1" containsNumber="1" containsInteger="1" minValue="0" maxValue="650272"/>
    </cacheField>
    <cacheField name="old-Fall Undg CH" numFmtId="0">
      <sharedItems containsString="0" containsBlank="1" containsNumber="1" minValue="0" maxValue="1594984.13"/>
    </cacheField>
    <cacheField name="new-Fall Undg CH" numFmtId="0">
      <sharedItems containsString="0" containsBlank="1" containsNumber="1" minValue="0" maxValue="1578505.76"/>
    </cacheField>
    <cacheField name="Old-Total Undg CH" numFmtId="0">
      <sharedItems containsString="0" containsBlank="1" containsNumber="1" minValue="0" maxValue="2971175"/>
    </cacheField>
    <cacheField name="Old-Total Undg CH FTE" numFmtId="0">
      <sharedItems containsString="0" containsBlank="1" containsNumber="1" minValue="0" maxValue="3301.3055555555557"/>
    </cacheField>
    <cacheField name="New-Total Undg CH" numFmtId="0">
      <sharedItems containsString="0" containsBlank="1" containsNumber="1" minValue="0" maxValue="2432269"/>
    </cacheField>
    <cacheField name="New-Total Undg CH FTE" numFmtId="0">
      <sharedItems containsString="0" containsBlank="1" containsNumber="1" minValue="0" maxValue="2702.5211111111112"/>
    </cacheField>
    <cacheField name="Old-Total HS CH" numFmtId="0">
      <sharedItems containsString="0" containsBlank="1" containsNumber="1" containsInteger="1" minValue="0" maxValue="68753"/>
    </cacheField>
    <cacheField name="New-Total HS CH" numFmtId="0">
      <sharedItems containsString="0" containsBlank="1" containsNumber="1" containsInteger="1" minValue="0" maxValue="67477"/>
    </cacheField>
    <cacheField name="Old-Total Undg CH2" numFmtId="0">
      <sharedItems containsString="0" containsBlank="1" containsNumber="1" containsInteger="1" minValue="0" maxValue="2971175"/>
    </cacheField>
    <cacheField name="New-Total Undg CH2" numFmtId="0">
      <sharedItems containsString="0" containsBlank="1" containsNumber="1" containsInteger="1" minValue="0" maxValue="1996251"/>
    </cacheField>
    <cacheField name="New-Total HSH" numFmtId="0" formula="'New-Total HS SCH'+'New-Total HS CH'" databaseField="0"/>
    <cacheField name="New-Total UGH" numFmtId="0" formula="'New-Total Undg SCH2'+'New-Total Undg CH2'" databaseField="0"/>
    <cacheField name="New-HS % of Total" numFmtId="0" formula="IF('New-Total UGH'&gt;0,('New-Total HSH'/'New-Total UGH'))" databaseField="0"/>
    <cacheField name="Old-HS % of Total" numFmtId="0" formula="IF('Old-Total UGH'&gt;0,('Old-Total HSH'/'Old-Total UGH'),)" databaseField="0"/>
    <cacheField name="Category2" numFmtId="0" databaseField="0">
      <fieldGroup base="4">
        <discretePr count="20">
          <x v="2"/>
          <x v="2"/>
          <x v="2"/>
          <x v="2"/>
          <x v="2"/>
          <x v="2"/>
          <x v="3"/>
          <x v="3"/>
          <x v="3"/>
          <x v="4"/>
          <x v="4"/>
          <x v="9"/>
          <x v="3"/>
          <x v="0"/>
          <x v="1"/>
          <x v="6"/>
          <x v="7"/>
          <x v="8"/>
          <x v="4"/>
          <x v="5"/>
        </discretePr>
        <groupItems count="10">
          <n v="15"/>
          <n v="11"/>
          <s v="Group1"/>
          <s v="Group2"/>
          <s v="Group3"/>
          <n v="99"/>
          <s v="08b"/>
          <s v="09b"/>
          <s v="10b"/>
          <m/>
        </groupItems>
      </fieldGroup>
    </cacheField>
    <cacheField name="Old-Total UGH" numFmtId="0" formula="'Old-Total Undg SCH2'+'Old-Total Undg CH2'" databaseField="0"/>
    <cacheField name="Old-Total HSH" numFmtId="0" formula="'Old-Total HS SCH'+'Old-Total HS CH'" databaseField="0"/>
    <cacheField name="HS % Change" numFmtId="0" formula="'New-HS % of Total'-'Old-HS % of Total'"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6">
  <r>
    <x v="0"/>
    <s v="Auburn University"/>
    <m/>
    <n v="100858"/>
    <x v="0"/>
    <m/>
    <m/>
    <m/>
    <m/>
    <n v="316030"/>
    <n v="323849"/>
    <n v="63796"/>
    <n v="60899"/>
    <n v="346160"/>
    <n v="349196"/>
    <n v="725986"/>
    <n v="24199.533333333333"/>
    <n v="733944"/>
    <n v="24464.799999999999"/>
    <n v="109"/>
    <n v="1584"/>
    <n v="725986"/>
    <n v="733944"/>
    <m/>
    <m/>
    <m/>
    <m/>
    <m/>
    <m/>
    <m/>
    <m/>
    <n v="0"/>
    <n v="0"/>
    <n v="0"/>
    <n v="0"/>
    <m/>
    <m/>
    <n v="0"/>
    <n v="0"/>
    <m/>
    <m/>
    <n v="41468"/>
    <n v="41979"/>
    <n v="22767"/>
    <n v="21839"/>
    <n v="44780"/>
    <n v="45709"/>
    <n v="109015"/>
    <n v="4542.291666666667"/>
    <n v="109527"/>
    <n v="4563.625"/>
    <n v="28741.825000000001"/>
    <n v="29028.424999999999"/>
  </r>
  <r>
    <x v="0"/>
    <s v="University of Alabama "/>
    <m/>
    <n v="100751"/>
    <x v="0"/>
    <m/>
    <m/>
    <m/>
    <m/>
    <n v="421165"/>
    <n v="413606"/>
    <n v="64931"/>
    <n v="65592"/>
    <n v="449053"/>
    <n v="441293"/>
    <n v="935149"/>
    <n v="31171.633333333335"/>
    <n v="920491"/>
    <n v="30683.033333333333"/>
    <n v="6158"/>
    <n v="7528"/>
    <n v="935149"/>
    <n v="920491"/>
    <m/>
    <m/>
    <m/>
    <m/>
    <m/>
    <m/>
    <m/>
    <m/>
    <n v="0"/>
    <n v="0"/>
    <n v="0"/>
    <n v="0"/>
    <m/>
    <m/>
    <n v="0"/>
    <n v="0"/>
    <m/>
    <m/>
    <n v="42310"/>
    <n v="44652"/>
    <n v="11904"/>
    <n v="10963"/>
    <n v="45306"/>
    <n v="44079"/>
    <n v="99520"/>
    <n v="4146.666666666667"/>
    <n v="99694"/>
    <n v="4153.916666666667"/>
    <n v="35318.300000000003"/>
    <n v="34836.949999999997"/>
  </r>
  <r>
    <x v="0"/>
    <s v="University of Alabama at Birmingham"/>
    <m/>
    <n v="100663"/>
    <x v="0"/>
    <m/>
    <m/>
    <m/>
    <m/>
    <n v="133490"/>
    <n v="134602"/>
    <n v="33478"/>
    <n v="34186"/>
    <n v="148941"/>
    <n v="150218"/>
    <n v="315909"/>
    <n v="10530.3"/>
    <n v="319006"/>
    <n v="10633.533333333333"/>
    <n v="2561"/>
    <n v="2230"/>
    <n v="315909"/>
    <n v="319006"/>
    <m/>
    <m/>
    <m/>
    <m/>
    <m/>
    <m/>
    <m/>
    <m/>
    <n v="0"/>
    <n v="0"/>
    <n v="0"/>
    <n v="0"/>
    <m/>
    <m/>
    <n v="0"/>
    <n v="0"/>
    <m/>
    <m/>
    <n v="20252"/>
    <n v="20948"/>
    <n v="13459"/>
    <n v="14069"/>
    <n v="21498"/>
    <n v="21528"/>
    <n v="55209"/>
    <n v="2300.375"/>
    <n v="56545"/>
    <n v="2356.0416666666665"/>
    <n v="12830.674999999999"/>
    <n v="12989.574999999999"/>
  </r>
  <r>
    <x v="0"/>
    <s v="University of Alabama in Huntsville"/>
    <s v="Met the criteria for Four-Year 3 in 2018-19 and 2019-20."/>
    <n v="100706"/>
    <x v="1"/>
    <m/>
    <m/>
    <m/>
    <m/>
    <n v="86327"/>
    <n v="94761"/>
    <n v="14806"/>
    <n v="15562"/>
    <n v="101080"/>
    <n v="106168"/>
    <n v="202213"/>
    <n v="6740.4333333333334"/>
    <n v="216491"/>
    <n v="7216.3666666666668"/>
    <n v="1284"/>
    <n v="1631"/>
    <n v="202213"/>
    <n v="216491"/>
    <m/>
    <m/>
    <m/>
    <m/>
    <m/>
    <m/>
    <m/>
    <m/>
    <n v="0"/>
    <n v="0"/>
    <n v="0"/>
    <n v="0"/>
    <m/>
    <m/>
    <n v="0"/>
    <n v="0"/>
    <m/>
    <m/>
    <n v="12186"/>
    <n v="12417"/>
    <n v="5677"/>
    <n v="6042"/>
    <n v="13764"/>
    <n v="12801"/>
    <n v="31627"/>
    <n v="1317.7916666666667"/>
    <n v="31260"/>
    <n v="1302.5"/>
    <n v="8058.2250000000004"/>
    <n v="8518.8666666666668"/>
  </r>
  <r>
    <x v="0"/>
    <s v="University of South Alabama"/>
    <m/>
    <n v="102094"/>
    <x v="1"/>
    <m/>
    <m/>
    <m/>
    <m/>
    <n v="116965"/>
    <n v="111754"/>
    <n v="22860"/>
    <n v="21011"/>
    <n v="124921"/>
    <n v="115544"/>
    <n v="264746"/>
    <n v="8824.8666666666668"/>
    <n v="248309"/>
    <n v="8276.9666666666672"/>
    <n v="398"/>
    <n v="434"/>
    <n v="264746"/>
    <n v="248309"/>
    <m/>
    <m/>
    <m/>
    <m/>
    <m/>
    <m/>
    <m/>
    <m/>
    <n v="0"/>
    <n v="0"/>
    <n v="0"/>
    <n v="0"/>
    <m/>
    <m/>
    <n v="0"/>
    <n v="0"/>
    <m/>
    <m/>
    <n v="6376"/>
    <n v="6374"/>
    <n v="3586"/>
    <n v="3855"/>
    <n v="6458"/>
    <n v="7125"/>
    <n v="16420"/>
    <n v="684.16666666666663"/>
    <n v="17354"/>
    <n v="723.08333333333337"/>
    <n v="9509.0333333333328"/>
    <n v="9000.0500000000011"/>
  </r>
  <r>
    <x v="0"/>
    <s v="Alabama Agricultural &amp; Mechanical University"/>
    <m/>
    <n v="100654"/>
    <x v="2"/>
    <m/>
    <m/>
    <m/>
    <m/>
    <n v="65976"/>
    <n v="68607"/>
    <n v="6456"/>
    <n v="7195"/>
    <n v="79086"/>
    <n v="88642"/>
    <n v="151518"/>
    <n v="5050.6000000000004"/>
    <n v="164444"/>
    <n v="5481.4666666666662"/>
    <n v="0"/>
    <n v="0"/>
    <n v="151518"/>
    <n v="164444"/>
    <m/>
    <m/>
    <m/>
    <m/>
    <m/>
    <m/>
    <m/>
    <m/>
    <n v="0"/>
    <n v="0"/>
    <n v="0"/>
    <n v="0"/>
    <m/>
    <m/>
    <n v="0"/>
    <n v="0"/>
    <m/>
    <m/>
    <n v="7267"/>
    <n v="7667"/>
    <n v="3237"/>
    <n v="3176"/>
    <n v="7882"/>
    <n v="8546"/>
    <n v="18386"/>
    <n v="766.08333333333337"/>
    <n v="19389"/>
    <n v="807.875"/>
    <n v="5816.6833333333334"/>
    <n v="6289.3416666666662"/>
  </r>
  <r>
    <x v="0"/>
    <s v="Jacksonville State University "/>
    <m/>
    <n v="101480"/>
    <x v="2"/>
    <m/>
    <m/>
    <m/>
    <m/>
    <n v="80884"/>
    <n v="80815"/>
    <n v="18071"/>
    <n v="21281"/>
    <n v="88974"/>
    <n v="96239"/>
    <n v="187929"/>
    <n v="6264.3"/>
    <n v="198335"/>
    <n v="6611.166666666667"/>
    <n v="5387"/>
    <n v="5627"/>
    <n v="187929"/>
    <n v="198335"/>
    <m/>
    <m/>
    <m/>
    <m/>
    <m/>
    <m/>
    <m/>
    <m/>
    <n v="0"/>
    <n v="0"/>
    <n v="0"/>
    <n v="0"/>
    <m/>
    <m/>
    <n v="0"/>
    <n v="0"/>
    <m/>
    <m/>
    <n v="6399"/>
    <n v="6990"/>
    <n v="4225"/>
    <n v="4955"/>
    <n v="7394"/>
    <n v="8263"/>
    <n v="18018"/>
    <n v="750.75"/>
    <n v="20208"/>
    <n v="842"/>
    <n v="7015.05"/>
    <n v="7453.166666666667"/>
  </r>
  <r>
    <x v="0"/>
    <s v="Troy University"/>
    <m/>
    <n v="102368"/>
    <x v="2"/>
    <m/>
    <m/>
    <m/>
    <m/>
    <n v="125685"/>
    <n v="119446"/>
    <n v="20453"/>
    <n v="21272"/>
    <n v="133323"/>
    <n v="147936"/>
    <n v="279461"/>
    <n v="9315.3666666666668"/>
    <n v="288654"/>
    <n v="9621.7999999999993"/>
    <n v="1836"/>
    <n v="2308"/>
    <n v="279461"/>
    <n v="288654"/>
    <m/>
    <m/>
    <m/>
    <m/>
    <m/>
    <m/>
    <m/>
    <m/>
    <n v="0"/>
    <n v="0"/>
    <n v="0"/>
    <n v="0"/>
    <m/>
    <m/>
    <n v="0"/>
    <n v="0"/>
    <m/>
    <m/>
    <n v="13479"/>
    <n v="12883"/>
    <n v="5488"/>
    <n v="4957"/>
    <n v="13875"/>
    <n v="19971"/>
    <n v="32842"/>
    <n v="1368.4166666666667"/>
    <n v="37811"/>
    <n v="1575.4583333333333"/>
    <n v="10683.783333333333"/>
    <n v="11197.258333333333"/>
  </r>
  <r>
    <x v="0"/>
    <s v="University of North Alabama"/>
    <m/>
    <n v="101879"/>
    <x v="2"/>
    <m/>
    <m/>
    <m/>
    <m/>
    <n v="70298"/>
    <n v="71601"/>
    <n v="12976"/>
    <n v="12740"/>
    <n v="78059"/>
    <n v="77767"/>
    <n v="161333"/>
    <n v="5377.7666666666664"/>
    <n v="162108"/>
    <n v="5403.6"/>
    <n v="1075"/>
    <n v="1291"/>
    <n v="161333"/>
    <n v="162108"/>
    <m/>
    <m/>
    <m/>
    <m/>
    <m/>
    <m/>
    <m/>
    <m/>
    <n v="0"/>
    <n v="0"/>
    <n v="0"/>
    <n v="0"/>
    <m/>
    <m/>
    <n v="0"/>
    <n v="0"/>
    <m/>
    <m/>
    <n v="7362"/>
    <n v="8714"/>
    <n v="4239"/>
    <n v="4550"/>
    <n v="8225"/>
    <n v="9780"/>
    <n v="19826"/>
    <n v="826.08333333333337"/>
    <n v="23044"/>
    <n v="960.16666666666663"/>
    <n v="6203.8499999999995"/>
    <n v="6363.7666666666673"/>
  </r>
  <r>
    <x v="0"/>
    <s v="Alabama State University "/>
    <m/>
    <n v="100724"/>
    <x v="3"/>
    <m/>
    <m/>
    <m/>
    <m/>
    <n v="53283"/>
    <n v="49742"/>
    <n v="8799"/>
    <n v="7390"/>
    <n v="59153"/>
    <n v="55146"/>
    <n v="121235"/>
    <n v="4041.1666666666665"/>
    <n v="112278"/>
    <n v="3742.6"/>
    <n v="79"/>
    <n v="21"/>
    <n v="121235"/>
    <n v="112278"/>
    <m/>
    <m/>
    <m/>
    <m/>
    <m/>
    <m/>
    <m/>
    <m/>
    <n v="0"/>
    <n v="0"/>
    <n v="0"/>
    <n v="0"/>
    <m/>
    <m/>
    <n v="0"/>
    <n v="0"/>
    <m/>
    <m/>
    <n v="5252"/>
    <n v="4751"/>
    <n v="2307"/>
    <n v="2031"/>
    <n v="5528"/>
    <n v="5253"/>
    <n v="13087"/>
    <n v="545.29166666666663"/>
    <n v="12035"/>
    <n v="501.45833333333331"/>
    <n v="4586.458333333333"/>
    <n v="4244.0583333333334"/>
  </r>
  <r>
    <x v="0"/>
    <s v="Auburn University at Montgomery"/>
    <s v="Met the criteria for Four-Year 3 in 2018-19 and 2019-20."/>
    <n v="100830"/>
    <x v="3"/>
    <m/>
    <m/>
    <m/>
    <m/>
    <n v="47951"/>
    <n v="50061"/>
    <n v="12898"/>
    <n v="12963"/>
    <n v="55346"/>
    <n v="54646"/>
    <n v="116195"/>
    <n v="3873.1666666666665"/>
    <n v="117670"/>
    <n v="3922.3333333333335"/>
    <n v="392"/>
    <n v="337"/>
    <n v="116195"/>
    <n v="117670"/>
    <m/>
    <m/>
    <m/>
    <m/>
    <m/>
    <m/>
    <m/>
    <m/>
    <n v="0"/>
    <n v="0"/>
    <n v="0"/>
    <n v="0"/>
    <m/>
    <m/>
    <n v="0"/>
    <n v="0"/>
    <m/>
    <m/>
    <n v="3934"/>
    <n v="3982"/>
    <n v="1975"/>
    <n v="2353"/>
    <n v="4052"/>
    <n v="4661"/>
    <n v="9961"/>
    <n v="415.04166666666669"/>
    <n v="10996"/>
    <n v="458.16666666666669"/>
    <n v="4288.208333333333"/>
    <n v="4380.5"/>
  </r>
  <r>
    <x v="0"/>
    <s v="University of Montevallo"/>
    <m/>
    <n v="101709"/>
    <x v="4"/>
    <m/>
    <m/>
    <m/>
    <m/>
    <n v="28796"/>
    <n v="27607"/>
    <n v="4263"/>
    <n v="3882"/>
    <n v="31207"/>
    <n v="30446"/>
    <n v="64266"/>
    <n v="2142.1999999999998"/>
    <n v="61935"/>
    <n v="2064.5"/>
    <n v="186"/>
    <n v="207"/>
    <n v="64266"/>
    <n v="61935"/>
    <m/>
    <m/>
    <m/>
    <m/>
    <m/>
    <m/>
    <m/>
    <m/>
    <n v="0"/>
    <n v="0"/>
    <n v="0"/>
    <n v="0"/>
    <m/>
    <m/>
    <n v="0"/>
    <n v="0"/>
    <m/>
    <m/>
    <n v="2527"/>
    <n v="2332"/>
    <n v="1528"/>
    <n v="1293"/>
    <n v="2520"/>
    <n v="2341"/>
    <n v="6575"/>
    <n v="273.95833333333331"/>
    <n v="5966"/>
    <n v="248.58333333333334"/>
    <n v="2416.1583333333333"/>
    <n v="2313.0833333333335"/>
  </r>
  <r>
    <x v="0"/>
    <s v="University of West Alabama"/>
    <s v="Met the criteria for Four-Year 4 in 2018-19 and 2019-20."/>
    <n v="101587"/>
    <x v="4"/>
    <m/>
    <m/>
    <m/>
    <m/>
    <n v="26568"/>
    <n v="27203"/>
    <n v="4740"/>
    <n v="6972"/>
    <n v="29338"/>
    <n v="29281"/>
    <n v="60646"/>
    <n v="2021.5333333333333"/>
    <n v="63456"/>
    <n v="2115.1999999999998"/>
    <n v="400"/>
    <n v="243"/>
    <n v="60646"/>
    <n v="63456"/>
    <m/>
    <m/>
    <m/>
    <m/>
    <m/>
    <m/>
    <m/>
    <m/>
    <n v="0"/>
    <n v="0"/>
    <n v="0"/>
    <n v="0"/>
    <m/>
    <m/>
    <n v="0"/>
    <n v="0"/>
    <m/>
    <m/>
    <n v="17109"/>
    <n v="21213"/>
    <n v="17708"/>
    <n v="21781"/>
    <n v="19239"/>
    <n v="22176"/>
    <n v="54056"/>
    <n v="2252.3333333333335"/>
    <n v="65170"/>
    <n v="2715.4166666666665"/>
    <n v="4273.8666666666668"/>
    <n v="4830.6166666666668"/>
  </r>
  <r>
    <x v="0"/>
    <s v="Athens State University"/>
    <s v="Met the criteria for Four-Year 5 in 2019-20."/>
    <s v="100812"/>
    <x v="5"/>
    <m/>
    <m/>
    <m/>
    <m/>
    <n v="25556"/>
    <n v="25034"/>
    <n v="12628"/>
    <n v="12332"/>
    <n v="27302"/>
    <n v="26727"/>
    <n v="65486"/>
    <n v="2182.8666666666668"/>
    <n v="64093"/>
    <n v="2136.4333333333334"/>
    <n v="0"/>
    <n v="0"/>
    <n v="65486"/>
    <n v="64093"/>
    <m/>
    <m/>
    <m/>
    <m/>
    <m/>
    <m/>
    <m/>
    <m/>
    <n v="0"/>
    <n v="0"/>
    <n v="0"/>
    <n v="0"/>
    <m/>
    <m/>
    <n v="0"/>
    <n v="0"/>
    <m/>
    <m/>
    <n v="807"/>
    <n v="897"/>
    <n v="615"/>
    <n v="447"/>
    <n v="954"/>
    <n v="1071"/>
    <n v="2376"/>
    <n v="99"/>
    <n v="2415"/>
    <n v="100.625"/>
    <n v="2281.8666666666668"/>
    <n v="2237.0583333333334"/>
  </r>
  <r>
    <x v="0"/>
    <s v="Jefferson State Community College"/>
    <m/>
    <n v="101505"/>
    <x v="6"/>
    <m/>
    <m/>
    <m/>
    <m/>
    <n v="63152"/>
    <n v="64020"/>
    <n v="34390"/>
    <n v="32543"/>
    <n v="73411"/>
    <n v="69773"/>
    <n v="170953"/>
    <n v="5698.4333333333334"/>
    <n v="166336"/>
    <n v="5544.5333333333338"/>
    <n v="14148"/>
    <n v="15108"/>
    <n v="170953"/>
    <n v="166336"/>
    <m/>
    <m/>
    <m/>
    <m/>
    <m/>
    <m/>
    <m/>
    <m/>
    <n v="0"/>
    <n v="0"/>
    <n v="0"/>
    <n v="0"/>
    <m/>
    <m/>
    <n v="0"/>
    <n v="0"/>
    <m/>
    <m/>
    <m/>
    <m/>
    <m/>
    <m/>
    <m/>
    <m/>
    <n v="0"/>
    <n v="0"/>
    <n v="0"/>
    <n v="0"/>
    <n v="5698.4333333333334"/>
    <n v="5544.5333333333338"/>
  </r>
  <r>
    <x v="0"/>
    <s v="John C. Calhoun Community College "/>
    <m/>
    <n v="101514"/>
    <x v="6"/>
    <m/>
    <m/>
    <m/>
    <m/>
    <n v="76211"/>
    <n v="77456"/>
    <n v="35383"/>
    <n v="36047"/>
    <n v="84211"/>
    <n v="81361"/>
    <n v="195805"/>
    <n v="6526.833333333333"/>
    <n v="194864"/>
    <n v="6495.4666666666662"/>
    <n v="10393"/>
    <n v="12880"/>
    <n v="195805"/>
    <n v="194864"/>
    <m/>
    <m/>
    <m/>
    <m/>
    <m/>
    <m/>
    <m/>
    <m/>
    <n v="0"/>
    <n v="0"/>
    <n v="0"/>
    <n v="0"/>
    <m/>
    <m/>
    <n v="0"/>
    <n v="0"/>
    <m/>
    <m/>
    <m/>
    <m/>
    <m/>
    <m/>
    <m/>
    <m/>
    <n v="0"/>
    <n v="0"/>
    <n v="0"/>
    <n v="0"/>
    <n v="6526.833333333333"/>
    <n v="6495.4666666666662"/>
  </r>
  <r>
    <x v="0"/>
    <s v="Bevill State Community College"/>
    <m/>
    <n v="102429"/>
    <x v="7"/>
    <m/>
    <m/>
    <m/>
    <m/>
    <n v="32523"/>
    <n v="29948"/>
    <n v="17481"/>
    <n v="17113"/>
    <n v="34078"/>
    <n v="33374"/>
    <n v="84082"/>
    <n v="2802.7333333333331"/>
    <n v="80435"/>
    <n v="2681.1666666666665"/>
    <n v="8513"/>
    <n v="9813"/>
    <n v="84082"/>
    <n v="80435"/>
    <m/>
    <m/>
    <m/>
    <m/>
    <m/>
    <m/>
    <m/>
    <m/>
    <n v="0"/>
    <n v="0"/>
    <n v="0"/>
    <n v="0"/>
    <m/>
    <m/>
    <n v="0"/>
    <n v="0"/>
    <m/>
    <m/>
    <m/>
    <m/>
    <m/>
    <m/>
    <m/>
    <m/>
    <n v="0"/>
    <n v="0"/>
    <n v="0"/>
    <n v="0"/>
    <n v="2802.7333333333331"/>
    <n v="2681.1666666666665"/>
  </r>
  <r>
    <x v="0"/>
    <s v="Bishop State Community College"/>
    <m/>
    <n v="102030"/>
    <x v="7"/>
    <m/>
    <m/>
    <m/>
    <m/>
    <n v="27114"/>
    <n v="26212"/>
    <n v="11456"/>
    <n v="11356"/>
    <n v="28593"/>
    <n v="27590"/>
    <n v="67163"/>
    <n v="2238.7666666666669"/>
    <n v="65158"/>
    <n v="2171.9333333333334"/>
    <n v="3240"/>
    <n v="3584"/>
    <n v="67163"/>
    <n v="65158"/>
    <m/>
    <m/>
    <m/>
    <m/>
    <m/>
    <m/>
    <m/>
    <m/>
    <n v="0"/>
    <n v="0"/>
    <n v="0"/>
    <n v="0"/>
    <m/>
    <m/>
    <n v="0"/>
    <n v="0"/>
    <m/>
    <m/>
    <m/>
    <m/>
    <m/>
    <m/>
    <m/>
    <m/>
    <n v="0"/>
    <n v="0"/>
    <n v="0"/>
    <n v="0"/>
    <n v="2238.7666666666669"/>
    <n v="2171.9333333333334"/>
  </r>
  <r>
    <x v="0"/>
    <s v="Coastal Alabama Community College"/>
    <s v="Met the criteria for Two-Year 1 in 2018-19 and 2019-20."/>
    <n v="101161"/>
    <x v="7"/>
    <m/>
    <m/>
    <m/>
    <m/>
    <n v="65685"/>
    <n v="65242"/>
    <n v="30135"/>
    <n v="29445"/>
    <n v="72862"/>
    <n v="74144"/>
    <n v="168682"/>
    <n v="5622.7333333333336"/>
    <n v="168831"/>
    <n v="5627.7"/>
    <n v="14679"/>
    <n v="17228"/>
    <n v="168682"/>
    <n v="168831"/>
    <m/>
    <m/>
    <m/>
    <m/>
    <m/>
    <m/>
    <m/>
    <m/>
    <n v="0"/>
    <n v="0"/>
    <n v="0"/>
    <n v="0"/>
    <m/>
    <m/>
    <n v="0"/>
    <n v="0"/>
    <m/>
    <m/>
    <m/>
    <m/>
    <m/>
    <m/>
    <m/>
    <m/>
    <n v="0"/>
    <n v="0"/>
    <n v="0"/>
    <n v="0"/>
    <n v="5622.7333333333336"/>
    <n v="5627.7"/>
  </r>
  <r>
    <x v="0"/>
    <s v="Gadsden State Community College"/>
    <m/>
    <n v="101240"/>
    <x v="7"/>
    <m/>
    <m/>
    <m/>
    <m/>
    <n v="42746"/>
    <n v="41847"/>
    <n v="20793"/>
    <n v="21713"/>
    <n v="46681"/>
    <n v="45523"/>
    <n v="110220"/>
    <n v="3674"/>
    <n v="109083"/>
    <n v="3636.1"/>
    <n v="5231"/>
    <n v="5709"/>
    <n v="110220"/>
    <n v="109083"/>
    <m/>
    <m/>
    <m/>
    <m/>
    <m/>
    <m/>
    <m/>
    <m/>
    <n v="0"/>
    <n v="0"/>
    <n v="0"/>
    <n v="0"/>
    <m/>
    <m/>
    <n v="0"/>
    <n v="0"/>
    <m/>
    <m/>
    <m/>
    <m/>
    <m/>
    <m/>
    <m/>
    <m/>
    <n v="0"/>
    <n v="0"/>
    <n v="0"/>
    <n v="0"/>
    <n v="3674"/>
    <n v="3636.1"/>
  </r>
  <r>
    <x v="0"/>
    <s v="George C. Wallace Community College-Dothan"/>
    <m/>
    <n v="101286"/>
    <x v="7"/>
    <m/>
    <m/>
    <m/>
    <m/>
    <n v="38196"/>
    <n v="37419"/>
    <n v="19930"/>
    <n v="18911"/>
    <n v="41781"/>
    <n v="40500"/>
    <n v="99907"/>
    <n v="3330.2333333333331"/>
    <n v="96830"/>
    <n v="3227.6666666666665"/>
    <n v="7671"/>
    <n v="7135"/>
    <n v="99907"/>
    <n v="96830"/>
    <m/>
    <m/>
    <m/>
    <m/>
    <m/>
    <m/>
    <m/>
    <m/>
    <n v="0"/>
    <n v="0"/>
    <n v="0"/>
    <n v="0"/>
    <m/>
    <m/>
    <n v="0"/>
    <n v="0"/>
    <m/>
    <m/>
    <m/>
    <m/>
    <m/>
    <m/>
    <m/>
    <m/>
    <n v="0"/>
    <n v="0"/>
    <n v="0"/>
    <n v="0"/>
    <n v="3330.2333333333331"/>
    <n v="3227.6666666666665"/>
  </r>
  <r>
    <x v="0"/>
    <s v="George C. Wallace State Community College-Hanceville"/>
    <m/>
    <n v="101295"/>
    <x v="7"/>
    <m/>
    <m/>
    <m/>
    <m/>
    <n v="49005"/>
    <n v="49387"/>
    <n v="22551"/>
    <n v="22665"/>
    <n v="53788"/>
    <n v="52910"/>
    <n v="125344"/>
    <n v="4178.1333333333332"/>
    <n v="124962"/>
    <n v="4165.3999999999996"/>
    <n v="6943"/>
    <n v="7814"/>
    <n v="125344"/>
    <n v="124962"/>
    <m/>
    <m/>
    <m/>
    <m/>
    <m/>
    <m/>
    <m/>
    <m/>
    <n v="0"/>
    <n v="0"/>
    <n v="0"/>
    <n v="0"/>
    <m/>
    <m/>
    <n v="0"/>
    <n v="0"/>
    <m/>
    <m/>
    <m/>
    <m/>
    <m/>
    <m/>
    <m/>
    <m/>
    <n v="0"/>
    <n v="0"/>
    <n v="0"/>
    <n v="0"/>
    <n v="4178.1333333333332"/>
    <n v="4165.3999999999996"/>
  </r>
  <r>
    <x v="0"/>
    <s v="Lawson State Community College "/>
    <m/>
    <n v="101569"/>
    <x v="7"/>
    <m/>
    <m/>
    <m/>
    <m/>
    <n v="28654"/>
    <n v="29490"/>
    <n v="13844"/>
    <n v="12649"/>
    <n v="33699"/>
    <n v="34177"/>
    <n v="76197"/>
    <n v="2539.9"/>
    <n v="76316"/>
    <n v="2543.8666666666668"/>
    <n v="1723"/>
    <n v="2322"/>
    <n v="76197"/>
    <n v="76316"/>
    <m/>
    <m/>
    <m/>
    <m/>
    <m/>
    <m/>
    <m/>
    <m/>
    <n v="0"/>
    <n v="0"/>
    <n v="0"/>
    <n v="0"/>
    <m/>
    <m/>
    <n v="0"/>
    <n v="0"/>
    <m/>
    <m/>
    <m/>
    <m/>
    <m/>
    <m/>
    <m/>
    <m/>
    <n v="0"/>
    <n v="0"/>
    <n v="0"/>
    <n v="0"/>
    <n v="2539.9"/>
    <n v="2543.8666666666668"/>
  </r>
  <r>
    <x v="0"/>
    <s v="Northwest-Shoals Community College"/>
    <m/>
    <n v="101736"/>
    <x v="7"/>
    <m/>
    <m/>
    <m/>
    <m/>
    <n v="25535"/>
    <n v="25950"/>
    <n v="10893"/>
    <n v="10366"/>
    <n v="30277"/>
    <n v="30047"/>
    <n v="66705"/>
    <n v="2223.5"/>
    <n v="66363"/>
    <n v="2212.1"/>
    <n v="7339"/>
    <n v="8135"/>
    <n v="66705"/>
    <n v="66363"/>
    <m/>
    <m/>
    <m/>
    <m/>
    <m/>
    <m/>
    <m/>
    <m/>
    <n v="0"/>
    <n v="0"/>
    <n v="0"/>
    <n v="0"/>
    <m/>
    <m/>
    <n v="0"/>
    <n v="0"/>
    <m/>
    <m/>
    <m/>
    <m/>
    <m/>
    <m/>
    <m/>
    <m/>
    <n v="0"/>
    <n v="0"/>
    <n v="0"/>
    <n v="0"/>
    <n v="2223.5"/>
    <n v="2212.1"/>
  </r>
  <r>
    <x v="0"/>
    <s v="Shelton State Community College"/>
    <m/>
    <n v="102067"/>
    <x v="7"/>
    <m/>
    <m/>
    <m/>
    <m/>
    <n v="39968"/>
    <n v="38313"/>
    <n v="22218"/>
    <n v="21306"/>
    <n v="42377"/>
    <n v="42594"/>
    <n v="104563"/>
    <n v="3485.4333333333334"/>
    <n v="102213"/>
    <n v="3407.1"/>
    <n v="2870"/>
    <n v="3271"/>
    <n v="104563"/>
    <n v="102213"/>
    <m/>
    <m/>
    <m/>
    <m/>
    <m/>
    <m/>
    <m/>
    <m/>
    <n v="0"/>
    <n v="0"/>
    <n v="0"/>
    <n v="0"/>
    <m/>
    <m/>
    <n v="0"/>
    <n v="0"/>
    <m/>
    <m/>
    <m/>
    <m/>
    <m/>
    <m/>
    <m/>
    <m/>
    <n v="0"/>
    <n v="0"/>
    <n v="0"/>
    <n v="0"/>
    <n v="3485.4333333333334"/>
    <n v="3407.1"/>
  </r>
  <r>
    <x v="0"/>
    <s v="Southern Union State Community College"/>
    <m/>
    <n v="251260"/>
    <x v="7"/>
    <m/>
    <m/>
    <m/>
    <m/>
    <n v="45045"/>
    <n v="43553"/>
    <n v="21090"/>
    <n v="20132"/>
    <n v="47848"/>
    <n v="48947"/>
    <n v="113983"/>
    <n v="3799.4333333333334"/>
    <n v="112632"/>
    <n v="3754.4"/>
    <n v="3213"/>
    <n v="3798"/>
    <n v="113983"/>
    <n v="112632"/>
    <m/>
    <m/>
    <m/>
    <m/>
    <m/>
    <m/>
    <m/>
    <m/>
    <n v="0"/>
    <n v="0"/>
    <n v="0"/>
    <n v="0"/>
    <m/>
    <m/>
    <n v="0"/>
    <n v="0"/>
    <m/>
    <m/>
    <m/>
    <m/>
    <m/>
    <m/>
    <m/>
    <m/>
    <n v="0"/>
    <n v="0"/>
    <n v="0"/>
    <n v="0"/>
    <n v="3799.4333333333334"/>
    <n v="3754.4"/>
  </r>
  <r>
    <x v="0"/>
    <s v="Central Alabama Community College"/>
    <m/>
    <n v="100760"/>
    <x v="8"/>
    <m/>
    <m/>
    <m/>
    <m/>
    <n v="15067"/>
    <n v="13646"/>
    <n v="5661"/>
    <n v="4986"/>
    <n v="15653"/>
    <n v="16077"/>
    <n v="36381"/>
    <n v="1212.7"/>
    <n v="34709"/>
    <n v="1156.9666666666667"/>
    <n v="4028"/>
    <n v="4651"/>
    <n v="36381"/>
    <n v="34709"/>
    <m/>
    <m/>
    <m/>
    <m/>
    <m/>
    <m/>
    <m/>
    <m/>
    <n v="0"/>
    <n v="0"/>
    <n v="0"/>
    <n v="0"/>
    <m/>
    <m/>
    <n v="0"/>
    <n v="0"/>
    <m/>
    <m/>
    <m/>
    <m/>
    <m/>
    <m/>
    <m/>
    <m/>
    <n v="0"/>
    <n v="0"/>
    <n v="0"/>
    <n v="0"/>
    <n v="1212.7"/>
    <n v="1156.9666666666667"/>
  </r>
  <r>
    <x v="0"/>
    <s v="Chattahoochee Valley Community College"/>
    <m/>
    <n v="101028"/>
    <x v="8"/>
    <m/>
    <m/>
    <m/>
    <m/>
    <n v="14253"/>
    <n v="15474"/>
    <n v="7155"/>
    <n v="7335"/>
    <n v="16533"/>
    <n v="16229"/>
    <n v="37941"/>
    <n v="1264.7"/>
    <n v="39038"/>
    <n v="1301.2666666666667"/>
    <n v="1530"/>
    <n v="2094"/>
    <n v="37941"/>
    <n v="39038"/>
    <m/>
    <m/>
    <m/>
    <m/>
    <m/>
    <m/>
    <m/>
    <m/>
    <n v="0"/>
    <n v="0"/>
    <n v="0"/>
    <n v="0"/>
    <m/>
    <m/>
    <n v="0"/>
    <n v="0"/>
    <m/>
    <m/>
    <m/>
    <m/>
    <m/>
    <m/>
    <m/>
    <m/>
    <n v="0"/>
    <n v="0"/>
    <n v="0"/>
    <n v="0"/>
    <n v="1264.7"/>
    <n v="1301.2666666666667"/>
  </r>
  <r>
    <x v="0"/>
    <s v="Enterprise State Community College"/>
    <m/>
    <n v="101143"/>
    <x v="8"/>
    <m/>
    <m/>
    <m/>
    <m/>
    <n v="14988"/>
    <n v="16053"/>
    <n v="6342"/>
    <n v="6648"/>
    <n v="17530"/>
    <n v="18814"/>
    <n v="38860"/>
    <n v="1295.3333333333333"/>
    <n v="41515"/>
    <n v="1383.8333333333333"/>
    <n v="4434"/>
    <n v="5421"/>
    <n v="38860"/>
    <n v="41515"/>
    <m/>
    <m/>
    <m/>
    <m/>
    <m/>
    <m/>
    <m/>
    <m/>
    <n v="0"/>
    <n v="0"/>
    <n v="0"/>
    <n v="0"/>
    <m/>
    <m/>
    <n v="0"/>
    <n v="0"/>
    <m/>
    <m/>
    <m/>
    <m/>
    <m/>
    <m/>
    <m/>
    <m/>
    <n v="0"/>
    <n v="0"/>
    <n v="0"/>
    <n v="0"/>
    <n v="1295.3333333333333"/>
    <n v="1383.8333333333333"/>
  </r>
  <r>
    <x v="0"/>
    <s v="George Corley Wallace State Community College - Selma"/>
    <m/>
    <n v="101301"/>
    <x v="8"/>
    <m/>
    <m/>
    <m/>
    <m/>
    <n v="13944"/>
    <n v="13356"/>
    <n v="10785"/>
    <n v="9188"/>
    <n v="14675"/>
    <n v="14072"/>
    <n v="39404"/>
    <n v="1313.4666666666667"/>
    <n v="36616"/>
    <n v="1220.5333333333333"/>
    <n v="4889"/>
    <n v="5360"/>
    <n v="39404"/>
    <n v="36616"/>
    <m/>
    <m/>
    <m/>
    <m/>
    <m/>
    <m/>
    <m/>
    <m/>
    <n v="0"/>
    <n v="0"/>
    <n v="0"/>
    <n v="0"/>
    <m/>
    <m/>
    <n v="0"/>
    <n v="0"/>
    <m/>
    <m/>
    <m/>
    <m/>
    <m/>
    <m/>
    <m/>
    <m/>
    <n v="0"/>
    <n v="0"/>
    <n v="0"/>
    <n v="0"/>
    <n v="1313.4666666666667"/>
    <n v="1220.5333333333333"/>
  </r>
  <r>
    <x v="0"/>
    <s v="Lurleen B. Wallace Community College "/>
    <m/>
    <n v="101602"/>
    <x v="8"/>
    <m/>
    <m/>
    <m/>
    <m/>
    <n v="15388"/>
    <n v="14183"/>
    <n v="9134"/>
    <n v="7765"/>
    <n v="16884"/>
    <n v="16847"/>
    <n v="41406"/>
    <n v="1380.2"/>
    <n v="38795"/>
    <n v="1293.1666666666667"/>
    <n v="4675"/>
    <n v="4880"/>
    <n v="41406"/>
    <n v="38795"/>
    <m/>
    <m/>
    <m/>
    <m/>
    <m/>
    <m/>
    <m/>
    <m/>
    <n v="0"/>
    <n v="0"/>
    <n v="0"/>
    <n v="0"/>
    <m/>
    <m/>
    <n v="0"/>
    <n v="0"/>
    <m/>
    <m/>
    <m/>
    <m/>
    <m/>
    <m/>
    <m/>
    <m/>
    <n v="0"/>
    <n v="0"/>
    <n v="0"/>
    <n v="0"/>
    <n v="1380.2"/>
    <n v="1293.1666666666667"/>
  </r>
  <r>
    <x v="0"/>
    <s v="Northeast Alabama Community College"/>
    <s v="Met the criteria for Two-Year 2 in 2018-19 and 2019-20."/>
    <n v="101897"/>
    <x v="8"/>
    <m/>
    <m/>
    <m/>
    <m/>
    <n v="23207"/>
    <n v="23208"/>
    <n v="11671"/>
    <n v="11392"/>
    <n v="25933"/>
    <n v="26864"/>
    <n v="60811"/>
    <n v="2027.0333333333333"/>
    <n v="61464"/>
    <n v="2048.8000000000002"/>
    <n v="9584"/>
    <n v="11057"/>
    <n v="60811"/>
    <n v="61464"/>
    <m/>
    <m/>
    <m/>
    <m/>
    <m/>
    <m/>
    <m/>
    <m/>
    <n v="0"/>
    <n v="0"/>
    <n v="0"/>
    <n v="0"/>
    <m/>
    <m/>
    <n v="0"/>
    <n v="0"/>
    <m/>
    <m/>
    <m/>
    <m/>
    <m/>
    <m/>
    <m/>
    <m/>
    <n v="0"/>
    <n v="0"/>
    <n v="0"/>
    <n v="0"/>
    <n v="2027.0333333333333"/>
    <n v="2048.8000000000002"/>
  </r>
  <r>
    <x v="0"/>
    <s v="Snead State Community College "/>
    <s v="Met the criteria for Two-Year 2 in 2018-19 and 2019-20."/>
    <n v="102076"/>
    <x v="8"/>
    <m/>
    <m/>
    <m/>
    <m/>
    <n v="22539"/>
    <n v="22540"/>
    <n v="12939"/>
    <n v="13492"/>
    <n v="24880"/>
    <n v="24145"/>
    <n v="60358"/>
    <n v="2011.9333333333334"/>
    <n v="60177"/>
    <n v="2005.9"/>
    <n v="2203"/>
    <n v="2600"/>
    <n v="60358"/>
    <n v="60177"/>
    <m/>
    <m/>
    <m/>
    <m/>
    <m/>
    <m/>
    <m/>
    <m/>
    <n v="0"/>
    <n v="0"/>
    <n v="0"/>
    <n v="0"/>
    <m/>
    <m/>
    <n v="0"/>
    <n v="0"/>
    <m/>
    <m/>
    <m/>
    <m/>
    <m/>
    <m/>
    <m/>
    <m/>
    <n v="0"/>
    <n v="0"/>
    <n v="0"/>
    <n v="0"/>
    <n v="2011.9333333333334"/>
    <n v="2005.9"/>
  </r>
  <r>
    <x v="0"/>
    <s v="H. Councill Trenholm State Community College"/>
    <m/>
    <n v="102313"/>
    <x v="9"/>
    <m/>
    <m/>
    <m/>
    <m/>
    <n v="16098"/>
    <n v="16722"/>
    <n v="8632"/>
    <n v="8588"/>
    <n v="17221"/>
    <n v="19027"/>
    <n v="41951"/>
    <n v="1398.3666666666666"/>
    <n v="44337"/>
    <n v="1477.9"/>
    <n v="2007"/>
    <n v="1993"/>
    <n v="41951"/>
    <n v="44337"/>
    <m/>
    <m/>
    <m/>
    <m/>
    <m/>
    <m/>
    <m/>
    <m/>
    <n v="0"/>
    <n v="0"/>
    <n v="0"/>
    <n v="0"/>
    <m/>
    <m/>
    <n v="0"/>
    <n v="0"/>
    <m/>
    <m/>
    <m/>
    <m/>
    <m/>
    <m/>
    <m/>
    <m/>
    <n v="0"/>
    <n v="0"/>
    <n v="0"/>
    <n v="0"/>
    <n v="1398.3666666666666"/>
    <n v="1477.9"/>
  </r>
  <r>
    <x v="0"/>
    <s v="J.F. Drake State Community and Technical College"/>
    <m/>
    <n v="101462"/>
    <x v="10"/>
    <m/>
    <m/>
    <m/>
    <m/>
    <n v="6616"/>
    <n v="6332"/>
    <n v="3331"/>
    <n v="2997"/>
    <n v="7303"/>
    <n v="6673"/>
    <n v="17250"/>
    <n v="575"/>
    <n v="16002"/>
    <n v="533.4"/>
    <n v="1202"/>
    <n v="1060"/>
    <n v="17250"/>
    <n v="16002"/>
    <m/>
    <m/>
    <m/>
    <m/>
    <m/>
    <m/>
    <m/>
    <m/>
    <n v="0"/>
    <n v="0"/>
    <n v="0"/>
    <n v="0"/>
    <m/>
    <m/>
    <n v="0"/>
    <n v="0"/>
    <m/>
    <m/>
    <m/>
    <m/>
    <m/>
    <m/>
    <m/>
    <m/>
    <n v="0"/>
    <n v="0"/>
    <n v="0"/>
    <n v="0"/>
    <n v="575"/>
    <n v="533.4"/>
  </r>
  <r>
    <x v="0"/>
    <s v="J.F. Ingram State Technical College "/>
    <m/>
    <n v="101471"/>
    <x v="10"/>
    <m/>
    <m/>
    <m/>
    <m/>
    <n v="5139"/>
    <n v="6409"/>
    <n v="4200"/>
    <n v="5608"/>
    <n v="5655"/>
    <n v="6336"/>
    <n v="14994"/>
    <n v="499.8"/>
    <n v="18353"/>
    <n v="611.76666666666665"/>
    <n v="0"/>
    <n v="0"/>
    <n v="14994"/>
    <n v="18353"/>
    <m/>
    <m/>
    <m/>
    <m/>
    <m/>
    <m/>
    <m/>
    <m/>
    <n v="0"/>
    <n v="0"/>
    <n v="0"/>
    <n v="0"/>
    <m/>
    <m/>
    <n v="0"/>
    <n v="0"/>
    <m/>
    <m/>
    <m/>
    <m/>
    <m/>
    <m/>
    <m/>
    <m/>
    <n v="0"/>
    <n v="0"/>
    <n v="0"/>
    <n v="0"/>
    <n v="499.8"/>
    <n v="611.76666666666665"/>
  </r>
  <r>
    <x v="0"/>
    <s v="Reid State Technical College "/>
    <m/>
    <n v="101994"/>
    <x v="10"/>
    <m/>
    <m/>
    <m/>
    <m/>
    <n v="3007"/>
    <n v="3900"/>
    <n v="2083"/>
    <n v="2531"/>
    <n v="3627"/>
    <n v="4329"/>
    <n v="8717"/>
    <n v="290.56666666666666"/>
    <n v="10760"/>
    <n v="358.66666666666669"/>
    <n v="1089"/>
    <n v="1227"/>
    <n v="8717"/>
    <n v="10760"/>
    <m/>
    <m/>
    <m/>
    <m/>
    <m/>
    <m/>
    <m/>
    <m/>
    <n v="0"/>
    <n v="0"/>
    <n v="0"/>
    <n v="0"/>
    <m/>
    <m/>
    <n v="0"/>
    <n v="0"/>
    <m/>
    <m/>
    <m/>
    <m/>
    <m/>
    <m/>
    <m/>
    <m/>
    <n v="0"/>
    <n v="0"/>
    <n v="0"/>
    <n v="0"/>
    <n v="290.56666666666666"/>
    <n v="358.66666666666669"/>
  </r>
  <r>
    <x v="1"/>
    <s v="University of Arkansas, Fayetteville"/>
    <m/>
    <n v="106397"/>
    <x v="0"/>
    <s v="sem"/>
    <s v="sem"/>
    <m/>
    <m/>
    <n v="297490"/>
    <n v="300858"/>
    <n v="42668"/>
    <n v="42576"/>
    <n v="326794"/>
    <n v="320340"/>
    <n v="666952"/>
    <n v="22231.733333333334"/>
    <n v="663774"/>
    <n v="22125.8"/>
    <n v="2241"/>
    <n v="1941"/>
    <n v="666952"/>
    <n v="663774"/>
    <m/>
    <m/>
    <m/>
    <m/>
    <m/>
    <m/>
    <m/>
    <m/>
    <n v="0"/>
    <n v="0"/>
    <n v="0"/>
    <n v="0"/>
    <m/>
    <m/>
    <n v="0"/>
    <n v="0"/>
    <m/>
    <m/>
    <n v="32883"/>
    <n v="31509"/>
    <n v="12126"/>
    <n v="12147"/>
    <n v="32937"/>
    <n v="33907"/>
    <n v="77946"/>
    <n v="3247.75"/>
    <n v="77563"/>
    <n v="3231.7916666666665"/>
    <n v="25479.483333333334"/>
    <n v="25357.591666666667"/>
  </r>
  <r>
    <x v="1"/>
    <s v="University of Arkansas at Little Rock"/>
    <m/>
    <n v="106245"/>
    <x v="1"/>
    <s v="sem"/>
    <s v="sem"/>
    <m/>
    <m/>
    <n v="88310"/>
    <n v="77296"/>
    <n v="17679"/>
    <n v="17476"/>
    <n v="85902"/>
    <n v="80450"/>
    <n v="191891"/>
    <n v="6396.3666666666668"/>
    <n v="175222"/>
    <n v="5840.7333333333336"/>
    <n v="17871"/>
    <n v="12084"/>
    <n v="191891"/>
    <n v="175222"/>
    <m/>
    <m/>
    <m/>
    <m/>
    <m/>
    <m/>
    <m/>
    <m/>
    <n v="0"/>
    <n v="0"/>
    <n v="0"/>
    <n v="0"/>
    <m/>
    <m/>
    <n v="0"/>
    <n v="0"/>
    <m/>
    <m/>
    <n v="18334"/>
    <n v="18227"/>
    <n v="4581"/>
    <n v="4053"/>
    <n v="19096"/>
    <n v="16968"/>
    <n v="42011"/>
    <n v="1750.4583333333333"/>
    <n v="39248"/>
    <n v="1635.3333333333333"/>
    <n v="8146.8249999999998"/>
    <n v="7476.0666666666666"/>
  </r>
  <r>
    <x v="1"/>
    <s v="Arkansas State University"/>
    <m/>
    <n v="106458"/>
    <x v="2"/>
    <s v="sem"/>
    <s v="sem"/>
    <m/>
    <m/>
    <n v="115454"/>
    <n v="112143"/>
    <n v="19521"/>
    <n v="19137"/>
    <n v="123261"/>
    <n v="117994"/>
    <n v="258236"/>
    <n v="8607.8666666666668"/>
    <n v="249274"/>
    <n v="8309.1333333333332"/>
    <n v="7382"/>
    <n v="7449"/>
    <n v="258236"/>
    <n v="249274"/>
    <m/>
    <m/>
    <m/>
    <m/>
    <m/>
    <m/>
    <m/>
    <m/>
    <n v="0"/>
    <n v="0"/>
    <n v="0"/>
    <n v="0"/>
    <m/>
    <m/>
    <n v="0"/>
    <n v="0"/>
    <m/>
    <m/>
    <n v="36421"/>
    <n v="36882"/>
    <n v="30216"/>
    <n v="29940"/>
    <n v="34897"/>
    <n v="36131"/>
    <n v="101534"/>
    <n v="4230.583333333333"/>
    <n v="102953"/>
    <n v="4289.708333333333"/>
    <n v="12838.45"/>
    <n v="12598.841666666667"/>
  </r>
  <r>
    <x v="1"/>
    <s v="Arkansas Tech University"/>
    <m/>
    <n v="106467"/>
    <x v="2"/>
    <s v="sem"/>
    <s v="sem"/>
    <m/>
    <m/>
    <n v="108527"/>
    <n v="106847"/>
    <n v="13910"/>
    <n v="13392"/>
    <n v="120136"/>
    <n v="120865"/>
    <n v="242573"/>
    <n v="8085.7666666666664"/>
    <n v="241104"/>
    <n v="8036.8"/>
    <n v="23137"/>
    <n v="24854"/>
    <n v="242573"/>
    <n v="241104"/>
    <m/>
    <m/>
    <m/>
    <m/>
    <m/>
    <m/>
    <m/>
    <m/>
    <n v="0"/>
    <n v="0"/>
    <n v="0"/>
    <n v="0"/>
    <m/>
    <m/>
    <n v="0"/>
    <n v="0"/>
    <m/>
    <m/>
    <n v="6029"/>
    <n v="5319"/>
    <n v="3702"/>
    <n v="3032"/>
    <n v="5633"/>
    <n v="4799"/>
    <n v="15364"/>
    <n v="640.16666666666663"/>
    <n v="13150"/>
    <n v="547.91666666666663"/>
    <n v="8725.9333333333325"/>
    <n v="8584.7166666666672"/>
  </r>
  <r>
    <x v="1"/>
    <s v="University of Central Arkansas "/>
    <m/>
    <n v="106704"/>
    <x v="2"/>
    <s v="sem"/>
    <s v="sem"/>
    <m/>
    <m/>
    <n v="115975"/>
    <n v="114661"/>
    <n v="17492"/>
    <n v="16563"/>
    <n v="128923"/>
    <n v="124254"/>
    <n v="262390"/>
    <n v="8746.3333333333339"/>
    <n v="255478"/>
    <n v="8515.9333333333325"/>
    <n v="3405"/>
    <n v="4216"/>
    <n v="262390"/>
    <n v="255478"/>
    <m/>
    <m/>
    <m/>
    <m/>
    <m/>
    <m/>
    <m/>
    <m/>
    <n v="0"/>
    <n v="0"/>
    <n v="0"/>
    <n v="0"/>
    <m/>
    <m/>
    <n v="0"/>
    <n v="0"/>
    <m/>
    <m/>
    <n v="12751"/>
    <n v="12883"/>
    <n v="9515"/>
    <n v="9534"/>
    <n v="14277"/>
    <n v="14275"/>
    <n v="36543"/>
    <n v="1522.625"/>
    <n v="36692"/>
    <n v="1528.8333333333333"/>
    <n v="10268.958333333334"/>
    <n v="10044.766666666666"/>
  </r>
  <r>
    <x v="1"/>
    <s v="Henderson State University"/>
    <m/>
    <n v="107071"/>
    <x v="3"/>
    <s v="sem"/>
    <s v="sem"/>
    <m/>
    <m/>
    <n v="37620"/>
    <n v="40753"/>
    <n v="4883"/>
    <n v="5372"/>
    <n v="46139"/>
    <n v="46097"/>
    <n v="88642"/>
    <n v="2954.7333333333331"/>
    <n v="92222"/>
    <n v="3074.0666666666666"/>
    <n v="2683"/>
    <n v="4692"/>
    <n v="88642"/>
    <n v="92222"/>
    <m/>
    <m/>
    <m/>
    <m/>
    <m/>
    <m/>
    <m/>
    <m/>
    <n v="0"/>
    <n v="0"/>
    <n v="0"/>
    <n v="0"/>
    <m/>
    <m/>
    <n v="0"/>
    <n v="0"/>
    <m/>
    <m/>
    <n v="2828"/>
    <n v="3418"/>
    <n v="2823"/>
    <n v="2265"/>
    <n v="3379"/>
    <n v="3785"/>
    <n v="9030"/>
    <n v="376.25"/>
    <n v="9468"/>
    <n v="394.5"/>
    <n v="3330.9833333333331"/>
    <n v="3468.5666666666666"/>
  </r>
  <r>
    <x v="1"/>
    <s v="Southern Arkansas University"/>
    <m/>
    <n v="107983"/>
    <x v="3"/>
    <s v="sem"/>
    <s v="sem"/>
    <m/>
    <m/>
    <n v="43411"/>
    <n v="43743"/>
    <n v="4679"/>
    <n v="5102"/>
    <n v="49480"/>
    <n v="49644"/>
    <n v="97570"/>
    <n v="3252.3333333333335"/>
    <n v="98489"/>
    <n v="3282.9666666666667"/>
    <n v="2467"/>
    <n v="2871"/>
    <n v="97570"/>
    <n v="98489"/>
    <m/>
    <m/>
    <m/>
    <m/>
    <m/>
    <m/>
    <m/>
    <m/>
    <n v="0"/>
    <n v="0"/>
    <n v="0"/>
    <n v="0"/>
    <m/>
    <m/>
    <n v="0"/>
    <n v="0"/>
    <m/>
    <m/>
    <n v="5365"/>
    <n v="5266"/>
    <n v="4326"/>
    <n v="4377"/>
    <n v="5339"/>
    <n v="4872"/>
    <n v="15030"/>
    <n v="626.25"/>
    <n v="14515"/>
    <n v="604.79166666666663"/>
    <n v="3878.5833333333335"/>
    <n v="3887.7583333333332"/>
  </r>
  <r>
    <x v="1"/>
    <s v="University of Arkansas at Monticello"/>
    <s v="Reclassified: Met the criteria for Four-Year 4 in 2017-18, 2018-19, and 2019-20."/>
    <n v="106485"/>
    <x v="3"/>
    <s v="sem"/>
    <s v="sem"/>
    <m/>
    <m/>
    <n v="33911"/>
    <n v="29830"/>
    <n v="5253"/>
    <n v="4878"/>
    <n v="35255"/>
    <n v="31135"/>
    <n v="74419"/>
    <n v="2480.6333333333332"/>
    <n v="65843"/>
    <n v="2194.7666666666669"/>
    <n v="4989"/>
    <n v="3327"/>
    <n v="74419"/>
    <n v="65843"/>
    <m/>
    <m/>
    <m/>
    <m/>
    <m/>
    <m/>
    <m/>
    <m/>
    <n v="0"/>
    <n v="0"/>
    <n v="0"/>
    <n v="0"/>
    <m/>
    <m/>
    <n v="0"/>
    <n v="0"/>
    <m/>
    <m/>
    <n v="1875"/>
    <n v="1934"/>
    <n v="2302"/>
    <n v="2764"/>
    <n v="2008"/>
    <n v="2107"/>
    <n v="6185"/>
    <n v="257.70833333333331"/>
    <n v="6805"/>
    <n v="283.54166666666669"/>
    <n v="2738.3416666666667"/>
    <n v="2478.3083333333334"/>
  </r>
  <r>
    <x v="1"/>
    <s v="University of Arkansas at Fort Smith"/>
    <m/>
    <n v="108092"/>
    <x v="5"/>
    <s v="sem"/>
    <s v="sem"/>
    <m/>
    <m/>
    <n v="71141"/>
    <n v="70041"/>
    <n v="7464"/>
    <n v="7308"/>
    <n v="78859"/>
    <n v="74530"/>
    <n v="157464"/>
    <n v="5248.8"/>
    <n v="151879"/>
    <n v="5062.6333333333332"/>
    <n v="16161"/>
    <n v="16239"/>
    <n v="157464"/>
    <n v="151879"/>
    <m/>
    <m/>
    <m/>
    <m/>
    <m/>
    <m/>
    <m/>
    <m/>
    <n v="0"/>
    <n v="0"/>
    <n v="0"/>
    <n v="0"/>
    <m/>
    <m/>
    <n v="0"/>
    <n v="0"/>
    <m/>
    <m/>
    <n v="126"/>
    <n v="196"/>
    <n v="0"/>
    <n v="96"/>
    <n v="172"/>
    <n v="207"/>
    <n v="298"/>
    <n v="12.416666666666666"/>
    <n v="499"/>
    <n v="20.791666666666668"/>
    <n v="5261.2166666666672"/>
    <n v="5083.4250000000002"/>
  </r>
  <r>
    <x v="1"/>
    <s v="University of Arkansas at Pine Bluff"/>
    <m/>
    <n v="106412"/>
    <x v="5"/>
    <s v="sem"/>
    <s v="sem"/>
    <m/>
    <m/>
    <n v="32299"/>
    <n v="31385"/>
    <n v="4308"/>
    <n v="3718"/>
    <n v="35164"/>
    <n v="33617"/>
    <n v="71771"/>
    <n v="2392.3666666666668"/>
    <n v="68720"/>
    <n v="2290.6666666666665"/>
    <n v="0"/>
    <n v="0"/>
    <n v="71771"/>
    <n v="68720"/>
    <m/>
    <m/>
    <m/>
    <m/>
    <m/>
    <m/>
    <m/>
    <m/>
    <n v="0"/>
    <n v="0"/>
    <n v="0"/>
    <n v="0"/>
    <m/>
    <m/>
    <n v="0"/>
    <n v="0"/>
    <m/>
    <m/>
    <n v="547"/>
    <n v="677"/>
    <n v="309"/>
    <n v="305"/>
    <n v="754"/>
    <n v="845"/>
    <n v="1610"/>
    <n v="67.083333333333329"/>
    <n v="1827"/>
    <n v="76.125"/>
    <n v="2459.4500000000003"/>
    <n v="2366.7916666666665"/>
  </r>
  <r>
    <x v="1"/>
    <s v="Northwest Arkansas Community College "/>
    <m/>
    <n v="367459"/>
    <x v="6"/>
    <s v="sem"/>
    <s v="sem"/>
    <m/>
    <m/>
    <n v="63023"/>
    <n v="63515"/>
    <n v="14632"/>
    <n v="13622"/>
    <n v="72030"/>
    <n v="73609"/>
    <n v="149685"/>
    <n v="4989.5"/>
    <n v="150746"/>
    <n v="5024.8666666666668"/>
    <n v="22626"/>
    <n v="24056"/>
    <n v="149685"/>
    <n v="150746"/>
    <m/>
    <m/>
    <m/>
    <m/>
    <m/>
    <m/>
    <m/>
    <m/>
    <n v="0"/>
    <n v="0"/>
    <n v="0"/>
    <n v="0"/>
    <m/>
    <m/>
    <n v="0"/>
    <n v="0"/>
    <m/>
    <m/>
    <m/>
    <m/>
    <m/>
    <m/>
    <m/>
    <m/>
    <n v="0"/>
    <n v="0"/>
    <n v="0"/>
    <n v="0"/>
    <n v="4989.5"/>
    <n v="5024.8666666666668"/>
  </r>
  <r>
    <x v="1"/>
    <s v="Arkansas State University-Beebe"/>
    <m/>
    <n v="106449"/>
    <x v="7"/>
    <s v="sem"/>
    <s v="sem"/>
    <m/>
    <m/>
    <n v="34741"/>
    <n v="33197"/>
    <n v="6605"/>
    <n v="5987"/>
    <n v="36660"/>
    <n v="35218"/>
    <n v="78006"/>
    <n v="2600.1999999999998"/>
    <n v="74402"/>
    <n v="2480.0666666666666"/>
    <n v="8035"/>
    <n v="7692"/>
    <n v="78006"/>
    <n v="74402"/>
    <m/>
    <m/>
    <m/>
    <m/>
    <m/>
    <m/>
    <m/>
    <m/>
    <n v="0"/>
    <n v="0"/>
    <n v="0"/>
    <n v="0"/>
    <m/>
    <m/>
    <n v="0"/>
    <n v="0"/>
    <m/>
    <m/>
    <m/>
    <m/>
    <m/>
    <m/>
    <m/>
    <m/>
    <n v="0"/>
    <n v="0"/>
    <n v="0"/>
    <n v="0"/>
    <n v="2600.1999999999998"/>
    <n v="2480.0666666666666"/>
  </r>
  <r>
    <x v="1"/>
    <s v="University of Arkansas - Pulaski Technical College"/>
    <m/>
    <n v="107664"/>
    <x v="7"/>
    <s v="sem"/>
    <s v="sem"/>
    <m/>
    <m/>
    <n v="49890"/>
    <n v="47677"/>
    <n v="3884"/>
    <n v="11302"/>
    <n v="54260"/>
    <n v="55272"/>
    <n v="108034"/>
    <n v="3601.1333333333332"/>
    <n v="114251"/>
    <n v="3808.3666666666668"/>
    <n v="6087"/>
    <n v="8471"/>
    <n v="108034"/>
    <n v="114251"/>
    <m/>
    <m/>
    <m/>
    <m/>
    <m/>
    <m/>
    <m/>
    <m/>
    <n v="0"/>
    <n v="0"/>
    <n v="0"/>
    <n v="0"/>
    <m/>
    <m/>
    <n v="0"/>
    <n v="0"/>
    <m/>
    <m/>
    <m/>
    <m/>
    <m/>
    <m/>
    <m/>
    <m/>
    <n v="0"/>
    <n v="0"/>
    <n v="0"/>
    <n v="0"/>
    <n v="3601.1333333333332"/>
    <n v="3808.3666666666668"/>
  </r>
  <r>
    <x v="1"/>
    <s v="Arkansas Northeastern College"/>
    <m/>
    <n v="107327"/>
    <x v="8"/>
    <s v="sem"/>
    <s v="sem"/>
    <m/>
    <m/>
    <n v="11952"/>
    <n v="11819"/>
    <n v="2426"/>
    <n v="2132"/>
    <n v="12592"/>
    <n v="13267"/>
    <n v="26970"/>
    <n v="899"/>
    <n v="27218"/>
    <n v="907.26666666666665"/>
    <n v="4133"/>
    <n v="4738"/>
    <n v="26970"/>
    <n v="27218"/>
    <m/>
    <m/>
    <m/>
    <m/>
    <m/>
    <m/>
    <m/>
    <m/>
    <n v="0"/>
    <n v="0"/>
    <n v="0"/>
    <n v="0"/>
    <m/>
    <m/>
    <n v="0"/>
    <n v="0"/>
    <m/>
    <m/>
    <m/>
    <m/>
    <m/>
    <m/>
    <m/>
    <m/>
    <n v="0"/>
    <n v="0"/>
    <n v="0"/>
    <n v="0"/>
    <n v="899"/>
    <n v="907.26666666666665"/>
  </r>
  <r>
    <x v="1"/>
    <s v="Arkansas State University Mid-South"/>
    <m/>
    <n v="107318"/>
    <x v="8"/>
    <s v="sem"/>
    <s v="sem"/>
    <m/>
    <m/>
    <n v="11484"/>
    <n v="10641"/>
    <n v="2244"/>
    <n v="1883"/>
    <n v="12110"/>
    <n v="11315"/>
    <n v="25838"/>
    <n v="861.26666666666665"/>
    <n v="23839"/>
    <n v="794.63333333333333"/>
    <n v="7244"/>
    <n v="7048"/>
    <n v="25838"/>
    <n v="23839"/>
    <m/>
    <m/>
    <m/>
    <m/>
    <m/>
    <m/>
    <m/>
    <m/>
    <n v="0"/>
    <n v="0"/>
    <n v="0"/>
    <n v="0"/>
    <m/>
    <m/>
    <n v="0"/>
    <n v="0"/>
    <m/>
    <m/>
    <m/>
    <m/>
    <m/>
    <m/>
    <m/>
    <m/>
    <n v="0"/>
    <n v="0"/>
    <n v="0"/>
    <n v="0"/>
    <n v="861.26666666666665"/>
    <n v="794.63333333333333"/>
  </r>
  <r>
    <x v="1"/>
    <s v="Arkansas State University Mountain Home"/>
    <m/>
    <n v="420538"/>
    <x v="8"/>
    <s v="sem"/>
    <s v="sem"/>
    <m/>
    <m/>
    <n v="12802"/>
    <n v="12802"/>
    <n v="2460"/>
    <n v="2585"/>
    <n v="13839"/>
    <n v="13246"/>
    <n v="29101"/>
    <n v="970.0333333333333"/>
    <n v="28633"/>
    <n v="954.43333333333328"/>
    <n v="3442"/>
    <n v="3163"/>
    <n v="29101"/>
    <n v="28633"/>
    <m/>
    <m/>
    <m/>
    <m/>
    <m/>
    <m/>
    <m/>
    <m/>
    <n v="0"/>
    <n v="0"/>
    <n v="0"/>
    <n v="0"/>
    <m/>
    <m/>
    <n v="0"/>
    <n v="0"/>
    <m/>
    <m/>
    <m/>
    <m/>
    <m/>
    <m/>
    <m/>
    <m/>
    <n v="0"/>
    <n v="0"/>
    <n v="0"/>
    <n v="0"/>
    <n v="970.0333333333333"/>
    <n v="954.43333333333328"/>
  </r>
  <r>
    <x v="1"/>
    <s v="Arkansas State University Three Rivers"/>
    <s v="2019-20: Institution joined one of our university systems"/>
    <n v="107521"/>
    <x v="8"/>
    <s v="sem"/>
    <s v="sem"/>
    <m/>
    <m/>
    <n v="9509"/>
    <n v="8847"/>
    <n v="2981"/>
    <n v="3178"/>
    <n v="9476"/>
    <n v="8766"/>
    <n v="21966"/>
    <n v="732.2"/>
    <n v="20791"/>
    <n v="693.0333333333333"/>
    <n v="4976"/>
    <n v="6904"/>
    <n v="21966"/>
    <n v="20791"/>
    <m/>
    <m/>
    <m/>
    <m/>
    <m/>
    <m/>
    <m/>
    <m/>
    <n v="0"/>
    <n v="0"/>
    <n v="0"/>
    <n v="0"/>
    <m/>
    <m/>
    <n v="0"/>
    <n v="0"/>
    <m/>
    <m/>
    <m/>
    <m/>
    <m/>
    <m/>
    <m/>
    <m/>
    <n v="0"/>
    <n v="0"/>
    <n v="0"/>
    <n v="0"/>
    <n v="732.2"/>
    <n v="693.0333333333333"/>
  </r>
  <r>
    <x v="1"/>
    <s v="Arkansas State University-Newport"/>
    <m/>
    <n v="440402"/>
    <x v="8"/>
    <s v="sem"/>
    <s v="sem"/>
    <m/>
    <m/>
    <n v="21408"/>
    <n v="21686"/>
    <n v="11036"/>
    <n v="11695"/>
    <n v="23265"/>
    <n v="22867"/>
    <n v="55709"/>
    <n v="1856.9666666666667"/>
    <n v="56248"/>
    <n v="1874.9333333333334"/>
    <n v="14116"/>
    <n v="15085"/>
    <n v="55709"/>
    <n v="56248"/>
    <m/>
    <m/>
    <m/>
    <m/>
    <m/>
    <m/>
    <m/>
    <m/>
    <n v="0"/>
    <n v="0"/>
    <n v="0"/>
    <n v="0"/>
    <m/>
    <m/>
    <n v="0"/>
    <n v="0"/>
    <m/>
    <m/>
    <m/>
    <m/>
    <m/>
    <m/>
    <m/>
    <m/>
    <n v="0"/>
    <n v="0"/>
    <n v="0"/>
    <n v="0"/>
    <n v="1856.9666666666667"/>
    <n v="1874.9333333333334"/>
  </r>
  <r>
    <x v="1"/>
    <s v="Black River Technical College"/>
    <m/>
    <n v="106625"/>
    <x v="8"/>
    <s v="sem"/>
    <s v="sem"/>
    <m/>
    <m/>
    <n v="15518"/>
    <n v="15610"/>
    <n v="3373"/>
    <n v="2998"/>
    <n v="17920"/>
    <n v="16353"/>
    <n v="36811"/>
    <n v="1227.0333333333333"/>
    <n v="34961"/>
    <n v="1165.3666666666666"/>
    <n v="3652"/>
    <n v="3749"/>
    <n v="36811"/>
    <n v="34961"/>
    <m/>
    <m/>
    <m/>
    <m/>
    <m/>
    <m/>
    <m/>
    <m/>
    <n v="0"/>
    <n v="0"/>
    <n v="0"/>
    <n v="0"/>
    <m/>
    <m/>
    <n v="0"/>
    <n v="0"/>
    <m/>
    <m/>
    <m/>
    <m/>
    <m/>
    <m/>
    <m/>
    <m/>
    <n v="0"/>
    <n v="0"/>
    <n v="0"/>
    <n v="0"/>
    <n v="1227.0333333333333"/>
    <n v="1165.3666666666666"/>
  </r>
  <r>
    <x v="1"/>
    <s v="Cossatot Community College of the University of Arkansas"/>
    <m/>
    <n v="106795"/>
    <x v="8"/>
    <s v="sem"/>
    <s v="sem"/>
    <m/>
    <m/>
    <n v="12008"/>
    <n v="11987"/>
    <n v="2161"/>
    <n v="2334"/>
    <n v="13310"/>
    <n v="14237"/>
    <n v="27479"/>
    <n v="915.9666666666667"/>
    <n v="28558"/>
    <n v="951.93333333333328"/>
    <n v="6679"/>
    <n v="4814"/>
    <n v="27479"/>
    <n v="28558"/>
    <m/>
    <m/>
    <m/>
    <m/>
    <m/>
    <m/>
    <m/>
    <m/>
    <n v="0"/>
    <n v="0"/>
    <n v="0"/>
    <n v="0"/>
    <m/>
    <m/>
    <n v="0"/>
    <n v="0"/>
    <m/>
    <m/>
    <m/>
    <m/>
    <m/>
    <m/>
    <m/>
    <m/>
    <n v="0"/>
    <n v="0"/>
    <n v="0"/>
    <n v="0"/>
    <n v="915.9666666666667"/>
    <n v="951.93333333333328"/>
  </r>
  <r>
    <x v="1"/>
    <s v="East Arkansas Community College "/>
    <m/>
    <n v="106883"/>
    <x v="8"/>
    <s v="sem"/>
    <s v="sem"/>
    <m/>
    <m/>
    <n v="8167"/>
    <n v="9131"/>
    <n v="2979"/>
    <n v="3672"/>
    <n v="10113"/>
    <n v="11898"/>
    <n v="21259"/>
    <n v="708.63333333333333"/>
    <n v="24701"/>
    <n v="823.36666666666667"/>
    <n v="4019"/>
    <n v="4144"/>
    <n v="21259"/>
    <n v="24701"/>
    <m/>
    <m/>
    <m/>
    <m/>
    <m/>
    <m/>
    <m/>
    <m/>
    <n v="0"/>
    <n v="0"/>
    <n v="0"/>
    <n v="0"/>
    <m/>
    <m/>
    <n v="0"/>
    <n v="0"/>
    <m/>
    <m/>
    <m/>
    <m/>
    <m/>
    <m/>
    <m/>
    <m/>
    <n v="0"/>
    <n v="0"/>
    <n v="0"/>
    <n v="0"/>
    <n v="708.63333333333333"/>
    <n v="823.36666666666667"/>
  </r>
  <r>
    <x v="1"/>
    <s v="National Park College"/>
    <m/>
    <n v="106980"/>
    <x v="8"/>
    <s v="sem"/>
    <s v="sem"/>
    <m/>
    <m/>
    <n v="23125"/>
    <n v="23487"/>
    <n v="4504"/>
    <n v="4456"/>
    <n v="26917"/>
    <n v="26273"/>
    <n v="54546"/>
    <n v="1818.2"/>
    <n v="54216"/>
    <n v="1807.2"/>
    <n v="5490"/>
    <n v="4213"/>
    <n v="54546"/>
    <n v="54216"/>
    <m/>
    <m/>
    <m/>
    <m/>
    <m/>
    <m/>
    <m/>
    <m/>
    <n v="0"/>
    <n v="0"/>
    <n v="0"/>
    <n v="0"/>
    <m/>
    <m/>
    <n v="0"/>
    <n v="0"/>
    <m/>
    <m/>
    <m/>
    <m/>
    <m/>
    <m/>
    <m/>
    <m/>
    <n v="0"/>
    <n v="0"/>
    <n v="0"/>
    <n v="0"/>
    <n v="1818.2"/>
    <n v="1807.2"/>
  </r>
  <r>
    <x v="1"/>
    <s v="North Arkansas College"/>
    <m/>
    <n v="107460"/>
    <x v="8"/>
    <s v="sem"/>
    <s v="sem"/>
    <m/>
    <m/>
    <n v="17469"/>
    <n v="16591"/>
    <n v="2453"/>
    <n v="2480"/>
    <n v="19803"/>
    <n v="18594"/>
    <n v="39725"/>
    <n v="1324.1666666666667"/>
    <n v="37665"/>
    <n v="1255.5"/>
    <n v="3677"/>
    <n v="3856"/>
    <n v="39725"/>
    <n v="37665"/>
    <m/>
    <m/>
    <m/>
    <m/>
    <m/>
    <m/>
    <m/>
    <m/>
    <n v="0"/>
    <n v="0"/>
    <n v="0"/>
    <n v="0"/>
    <m/>
    <m/>
    <n v="0"/>
    <n v="0"/>
    <m/>
    <m/>
    <m/>
    <m/>
    <m/>
    <m/>
    <m/>
    <m/>
    <n v="0"/>
    <n v="0"/>
    <n v="0"/>
    <n v="0"/>
    <n v="1324.1666666666667"/>
    <n v="1255.5"/>
  </r>
  <r>
    <x v="1"/>
    <s v="Ozarka College "/>
    <m/>
    <n v="107549"/>
    <x v="8"/>
    <s v="sem"/>
    <s v="sem"/>
    <m/>
    <m/>
    <n v="10165"/>
    <n v="10621"/>
    <n v="2387"/>
    <n v="2294"/>
    <n v="10841"/>
    <n v="11253"/>
    <n v="23393"/>
    <n v="779.76666666666665"/>
    <n v="24168"/>
    <n v="805.6"/>
    <n v="3469"/>
    <n v="3535"/>
    <n v="23393"/>
    <n v="24168"/>
    <m/>
    <m/>
    <m/>
    <m/>
    <m/>
    <m/>
    <m/>
    <m/>
    <n v="0"/>
    <n v="0"/>
    <n v="0"/>
    <n v="0"/>
    <m/>
    <m/>
    <n v="0"/>
    <n v="0"/>
    <m/>
    <m/>
    <m/>
    <m/>
    <m/>
    <m/>
    <m/>
    <m/>
    <n v="0"/>
    <n v="0"/>
    <n v="0"/>
    <n v="0"/>
    <n v="779.76666666666665"/>
    <n v="805.6"/>
  </r>
  <r>
    <x v="1"/>
    <s v="Phillips Community College of the Univ of Arkansas"/>
    <m/>
    <n v="107619"/>
    <x v="8"/>
    <s v="sem"/>
    <s v="sem"/>
    <m/>
    <m/>
    <n v="11643"/>
    <n v="11375"/>
    <n v="2724"/>
    <n v="2576"/>
    <n v="13462"/>
    <n v="13912"/>
    <n v="27829"/>
    <n v="927.63333333333333"/>
    <n v="27863"/>
    <n v="928.76666666666665"/>
    <n v="6869"/>
    <n v="6522"/>
    <n v="27829"/>
    <n v="27863"/>
    <m/>
    <m/>
    <m/>
    <m/>
    <m/>
    <m/>
    <m/>
    <m/>
    <n v="0"/>
    <n v="0"/>
    <n v="0"/>
    <n v="0"/>
    <m/>
    <m/>
    <n v="0"/>
    <n v="0"/>
    <m/>
    <m/>
    <m/>
    <m/>
    <m/>
    <m/>
    <m/>
    <m/>
    <n v="0"/>
    <n v="0"/>
    <n v="0"/>
    <n v="0"/>
    <n v="927.63333333333333"/>
    <n v="928.76666666666665"/>
  </r>
  <r>
    <x v="1"/>
    <s v="South Arkansas Community College"/>
    <m/>
    <n v="107974"/>
    <x v="8"/>
    <s v="sem"/>
    <s v="sem"/>
    <m/>
    <m/>
    <n v="12939"/>
    <n v="12802"/>
    <n v="4727"/>
    <n v="4955"/>
    <n v="13601"/>
    <n v="13298"/>
    <n v="31267"/>
    <n v="1042.2333333333333"/>
    <n v="31055"/>
    <n v="1035.1666666666667"/>
    <n v="3153"/>
    <n v="2969"/>
    <n v="31267"/>
    <n v="31055"/>
    <m/>
    <m/>
    <m/>
    <m/>
    <m/>
    <m/>
    <m/>
    <m/>
    <n v="0"/>
    <n v="0"/>
    <n v="0"/>
    <n v="0"/>
    <m/>
    <m/>
    <n v="0"/>
    <n v="0"/>
    <m/>
    <m/>
    <m/>
    <m/>
    <m/>
    <m/>
    <m/>
    <m/>
    <n v="0"/>
    <n v="0"/>
    <n v="0"/>
    <n v="0"/>
    <n v="1042.2333333333333"/>
    <n v="1035.1666666666667"/>
  </r>
  <r>
    <x v="1"/>
    <s v="Southeast Arkansas College"/>
    <m/>
    <n v="107637"/>
    <x v="8"/>
    <s v="sem"/>
    <s v="sem"/>
    <m/>
    <m/>
    <n v="10622"/>
    <n v="10381"/>
    <n v="2964"/>
    <n v="3413"/>
    <n v="11030"/>
    <n v="12578"/>
    <n v="24616"/>
    <n v="820.5333333333333"/>
    <n v="26372"/>
    <n v="879.06666666666672"/>
    <n v="1199"/>
    <n v="2026"/>
    <n v="24616"/>
    <n v="26372"/>
    <m/>
    <m/>
    <m/>
    <m/>
    <m/>
    <m/>
    <m/>
    <m/>
    <n v="0"/>
    <n v="0"/>
    <n v="0"/>
    <n v="0"/>
    <m/>
    <m/>
    <n v="0"/>
    <n v="0"/>
    <m/>
    <m/>
    <m/>
    <m/>
    <m/>
    <m/>
    <m/>
    <m/>
    <n v="0"/>
    <n v="0"/>
    <n v="0"/>
    <n v="0"/>
    <n v="820.5333333333333"/>
    <n v="879.06666666666672"/>
  </r>
  <r>
    <x v="1"/>
    <s v="Southern Arkansas University Tech"/>
    <m/>
    <n v="107992"/>
    <x v="8"/>
    <s v="sem"/>
    <s v="sem"/>
    <m/>
    <m/>
    <n v="12187"/>
    <n v="10778"/>
    <n v="6525"/>
    <n v="3272"/>
    <n v="11291"/>
    <n v="12410"/>
    <n v="30003"/>
    <n v="1000.1"/>
    <n v="26460"/>
    <n v="882"/>
    <n v="3519"/>
    <n v="3677"/>
    <n v="30003"/>
    <n v="26460"/>
    <m/>
    <m/>
    <m/>
    <m/>
    <m/>
    <m/>
    <m/>
    <m/>
    <n v="0"/>
    <n v="0"/>
    <n v="0"/>
    <n v="0"/>
    <m/>
    <m/>
    <n v="0"/>
    <n v="0"/>
    <m/>
    <m/>
    <m/>
    <m/>
    <m/>
    <m/>
    <m/>
    <m/>
    <n v="0"/>
    <n v="0"/>
    <n v="0"/>
    <n v="0"/>
    <n v="1000.1"/>
    <n v="882"/>
  </r>
  <r>
    <x v="1"/>
    <s v="University of Arkansas Community College at Batesville"/>
    <m/>
    <n v="106999"/>
    <x v="8"/>
    <s v="sem"/>
    <s v="sem"/>
    <m/>
    <m/>
    <n v="11420"/>
    <n v="12012"/>
    <n v="2486"/>
    <n v="2968"/>
    <n v="13610"/>
    <n v="14654"/>
    <n v="27516"/>
    <n v="917.2"/>
    <n v="29634"/>
    <n v="987.8"/>
    <n v="3988"/>
    <n v="4662"/>
    <n v="27516"/>
    <n v="29634"/>
    <m/>
    <m/>
    <m/>
    <m/>
    <m/>
    <m/>
    <m/>
    <m/>
    <n v="0"/>
    <n v="0"/>
    <n v="0"/>
    <n v="0"/>
    <m/>
    <m/>
    <n v="0"/>
    <n v="0"/>
    <m/>
    <m/>
    <m/>
    <m/>
    <m/>
    <m/>
    <m/>
    <m/>
    <n v="0"/>
    <n v="0"/>
    <n v="0"/>
    <n v="0"/>
    <n v="917.2"/>
    <n v="987.8"/>
  </r>
  <r>
    <x v="1"/>
    <s v="University of Arkansas Community College at Hope-Texarkana"/>
    <m/>
    <n v="107725"/>
    <x v="8"/>
    <s v="sem"/>
    <s v="sem"/>
    <m/>
    <m/>
    <n v="13970"/>
    <n v="12947"/>
    <n v="2730"/>
    <n v="2264"/>
    <n v="14183"/>
    <n v="13158"/>
    <n v="30883"/>
    <n v="1029.4333333333334"/>
    <n v="28369"/>
    <n v="945.63333333333333"/>
    <n v="4382"/>
    <n v="5709"/>
    <n v="30883"/>
    <n v="28369"/>
    <m/>
    <m/>
    <m/>
    <m/>
    <m/>
    <m/>
    <m/>
    <m/>
    <n v="0"/>
    <n v="0"/>
    <n v="0"/>
    <n v="0"/>
    <m/>
    <m/>
    <n v="0"/>
    <n v="0"/>
    <m/>
    <m/>
    <m/>
    <m/>
    <m/>
    <m/>
    <m/>
    <m/>
    <n v="0"/>
    <n v="0"/>
    <n v="0"/>
    <n v="0"/>
    <n v="1029.4333333333334"/>
    <n v="945.63333333333333"/>
  </r>
  <r>
    <x v="1"/>
    <s v="University of Arkansas Community College at Morrilton"/>
    <m/>
    <n v="107585"/>
    <x v="8"/>
    <s v="sem"/>
    <s v="sem"/>
    <m/>
    <m/>
    <n v="18978"/>
    <n v="18307"/>
    <n v="3418"/>
    <n v="3499"/>
    <n v="20578"/>
    <n v="20014"/>
    <n v="42974"/>
    <n v="1432.4666666666667"/>
    <n v="41820"/>
    <n v="1394"/>
    <n v="2187"/>
    <n v="2662"/>
    <n v="42974"/>
    <n v="41820"/>
    <m/>
    <m/>
    <m/>
    <m/>
    <m/>
    <m/>
    <m/>
    <m/>
    <n v="0"/>
    <n v="0"/>
    <n v="0"/>
    <n v="0"/>
    <m/>
    <m/>
    <n v="0"/>
    <n v="0"/>
    <m/>
    <m/>
    <m/>
    <m/>
    <m/>
    <m/>
    <m/>
    <m/>
    <n v="0"/>
    <n v="0"/>
    <n v="0"/>
    <n v="0"/>
    <n v="1432.4666666666667"/>
    <n v="1394"/>
  </r>
  <r>
    <x v="1"/>
    <s v="University of Arkansas Community College Rich Mountain"/>
    <m/>
    <n v="107743"/>
    <x v="8"/>
    <s v="sem"/>
    <s v="sem"/>
    <m/>
    <m/>
    <n v="7266"/>
    <n v="6616"/>
    <n v="1281"/>
    <n v="1446"/>
    <n v="7604"/>
    <n v="8581"/>
    <n v="16151"/>
    <n v="538.36666666666667"/>
    <n v="16643"/>
    <n v="554.76666666666665"/>
    <n v="3280"/>
    <n v="3089"/>
    <n v="16151"/>
    <n v="16643"/>
    <m/>
    <m/>
    <m/>
    <m/>
    <m/>
    <m/>
    <m/>
    <m/>
    <n v="0"/>
    <n v="0"/>
    <n v="0"/>
    <n v="0"/>
    <m/>
    <m/>
    <n v="0"/>
    <n v="0"/>
    <m/>
    <m/>
    <m/>
    <m/>
    <m/>
    <m/>
    <m/>
    <m/>
    <n v="0"/>
    <n v="0"/>
    <n v="0"/>
    <n v="0"/>
    <n v="538.36666666666667"/>
    <n v="554.76666666666665"/>
  </r>
  <r>
    <x v="2"/>
    <s v="University of Delaware"/>
    <m/>
    <n v="130943"/>
    <x v="0"/>
    <m/>
    <m/>
    <n v="28943"/>
    <n v="27893"/>
    <n v="262203"/>
    <n v="265680"/>
    <n v="16899"/>
    <n v="18429"/>
    <n v="285831"/>
    <n v="287289"/>
    <n v="593876"/>
    <n v="19795.866666666665"/>
    <n v="599291"/>
    <n v="19976.366666666665"/>
    <m/>
    <m/>
    <n v="0"/>
    <n v="0"/>
    <m/>
    <m/>
    <m/>
    <m/>
    <m/>
    <m/>
    <m/>
    <m/>
    <n v="0"/>
    <n v="0"/>
    <n v="0"/>
    <n v="0"/>
    <m/>
    <m/>
    <n v="0"/>
    <n v="0"/>
    <n v="2027"/>
    <n v="2292"/>
    <n v="29098"/>
    <n v="30363"/>
    <n v="9167"/>
    <n v="10297"/>
    <n v="33121"/>
    <n v="32900"/>
    <n v="73413"/>
    <n v="3058.875"/>
    <n v="75852"/>
    <n v="3160.5"/>
    <n v="22854.741666666665"/>
    <n v="23136.866666666665"/>
  </r>
  <r>
    <x v="2"/>
    <s v="Delaware State University"/>
    <m/>
    <n v="130934"/>
    <x v="2"/>
    <m/>
    <m/>
    <m/>
    <m/>
    <n v="56121"/>
    <n v="55845"/>
    <n v="8758"/>
    <n v="10297"/>
    <n v="61489"/>
    <n v="62039"/>
    <n v="126368"/>
    <n v="4212.2666666666664"/>
    <n v="128181"/>
    <n v="4272.7"/>
    <m/>
    <m/>
    <n v="0"/>
    <n v="0"/>
    <m/>
    <m/>
    <m/>
    <m/>
    <m/>
    <m/>
    <m/>
    <m/>
    <n v="0"/>
    <n v="0"/>
    <n v="0"/>
    <n v="0"/>
    <m/>
    <m/>
    <n v="0"/>
    <n v="0"/>
    <n v="0"/>
    <m/>
    <n v="2265"/>
    <n v="3186"/>
    <n v="827"/>
    <n v="780"/>
    <n v="3240"/>
    <n v="3277"/>
    <n v="6332"/>
    <n v="263.83333333333331"/>
    <n v="7243"/>
    <n v="301.79166666666669"/>
    <n v="4476.0999999999995"/>
    <n v="4574.4916666666668"/>
  </r>
  <r>
    <x v="2"/>
    <s v="Delaware Technical and Community College--Terry"/>
    <s v="Met the criteria for Two-Year with Bachelor's in 2019-20. "/>
    <n v="130907"/>
    <x v="7"/>
    <m/>
    <m/>
    <m/>
    <m/>
    <n v="111598"/>
    <n v="107651"/>
    <n v="29991"/>
    <n v="30148"/>
    <n v="128790"/>
    <n v="121988"/>
    <n v="270379"/>
    <n v="9012.6333333333332"/>
    <n v="259787"/>
    <n v="8659.5666666666675"/>
    <m/>
    <m/>
    <n v="0"/>
    <n v="0"/>
    <m/>
    <m/>
    <m/>
    <m/>
    <m/>
    <m/>
    <m/>
    <m/>
    <n v="0"/>
    <n v="0"/>
    <n v="0"/>
    <n v="0"/>
    <m/>
    <m/>
    <n v="0"/>
    <n v="0"/>
    <m/>
    <m/>
    <m/>
    <m/>
    <m/>
    <m/>
    <m/>
    <m/>
    <n v="0"/>
    <n v="0"/>
    <n v="0"/>
    <n v="0"/>
    <n v="9012.6333333333332"/>
    <n v="8659.5666666666675"/>
  </r>
  <r>
    <x v="3"/>
    <m/>
    <m/>
    <m/>
    <x v="11"/>
    <m/>
    <m/>
    <m/>
    <m/>
    <m/>
    <m/>
    <m/>
    <m/>
    <m/>
    <m/>
    <m/>
    <m/>
    <m/>
    <m/>
    <m/>
    <m/>
    <m/>
    <m/>
    <m/>
    <m/>
    <m/>
    <m/>
    <m/>
    <m/>
    <m/>
    <m/>
    <m/>
    <m/>
    <m/>
    <m/>
    <m/>
    <m/>
    <n v="0"/>
    <n v="0"/>
    <m/>
    <m/>
    <m/>
    <m/>
    <m/>
    <m/>
    <m/>
    <m/>
    <n v="0"/>
    <n v="0"/>
    <n v="0"/>
    <n v="0"/>
    <n v="0"/>
    <n v="0"/>
  </r>
  <r>
    <x v="3"/>
    <s v="Broward College "/>
    <m/>
    <n v="132709"/>
    <x v="12"/>
    <m/>
    <m/>
    <m/>
    <m/>
    <n v="329673"/>
    <n v="325009"/>
    <n v="169755"/>
    <n v="165999"/>
    <n v="347485"/>
    <n v="335411"/>
    <n v="846913"/>
    <n v="28230.433333333334"/>
    <n v="826419"/>
    <n v="27547.3"/>
    <n v="70103"/>
    <n v="76482"/>
    <n v="846913"/>
    <n v="826419"/>
    <m/>
    <m/>
    <n v="60744"/>
    <n v="97009"/>
    <n v="52890"/>
    <n v="73292"/>
    <n v="107364"/>
    <n v="56416"/>
    <n v="220998"/>
    <n v="245.55333333333334"/>
    <n v="226717"/>
    <n v="251.90777777777777"/>
    <n v="8604"/>
    <n v="7573"/>
    <n v="220998"/>
    <n v="226717"/>
    <m/>
    <m/>
    <m/>
    <m/>
    <m/>
    <m/>
    <m/>
    <m/>
    <n v="0"/>
    <n v="0"/>
    <n v="0"/>
    <n v="0"/>
    <n v="28475.986666666668"/>
    <n v="27799.207777777778"/>
  </r>
  <r>
    <x v="3"/>
    <s v="Chipola College "/>
    <m/>
    <n v="133021"/>
    <x v="12"/>
    <m/>
    <m/>
    <m/>
    <m/>
    <n v="16683"/>
    <n v="16328"/>
    <n v="5018"/>
    <n v="4708"/>
    <n v="18654"/>
    <n v="17344"/>
    <n v="40355"/>
    <n v="1345.1666666666667"/>
    <n v="38380"/>
    <n v="1279.3333333333333"/>
    <n v="8366"/>
    <n v="8009"/>
    <n v="40355"/>
    <n v="38380"/>
    <m/>
    <m/>
    <n v="42797"/>
    <n v="52324"/>
    <n v="24399"/>
    <n v="16415"/>
    <n v="52467"/>
    <n v="56749"/>
    <n v="119663"/>
    <n v="132.95888888888888"/>
    <n v="125488"/>
    <n v="139.43111111111111"/>
    <n v="1020"/>
    <n v="1020"/>
    <n v="119663"/>
    <n v="125488"/>
    <m/>
    <m/>
    <m/>
    <m/>
    <m/>
    <m/>
    <m/>
    <m/>
    <n v="0"/>
    <n v="0"/>
    <n v="0"/>
    <n v="0"/>
    <n v="1478.1255555555556"/>
    <n v="1418.7644444444443"/>
  </r>
  <r>
    <x v="3"/>
    <s v="College of Central Florida"/>
    <m/>
    <n v="132851"/>
    <x v="12"/>
    <m/>
    <m/>
    <m/>
    <m/>
    <n v="60340"/>
    <n v="59649"/>
    <n v="24379"/>
    <n v="23812"/>
    <n v="65397"/>
    <n v="62897"/>
    <n v="150116"/>
    <n v="5003.8666666666668"/>
    <n v="146358"/>
    <n v="4878.6000000000004"/>
    <n v="20762"/>
    <n v="20212"/>
    <n v="150116"/>
    <n v="146358"/>
    <m/>
    <m/>
    <n v="49342"/>
    <n v="46756"/>
    <n v="54046"/>
    <n v="46649"/>
    <n v="62550"/>
    <n v="67221"/>
    <n v="165938"/>
    <n v="184.37555555555556"/>
    <n v="160626"/>
    <n v="178.47333333333333"/>
    <n v="5190"/>
    <n v="4380"/>
    <n v="165938"/>
    <n v="160626"/>
    <m/>
    <m/>
    <m/>
    <m/>
    <m/>
    <m/>
    <m/>
    <m/>
    <n v="0"/>
    <n v="0"/>
    <n v="0"/>
    <n v="0"/>
    <n v="5188.2422222222222"/>
    <n v="5057.0733333333337"/>
  </r>
  <r>
    <x v="3"/>
    <s v="Daytona State College "/>
    <m/>
    <n v="133386"/>
    <x v="12"/>
    <m/>
    <m/>
    <m/>
    <m/>
    <n v="117160"/>
    <n v="114978"/>
    <n v="41171"/>
    <n v="43369"/>
    <n v="124079"/>
    <n v="124666"/>
    <n v="282410"/>
    <n v="9413.6666666666661"/>
    <n v="283013"/>
    <n v="9433.7666666666664"/>
    <n v="40501"/>
    <n v="42775"/>
    <n v="282410"/>
    <n v="283013"/>
    <m/>
    <m/>
    <n v="688373"/>
    <n v="624866"/>
    <n v="346033"/>
    <n v="331309"/>
    <n v="654813"/>
    <n v="550959"/>
    <n v="1689219"/>
    <n v="1876.91"/>
    <n v="1507134"/>
    <n v="1674.5933333333332"/>
    <n v="20131"/>
    <n v="13935"/>
    <n v="1689219"/>
    <n v="1507134"/>
    <m/>
    <m/>
    <m/>
    <m/>
    <m/>
    <m/>
    <m/>
    <m/>
    <n v="0"/>
    <n v="0"/>
    <n v="0"/>
    <n v="0"/>
    <n v="11290.576666666666"/>
    <n v="11108.36"/>
  </r>
  <r>
    <x v="3"/>
    <s v="Eastern Florida State College"/>
    <m/>
    <n v="132693"/>
    <x v="12"/>
    <m/>
    <m/>
    <m/>
    <m/>
    <n v="128723"/>
    <n v="127638"/>
    <n v="49168"/>
    <n v="50812"/>
    <n v="137459"/>
    <n v="134887"/>
    <n v="315350"/>
    <n v="10511.666666666666"/>
    <n v="313337"/>
    <n v="10444.566666666668"/>
    <n v="57918"/>
    <n v="60958"/>
    <n v="315350"/>
    <n v="313337"/>
    <m/>
    <m/>
    <n v="137540"/>
    <n v="140839"/>
    <n v="44697"/>
    <n v="39390"/>
    <n v="129330"/>
    <n v="119244"/>
    <n v="311567"/>
    <n v="346.18555555555554"/>
    <n v="299473"/>
    <n v="332.7477777777778"/>
    <n v="26435"/>
    <n v="23585"/>
    <n v="311567"/>
    <n v="299473"/>
    <m/>
    <m/>
    <m/>
    <m/>
    <m/>
    <m/>
    <m/>
    <m/>
    <n v="0"/>
    <n v="0"/>
    <n v="0"/>
    <n v="0"/>
    <n v="10857.852222222222"/>
    <n v="10777.314444444446"/>
  </r>
  <r>
    <x v="3"/>
    <s v="Florida Gateway College"/>
    <m/>
    <n v="135160"/>
    <x v="12"/>
    <m/>
    <m/>
    <m/>
    <m/>
    <n v="24824"/>
    <n v="25702"/>
    <n v="11190"/>
    <n v="11160"/>
    <n v="27439"/>
    <n v="27375"/>
    <n v="63453"/>
    <n v="2115.1"/>
    <n v="64237"/>
    <n v="2141.2333333333331"/>
    <n v="14670"/>
    <n v="14426"/>
    <n v="63453"/>
    <n v="64237"/>
    <m/>
    <m/>
    <n v="114058"/>
    <n v="99935"/>
    <n v="46964"/>
    <n v="51032"/>
    <n v="97972"/>
    <n v="101671"/>
    <n v="258994"/>
    <n v="287.77111111111111"/>
    <n v="252638"/>
    <n v="280.70888888888891"/>
    <n v="3416"/>
    <n v="5010"/>
    <n v="258994"/>
    <n v="252638"/>
    <m/>
    <m/>
    <m/>
    <m/>
    <m/>
    <m/>
    <m/>
    <m/>
    <n v="0"/>
    <n v="0"/>
    <n v="0"/>
    <n v="0"/>
    <n v="2402.8711111111111"/>
    <n v="2421.942222222222"/>
  </r>
  <r>
    <x v="3"/>
    <s v="Florida SouthWestern State College"/>
    <m/>
    <n v="133508"/>
    <x v="12"/>
    <m/>
    <m/>
    <m/>
    <m/>
    <n v="138331"/>
    <n v="137759"/>
    <n v="46130"/>
    <n v="45142"/>
    <n v="149880"/>
    <n v="147596"/>
    <n v="334341"/>
    <n v="11144.7"/>
    <n v="330497"/>
    <n v="11016.566666666668"/>
    <n v="53759"/>
    <n v="52037"/>
    <n v="334341"/>
    <n v="330497"/>
    <m/>
    <m/>
    <n v="7140"/>
    <n v="4350"/>
    <n v="11850"/>
    <n v="8100"/>
    <n v="4350"/>
    <n v="3900"/>
    <n v="23340"/>
    <n v="25.933333333333334"/>
    <n v="16350"/>
    <n v="18.166666666666668"/>
    <n v="0"/>
    <n v="0"/>
    <n v="23340"/>
    <n v="16350"/>
    <m/>
    <m/>
    <m/>
    <m/>
    <m/>
    <m/>
    <m/>
    <m/>
    <n v="0"/>
    <n v="0"/>
    <n v="0"/>
    <n v="0"/>
    <n v="11170.633333333333"/>
    <n v="11034.733333333334"/>
  </r>
  <r>
    <x v="3"/>
    <s v="Florida State College at Jacksonville"/>
    <m/>
    <n v="133702"/>
    <x v="12"/>
    <m/>
    <m/>
    <m/>
    <m/>
    <n v="177335"/>
    <n v="184360"/>
    <n v="95431"/>
    <n v="101331"/>
    <n v="132295"/>
    <n v="194222"/>
    <n v="405061"/>
    <n v="13502.033333333333"/>
    <n v="479913"/>
    <n v="15997.1"/>
    <n v="35355"/>
    <n v="42345"/>
    <n v="405061"/>
    <n v="479913"/>
    <m/>
    <m/>
    <n v="458064"/>
    <n v="376108"/>
    <n v="380690"/>
    <n v="322752"/>
    <n v="386618"/>
    <n v="404814"/>
    <n v="1225372"/>
    <n v="1361.5244444444445"/>
    <n v="1103674"/>
    <n v="1226.3044444444445"/>
    <n v="3435"/>
    <n v="7695"/>
    <n v="1225372"/>
    <n v="1103674"/>
    <m/>
    <m/>
    <m/>
    <m/>
    <m/>
    <m/>
    <m/>
    <m/>
    <n v="0"/>
    <n v="0"/>
    <n v="0"/>
    <n v="0"/>
    <n v="14863.557777777778"/>
    <n v="17223.404444444444"/>
  </r>
  <r>
    <x v="3"/>
    <s v="Gulf Coast State College "/>
    <m/>
    <n v="134343"/>
    <x v="12"/>
    <m/>
    <m/>
    <m/>
    <m/>
    <n v="43804"/>
    <n v="37152"/>
    <n v="13253"/>
    <n v="10804"/>
    <n v="48409"/>
    <n v="42220"/>
    <n v="105466"/>
    <n v="3515.5333333333333"/>
    <n v="90176"/>
    <n v="3005.8666666666668"/>
    <n v="13459"/>
    <n v="11641"/>
    <n v="105466"/>
    <n v="90176"/>
    <m/>
    <m/>
    <n v="47143"/>
    <n v="50519"/>
    <n v="24474"/>
    <n v="20794"/>
    <n v="42656"/>
    <n v="43051"/>
    <n v="114273"/>
    <n v="126.97"/>
    <n v="114364"/>
    <n v="127.07111111111111"/>
    <n v="0"/>
    <n v="0"/>
    <n v="114273"/>
    <n v="114364"/>
    <m/>
    <m/>
    <m/>
    <m/>
    <m/>
    <m/>
    <m/>
    <m/>
    <n v="0"/>
    <n v="0"/>
    <n v="0"/>
    <n v="0"/>
    <n v="3642.5033333333331"/>
    <n v="3132.9377777777777"/>
  </r>
  <r>
    <x v="3"/>
    <s v="Indian River State College "/>
    <m/>
    <n v="134608"/>
    <x v="12"/>
    <m/>
    <m/>
    <m/>
    <m/>
    <n v="131194"/>
    <n v="122905"/>
    <n v="68713"/>
    <n v="60239"/>
    <n v="134732"/>
    <n v="133776"/>
    <n v="334639"/>
    <n v="11154.633333333333"/>
    <n v="316920"/>
    <n v="10564"/>
    <n v="63386"/>
    <n v="62559"/>
    <n v="334639"/>
    <n v="316920"/>
    <m/>
    <m/>
    <n v="624778"/>
    <n v="574551"/>
    <n v="470875"/>
    <n v="485683"/>
    <n v="677419"/>
    <n v="680440"/>
    <n v="1773072"/>
    <n v="1970.08"/>
    <n v="1740674"/>
    <n v="1934.0822222222223"/>
    <n v="900"/>
    <n v="900"/>
    <n v="1773072"/>
    <n v="1740674"/>
    <m/>
    <m/>
    <m/>
    <m/>
    <m/>
    <m/>
    <m/>
    <m/>
    <n v="0"/>
    <n v="0"/>
    <n v="0"/>
    <n v="0"/>
    <n v="13124.713333333333"/>
    <n v="12498.082222222223"/>
  </r>
  <r>
    <x v="3"/>
    <s v="Lake-Sumter State College "/>
    <m/>
    <n v="135188"/>
    <x v="12"/>
    <m/>
    <m/>
    <m/>
    <m/>
    <n v="37600"/>
    <n v="39511"/>
    <n v="14041"/>
    <n v="14596"/>
    <n v="43941"/>
    <n v="45055"/>
    <n v="95582"/>
    <n v="3186.0666666666666"/>
    <n v="99162"/>
    <n v="3305.4"/>
    <n v="19093"/>
    <n v="22443"/>
    <n v="95582"/>
    <n v="99162"/>
    <m/>
    <m/>
    <n v="742"/>
    <n v="402"/>
    <n v="0"/>
    <n v="0"/>
    <n v="264"/>
    <n v="12"/>
    <n v="1006"/>
    <n v="1.1177777777777778"/>
    <n v="414"/>
    <n v="0.46"/>
    <n v="0"/>
    <n v="0"/>
    <n v="1006"/>
    <n v="414"/>
    <m/>
    <m/>
    <m/>
    <m/>
    <m/>
    <m/>
    <m/>
    <m/>
    <n v="0"/>
    <n v="0"/>
    <n v="0"/>
    <n v="0"/>
    <n v="3187.1844444444446"/>
    <n v="3305.86"/>
  </r>
  <r>
    <x v="3"/>
    <s v="Miami Dade College "/>
    <m/>
    <n v="135717"/>
    <x v="12"/>
    <m/>
    <m/>
    <m/>
    <m/>
    <n v="543566"/>
    <n v="521983"/>
    <n v="255448"/>
    <n v="253786"/>
    <n v="561370"/>
    <n v="549536"/>
    <n v="1360384"/>
    <n v="45346.133333333331"/>
    <n v="1325305"/>
    <n v="44176.833333333336"/>
    <n v="63394"/>
    <n v="66974"/>
    <n v="1360384"/>
    <n v="1325305"/>
    <m/>
    <m/>
    <n v="930486"/>
    <n v="818338"/>
    <n v="520757"/>
    <n v="508754"/>
    <n v="1519932"/>
    <n v="669159"/>
    <n v="2971175"/>
    <n v="3301.3055555555557"/>
    <n v="1996251"/>
    <n v="2218.0566666666668"/>
    <n v="8100"/>
    <n v="0"/>
    <n v="2971175"/>
    <n v="1996251"/>
    <m/>
    <m/>
    <m/>
    <m/>
    <m/>
    <m/>
    <m/>
    <m/>
    <n v="0"/>
    <n v="0"/>
    <n v="0"/>
    <n v="0"/>
    <n v="48647.438888888886"/>
    <n v="46394.89"/>
  </r>
  <r>
    <x v="3"/>
    <s v="Northwest Florida State College"/>
    <m/>
    <n v="136233"/>
    <x v="12"/>
    <m/>
    <m/>
    <m/>
    <m/>
    <n v="43842"/>
    <n v="44162"/>
    <n v="17130"/>
    <n v="16931"/>
    <n v="47400"/>
    <n v="47721"/>
    <n v="108372"/>
    <n v="3612.4"/>
    <n v="108814"/>
    <n v="3627.1333333333332"/>
    <n v="17142"/>
    <n v="17594"/>
    <n v="108372"/>
    <n v="108814"/>
    <m/>
    <m/>
    <n v="108881"/>
    <n v="92244"/>
    <n v="41250"/>
    <n v="43221"/>
    <n v="110995"/>
    <n v="96908"/>
    <n v="261126"/>
    <n v="290.14"/>
    <n v="232373"/>
    <n v="258.1922222222222"/>
    <n v="0"/>
    <n v="0"/>
    <n v="261126"/>
    <n v="232373"/>
    <m/>
    <m/>
    <m/>
    <m/>
    <m/>
    <m/>
    <m/>
    <m/>
    <n v="0"/>
    <n v="0"/>
    <n v="0"/>
    <n v="0"/>
    <n v="3902.54"/>
    <n v="3885.3255555555552"/>
  </r>
  <r>
    <x v="3"/>
    <s v="Palm Beach State College "/>
    <m/>
    <n v="136358"/>
    <x v="12"/>
    <m/>
    <m/>
    <m/>
    <m/>
    <n v="234113"/>
    <n v="230004"/>
    <n v="110284"/>
    <n v="110682"/>
    <n v="251995"/>
    <n v="248628"/>
    <n v="596392"/>
    <n v="19879.733333333334"/>
    <n v="589314"/>
    <n v="19643.8"/>
    <n v="35573"/>
    <n v="38823"/>
    <n v="596392"/>
    <n v="589314"/>
    <m/>
    <m/>
    <n v="529963"/>
    <n v="543242"/>
    <n v="279723"/>
    <n v="290589"/>
    <n v="542431"/>
    <n v="547935"/>
    <n v="1352117"/>
    <n v="1502.3522222222223"/>
    <n v="1381766"/>
    <n v="1535.2955555555557"/>
    <n v="3840"/>
    <n v="6000"/>
    <n v="1352117"/>
    <n v="1381766"/>
    <m/>
    <m/>
    <m/>
    <m/>
    <m/>
    <m/>
    <m/>
    <m/>
    <n v="0"/>
    <n v="0"/>
    <n v="0"/>
    <n v="0"/>
    <n v="21382.085555555557"/>
    <n v="21179.095555555556"/>
  </r>
  <r>
    <x v="3"/>
    <s v="Pasco-Hernando State College "/>
    <m/>
    <n v="136400"/>
    <x v="12"/>
    <m/>
    <m/>
    <m/>
    <m/>
    <n v="92746"/>
    <n v="91099"/>
    <n v="26452"/>
    <n v="27731"/>
    <n v="99914"/>
    <n v="100467"/>
    <n v="219112"/>
    <n v="7303.7333333333336"/>
    <n v="219297"/>
    <n v="7309.9"/>
    <n v="33270"/>
    <n v="33817"/>
    <n v="219112"/>
    <n v="219297"/>
    <m/>
    <m/>
    <n v="148364"/>
    <n v="142999"/>
    <n v="68541"/>
    <n v="70489"/>
    <n v="120383"/>
    <n v="127151"/>
    <n v="337288"/>
    <n v="374.76444444444445"/>
    <n v="340639"/>
    <n v="378.48777777777775"/>
    <n v="3045"/>
    <n v="3150"/>
    <n v="337288"/>
    <n v="340639"/>
    <m/>
    <m/>
    <m/>
    <m/>
    <m/>
    <m/>
    <m/>
    <m/>
    <n v="0"/>
    <n v="0"/>
    <n v="0"/>
    <n v="0"/>
    <n v="7678.4977777777776"/>
    <n v="7688.387777777777"/>
  </r>
  <r>
    <x v="3"/>
    <s v="Pensacola State College "/>
    <m/>
    <n v="136473"/>
    <x v="12"/>
    <m/>
    <m/>
    <m/>
    <m/>
    <n v="80612"/>
    <n v="78978"/>
    <n v="34247"/>
    <n v="34592"/>
    <n v="85160"/>
    <n v="84562"/>
    <n v="200019"/>
    <n v="6667.3"/>
    <n v="198132"/>
    <n v="6604.4"/>
    <n v="22022"/>
    <n v="24047"/>
    <n v="200019"/>
    <n v="198132"/>
    <m/>
    <m/>
    <n v="234759"/>
    <n v="228830"/>
    <n v="130316"/>
    <n v="116764"/>
    <n v="241845"/>
    <n v="163440"/>
    <n v="606920"/>
    <n v="674.35555555555561"/>
    <n v="509034"/>
    <n v="565.59333333333336"/>
    <n v="0"/>
    <n v="1350"/>
    <n v="606920"/>
    <n v="509034"/>
    <m/>
    <m/>
    <m/>
    <m/>
    <m/>
    <m/>
    <m/>
    <m/>
    <n v="0"/>
    <n v="0"/>
    <n v="0"/>
    <n v="0"/>
    <n v="7341.655555555556"/>
    <n v="7169.9933333333329"/>
  </r>
  <r>
    <x v="3"/>
    <s v="Polk State College "/>
    <m/>
    <n v="136516"/>
    <x v="12"/>
    <m/>
    <m/>
    <m/>
    <m/>
    <n v="78567"/>
    <n v="79669"/>
    <n v="29206"/>
    <n v="29678"/>
    <n v="86803"/>
    <n v="87974"/>
    <n v="194576"/>
    <n v="6485.8666666666668"/>
    <n v="197321"/>
    <n v="6577.3666666666668"/>
    <n v="17837"/>
    <n v="20506"/>
    <n v="194576"/>
    <n v="197321"/>
    <m/>
    <m/>
    <n v="40376"/>
    <n v="39533"/>
    <n v="10819"/>
    <n v="24035"/>
    <n v="29926"/>
    <n v="42270"/>
    <n v="81121"/>
    <n v="90.134444444444441"/>
    <n v="105838"/>
    <n v="117.59777777777778"/>
    <n v="0"/>
    <n v="0"/>
    <n v="81121"/>
    <n v="105838"/>
    <m/>
    <m/>
    <m/>
    <m/>
    <m/>
    <m/>
    <m/>
    <m/>
    <n v="0"/>
    <n v="0"/>
    <n v="0"/>
    <n v="0"/>
    <n v="6576.0011111111116"/>
    <n v="6694.9644444444448"/>
  </r>
  <r>
    <x v="3"/>
    <s v="Santa Fe College "/>
    <m/>
    <n v="137096"/>
    <x v="12"/>
    <m/>
    <m/>
    <m/>
    <m/>
    <n v="123025"/>
    <n v="121470"/>
    <n v="51145"/>
    <n v="50029"/>
    <n v="136371"/>
    <n v="136281"/>
    <n v="310541"/>
    <n v="10351.366666666667"/>
    <n v="307780"/>
    <n v="10259.333333333334"/>
    <n v="20072"/>
    <n v="20244"/>
    <n v="310541"/>
    <n v="307780"/>
    <m/>
    <m/>
    <n v="278918"/>
    <n v="265512"/>
    <n v="167818"/>
    <n v="187674"/>
    <n v="266602"/>
    <n v="295717"/>
    <n v="713338"/>
    <n v="792.59777777777776"/>
    <n v="748903"/>
    <n v="832.11444444444442"/>
    <n v="366"/>
    <n v="1626"/>
    <n v="713338"/>
    <n v="748903"/>
    <m/>
    <m/>
    <m/>
    <m/>
    <m/>
    <m/>
    <m/>
    <m/>
    <n v="0"/>
    <n v="0"/>
    <n v="0"/>
    <n v="0"/>
    <n v="11143.964444444444"/>
    <n v="11091.447777777779"/>
  </r>
  <r>
    <x v="3"/>
    <s v="Seminole State College of Florida"/>
    <m/>
    <n v="137209"/>
    <x v="12"/>
    <m/>
    <m/>
    <m/>
    <m/>
    <n v="131450"/>
    <n v="129527"/>
    <n v="60408"/>
    <n v="60326"/>
    <n v="146996"/>
    <n v="143587"/>
    <n v="338854"/>
    <n v="11295.133333333333"/>
    <n v="333440"/>
    <n v="11114.666666666666"/>
    <n v="13801"/>
    <n v="16233"/>
    <n v="338854"/>
    <n v="333440"/>
    <m/>
    <m/>
    <n v="498805"/>
    <n v="559975"/>
    <n v="359826"/>
    <n v="392874"/>
    <n v="593913"/>
    <n v="607306"/>
    <n v="1452544"/>
    <n v="1613.9377777777777"/>
    <n v="1560155"/>
    <n v="1733.5055555555555"/>
    <n v="150"/>
    <n v="0"/>
    <n v="1452544"/>
    <n v="1560155"/>
    <m/>
    <m/>
    <m/>
    <m/>
    <m/>
    <m/>
    <m/>
    <m/>
    <n v="0"/>
    <n v="0"/>
    <n v="0"/>
    <n v="0"/>
    <n v="12909.07111111111"/>
    <n v="12848.172222222222"/>
  </r>
  <r>
    <x v="3"/>
    <s v="South Florida State College "/>
    <m/>
    <n v="137315"/>
    <x v="12"/>
    <m/>
    <m/>
    <m/>
    <m/>
    <n v="19821"/>
    <n v="19771"/>
    <n v="6744"/>
    <n v="6342"/>
    <n v="21821"/>
    <n v="21778"/>
    <n v="48386"/>
    <n v="1612.8666666666666"/>
    <n v="47891"/>
    <n v="1596.3666666666666"/>
    <n v="8551"/>
    <n v="8686"/>
    <n v="48386"/>
    <n v="47891"/>
    <m/>
    <m/>
    <n v="271735"/>
    <n v="262817"/>
    <n v="123244"/>
    <n v="117655"/>
    <n v="301632"/>
    <n v="320852"/>
    <n v="696611"/>
    <n v="774.01222222222225"/>
    <n v="701324"/>
    <n v="779.24888888888893"/>
    <n v="68753"/>
    <n v="67477"/>
    <n v="696611"/>
    <n v="701324"/>
    <m/>
    <m/>
    <m/>
    <m/>
    <m/>
    <m/>
    <m/>
    <m/>
    <n v="0"/>
    <n v="0"/>
    <n v="0"/>
    <n v="0"/>
    <n v="2386.8788888888889"/>
    <n v="2375.6155555555556"/>
  </r>
  <r>
    <x v="3"/>
    <s v="St. Johns River State College "/>
    <m/>
    <n v="137281"/>
    <x v="12"/>
    <m/>
    <m/>
    <m/>
    <m/>
    <n v="53152"/>
    <n v="53381"/>
    <n v="20449"/>
    <n v="21221"/>
    <n v="58961"/>
    <n v="60211"/>
    <n v="132562"/>
    <n v="4418.7333333333336"/>
    <n v="134813"/>
    <n v="4493.7666666666664"/>
    <n v="30733"/>
    <n v="33076"/>
    <n v="132562"/>
    <n v="134813"/>
    <m/>
    <m/>
    <n v="53084"/>
    <n v="56595"/>
    <n v="14776"/>
    <n v="26534"/>
    <n v="78982"/>
    <n v="67257"/>
    <n v="146842"/>
    <n v="163.15777777777777"/>
    <n v="150386"/>
    <n v="167.09555555555556"/>
    <n v="1320"/>
    <n v="2160"/>
    <n v="146842"/>
    <n v="150386"/>
    <m/>
    <m/>
    <m/>
    <m/>
    <m/>
    <m/>
    <m/>
    <m/>
    <n v="0"/>
    <n v="0"/>
    <n v="0"/>
    <n v="0"/>
    <n v="4581.8911111111111"/>
    <n v="4660.862222222222"/>
  </r>
  <r>
    <x v="3"/>
    <s v="St. Petersburg College "/>
    <m/>
    <n v="137078"/>
    <x v="12"/>
    <m/>
    <m/>
    <m/>
    <m/>
    <n v="227901"/>
    <n v="229861"/>
    <n v="82926"/>
    <n v="83065"/>
    <n v="240119"/>
    <n v="237537"/>
    <n v="550946"/>
    <n v="18364.866666666665"/>
    <n v="550463"/>
    <n v="18348.766666666666"/>
    <n v="43806"/>
    <n v="46430"/>
    <n v="550946"/>
    <n v="550463"/>
    <m/>
    <m/>
    <n v="75109"/>
    <n v="94298"/>
    <n v="39313"/>
    <n v="33355"/>
    <n v="70758"/>
    <n v="74018"/>
    <n v="185180"/>
    <n v="205.75555555555556"/>
    <n v="201671"/>
    <n v="224.07888888888888"/>
    <n v="0"/>
    <n v="0"/>
    <n v="185180"/>
    <n v="201671"/>
    <m/>
    <m/>
    <m/>
    <m/>
    <m/>
    <m/>
    <m/>
    <m/>
    <n v="0"/>
    <n v="0"/>
    <n v="0"/>
    <n v="0"/>
    <n v="18570.62222222222"/>
    <n v="18572.845555555556"/>
  </r>
  <r>
    <x v="3"/>
    <s v="State College of Florida, Manatee-Sarasota"/>
    <m/>
    <n v="135391"/>
    <x v="12"/>
    <m/>
    <m/>
    <m/>
    <m/>
    <n v="84646"/>
    <n v="81772"/>
    <n v="28331"/>
    <n v="28244"/>
    <n v="90446"/>
    <n v="90625"/>
    <n v="203423"/>
    <n v="6780.7666666666664"/>
    <n v="200641"/>
    <n v="6688.0333333333338"/>
    <n v="24413"/>
    <n v="21261"/>
    <n v="203423"/>
    <n v="200641"/>
    <m/>
    <m/>
    <n v="0"/>
    <n v="0"/>
    <n v="0"/>
    <n v="0"/>
    <n v="0"/>
    <n v="0"/>
    <n v="0"/>
    <n v="0"/>
    <n v="0"/>
    <n v="0"/>
    <n v="0"/>
    <n v="0"/>
    <n v="0"/>
    <n v="0"/>
    <m/>
    <m/>
    <m/>
    <m/>
    <m/>
    <m/>
    <m/>
    <m/>
    <n v="0"/>
    <n v="0"/>
    <n v="0"/>
    <n v="0"/>
    <n v="6780.7666666666664"/>
    <n v="6688.0333333333338"/>
  </r>
  <r>
    <x v="3"/>
    <s v="Valencia College "/>
    <m/>
    <n v="138187"/>
    <x v="12"/>
    <m/>
    <m/>
    <m/>
    <m/>
    <n v="359062"/>
    <n v="382186"/>
    <n v="172940"/>
    <n v="175404"/>
    <n v="412852"/>
    <n v="426340"/>
    <n v="944854"/>
    <n v="31495.133333333335"/>
    <n v="983930"/>
    <n v="32797.666666666664"/>
    <n v="83883"/>
    <n v="98132"/>
    <n v="944854"/>
    <n v="983930"/>
    <m/>
    <m/>
    <n v="124785"/>
    <n v="100422"/>
    <n v="57870"/>
    <n v="68710"/>
    <n v="85917"/>
    <n v="91928"/>
    <n v="268572"/>
    <n v="298.41333333333336"/>
    <n v="261060"/>
    <n v="290.06666666666666"/>
    <n v="0"/>
    <n v="0"/>
    <n v="268572"/>
    <n v="261060"/>
    <m/>
    <m/>
    <m/>
    <m/>
    <m/>
    <m/>
    <m/>
    <m/>
    <n v="0"/>
    <n v="0"/>
    <n v="0"/>
    <n v="0"/>
    <n v="31793.546666666669"/>
    <n v="33087.73333333333"/>
  </r>
  <r>
    <x v="3"/>
    <s v="Hillsborough Community College "/>
    <m/>
    <n v="134495"/>
    <x v="6"/>
    <m/>
    <m/>
    <m/>
    <m/>
    <n v="230191"/>
    <n v="229697"/>
    <n v="94806"/>
    <n v="99322"/>
    <n v="254681"/>
    <n v="258930"/>
    <n v="579678"/>
    <n v="19322.599999999999"/>
    <n v="587949"/>
    <n v="19598.3"/>
    <n v="61654"/>
    <n v="68049"/>
    <n v="579678"/>
    <n v="587949"/>
    <m/>
    <m/>
    <n v="1046555"/>
    <n v="919395"/>
    <n v="148458"/>
    <n v="125546"/>
    <n v="916522"/>
    <n v="921136"/>
    <n v="2111535"/>
    <n v="2346.15"/>
    <n v="1966077"/>
    <n v="2184.5300000000002"/>
    <n v="0"/>
    <n v="0"/>
    <n v="2111535"/>
    <n v="1966077"/>
    <m/>
    <m/>
    <m/>
    <m/>
    <m/>
    <m/>
    <m/>
    <m/>
    <n v="0"/>
    <n v="0"/>
    <n v="0"/>
    <n v="0"/>
    <n v="21668.75"/>
    <n v="21782.829999999998"/>
  </r>
  <r>
    <x v="3"/>
    <s v="Tallahassee Community College "/>
    <s v="Met the criteria for Two-Year with Bachelor's in 2019-20. "/>
    <n v="137759"/>
    <x v="6"/>
    <m/>
    <m/>
    <m/>
    <m/>
    <n v="104018"/>
    <n v="100103"/>
    <n v="44195"/>
    <n v="43500"/>
    <n v="117345"/>
    <n v="115349"/>
    <n v="265558"/>
    <n v="8851.9333333333325"/>
    <n v="258952"/>
    <n v="8631.7333333333336"/>
    <n v="8387"/>
    <n v="8859"/>
    <n v="265558"/>
    <n v="258952"/>
    <m/>
    <m/>
    <n v="161752"/>
    <n v="165651"/>
    <n v="36850"/>
    <n v="16587"/>
    <n v="125546"/>
    <n v="163256"/>
    <n v="324148"/>
    <n v="360.16444444444443"/>
    <n v="345494"/>
    <n v="383.8822222222222"/>
    <n v="0"/>
    <n v="0"/>
    <n v="324148"/>
    <n v="345494"/>
    <m/>
    <m/>
    <m/>
    <m/>
    <m/>
    <m/>
    <m/>
    <m/>
    <n v="0"/>
    <n v="0"/>
    <n v="0"/>
    <n v="0"/>
    <n v="9212.0977777777771"/>
    <n v="9015.6155555555561"/>
  </r>
  <r>
    <x v="3"/>
    <s v="North Florida College "/>
    <s v="Met the criteria for Two-Year with Bachelor's in 2019-20. "/>
    <n v="136145"/>
    <x v="8"/>
    <m/>
    <m/>
    <m/>
    <m/>
    <n v="9275"/>
    <n v="8973"/>
    <n v="3749"/>
    <n v="3626"/>
    <n v="9777"/>
    <n v="9736"/>
    <n v="22801"/>
    <n v="760.0333333333333"/>
    <n v="22335"/>
    <n v="744.5"/>
    <n v="6787"/>
    <n v="6222"/>
    <n v="22801"/>
    <n v="22335"/>
    <m/>
    <m/>
    <n v="38230"/>
    <n v="35051"/>
    <n v="19880"/>
    <n v="9082"/>
    <n v="32849"/>
    <n v="40034"/>
    <n v="90959"/>
    <n v="101.06555555555556"/>
    <n v="84167"/>
    <n v="93.518888888888895"/>
    <n v="4350"/>
    <n v="6750"/>
    <n v="90959"/>
    <n v="84167"/>
    <m/>
    <m/>
    <m/>
    <m/>
    <m/>
    <m/>
    <m/>
    <m/>
    <n v="0"/>
    <n v="0"/>
    <n v="0"/>
    <n v="0"/>
    <n v="861.09888888888884"/>
    <n v="838.01888888888891"/>
  </r>
  <r>
    <x v="3"/>
    <s v="The College of the Florida Keys"/>
    <s v="Met the criteria for Two-Year with Bachelor's in 2018-19 and 2019-20. "/>
    <n v="133960"/>
    <x v="8"/>
    <m/>
    <m/>
    <m/>
    <m/>
    <n v="8073"/>
    <n v="7596"/>
    <n v="2664"/>
    <n v="2614"/>
    <n v="8800"/>
    <n v="8752"/>
    <n v="19537"/>
    <n v="651.23333333333335"/>
    <n v="18962"/>
    <n v="632.06666666666672"/>
    <n v="1514"/>
    <n v="1604"/>
    <n v="19537"/>
    <n v="18962"/>
    <m/>
    <m/>
    <n v="18809"/>
    <n v="18815"/>
    <n v="20297"/>
    <n v="28486"/>
    <n v="26781"/>
    <n v="28210"/>
    <n v="65887"/>
    <n v="73.207777777777778"/>
    <n v="75511"/>
    <n v="83.901111111111106"/>
    <n v="0"/>
    <n v="0"/>
    <n v="65887"/>
    <n v="75511"/>
    <m/>
    <m/>
    <m/>
    <m/>
    <m/>
    <m/>
    <m/>
    <m/>
    <n v="0"/>
    <n v="0"/>
    <n v="0"/>
    <n v="0"/>
    <n v="724.44111111111113"/>
    <n v="715.96777777777788"/>
  </r>
  <r>
    <x v="4"/>
    <s v="Georgia State University "/>
    <m/>
    <n v="139940"/>
    <x v="0"/>
    <m/>
    <m/>
    <m/>
    <m/>
    <n v="468522"/>
    <n v="484483"/>
    <n v="129529"/>
    <n v="136691"/>
    <n v="514782.5"/>
    <n v="530095"/>
    <n v="1112833.5"/>
    <n v="37094.449999999997"/>
    <n v="1151269"/>
    <n v="38375.633333333331"/>
    <n v="26986"/>
    <n v="26778.5"/>
    <n v="1112833.5"/>
    <n v="1151269"/>
    <m/>
    <m/>
    <m/>
    <m/>
    <m/>
    <m/>
    <m/>
    <m/>
    <n v="0"/>
    <n v="0"/>
    <n v="0"/>
    <n v="0"/>
    <m/>
    <m/>
    <n v="0"/>
    <n v="0"/>
    <m/>
    <m/>
    <n v="86074"/>
    <n v="87481"/>
    <n v="46640"/>
    <n v="47202.5"/>
    <n v="90423"/>
    <n v="90882.5"/>
    <n v="223137"/>
    <n v="9297.375"/>
    <n v="225566"/>
    <n v="9398.5833333333339"/>
    <n v="46391.824999999997"/>
    <n v="47774.216666666667"/>
  </r>
  <r>
    <x v="4"/>
    <s v="University of Georgia"/>
    <m/>
    <n v="139959"/>
    <x v="0"/>
    <m/>
    <m/>
    <m/>
    <m/>
    <n v="377233.5"/>
    <n v="388090.5"/>
    <n v="69046"/>
    <n v="73794"/>
    <n v="403310"/>
    <n v="405292.5"/>
    <n v="849589.5"/>
    <n v="28319.65"/>
    <n v="867177"/>
    <n v="28905.9"/>
    <n v="412"/>
    <n v="546"/>
    <n v="849589.5"/>
    <n v="867177"/>
    <m/>
    <m/>
    <m/>
    <m/>
    <m/>
    <m/>
    <m/>
    <m/>
    <n v="0"/>
    <n v="0"/>
    <n v="0"/>
    <n v="0"/>
    <m/>
    <m/>
    <n v="0"/>
    <n v="0"/>
    <m/>
    <m/>
    <n v="110899.5"/>
    <n v="113970.2"/>
    <n v="47716"/>
    <n v="48483.3"/>
    <n v="116102.39999999999"/>
    <n v="118123.7"/>
    <n v="274717.90000000002"/>
    <n v="11446.579166666668"/>
    <n v="280577.2"/>
    <n v="11690.716666666667"/>
    <n v="39766.229166666672"/>
    <n v="40596.616666666669"/>
  </r>
  <r>
    <x v="4"/>
    <s v="Georgia Institute of Technology"/>
    <m/>
    <n v="139755"/>
    <x v="1"/>
    <m/>
    <m/>
    <m/>
    <m/>
    <n v="192559"/>
    <n v="195803"/>
    <n v="43195"/>
    <n v="44695"/>
    <n v="212741"/>
    <n v="215629.53"/>
    <n v="448495"/>
    <n v="14949.833333333334"/>
    <n v="456127.53"/>
    <n v="15204.251"/>
    <n v="4472"/>
    <n v="4173"/>
    <n v="448495"/>
    <n v="456127.53"/>
    <m/>
    <m/>
    <m/>
    <m/>
    <m/>
    <m/>
    <m/>
    <m/>
    <n v="0"/>
    <n v="0"/>
    <n v="0"/>
    <n v="0"/>
    <m/>
    <m/>
    <n v="0"/>
    <n v="0"/>
    <m/>
    <m/>
    <n v="128907"/>
    <n v="145863"/>
    <n v="57052.5"/>
    <n v="66190"/>
    <n v="146868"/>
    <n v="163852.5"/>
    <n v="332827.5"/>
    <n v="13867.8125"/>
    <n v="375905.5"/>
    <n v="15662.729166666666"/>
    <n v="28817.645833333336"/>
    <n v="30866.980166666668"/>
  </r>
  <r>
    <x v="4"/>
    <s v="Georgia Southern University"/>
    <s v="Met the criteria for Four-Year 2 in 2019-20."/>
    <n v="139931"/>
    <x v="2"/>
    <m/>
    <m/>
    <m/>
    <m/>
    <n v="214974.45"/>
    <n v="274778"/>
    <n v="56856.36"/>
    <n v="73334"/>
    <n v="302612"/>
    <n v="298227"/>
    <n v="574442.81000000006"/>
    <n v="19148.093666666668"/>
    <n v="646339"/>
    <n v="21544.633333333335"/>
    <n v="8394"/>
    <n v="10905"/>
    <n v="574442.81000000006"/>
    <n v="646339"/>
    <m/>
    <m/>
    <m/>
    <m/>
    <m/>
    <m/>
    <m/>
    <m/>
    <n v="0"/>
    <n v="0"/>
    <n v="0"/>
    <n v="0"/>
    <m/>
    <m/>
    <n v="0"/>
    <n v="0"/>
    <m/>
    <m/>
    <n v="16836"/>
    <n v="21942"/>
    <n v="11122"/>
    <n v="15781"/>
    <n v="23718"/>
    <n v="24012"/>
    <n v="51676"/>
    <n v="2153.1666666666665"/>
    <n v="61735"/>
    <n v="2572.2916666666665"/>
    <n v="21301.260333333335"/>
    <n v="24116.925000000003"/>
  </r>
  <r>
    <x v="4"/>
    <s v="Kennesaw State University"/>
    <s v="Met the criteria for Four-Year 2 in 2019-20."/>
    <n v="486840"/>
    <x v="2"/>
    <m/>
    <m/>
    <m/>
    <m/>
    <n v="377288.45"/>
    <n v="374370"/>
    <n v="89425.36"/>
    <n v="98853"/>
    <n v="398933"/>
    <n v="424298"/>
    <n v="865646.81"/>
    <n v="28854.893666666667"/>
    <n v="897521"/>
    <n v="29917.366666666665"/>
    <n v="9569"/>
    <n v="13898"/>
    <n v="865646.81"/>
    <n v="897521"/>
    <m/>
    <m/>
    <m/>
    <m/>
    <m/>
    <m/>
    <m/>
    <m/>
    <n v="0"/>
    <n v="0"/>
    <n v="0"/>
    <n v="0"/>
    <m/>
    <m/>
    <n v="0"/>
    <n v="0"/>
    <m/>
    <m/>
    <n v="19865"/>
    <n v="20653"/>
    <n v="12704"/>
    <n v="12633.1"/>
    <n v="21990"/>
    <n v="23114"/>
    <n v="54559"/>
    <n v="2273.2916666666665"/>
    <n v="56400.1"/>
    <n v="2350.0041666666666"/>
    <n v="31128.185333333335"/>
    <n v="32267.370833333331"/>
  </r>
  <r>
    <x v="4"/>
    <s v="University of West Georgia"/>
    <m/>
    <n v="141334"/>
    <x v="2"/>
    <m/>
    <m/>
    <m/>
    <m/>
    <n v="128745.45"/>
    <n v="127200"/>
    <n v="30679.360000000001"/>
    <n v="30937"/>
    <n v="140020"/>
    <n v="130258"/>
    <n v="299444.81"/>
    <n v="9981.4936666666672"/>
    <n v="288395"/>
    <n v="9613.1666666666661"/>
    <n v="9475"/>
    <n v="8570"/>
    <n v="299444.81"/>
    <n v="288395"/>
    <m/>
    <m/>
    <m/>
    <m/>
    <m/>
    <m/>
    <m/>
    <m/>
    <n v="0"/>
    <n v="0"/>
    <n v="0"/>
    <n v="0"/>
    <m/>
    <m/>
    <n v="0"/>
    <n v="0"/>
    <m/>
    <m/>
    <n v="14774"/>
    <n v="15771"/>
    <n v="12314"/>
    <n v="13787"/>
    <n v="16513"/>
    <n v="17782"/>
    <n v="43601"/>
    <n v="1816.7083333333333"/>
    <n v="47340"/>
    <n v="1972.5"/>
    <n v="11798.202000000001"/>
    <n v="11585.666666666666"/>
  </r>
  <r>
    <x v="4"/>
    <s v="Valdosta State University "/>
    <m/>
    <n v="141264"/>
    <x v="2"/>
    <m/>
    <m/>
    <m/>
    <m/>
    <n v="102469.45"/>
    <n v="100760"/>
    <n v="22960.36"/>
    <n v="24843"/>
    <n v="110334"/>
    <n v="107919"/>
    <n v="235763.81"/>
    <n v="7858.7936666666665"/>
    <n v="233522"/>
    <n v="7784.0666666666666"/>
    <n v="2831"/>
    <n v="3142"/>
    <n v="235763.81"/>
    <n v="233522"/>
    <m/>
    <m/>
    <m/>
    <m/>
    <m/>
    <m/>
    <m/>
    <m/>
    <n v="0"/>
    <n v="0"/>
    <n v="0"/>
    <n v="0"/>
    <m/>
    <m/>
    <n v="0"/>
    <n v="0"/>
    <m/>
    <m/>
    <n v="16081"/>
    <n v="16147"/>
    <n v="12401"/>
    <n v="13353"/>
    <n v="16414"/>
    <n v="17524"/>
    <n v="44896"/>
    <n v="1870.6666666666667"/>
    <n v="47024"/>
    <n v="1959.3333333333333"/>
    <n v="9729.4603333333325"/>
    <n v="9743.4"/>
  </r>
  <r>
    <x v="4"/>
    <s v="Albany State University "/>
    <m/>
    <n v="138716"/>
    <x v="3"/>
    <m/>
    <m/>
    <m/>
    <m/>
    <n v="62798.45"/>
    <n v="64354"/>
    <n v="16044.36"/>
    <n v="17144"/>
    <n v="71987"/>
    <n v="70191"/>
    <n v="150829.81"/>
    <n v="5027.6603333333333"/>
    <n v="151689"/>
    <n v="5056.3"/>
    <n v="8934"/>
    <n v="7901"/>
    <n v="150829.81"/>
    <n v="151689"/>
    <m/>
    <m/>
    <m/>
    <m/>
    <m/>
    <m/>
    <m/>
    <m/>
    <n v="0"/>
    <n v="0"/>
    <n v="0"/>
    <n v="0"/>
    <m/>
    <m/>
    <n v="0"/>
    <n v="0"/>
    <m/>
    <m/>
    <n v="2301"/>
    <n v="2534"/>
    <n v="998"/>
    <n v="1104"/>
    <n v="2878"/>
    <n v="2662"/>
    <n v="6177"/>
    <n v="257.375"/>
    <n v="6300"/>
    <n v="262.5"/>
    <n v="5285.0353333333333"/>
    <n v="5318.8"/>
  </r>
  <r>
    <x v="4"/>
    <s v="Armstrong State University"/>
    <s v="*Delete after 2017-18; Institution was consolidated into Georgia Southern University"/>
    <n v="138789"/>
    <x v="3"/>
    <m/>
    <m/>
    <m/>
    <m/>
    <n v="67338"/>
    <m/>
    <n v="16564"/>
    <m/>
    <m/>
    <m/>
    <n v="83902"/>
    <n v="2796.7333333333331"/>
    <n v="0"/>
    <n v="0"/>
    <m/>
    <m/>
    <n v="0"/>
    <n v="0"/>
    <m/>
    <m/>
    <m/>
    <m/>
    <m/>
    <m/>
    <m/>
    <m/>
    <n v="0"/>
    <n v="0"/>
    <n v="0"/>
    <n v="0"/>
    <m/>
    <m/>
    <n v="0"/>
    <n v="0"/>
    <m/>
    <m/>
    <n v="5698"/>
    <m/>
    <n v="3391"/>
    <m/>
    <m/>
    <m/>
    <n v="9089"/>
    <n v="378.70833333333331"/>
    <n v="0"/>
    <n v="0"/>
    <n v="3175.4416666666666"/>
    <n v="0"/>
  </r>
  <r>
    <x v="4"/>
    <s v="Augusta University"/>
    <m/>
    <n v="482149"/>
    <x v="3"/>
    <m/>
    <m/>
    <m/>
    <m/>
    <n v="63346"/>
    <n v="65225"/>
    <n v="11376"/>
    <n v="12703"/>
    <n v="71532"/>
    <n v="73498"/>
    <n v="146254"/>
    <n v="4875.1333333333332"/>
    <n v="151426"/>
    <n v="5047.5333333333338"/>
    <n v="3165"/>
    <n v="2874"/>
    <n v="146254"/>
    <n v="151426"/>
    <m/>
    <m/>
    <m/>
    <m/>
    <m/>
    <m/>
    <m/>
    <m/>
    <n v="0"/>
    <n v="0"/>
    <n v="0"/>
    <n v="0"/>
    <m/>
    <m/>
    <n v="0"/>
    <n v="0"/>
    <m/>
    <m/>
    <n v="16024"/>
    <n v="15687"/>
    <n v="12892"/>
    <n v="13202"/>
    <n v="18610"/>
    <n v="19368"/>
    <n v="47526"/>
    <n v="1980.25"/>
    <n v="48257"/>
    <n v="2010.7083333333333"/>
    <n v="6855.3833333333332"/>
    <n v="7058.2416666666668"/>
  </r>
  <r>
    <x v="4"/>
    <s v="Clayton State University"/>
    <m/>
    <n v="139311"/>
    <x v="3"/>
    <m/>
    <m/>
    <m/>
    <m/>
    <n v="67448.45"/>
    <n v="66921"/>
    <n v="21740.36"/>
    <n v="21666"/>
    <n v="71858"/>
    <n v="69758"/>
    <n v="161046.81"/>
    <n v="5368.2269999999999"/>
    <n v="158345"/>
    <n v="5278.166666666667"/>
    <n v="15813"/>
    <n v="16028"/>
    <n v="161046.81"/>
    <n v="158345"/>
    <m/>
    <m/>
    <m/>
    <m/>
    <m/>
    <m/>
    <m/>
    <m/>
    <n v="0"/>
    <n v="0"/>
    <n v="0"/>
    <n v="0"/>
    <m/>
    <m/>
    <n v="0"/>
    <n v="0"/>
    <m/>
    <m/>
    <n v="2958"/>
    <n v="3249"/>
    <n v="1497"/>
    <n v="1756"/>
    <n v="3026"/>
    <n v="3878"/>
    <n v="7481"/>
    <n v="311.70833333333331"/>
    <n v="8883"/>
    <n v="370.125"/>
    <n v="5679.9353333333329"/>
    <n v="5648.291666666667"/>
  </r>
  <r>
    <x v="4"/>
    <s v="Columbus State University"/>
    <s v="Met the criteria for Four-Year 3 in 2018-19 and 2019-20."/>
    <n v="139366"/>
    <x v="3"/>
    <m/>
    <m/>
    <m/>
    <m/>
    <n v="75843.45"/>
    <n v="77136"/>
    <n v="15887.36"/>
    <n v="15697"/>
    <n v="80351"/>
    <n v="78129"/>
    <n v="172081.81"/>
    <n v="5736.0603333333329"/>
    <n v="170962"/>
    <n v="5698.7333333333336"/>
    <n v="4757"/>
    <n v="5190"/>
    <n v="172081.81"/>
    <n v="170962"/>
    <m/>
    <m/>
    <m/>
    <m/>
    <m/>
    <m/>
    <m/>
    <m/>
    <n v="0"/>
    <n v="0"/>
    <n v="0"/>
    <n v="0"/>
    <m/>
    <m/>
    <n v="0"/>
    <n v="0"/>
    <m/>
    <m/>
    <n v="11102"/>
    <n v="9742"/>
    <n v="6170"/>
    <n v="5878"/>
    <n v="9556"/>
    <n v="9093"/>
    <n v="26828"/>
    <n v="1117.8333333333333"/>
    <n v="24713"/>
    <n v="1029.7083333333333"/>
    <n v="6853.8936666666659"/>
    <n v="6728.4416666666666"/>
  </r>
  <r>
    <x v="4"/>
    <s v="Fort Valley State University"/>
    <s v="Met the criteria for Four-Year 5 in 2018-19 and 2019-20."/>
    <n v="139719"/>
    <x v="3"/>
    <m/>
    <m/>
    <m/>
    <m/>
    <n v="30141.45"/>
    <n v="30106"/>
    <n v="6387.36"/>
    <n v="6032"/>
    <n v="33461"/>
    <n v="31880"/>
    <n v="69989.81"/>
    <n v="2332.9936666666667"/>
    <n v="68018"/>
    <n v="2267.2666666666669"/>
    <n v="195"/>
    <n v="611"/>
    <n v="69989.81"/>
    <n v="68018"/>
    <m/>
    <m/>
    <m/>
    <m/>
    <m/>
    <m/>
    <m/>
    <m/>
    <n v="0"/>
    <n v="0"/>
    <n v="0"/>
    <n v="0"/>
    <m/>
    <m/>
    <n v="0"/>
    <n v="0"/>
    <m/>
    <m/>
    <n v="2812"/>
    <n v="2851"/>
    <n v="1142"/>
    <n v="1188"/>
    <n v="2911"/>
    <n v="2333"/>
    <n v="6865"/>
    <n v="286.04166666666669"/>
    <n v="6372"/>
    <n v="265.5"/>
    <n v="2619.0353333333333"/>
    <n v="2532.7666666666669"/>
  </r>
  <r>
    <x v="4"/>
    <s v="Georgia College and State University"/>
    <m/>
    <n v="139861"/>
    <x v="3"/>
    <m/>
    <m/>
    <m/>
    <m/>
    <n v="77408.5"/>
    <n v="76744"/>
    <n v="18356"/>
    <n v="19414"/>
    <n v="82057"/>
    <n v="80939"/>
    <n v="177821.5"/>
    <n v="5927.3833333333332"/>
    <n v="177097"/>
    <n v="5903.2333333333336"/>
    <n v="948.5"/>
    <n v="737"/>
    <n v="177821.5"/>
    <n v="177097"/>
    <m/>
    <m/>
    <m/>
    <m/>
    <m/>
    <m/>
    <m/>
    <m/>
    <n v="0"/>
    <n v="0"/>
    <n v="0"/>
    <n v="0"/>
    <m/>
    <m/>
    <n v="0"/>
    <n v="0"/>
    <m/>
    <m/>
    <n v="7018"/>
    <n v="7441"/>
    <n v="6052.5"/>
    <n v="7164"/>
    <n v="7626"/>
    <n v="8580"/>
    <n v="20696.5"/>
    <n v="862.35416666666663"/>
    <n v="23185"/>
    <n v="966.04166666666663"/>
    <n v="6789.7375000000002"/>
    <n v="6869.2750000000005"/>
  </r>
  <r>
    <x v="4"/>
    <s v="Georgia Southwestern State University"/>
    <s v="Met the criteria for Four-Year 5 in 2019-20."/>
    <n v="139764"/>
    <x v="3"/>
    <m/>
    <m/>
    <m/>
    <m/>
    <n v="27848.45"/>
    <n v="26942"/>
    <n v="8116.36"/>
    <n v="7902"/>
    <n v="28734"/>
    <n v="28447"/>
    <n v="64698.81"/>
    <n v="2156.627"/>
    <n v="63291"/>
    <n v="2109.6999999999998"/>
    <n v="2965"/>
    <n v="2859"/>
    <n v="64698.81"/>
    <n v="63291"/>
    <m/>
    <m/>
    <m/>
    <m/>
    <m/>
    <m/>
    <m/>
    <m/>
    <n v="0"/>
    <n v="0"/>
    <n v="0"/>
    <n v="0"/>
    <m/>
    <m/>
    <n v="0"/>
    <n v="0"/>
    <m/>
    <m/>
    <n v="2881"/>
    <n v="2946"/>
    <n v="4141"/>
    <n v="4119"/>
    <n v="3317"/>
    <n v="3419"/>
    <n v="10339"/>
    <n v="430.79166666666669"/>
    <n v="10484"/>
    <n v="436.83333333333331"/>
    <n v="2587.4186666666665"/>
    <n v="2546.5333333333333"/>
  </r>
  <r>
    <x v="4"/>
    <s v="University of North Georgia"/>
    <m/>
    <n v="482680"/>
    <x v="3"/>
    <m/>
    <m/>
    <m/>
    <m/>
    <n v="196417.45"/>
    <n v="200223"/>
    <n v="39462.36"/>
    <n v="41098"/>
    <n v="222825"/>
    <n v="221729"/>
    <n v="458704.81"/>
    <n v="15290.160333333333"/>
    <n v="463050"/>
    <n v="15435"/>
    <n v="18207"/>
    <n v="20841"/>
    <n v="458704.81"/>
    <n v="463050"/>
    <m/>
    <m/>
    <m/>
    <m/>
    <m/>
    <m/>
    <m/>
    <m/>
    <n v="0"/>
    <n v="0"/>
    <n v="0"/>
    <n v="0"/>
    <m/>
    <m/>
    <n v="0"/>
    <n v="0"/>
    <m/>
    <m/>
    <n v="4796"/>
    <n v="5215"/>
    <n v="4123"/>
    <n v="4123"/>
    <n v="5389"/>
    <n v="5600"/>
    <n v="14308"/>
    <n v="596.16666666666663"/>
    <n v="14938"/>
    <n v="622.41666666666663"/>
    <n v="15886.326999999999"/>
    <n v="16057.416666666666"/>
  </r>
  <r>
    <x v="4"/>
    <s v="Savannah State University"/>
    <m/>
    <n v="140960"/>
    <x v="4"/>
    <m/>
    <m/>
    <m/>
    <m/>
    <n v="54215.45"/>
    <n v="46736"/>
    <n v="9548.36"/>
    <n v="9465"/>
    <n v="53718"/>
    <n v="47427"/>
    <n v="117481.81"/>
    <n v="3916.0603333333333"/>
    <n v="103628"/>
    <n v="3454.2666666666669"/>
    <n v="2674"/>
    <n v="2079"/>
    <n v="117481.81"/>
    <n v="103628"/>
    <m/>
    <m/>
    <m/>
    <m/>
    <m/>
    <m/>
    <m/>
    <m/>
    <n v="0"/>
    <n v="0"/>
    <n v="0"/>
    <n v="0"/>
    <m/>
    <m/>
    <n v="0"/>
    <n v="0"/>
    <m/>
    <m/>
    <n v="1687"/>
    <n v="1688"/>
    <n v="387"/>
    <n v="387"/>
    <n v="1660"/>
    <n v="1606"/>
    <n v="3734"/>
    <n v="155.58333333333334"/>
    <n v="3681"/>
    <n v="153.375"/>
    <n v="4071.6436666666668"/>
    <n v="3607.6416666666669"/>
  </r>
  <r>
    <x v="4"/>
    <s v="College of Coastal Georgia "/>
    <m/>
    <n v="139250"/>
    <x v="5"/>
    <m/>
    <m/>
    <m/>
    <m/>
    <n v="36674.449999999997"/>
    <n v="35927"/>
    <n v="7978.36"/>
    <n v="8691"/>
    <n v="39142"/>
    <n v="38423"/>
    <n v="83794.81"/>
    <n v="2793.1603333333333"/>
    <n v="83041"/>
    <n v="2768.0333333333333"/>
    <n v="6313"/>
    <n v="6911"/>
    <n v="83794.81"/>
    <n v="83041"/>
    <m/>
    <m/>
    <m/>
    <m/>
    <m/>
    <m/>
    <m/>
    <m/>
    <n v="0"/>
    <n v="0"/>
    <n v="0"/>
    <n v="0"/>
    <m/>
    <m/>
    <n v="0"/>
    <n v="0"/>
    <m/>
    <m/>
    <m/>
    <m/>
    <m/>
    <m/>
    <m/>
    <m/>
    <n v="0"/>
    <n v="0"/>
    <n v="0"/>
    <n v="0"/>
    <n v="2793.1603333333333"/>
    <n v="2768.0333333333333"/>
  </r>
  <r>
    <x v="4"/>
    <s v="Dalton State College "/>
    <m/>
    <n v="139463"/>
    <x v="5"/>
    <m/>
    <m/>
    <m/>
    <m/>
    <n v="52694.45"/>
    <n v="51609"/>
    <n v="10981.36"/>
    <n v="10809"/>
    <n v="58186"/>
    <n v="56205"/>
    <n v="121861.81"/>
    <n v="4062.0603333333333"/>
    <n v="118623"/>
    <n v="3954.1"/>
    <n v="6320"/>
    <n v="5757"/>
    <n v="121861.81"/>
    <n v="118623"/>
    <m/>
    <m/>
    <m/>
    <m/>
    <m/>
    <m/>
    <m/>
    <m/>
    <n v="0"/>
    <n v="0"/>
    <n v="0"/>
    <n v="0"/>
    <m/>
    <m/>
    <n v="0"/>
    <n v="0"/>
    <m/>
    <m/>
    <m/>
    <m/>
    <m/>
    <m/>
    <m/>
    <m/>
    <n v="0"/>
    <n v="0"/>
    <n v="0"/>
    <n v="0"/>
    <n v="4062.0603333333333"/>
    <n v="3954.1"/>
  </r>
  <r>
    <x v="4"/>
    <s v="Georgia Gwinnett College"/>
    <m/>
    <n v="447689"/>
    <x v="5"/>
    <m/>
    <m/>
    <m/>
    <m/>
    <n v="135799.45000000001"/>
    <n v="134853"/>
    <n v="27299.360000000001"/>
    <n v="26996"/>
    <n v="143783"/>
    <n v="150260"/>
    <n v="306881.81"/>
    <n v="10229.393666666667"/>
    <n v="312109"/>
    <n v="10403.633333333333"/>
    <n v="10761"/>
    <n v="11808"/>
    <n v="306881.81"/>
    <n v="312109"/>
    <m/>
    <m/>
    <m/>
    <m/>
    <m/>
    <m/>
    <m/>
    <m/>
    <n v="0"/>
    <n v="0"/>
    <n v="0"/>
    <n v="0"/>
    <m/>
    <m/>
    <n v="0"/>
    <n v="0"/>
    <m/>
    <m/>
    <m/>
    <m/>
    <m/>
    <m/>
    <m/>
    <m/>
    <n v="0"/>
    <n v="0"/>
    <n v="0"/>
    <n v="0"/>
    <n v="10229.393666666667"/>
    <n v="10403.633333333333"/>
  </r>
  <r>
    <x v="4"/>
    <s v="Middle Georgia State College"/>
    <s v="Met the criteria for Four-Year 5 in 2018-19 and 2019-20."/>
    <n v="482158"/>
    <x v="5"/>
    <m/>
    <m/>
    <m/>
    <m/>
    <n v="75038.45"/>
    <n v="77832"/>
    <n v="20592.36"/>
    <n v="21985"/>
    <n v="85025"/>
    <n v="86107"/>
    <n v="180655.81"/>
    <n v="6021.8603333333331"/>
    <n v="185924"/>
    <n v="6197.4666666666662"/>
    <n v="7782"/>
    <n v="7645"/>
    <n v="180655.81"/>
    <n v="185924"/>
    <m/>
    <m/>
    <m/>
    <m/>
    <m/>
    <m/>
    <m/>
    <m/>
    <n v="0"/>
    <n v="0"/>
    <n v="0"/>
    <n v="0"/>
    <m/>
    <m/>
    <n v="0"/>
    <n v="0"/>
    <m/>
    <m/>
    <n v="1179"/>
    <n v="1806"/>
    <n v="753"/>
    <n v="924"/>
    <n v="1707"/>
    <n v="2004"/>
    <n v="3639"/>
    <n v="151.625"/>
    <n v="4734"/>
    <n v="197.25"/>
    <n v="6173.4853333333331"/>
    <n v="6394.7166666666662"/>
  </r>
  <r>
    <x v="4"/>
    <s v="Abraham Baldwin Agricultural College "/>
    <s v="Reclassified: Met the criteria for Four-Year 6 in 2017-18, 2018-19, and 2019-20. "/>
    <n v="138558"/>
    <x v="5"/>
    <m/>
    <m/>
    <m/>
    <m/>
    <n v="36718.449999999997"/>
    <n v="42933"/>
    <n v="5607.36"/>
    <n v="9366"/>
    <n v="49364"/>
    <n v="45340"/>
    <n v="91689.81"/>
    <n v="3056.3269999999998"/>
    <n v="97639"/>
    <n v="3254.6333333333332"/>
    <n v="9235"/>
    <n v="6837"/>
    <n v="91689.81"/>
    <n v="97639"/>
    <m/>
    <m/>
    <m/>
    <m/>
    <m/>
    <m/>
    <m/>
    <m/>
    <n v="0"/>
    <n v="0"/>
    <n v="0"/>
    <n v="0"/>
    <m/>
    <m/>
    <n v="0"/>
    <n v="0"/>
    <m/>
    <m/>
    <m/>
    <m/>
    <m/>
    <m/>
    <m/>
    <m/>
    <n v="0"/>
    <n v="0"/>
    <n v="0"/>
    <n v="0"/>
    <n v="3056.3269999999998"/>
    <n v="3254.6333333333332"/>
  </r>
  <r>
    <x v="4"/>
    <s v="Atlanta Metropolitan State College"/>
    <m/>
    <n v="138901"/>
    <x v="12"/>
    <m/>
    <m/>
    <m/>
    <m/>
    <n v="22399.45"/>
    <n v="20318"/>
    <n v="7054.36"/>
    <n v="6218"/>
    <n v="21982"/>
    <n v="17499"/>
    <n v="51435.81"/>
    <n v="1714.5269999999998"/>
    <n v="44035"/>
    <n v="1467.8333333333333"/>
    <n v="3788"/>
    <n v="2957"/>
    <n v="51435.81"/>
    <n v="44035"/>
    <m/>
    <m/>
    <m/>
    <m/>
    <m/>
    <m/>
    <m/>
    <m/>
    <n v="0"/>
    <n v="0"/>
    <n v="0"/>
    <n v="0"/>
    <m/>
    <m/>
    <n v="0"/>
    <n v="0"/>
    <m/>
    <m/>
    <m/>
    <m/>
    <m/>
    <m/>
    <m/>
    <m/>
    <n v="0"/>
    <n v="0"/>
    <n v="0"/>
    <n v="0"/>
    <n v="1714.5269999999998"/>
    <n v="1467.8333333333333"/>
  </r>
  <r>
    <x v="4"/>
    <s v="East Georgia State College"/>
    <m/>
    <n v="139621"/>
    <x v="12"/>
    <m/>
    <m/>
    <m/>
    <m/>
    <n v="29346.45"/>
    <n v="29103"/>
    <n v="5845.36"/>
    <n v="5468"/>
    <n v="33683"/>
    <n v="31567"/>
    <n v="68874.81"/>
    <n v="2295.8269999999998"/>
    <n v="66138"/>
    <n v="2204.6"/>
    <n v="5317"/>
    <n v="4642"/>
    <n v="68874.81"/>
    <n v="66138"/>
    <m/>
    <m/>
    <m/>
    <m/>
    <m/>
    <m/>
    <m/>
    <m/>
    <n v="0"/>
    <n v="0"/>
    <n v="0"/>
    <n v="0"/>
    <m/>
    <m/>
    <n v="0"/>
    <n v="0"/>
    <m/>
    <m/>
    <m/>
    <m/>
    <m/>
    <m/>
    <m/>
    <m/>
    <n v="0"/>
    <n v="0"/>
    <n v="0"/>
    <n v="0"/>
    <n v="2295.8269999999998"/>
    <n v="2204.6"/>
  </r>
  <r>
    <x v="4"/>
    <s v="Georgia Highlands College"/>
    <m/>
    <n v="139700"/>
    <x v="12"/>
    <m/>
    <m/>
    <m/>
    <m/>
    <n v="56873.45"/>
    <n v="56720"/>
    <n v="14176.36"/>
    <n v="13779"/>
    <n v="63634"/>
    <n v="62364"/>
    <n v="134683.81"/>
    <n v="4489.4603333333334"/>
    <n v="132863"/>
    <n v="4428.7666666666664"/>
    <n v="5616"/>
    <n v="6193"/>
    <n v="134683.81"/>
    <n v="132863"/>
    <m/>
    <m/>
    <m/>
    <m/>
    <m/>
    <m/>
    <m/>
    <m/>
    <n v="0"/>
    <n v="0"/>
    <n v="0"/>
    <n v="0"/>
    <m/>
    <m/>
    <n v="0"/>
    <n v="0"/>
    <m/>
    <m/>
    <m/>
    <m/>
    <m/>
    <m/>
    <m/>
    <m/>
    <n v="0"/>
    <n v="0"/>
    <n v="0"/>
    <n v="0"/>
    <n v="4489.4603333333334"/>
    <n v="4428.7666666666664"/>
  </r>
  <r>
    <x v="4"/>
    <s v="Gordon State College "/>
    <s v="Reclassified: Met the criteria for Four-Year 6 in 2017-18, 2018-19, and 2019-20. "/>
    <n v="139968"/>
    <x v="5"/>
    <m/>
    <m/>
    <m/>
    <m/>
    <n v="40129.449999999997"/>
    <n v="37179"/>
    <n v="5584.36"/>
    <n v="5317"/>
    <n v="43385"/>
    <n v="40865"/>
    <n v="89098.81"/>
    <n v="2969.9603333333334"/>
    <n v="83361"/>
    <n v="2778.7"/>
    <n v="7388"/>
    <n v="7619"/>
    <n v="89098.81"/>
    <n v="83361"/>
    <m/>
    <m/>
    <m/>
    <m/>
    <m/>
    <m/>
    <m/>
    <m/>
    <n v="0"/>
    <n v="0"/>
    <n v="0"/>
    <n v="0"/>
    <m/>
    <m/>
    <n v="0"/>
    <n v="0"/>
    <m/>
    <m/>
    <m/>
    <m/>
    <m/>
    <m/>
    <m/>
    <m/>
    <n v="0"/>
    <n v="0"/>
    <n v="0"/>
    <n v="0"/>
    <n v="2969.9603333333334"/>
    <n v="2778.7"/>
  </r>
  <r>
    <x v="4"/>
    <s v="South Georgia State College"/>
    <m/>
    <n v="482699"/>
    <x v="12"/>
    <m/>
    <m/>
    <m/>
    <m/>
    <n v="26671.45"/>
    <n v="25962"/>
    <n v="6656.36"/>
    <n v="7286"/>
    <n v="28438"/>
    <n v="26496"/>
    <n v="61765.81"/>
    <n v="2058.8603333333331"/>
    <n v="59744"/>
    <n v="1991.4666666666667"/>
    <n v="7154"/>
    <n v="6628"/>
    <n v="61765.81"/>
    <n v="59744"/>
    <m/>
    <m/>
    <m/>
    <m/>
    <m/>
    <m/>
    <m/>
    <m/>
    <n v="0"/>
    <n v="0"/>
    <n v="0"/>
    <n v="0"/>
    <m/>
    <m/>
    <n v="0"/>
    <n v="0"/>
    <m/>
    <m/>
    <m/>
    <m/>
    <m/>
    <m/>
    <m/>
    <m/>
    <n v="0"/>
    <n v="0"/>
    <n v="0"/>
    <n v="0"/>
    <n v="2058.8603333333331"/>
    <n v="1991.4666666666667"/>
  </r>
  <r>
    <x v="4"/>
    <s v="Bainbridge State College "/>
    <s v="*Delete after 2017-18; Institution was consolidated into Abraham Baldwin Agricultural College. Met the criteria for Two-Year with Bachelor's in 2017-18 amd 2018-19."/>
    <n v="139010"/>
    <x v="8"/>
    <m/>
    <m/>
    <m/>
    <m/>
    <n v="14313.45"/>
    <m/>
    <n v="5830.36"/>
    <m/>
    <m/>
    <m/>
    <n v="20143.810000000001"/>
    <n v="671.46033333333332"/>
    <n v="0"/>
    <n v="0"/>
    <m/>
    <m/>
    <n v="0"/>
    <n v="0"/>
    <m/>
    <m/>
    <m/>
    <m/>
    <m/>
    <m/>
    <m/>
    <m/>
    <n v="0"/>
    <n v="0"/>
    <n v="0"/>
    <n v="0"/>
    <m/>
    <m/>
    <n v="0"/>
    <n v="0"/>
    <m/>
    <m/>
    <m/>
    <m/>
    <m/>
    <m/>
    <m/>
    <m/>
    <n v="0"/>
    <n v="0"/>
    <n v="0"/>
    <n v="0"/>
    <n v="671.46033333333332"/>
    <n v="0"/>
  </r>
  <r>
    <x v="4"/>
    <s v="Albany Technical College"/>
    <m/>
    <n v="138682"/>
    <x v="9"/>
    <s v="sem"/>
    <s v="sem"/>
    <m/>
    <m/>
    <n v="27469"/>
    <n v="27462"/>
    <n v="19358"/>
    <n v="17995"/>
    <n v="30143"/>
    <n v="31178"/>
    <n v="76970"/>
    <n v="2565.6666666666665"/>
    <n v="76635"/>
    <n v="2554.5"/>
    <n v="8759"/>
    <n v="11006"/>
    <n v="76970"/>
    <n v="76635"/>
    <m/>
    <m/>
    <m/>
    <m/>
    <m/>
    <m/>
    <m/>
    <m/>
    <n v="0"/>
    <n v="0"/>
    <n v="0"/>
    <n v="0"/>
    <m/>
    <m/>
    <n v="0"/>
    <n v="0"/>
    <m/>
    <m/>
    <m/>
    <m/>
    <m/>
    <m/>
    <m/>
    <m/>
    <n v="0"/>
    <n v="0"/>
    <n v="0"/>
    <n v="0"/>
    <n v="2565.6666666666665"/>
    <n v="2554.5"/>
  </r>
  <r>
    <x v="4"/>
    <s v="Athens Technical College"/>
    <m/>
    <n v="246813"/>
    <x v="9"/>
    <s v="sem"/>
    <s v="sem"/>
    <m/>
    <m/>
    <n v="33086"/>
    <n v="33812"/>
    <n v="15525"/>
    <n v="15486"/>
    <n v="37526"/>
    <n v="36996"/>
    <n v="86137"/>
    <n v="2871.2333333333331"/>
    <n v="86294"/>
    <n v="2876.4666666666667"/>
    <n v="9462"/>
    <n v="11811"/>
    <n v="86137"/>
    <n v="86294"/>
    <m/>
    <m/>
    <m/>
    <m/>
    <m/>
    <m/>
    <m/>
    <m/>
    <n v="0"/>
    <n v="0"/>
    <n v="0"/>
    <n v="0"/>
    <m/>
    <m/>
    <n v="0"/>
    <n v="0"/>
    <m/>
    <m/>
    <m/>
    <m/>
    <m/>
    <m/>
    <m/>
    <m/>
    <n v="0"/>
    <n v="0"/>
    <n v="0"/>
    <n v="0"/>
    <n v="2871.2333333333331"/>
    <n v="2876.4666666666667"/>
  </r>
  <r>
    <x v="4"/>
    <s v="Atlanta Technical College"/>
    <m/>
    <n v="138840"/>
    <x v="9"/>
    <s v="sem"/>
    <s v="sem"/>
    <m/>
    <m/>
    <n v="35168"/>
    <n v="34432"/>
    <n v="17390"/>
    <n v="18347"/>
    <n v="34001"/>
    <n v="34831"/>
    <n v="86559"/>
    <n v="2885.3"/>
    <n v="87610"/>
    <n v="2920.3333333333335"/>
    <n v="2592"/>
    <n v="3905"/>
    <n v="86559"/>
    <n v="87610"/>
    <m/>
    <m/>
    <m/>
    <m/>
    <m/>
    <m/>
    <m/>
    <m/>
    <n v="0"/>
    <n v="0"/>
    <n v="0"/>
    <n v="0"/>
    <m/>
    <m/>
    <n v="0"/>
    <n v="0"/>
    <m/>
    <m/>
    <m/>
    <m/>
    <m/>
    <m/>
    <m/>
    <m/>
    <n v="0"/>
    <n v="0"/>
    <n v="0"/>
    <n v="0"/>
    <n v="2885.3"/>
    <n v="2920.3333333333335"/>
  </r>
  <r>
    <x v="4"/>
    <s v="Augusta Technical College"/>
    <m/>
    <n v="138956"/>
    <x v="9"/>
    <s v="sem"/>
    <s v="sem"/>
    <m/>
    <m/>
    <n v="39056"/>
    <n v="37560"/>
    <n v="19749"/>
    <n v="19099"/>
    <n v="41682"/>
    <n v="39567"/>
    <n v="100487"/>
    <n v="3349.5666666666666"/>
    <n v="96226"/>
    <n v="3207.5333333333333"/>
    <n v="6164"/>
    <n v="7501"/>
    <n v="100487"/>
    <n v="96226"/>
    <m/>
    <m/>
    <m/>
    <m/>
    <m/>
    <m/>
    <m/>
    <m/>
    <n v="0"/>
    <n v="0"/>
    <n v="0"/>
    <n v="0"/>
    <m/>
    <m/>
    <n v="0"/>
    <n v="0"/>
    <m/>
    <m/>
    <m/>
    <m/>
    <m/>
    <m/>
    <m/>
    <m/>
    <n v="0"/>
    <n v="0"/>
    <n v="0"/>
    <n v="0"/>
    <n v="3349.5666666666666"/>
    <n v="3207.5333333333333"/>
  </r>
  <r>
    <x v="4"/>
    <s v="Central Georgia Technical College"/>
    <m/>
    <n v="483045"/>
    <x v="9"/>
    <s v="sem"/>
    <s v="sem"/>
    <m/>
    <m/>
    <n v="63810"/>
    <n v="63676"/>
    <n v="36568"/>
    <n v="34123"/>
    <n v="69639"/>
    <n v="69761"/>
    <n v="170017"/>
    <n v="5667.2333333333336"/>
    <n v="167560"/>
    <n v="5585.333333333333"/>
    <n v="22417"/>
    <n v="26969"/>
    <n v="170017"/>
    <n v="167560"/>
    <m/>
    <m/>
    <m/>
    <m/>
    <m/>
    <m/>
    <m/>
    <m/>
    <n v="0"/>
    <n v="0"/>
    <n v="0"/>
    <n v="0"/>
    <m/>
    <m/>
    <n v="0"/>
    <n v="0"/>
    <m/>
    <m/>
    <m/>
    <m/>
    <m/>
    <m/>
    <m/>
    <m/>
    <n v="0"/>
    <n v="0"/>
    <n v="0"/>
    <n v="0"/>
    <n v="5667.2333333333336"/>
    <n v="5585.333333333333"/>
  </r>
  <r>
    <x v="4"/>
    <s v="Chattahoochee Technical College"/>
    <m/>
    <n v="140331"/>
    <x v="9"/>
    <s v="sem"/>
    <s v="sem"/>
    <m/>
    <m/>
    <n v="78396"/>
    <n v="80430"/>
    <n v="29544"/>
    <n v="28075"/>
    <n v="86552"/>
    <n v="84859"/>
    <n v="194492"/>
    <n v="6483.0666666666666"/>
    <n v="193364"/>
    <n v="6445.4666666666662"/>
    <n v="27345.5"/>
    <n v="28113"/>
    <n v="194492"/>
    <n v="193364"/>
    <m/>
    <m/>
    <m/>
    <m/>
    <m/>
    <m/>
    <m/>
    <m/>
    <n v="0"/>
    <n v="0"/>
    <n v="0"/>
    <n v="0"/>
    <m/>
    <m/>
    <n v="0"/>
    <n v="0"/>
    <m/>
    <m/>
    <m/>
    <m/>
    <m/>
    <m/>
    <m/>
    <m/>
    <n v="0"/>
    <n v="0"/>
    <n v="0"/>
    <n v="0"/>
    <n v="6483.0666666666666"/>
    <n v="6445.4666666666662"/>
  </r>
  <r>
    <x v="4"/>
    <s v="Coastal Pines Technical College"/>
    <m/>
    <n v="485458"/>
    <x v="9"/>
    <s v="sem"/>
    <s v="sem"/>
    <m/>
    <m/>
    <n v="23988"/>
    <n v="29018"/>
    <n v="10419"/>
    <n v="10783"/>
    <n v="26459"/>
    <n v="32337"/>
    <n v="60866"/>
    <n v="2028.8666666666666"/>
    <n v="72138"/>
    <n v="2404.6"/>
    <n v="22495"/>
    <n v="31605"/>
    <n v="60866"/>
    <n v="72138"/>
    <m/>
    <m/>
    <m/>
    <m/>
    <m/>
    <m/>
    <m/>
    <m/>
    <n v="0"/>
    <n v="0"/>
    <n v="0"/>
    <n v="0"/>
    <m/>
    <m/>
    <n v="0"/>
    <n v="0"/>
    <m/>
    <m/>
    <m/>
    <m/>
    <m/>
    <m/>
    <m/>
    <m/>
    <n v="0"/>
    <n v="0"/>
    <n v="0"/>
    <n v="0"/>
    <n v="2028.8666666666666"/>
    <n v="2404.6"/>
  </r>
  <r>
    <x v="4"/>
    <s v="Columbus Technical College"/>
    <m/>
    <n v="139357"/>
    <x v="9"/>
    <s v="sem"/>
    <s v="sem"/>
    <m/>
    <m/>
    <n v="25662.400000000001"/>
    <n v="27721"/>
    <n v="15323.5"/>
    <n v="14830"/>
    <n v="29266.5"/>
    <n v="30700"/>
    <n v="70252.399999999994"/>
    <n v="2341.7466666666664"/>
    <n v="73251"/>
    <n v="2441.6999999999998"/>
    <n v="6863"/>
    <n v="9103"/>
    <n v="70252.399999999994"/>
    <n v="73251"/>
    <m/>
    <m/>
    <m/>
    <m/>
    <m/>
    <m/>
    <m/>
    <m/>
    <n v="0"/>
    <n v="0"/>
    <n v="0"/>
    <n v="0"/>
    <m/>
    <m/>
    <n v="0"/>
    <n v="0"/>
    <m/>
    <m/>
    <m/>
    <m/>
    <m/>
    <m/>
    <m/>
    <m/>
    <n v="0"/>
    <n v="0"/>
    <n v="0"/>
    <n v="0"/>
    <n v="2341.7466666666664"/>
    <n v="2441.6999999999998"/>
  </r>
  <r>
    <x v="4"/>
    <s v="Georgia Northwestern Technical College"/>
    <m/>
    <n v="139384"/>
    <x v="9"/>
    <s v="sem"/>
    <s v="sem"/>
    <m/>
    <m/>
    <n v="44887"/>
    <n v="45881"/>
    <n v="17808"/>
    <n v="18691"/>
    <n v="49125"/>
    <n v="55379"/>
    <n v="111820"/>
    <n v="3727.3333333333335"/>
    <n v="119951"/>
    <n v="3998.3666666666668"/>
    <n v="24846"/>
    <n v="29929"/>
    <n v="111820"/>
    <n v="119951"/>
    <m/>
    <m/>
    <m/>
    <m/>
    <m/>
    <m/>
    <m/>
    <m/>
    <n v="0"/>
    <n v="0"/>
    <n v="0"/>
    <n v="0"/>
    <m/>
    <m/>
    <n v="0"/>
    <n v="0"/>
    <m/>
    <m/>
    <m/>
    <m/>
    <m/>
    <m/>
    <m/>
    <m/>
    <n v="0"/>
    <n v="0"/>
    <n v="0"/>
    <n v="0"/>
    <n v="3727.3333333333335"/>
    <n v="3998.3666666666668"/>
  </r>
  <r>
    <x v="4"/>
    <s v="Georgia Piedmont Technical College"/>
    <m/>
    <n v="244446"/>
    <x v="9"/>
    <s v="sem"/>
    <s v="sem"/>
    <m/>
    <m/>
    <n v="33612.5"/>
    <n v="27028"/>
    <n v="16660"/>
    <n v="13707"/>
    <n v="29133.5"/>
    <n v="28735"/>
    <n v="79406"/>
    <n v="2646.8666666666668"/>
    <n v="69470"/>
    <n v="2315.6666666666665"/>
    <n v="16817"/>
    <n v="16569"/>
    <n v="79406"/>
    <n v="69470"/>
    <m/>
    <m/>
    <m/>
    <m/>
    <m/>
    <m/>
    <m/>
    <m/>
    <n v="0"/>
    <n v="0"/>
    <n v="0"/>
    <n v="0"/>
    <m/>
    <m/>
    <n v="0"/>
    <n v="0"/>
    <m/>
    <m/>
    <m/>
    <m/>
    <m/>
    <m/>
    <m/>
    <m/>
    <n v="0"/>
    <n v="0"/>
    <n v="0"/>
    <n v="0"/>
    <n v="2646.8666666666668"/>
    <n v="2315.6666666666665"/>
  </r>
  <r>
    <x v="4"/>
    <s v="Gwinnett Technical College"/>
    <m/>
    <n v="140012"/>
    <x v="9"/>
    <s v="sem"/>
    <s v="sem"/>
    <m/>
    <m/>
    <n v="69935"/>
    <n v="71637"/>
    <n v="23885"/>
    <n v="23880"/>
    <n v="73428"/>
    <n v="76574"/>
    <n v="167248"/>
    <n v="5574.9333333333334"/>
    <n v="172091"/>
    <n v="5736.3666666666668"/>
    <n v="22163"/>
    <n v="24431"/>
    <n v="167248"/>
    <n v="172091"/>
    <m/>
    <m/>
    <m/>
    <m/>
    <m/>
    <m/>
    <m/>
    <m/>
    <n v="0"/>
    <n v="0"/>
    <n v="0"/>
    <n v="0"/>
    <m/>
    <m/>
    <n v="0"/>
    <n v="0"/>
    <m/>
    <m/>
    <m/>
    <m/>
    <m/>
    <m/>
    <m/>
    <m/>
    <n v="0"/>
    <n v="0"/>
    <n v="0"/>
    <n v="0"/>
    <n v="5574.9333333333334"/>
    <n v="5736.3666666666668"/>
  </r>
  <r>
    <x v="4"/>
    <s v="Lanier Technical College"/>
    <m/>
    <n v="140243"/>
    <x v="9"/>
    <s v="sem"/>
    <s v="sem"/>
    <m/>
    <m/>
    <n v="28565"/>
    <n v="33187"/>
    <n v="12293"/>
    <n v="14072"/>
    <n v="33880"/>
    <n v="38405"/>
    <n v="74738"/>
    <n v="2491.2666666666669"/>
    <n v="85664"/>
    <n v="2855.4666666666667"/>
    <n v="10212"/>
    <n v="14447"/>
    <n v="74738"/>
    <n v="85664"/>
    <m/>
    <m/>
    <m/>
    <m/>
    <m/>
    <m/>
    <m/>
    <m/>
    <n v="0"/>
    <n v="0"/>
    <n v="0"/>
    <n v="0"/>
    <m/>
    <m/>
    <n v="0"/>
    <n v="0"/>
    <m/>
    <m/>
    <m/>
    <m/>
    <m/>
    <m/>
    <m/>
    <m/>
    <n v="0"/>
    <n v="0"/>
    <n v="0"/>
    <n v="0"/>
    <n v="2491.2666666666669"/>
    <n v="2855.4666666666667"/>
  </r>
  <r>
    <x v="4"/>
    <s v="North Georgia Technical College"/>
    <m/>
    <n v="140678"/>
    <x v="9"/>
    <s v="sem"/>
    <s v="sem"/>
    <m/>
    <m/>
    <n v="21024"/>
    <n v="21619"/>
    <n v="9452"/>
    <n v="9732"/>
    <n v="23427"/>
    <n v="23608"/>
    <n v="53903"/>
    <n v="1796.7666666666667"/>
    <n v="54959"/>
    <n v="1831.9666666666667"/>
    <n v="5804"/>
    <n v="6225"/>
    <n v="53903"/>
    <n v="54959"/>
    <m/>
    <m/>
    <m/>
    <m/>
    <m/>
    <m/>
    <m/>
    <m/>
    <n v="0"/>
    <n v="0"/>
    <n v="0"/>
    <n v="0"/>
    <m/>
    <m/>
    <n v="0"/>
    <n v="0"/>
    <m/>
    <m/>
    <m/>
    <m/>
    <m/>
    <m/>
    <m/>
    <m/>
    <n v="0"/>
    <n v="0"/>
    <n v="0"/>
    <n v="0"/>
    <n v="1796.7666666666667"/>
    <n v="1831.9666666666667"/>
  </r>
  <r>
    <x v="4"/>
    <s v="Oconee Fall Line Technical College"/>
    <m/>
    <n v="420431"/>
    <x v="9"/>
    <s v="sem"/>
    <s v="sem"/>
    <m/>
    <m/>
    <n v="11367"/>
    <n v="11673"/>
    <n v="6446"/>
    <n v="7566"/>
    <n v="11819"/>
    <n v="15184"/>
    <n v="29632"/>
    <n v="987.73333333333335"/>
    <n v="34423"/>
    <n v="1147.4333333333334"/>
    <n v="3947"/>
    <n v="4182"/>
    <n v="29632"/>
    <n v="34423"/>
    <m/>
    <m/>
    <m/>
    <m/>
    <m/>
    <m/>
    <m/>
    <m/>
    <n v="0"/>
    <n v="0"/>
    <n v="0"/>
    <n v="0"/>
    <m/>
    <m/>
    <n v="0"/>
    <n v="0"/>
    <m/>
    <m/>
    <m/>
    <m/>
    <m/>
    <m/>
    <m/>
    <m/>
    <n v="0"/>
    <n v="0"/>
    <n v="0"/>
    <n v="0"/>
    <n v="987.73333333333335"/>
    <n v="1147.4333333333334"/>
  </r>
  <r>
    <x v="4"/>
    <s v="Ogeechee Technical College"/>
    <m/>
    <n v="366465"/>
    <x v="9"/>
    <s v="sem"/>
    <s v="sem"/>
    <m/>
    <m/>
    <n v="18174"/>
    <n v="19715"/>
    <n v="9446"/>
    <n v="10295"/>
    <n v="19464"/>
    <n v="20123"/>
    <n v="47084"/>
    <n v="1569.4666666666667"/>
    <n v="50133"/>
    <n v="1671.1"/>
    <n v="3794"/>
    <n v="4438"/>
    <n v="47084"/>
    <n v="50133"/>
    <m/>
    <m/>
    <m/>
    <m/>
    <m/>
    <m/>
    <m/>
    <m/>
    <n v="0"/>
    <n v="0"/>
    <n v="0"/>
    <n v="0"/>
    <m/>
    <m/>
    <n v="0"/>
    <n v="0"/>
    <m/>
    <m/>
    <m/>
    <m/>
    <m/>
    <m/>
    <m/>
    <m/>
    <n v="0"/>
    <n v="0"/>
    <n v="0"/>
    <n v="0"/>
    <n v="1569.4666666666667"/>
    <n v="1671.1"/>
  </r>
  <r>
    <x v="4"/>
    <s v="Savannah Technical College"/>
    <m/>
    <n v="140942"/>
    <x v="9"/>
    <s v="sem"/>
    <s v="sem"/>
    <m/>
    <m/>
    <n v="35464"/>
    <n v="34150"/>
    <n v="15104"/>
    <n v="15277"/>
    <n v="36301"/>
    <n v="38073"/>
    <n v="86869"/>
    <n v="2895.6333333333332"/>
    <n v="87500"/>
    <n v="2916.6666666666665"/>
    <n v="7093"/>
    <n v="8475"/>
    <n v="86869"/>
    <n v="87500"/>
    <m/>
    <m/>
    <m/>
    <m/>
    <m/>
    <m/>
    <m/>
    <m/>
    <n v="0"/>
    <n v="0"/>
    <n v="0"/>
    <n v="0"/>
    <m/>
    <m/>
    <n v="0"/>
    <n v="0"/>
    <m/>
    <m/>
    <m/>
    <m/>
    <m/>
    <m/>
    <m/>
    <m/>
    <n v="0"/>
    <n v="0"/>
    <n v="0"/>
    <n v="0"/>
    <n v="2895.6333333333332"/>
    <n v="2916.6666666666665"/>
  </r>
  <r>
    <x v="4"/>
    <s v="South Georgia Technical College"/>
    <m/>
    <n v="141006"/>
    <x v="9"/>
    <s v="sem"/>
    <s v="sem"/>
    <m/>
    <m/>
    <n v="18961"/>
    <n v="20432"/>
    <n v="9442"/>
    <n v="10127"/>
    <n v="21469"/>
    <n v="21354"/>
    <n v="49872"/>
    <n v="1662.4"/>
    <n v="51913"/>
    <n v="1730.4333333333334"/>
    <n v="6702"/>
    <n v="6525"/>
    <n v="49872"/>
    <n v="51913"/>
    <m/>
    <m/>
    <m/>
    <m/>
    <m/>
    <m/>
    <m/>
    <m/>
    <n v="0"/>
    <n v="0"/>
    <n v="0"/>
    <n v="0"/>
    <m/>
    <m/>
    <n v="0"/>
    <n v="0"/>
    <m/>
    <m/>
    <m/>
    <m/>
    <m/>
    <m/>
    <m/>
    <m/>
    <n v="0"/>
    <n v="0"/>
    <n v="0"/>
    <n v="0"/>
    <n v="1662.4"/>
    <n v="1730.4333333333334"/>
  </r>
  <r>
    <x v="4"/>
    <s v="Southeastern Technical College"/>
    <m/>
    <n v="368911"/>
    <x v="9"/>
    <s v="sem"/>
    <s v="sem"/>
    <m/>
    <m/>
    <n v="12864"/>
    <n v="14094"/>
    <n v="6704"/>
    <n v="6711"/>
    <n v="14838"/>
    <n v="15724"/>
    <n v="34406"/>
    <n v="1146.8666666666666"/>
    <n v="36529"/>
    <n v="1217.6333333333334"/>
    <n v="6760"/>
    <n v="8280"/>
    <n v="34406"/>
    <n v="36529"/>
    <m/>
    <m/>
    <m/>
    <m/>
    <m/>
    <m/>
    <m/>
    <m/>
    <n v="0"/>
    <n v="0"/>
    <n v="0"/>
    <n v="0"/>
    <m/>
    <m/>
    <n v="0"/>
    <n v="0"/>
    <m/>
    <m/>
    <m/>
    <m/>
    <m/>
    <m/>
    <m/>
    <m/>
    <n v="0"/>
    <n v="0"/>
    <n v="0"/>
    <n v="0"/>
    <n v="1146.8666666666666"/>
    <n v="1217.6333333333334"/>
  </r>
  <r>
    <x v="4"/>
    <s v="Southern Crescent Technical College"/>
    <m/>
    <n v="139986"/>
    <x v="9"/>
    <s v="sem"/>
    <s v="sem"/>
    <m/>
    <m/>
    <n v="40057"/>
    <n v="40998"/>
    <n v="18107"/>
    <n v="19668"/>
    <n v="41714"/>
    <n v="44272"/>
    <n v="99878"/>
    <n v="3329.2666666666669"/>
    <n v="104938"/>
    <n v="3497.9333333333334"/>
    <n v="13449"/>
    <n v="16553"/>
    <n v="99878"/>
    <n v="104938"/>
    <m/>
    <m/>
    <m/>
    <m/>
    <m/>
    <m/>
    <m/>
    <m/>
    <n v="0"/>
    <n v="0"/>
    <n v="0"/>
    <n v="0"/>
    <m/>
    <m/>
    <n v="0"/>
    <n v="0"/>
    <m/>
    <m/>
    <m/>
    <m/>
    <m/>
    <m/>
    <m/>
    <m/>
    <n v="0"/>
    <n v="0"/>
    <n v="0"/>
    <n v="0"/>
    <n v="3329.2666666666669"/>
    <n v="3497.9333333333334"/>
  </r>
  <r>
    <x v="4"/>
    <s v="Southern Regional Technical College"/>
    <m/>
    <n v="487162"/>
    <x v="9"/>
    <s v="sem"/>
    <s v="sem"/>
    <m/>
    <m/>
    <n v="31854"/>
    <n v="37017"/>
    <n v="16925"/>
    <n v="19085"/>
    <n v="40358"/>
    <n v="43103"/>
    <n v="89137"/>
    <n v="2971.2333333333331"/>
    <n v="99205"/>
    <n v="3306.8333333333335"/>
    <n v="20236"/>
    <n v="24245"/>
    <n v="89137"/>
    <n v="99205"/>
    <m/>
    <m/>
    <m/>
    <m/>
    <m/>
    <m/>
    <m/>
    <m/>
    <n v="0"/>
    <n v="0"/>
    <n v="0"/>
    <n v="0"/>
    <m/>
    <m/>
    <n v="0"/>
    <n v="0"/>
    <m/>
    <m/>
    <m/>
    <m/>
    <m/>
    <m/>
    <m/>
    <m/>
    <n v="0"/>
    <n v="0"/>
    <n v="0"/>
    <n v="0"/>
    <n v="2971.2333333333331"/>
    <n v="3306.8333333333335"/>
  </r>
  <r>
    <x v="4"/>
    <s v="West Georgia Technical College"/>
    <m/>
    <n v="139278"/>
    <x v="9"/>
    <s v="sem"/>
    <s v="sem"/>
    <m/>
    <m/>
    <n v="53368"/>
    <n v="56025"/>
    <n v="20537"/>
    <n v="21115"/>
    <n v="58794"/>
    <n v="57550"/>
    <n v="132699"/>
    <n v="4423.3"/>
    <n v="134690"/>
    <n v="4489.666666666667"/>
    <n v="25410"/>
    <n v="26107"/>
    <n v="132699"/>
    <n v="134690"/>
    <m/>
    <m/>
    <m/>
    <m/>
    <m/>
    <m/>
    <m/>
    <m/>
    <n v="0"/>
    <n v="0"/>
    <n v="0"/>
    <n v="0"/>
    <m/>
    <m/>
    <n v="0"/>
    <n v="0"/>
    <m/>
    <m/>
    <m/>
    <m/>
    <m/>
    <m/>
    <m/>
    <m/>
    <n v="0"/>
    <n v="0"/>
    <n v="0"/>
    <n v="0"/>
    <n v="4423.3"/>
    <n v="4489.666666666667"/>
  </r>
  <r>
    <x v="4"/>
    <s v="Wiregrass Georgia Technical College"/>
    <m/>
    <n v="141255"/>
    <x v="9"/>
    <s v="sem"/>
    <s v="sem"/>
    <m/>
    <m/>
    <n v="30709"/>
    <n v="34604"/>
    <n v="14946"/>
    <n v="13868"/>
    <n v="35983"/>
    <n v="35821"/>
    <n v="81638"/>
    <n v="2721.2666666666669"/>
    <n v="84293"/>
    <n v="2809.7666666666669"/>
    <n v="23573"/>
    <n v="28513"/>
    <n v="81638"/>
    <n v="84293"/>
    <m/>
    <m/>
    <m/>
    <m/>
    <m/>
    <m/>
    <m/>
    <m/>
    <n v="0"/>
    <n v="0"/>
    <n v="0"/>
    <n v="0"/>
    <m/>
    <m/>
    <n v="0"/>
    <n v="0"/>
    <m/>
    <m/>
    <m/>
    <m/>
    <m/>
    <m/>
    <m/>
    <m/>
    <n v="0"/>
    <n v="0"/>
    <n v="0"/>
    <n v="0"/>
    <n v="2721.2666666666669"/>
    <n v="2809.7666666666669"/>
  </r>
  <r>
    <x v="5"/>
    <s v="University of Kentucky"/>
    <m/>
    <n v="157085"/>
    <x v="0"/>
    <m/>
    <m/>
    <m/>
    <m/>
    <n v="274842"/>
    <n v="275771"/>
    <n v="22864"/>
    <n v="21426"/>
    <n v="302856"/>
    <n v="304171"/>
    <n v="600562"/>
    <n v="20018.733333333334"/>
    <n v="601368"/>
    <n v="20045.599999999999"/>
    <n v="697"/>
    <n v="633"/>
    <n v="600562"/>
    <n v="601368"/>
    <m/>
    <m/>
    <m/>
    <m/>
    <m/>
    <m/>
    <m/>
    <m/>
    <n v="0"/>
    <n v="0"/>
    <n v="0"/>
    <n v="0"/>
    <m/>
    <m/>
    <n v="0"/>
    <n v="0"/>
    <m/>
    <m/>
    <n v="36515"/>
    <n v="37086"/>
    <n v="5803"/>
    <n v="5593"/>
    <n v="37977"/>
    <n v="38387"/>
    <n v="80295"/>
    <n v="3345.625"/>
    <n v="81066"/>
    <n v="3377.75"/>
    <n v="23364.358333333334"/>
    <n v="23423.35"/>
  </r>
  <r>
    <x v="5"/>
    <s v="University of Louisville"/>
    <m/>
    <n v="157289"/>
    <x v="0"/>
    <m/>
    <m/>
    <m/>
    <m/>
    <n v="169488"/>
    <n v="166792.5"/>
    <n v="31660"/>
    <n v="31258"/>
    <n v="186731"/>
    <n v="183361.5"/>
    <n v="387879"/>
    <n v="12929.3"/>
    <n v="381412"/>
    <n v="12713.733333333334"/>
    <n v="4214"/>
    <n v="5128"/>
    <n v="387879"/>
    <n v="381412"/>
    <m/>
    <m/>
    <m/>
    <m/>
    <m/>
    <m/>
    <m/>
    <m/>
    <n v="0"/>
    <n v="0"/>
    <n v="0"/>
    <n v="0"/>
    <m/>
    <m/>
    <n v="0"/>
    <n v="0"/>
    <m/>
    <m/>
    <n v="33932"/>
    <n v="32691"/>
    <n v="12361"/>
    <n v="12325"/>
    <n v="34057"/>
    <n v="33520.5"/>
    <n v="80350"/>
    <n v="3347.9166666666665"/>
    <n v="78536.5"/>
    <n v="3272.3541666666665"/>
    <n v="16277.216666666665"/>
    <n v="15986.0875"/>
  </r>
  <r>
    <x v="5"/>
    <s v="Eastern Kentucky University "/>
    <m/>
    <n v="156620"/>
    <x v="2"/>
    <m/>
    <m/>
    <m/>
    <m/>
    <n v="158011"/>
    <n v="141294.5"/>
    <n v="18205"/>
    <n v="16414"/>
    <n v="167388"/>
    <n v="158165.5"/>
    <n v="343604"/>
    <n v="11453.466666666667"/>
    <n v="315874"/>
    <n v="10529.133333333333"/>
    <n v="10592"/>
    <n v="9280.5"/>
    <n v="343604"/>
    <n v="315874"/>
    <m/>
    <m/>
    <m/>
    <m/>
    <m/>
    <m/>
    <m/>
    <m/>
    <n v="0"/>
    <n v="0"/>
    <n v="0"/>
    <n v="0"/>
    <m/>
    <m/>
    <n v="0"/>
    <n v="0"/>
    <m/>
    <m/>
    <n v="17021"/>
    <n v="15295"/>
    <n v="9259"/>
    <n v="8241.5"/>
    <n v="16417"/>
    <n v="15386"/>
    <n v="42697"/>
    <n v="1779.0416666666667"/>
    <n v="38922.5"/>
    <n v="1621.7708333333333"/>
    <n v="13232.508333333333"/>
    <n v="12150.904166666667"/>
  </r>
  <r>
    <x v="5"/>
    <s v="Morehead State University "/>
    <m/>
    <n v="157386"/>
    <x v="2"/>
    <m/>
    <m/>
    <m/>
    <m/>
    <n v="92047"/>
    <n v="87269"/>
    <n v="7395"/>
    <n v="6198"/>
    <n v="101802"/>
    <n v="96317"/>
    <n v="201244"/>
    <n v="6708.1333333333332"/>
    <n v="189784"/>
    <n v="6326.1333333333332"/>
    <n v="26244"/>
    <n v="24261"/>
    <n v="201244"/>
    <n v="189784"/>
    <m/>
    <m/>
    <m/>
    <m/>
    <m/>
    <m/>
    <m/>
    <m/>
    <n v="0"/>
    <n v="0"/>
    <n v="0"/>
    <n v="0"/>
    <m/>
    <m/>
    <n v="0"/>
    <n v="0"/>
    <m/>
    <m/>
    <n v="5753"/>
    <n v="4201"/>
    <n v="2529"/>
    <n v="2257"/>
    <n v="5142"/>
    <n v="4512"/>
    <n v="13424"/>
    <n v="559.33333333333337"/>
    <n v="10970"/>
    <n v="457.08333333333331"/>
    <n v="7267.4666666666662"/>
    <n v="6783.2166666666662"/>
  </r>
  <r>
    <x v="5"/>
    <s v="Murray State University "/>
    <m/>
    <n v="157401"/>
    <x v="2"/>
    <m/>
    <m/>
    <m/>
    <m/>
    <n v="96274"/>
    <n v="90962"/>
    <n v="7645"/>
    <n v="8202"/>
    <n v="102171"/>
    <n v="100724"/>
    <n v="206090"/>
    <n v="6869.666666666667"/>
    <n v="199888"/>
    <n v="6662.9333333333334"/>
    <n v="7910"/>
    <n v="9437"/>
    <n v="206090"/>
    <n v="199888"/>
    <m/>
    <m/>
    <m/>
    <m/>
    <m/>
    <m/>
    <m/>
    <m/>
    <n v="0"/>
    <n v="0"/>
    <n v="0"/>
    <n v="0"/>
    <m/>
    <m/>
    <n v="0"/>
    <n v="0"/>
    <m/>
    <m/>
    <n v="7847"/>
    <n v="8760"/>
    <n v="3962"/>
    <n v="4168"/>
    <n v="8324"/>
    <n v="8519"/>
    <n v="20133"/>
    <n v="838.875"/>
    <n v="21447"/>
    <n v="893.625"/>
    <n v="7708.541666666667"/>
    <n v="7556.5583333333334"/>
  </r>
  <r>
    <x v="5"/>
    <s v="Northern Kentucky University "/>
    <m/>
    <n v="157447"/>
    <x v="2"/>
    <m/>
    <m/>
    <m/>
    <m/>
    <n v="135920"/>
    <n v="130198"/>
    <n v="13376"/>
    <n v="13527"/>
    <n v="146948"/>
    <n v="143066"/>
    <n v="296244"/>
    <n v="9874.7999999999993"/>
    <n v="286791"/>
    <n v="9559.7000000000007"/>
    <n v="11973"/>
    <n v="13849"/>
    <n v="296244"/>
    <n v="286791"/>
    <m/>
    <m/>
    <m/>
    <m/>
    <m/>
    <m/>
    <m/>
    <m/>
    <n v="0"/>
    <n v="0"/>
    <n v="0"/>
    <n v="0"/>
    <m/>
    <m/>
    <n v="0"/>
    <n v="0"/>
    <m/>
    <m/>
    <n v="20683"/>
    <n v="26985"/>
    <n v="5238"/>
    <n v="12445"/>
    <n v="18614"/>
    <n v="24731"/>
    <n v="44535"/>
    <n v="1855.625"/>
    <n v="64161"/>
    <n v="2673.375"/>
    <n v="11730.424999999999"/>
    <n v="12233.075000000001"/>
  </r>
  <r>
    <x v="5"/>
    <s v="Western Kentucky University "/>
    <m/>
    <n v="157951"/>
    <x v="2"/>
    <m/>
    <m/>
    <m/>
    <m/>
    <n v="192178"/>
    <n v="173682"/>
    <n v="23022"/>
    <n v="20814"/>
    <n v="204181"/>
    <n v="192870"/>
    <n v="419381"/>
    <n v="13979.366666666667"/>
    <n v="387366"/>
    <n v="12912.2"/>
    <n v="26680"/>
    <n v="23832"/>
    <n v="419381"/>
    <n v="387366"/>
    <m/>
    <m/>
    <m/>
    <m/>
    <m/>
    <m/>
    <m/>
    <m/>
    <n v="0"/>
    <n v="0"/>
    <n v="0"/>
    <n v="0"/>
    <m/>
    <m/>
    <n v="0"/>
    <n v="0"/>
    <m/>
    <m/>
    <n v="16024"/>
    <n v="14136"/>
    <n v="6641"/>
    <n v="6234"/>
    <n v="14743"/>
    <n v="13531"/>
    <n v="37408"/>
    <n v="1558.6666666666667"/>
    <n v="33901"/>
    <n v="1412.5416666666667"/>
    <n v="15538.033333333333"/>
    <n v="14324.741666666667"/>
  </r>
  <r>
    <x v="5"/>
    <s v="Kentucky State University "/>
    <m/>
    <n v="157058"/>
    <x v="3"/>
    <m/>
    <m/>
    <m/>
    <m/>
    <n v="19935"/>
    <n v="21886.5"/>
    <n v="2227"/>
    <n v="2253"/>
    <n v="19658"/>
    <n v="22244.5"/>
    <n v="41820"/>
    <n v="1394"/>
    <n v="46384"/>
    <n v="1546.1333333333334"/>
    <n v="6158"/>
    <n v="6775"/>
    <n v="41820"/>
    <n v="46384"/>
    <m/>
    <m/>
    <m/>
    <m/>
    <m/>
    <m/>
    <m/>
    <m/>
    <n v="0"/>
    <n v="0"/>
    <n v="0"/>
    <n v="0"/>
    <m/>
    <m/>
    <n v="0"/>
    <n v="0"/>
    <m/>
    <m/>
    <n v="957"/>
    <n v="857"/>
    <n v="137"/>
    <n v="103"/>
    <n v="782"/>
    <n v="889"/>
    <n v="1876"/>
    <n v="78.166666666666671"/>
    <n v="1849"/>
    <n v="77.041666666666671"/>
    <n v="1472.1666666666667"/>
    <n v="1623.1750000000002"/>
  </r>
  <r>
    <x v="5"/>
    <s v="Bluegrass Community and Technical College"/>
    <m/>
    <n v="157173"/>
    <x v="6"/>
    <m/>
    <m/>
    <m/>
    <m/>
    <n v="80843"/>
    <n v="88616"/>
    <n v="17327"/>
    <n v="17584"/>
    <n v="90938"/>
    <n v="96875"/>
    <n v="189108"/>
    <n v="6303.6"/>
    <n v="203075"/>
    <n v="6769.166666666667"/>
    <n v="10027"/>
    <n v="11685"/>
    <n v="189108"/>
    <n v="203075"/>
    <m/>
    <m/>
    <m/>
    <m/>
    <m/>
    <m/>
    <m/>
    <m/>
    <n v="0"/>
    <n v="0"/>
    <n v="0"/>
    <n v="0"/>
    <m/>
    <m/>
    <n v="0"/>
    <n v="0"/>
    <m/>
    <m/>
    <m/>
    <m/>
    <m/>
    <m/>
    <m/>
    <m/>
    <n v="0"/>
    <n v="0"/>
    <n v="0"/>
    <n v="0"/>
    <n v="6303.6"/>
    <n v="6769.166666666667"/>
  </r>
  <r>
    <x v="5"/>
    <s v="Jefferson Community and Technical College "/>
    <m/>
    <n v="156921"/>
    <x v="6"/>
    <m/>
    <m/>
    <m/>
    <m/>
    <n v="84482"/>
    <n v="85730.4"/>
    <n v="13353"/>
    <n v="13230"/>
    <n v="93198"/>
    <n v="94065.7"/>
    <n v="191033"/>
    <n v="6367.7666666666664"/>
    <n v="193026.09999999998"/>
    <n v="6434.2033333333329"/>
    <n v="21988"/>
    <n v="27799.5"/>
    <n v="191033"/>
    <n v="193026.09999999998"/>
    <m/>
    <m/>
    <m/>
    <m/>
    <m/>
    <m/>
    <m/>
    <m/>
    <n v="0"/>
    <n v="0"/>
    <n v="0"/>
    <n v="0"/>
    <m/>
    <m/>
    <n v="0"/>
    <n v="0"/>
    <m/>
    <m/>
    <m/>
    <m/>
    <m/>
    <m/>
    <m/>
    <m/>
    <n v="0"/>
    <n v="0"/>
    <n v="0"/>
    <n v="0"/>
    <n v="6367.7666666666664"/>
    <n v="6434.2033333333329"/>
  </r>
  <r>
    <x v="5"/>
    <s v="Ashland Community and Technical College"/>
    <s v="Reclassified: Met the criteria for Two-Year 3 in 2017-18, 2018-19, and 2019-20."/>
    <n v="156231"/>
    <x v="8"/>
    <m/>
    <m/>
    <m/>
    <m/>
    <n v="24595"/>
    <n v="24315"/>
    <n v="5229"/>
    <n v="4890"/>
    <n v="25626"/>
    <n v="26500"/>
    <n v="55450"/>
    <n v="1848.3333333333333"/>
    <n v="55705"/>
    <n v="1856.8333333333333"/>
    <n v="3216"/>
    <n v="3239"/>
    <n v="55450"/>
    <n v="55705"/>
    <m/>
    <m/>
    <m/>
    <m/>
    <m/>
    <m/>
    <m/>
    <m/>
    <n v="0"/>
    <n v="0"/>
    <n v="0"/>
    <n v="0"/>
    <m/>
    <m/>
    <n v="0"/>
    <n v="0"/>
    <m/>
    <m/>
    <m/>
    <m/>
    <m/>
    <m/>
    <m/>
    <m/>
    <n v="0"/>
    <n v="0"/>
    <n v="0"/>
    <n v="0"/>
    <n v="1848.3333333333333"/>
    <n v="1856.8333333333333"/>
  </r>
  <r>
    <x v="5"/>
    <s v="Big Sandy Community and Technical College "/>
    <s v="Met the criteria for Two-Year 3 in 2019-20."/>
    <n v="157553"/>
    <x v="7"/>
    <m/>
    <m/>
    <m/>
    <m/>
    <n v="30516"/>
    <n v="24952.9"/>
    <n v="3452"/>
    <n v="3727"/>
    <n v="31887"/>
    <n v="28954.1"/>
    <n v="65855"/>
    <n v="2195.1666666666665"/>
    <n v="57634"/>
    <n v="1921.1333333333334"/>
    <n v="4478"/>
    <n v="3736"/>
    <n v="65855"/>
    <n v="57634"/>
    <m/>
    <m/>
    <m/>
    <m/>
    <m/>
    <m/>
    <m/>
    <m/>
    <n v="0"/>
    <n v="0"/>
    <n v="0"/>
    <n v="0"/>
    <m/>
    <m/>
    <n v="0"/>
    <n v="0"/>
    <m/>
    <m/>
    <m/>
    <m/>
    <m/>
    <m/>
    <m/>
    <m/>
    <n v="0"/>
    <n v="0"/>
    <n v="0"/>
    <n v="0"/>
    <n v="2195.1666666666665"/>
    <n v="1921.1333333333334"/>
  </r>
  <r>
    <x v="5"/>
    <s v="Elizabethtown Community and Technical College "/>
    <m/>
    <n v="156648"/>
    <x v="7"/>
    <m/>
    <m/>
    <m/>
    <m/>
    <n v="45278"/>
    <n v="44960.800000000003"/>
    <n v="9427"/>
    <n v="8943"/>
    <n v="52368"/>
    <n v="52319.6"/>
    <n v="107073"/>
    <n v="3569.1"/>
    <n v="106223.4"/>
    <n v="3540.7799999999997"/>
    <n v="11834"/>
    <n v="14608.6"/>
    <n v="107073"/>
    <n v="106223.4"/>
    <m/>
    <m/>
    <m/>
    <m/>
    <m/>
    <m/>
    <m/>
    <m/>
    <n v="0"/>
    <n v="0"/>
    <n v="0"/>
    <n v="0"/>
    <m/>
    <m/>
    <n v="0"/>
    <n v="0"/>
    <m/>
    <m/>
    <m/>
    <m/>
    <m/>
    <m/>
    <m/>
    <m/>
    <n v="0"/>
    <n v="0"/>
    <n v="0"/>
    <n v="0"/>
    <n v="3569.1"/>
    <n v="3540.7799999999997"/>
  </r>
  <r>
    <x v="5"/>
    <s v="Maysville Community and Technical College "/>
    <m/>
    <n v="157331"/>
    <x v="7"/>
    <m/>
    <m/>
    <m/>
    <m/>
    <n v="29238"/>
    <n v="26671"/>
    <n v="4943"/>
    <n v="4064"/>
    <n v="34638"/>
    <n v="32450.799999999999"/>
    <n v="68819"/>
    <n v="2293.9666666666667"/>
    <n v="63185.8"/>
    <n v="2106.1933333333336"/>
    <n v="11827"/>
    <n v="10506"/>
    <n v="68819"/>
    <n v="63185.8"/>
    <m/>
    <m/>
    <m/>
    <m/>
    <m/>
    <m/>
    <m/>
    <m/>
    <n v="0"/>
    <n v="0"/>
    <n v="0"/>
    <n v="0"/>
    <m/>
    <m/>
    <n v="0"/>
    <n v="0"/>
    <m/>
    <m/>
    <m/>
    <m/>
    <m/>
    <m/>
    <m/>
    <m/>
    <n v="0"/>
    <n v="0"/>
    <n v="0"/>
    <n v="0"/>
    <n v="2293.9666666666667"/>
    <n v="2106.1933333333336"/>
  </r>
  <r>
    <x v="5"/>
    <s v="Owensboro Community and Technical College "/>
    <m/>
    <n v="247940"/>
    <x v="7"/>
    <m/>
    <m/>
    <m/>
    <m/>
    <n v="28784"/>
    <n v="32508.5"/>
    <n v="4870"/>
    <n v="4747"/>
    <n v="33846"/>
    <n v="35311.699999999997"/>
    <n v="67500"/>
    <n v="2250"/>
    <n v="72567.199999999997"/>
    <n v="2418.9066666666668"/>
    <n v="12790"/>
    <n v="15123.3"/>
    <n v="67500"/>
    <n v="72567.199999999997"/>
    <m/>
    <m/>
    <m/>
    <m/>
    <m/>
    <m/>
    <m/>
    <m/>
    <n v="0"/>
    <n v="0"/>
    <n v="0"/>
    <n v="0"/>
    <m/>
    <m/>
    <n v="0"/>
    <n v="0"/>
    <m/>
    <m/>
    <m/>
    <m/>
    <m/>
    <m/>
    <m/>
    <m/>
    <n v="0"/>
    <n v="0"/>
    <n v="0"/>
    <n v="0"/>
    <n v="2250"/>
    <n v="2418.9066666666668"/>
  </r>
  <r>
    <x v="5"/>
    <s v="Somerset Community and Technical College "/>
    <m/>
    <n v="157711"/>
    <x v="7"/>
    <m/>
    <m/>
    <m/>
    <m/>
    <n v="46791"/>
    <n v="41715.5"/>
    <n v="8692"/>
    <n v="7765"/>
    <n v="53780"/>
    <n v="49358.2"/>
    <n v="109263"/>
    <n v="3642.1"/>
    <n v="98838.7"/>
    <n v="3294.6233333333334"/>
    <n v="9099"/>
    <n v="9303.6"/>
    <n v="109263"/>
    <n v="98838.7"/>
    <m/>
    <m/>
    <m/>
    <m/>
    <m/>
    <m/>
    <m/>
    <m/>
    <n v="0"/>
    <n v="0"/>
    <n v="0"/>
    <n v="0"/>
    <m/>
    <m/>
    <n v="0"/>
    <n v="0"/>
    <m/>
    <m/>
    <m/>
    <m/>
    <m/>
    <m/>
    <m/>
    <m/>
    <n v="0"/>
    <n v="0"/>
    <n v="0"/>
    <n v="0"/>
    <n v="3642.1"/>
    <n v="3294.6233333333334"/>
  </r>
  <r>
    <x v="5"/>
    <s v="West Kentucky Community and Technical College"/>
    <m/>
    <n v="157483"/>
    <x v="7"/>
    <m/>
    <m/>
    <m/>
    <m/>
    <n v="42159"/>
    <n v="39758.400000000001"/>
    <n v="8666"/>
    <n v="7280"/>
    <n v="46158"/>
    <n v="45707.9"/>
    <n v="96983"/>
    <n v="3232.7666666666669"/>
    <n v="92746.3"/>
    <n v="3091.5433333333335"/>
    <n v="7840"/>
    <n v="8208.2999999999993"/>
    <n v="96983"/>
    <n v="92746.3"/>
    <m/>
    <m/>
    <m/>
    <m/>
    <m/>
    <m/>
    <m/>
    <m/>
    <n v="0"/>
    <n v="0"/>
    <n v="0"/>
    <n v="0"/>
    <m/>
    <m/>
    <n v="0"/>
    <n v="0"/>
    <m/>
    <m/>
    <m/>
    <m/>
    <m/>
    <m/>
    <m/>
    <m/>
    <n v="0"/>
    <n v="0"/>
    <n v="0"/>
    <n v="0"/>
    <n v="3232.7666666666669"/>
    <n v="3091.5433333333335"/>
  </r>
  <r>
    <x v="5"/>
    <s v="Hazard Community and Technical College"/>
    <m/>
    <n v="156790"/>
    <x v="8"/>
    <m/>
    <m/>
    <m/>
    <m/>
    <n v="22851"/>
    <n v="23361.3"/>
    <n v="5506"/>
    <n v="5706"/>
    <n v="26682"/>
    <n v="26283"/>
    <n v="55039"/>
    <n v="1834.6333333333334"/>
    <n v="55350.3"/>
    <n v="1845.01"/>
    <n v="6285"/>
    <n v="8211.7999999999993"/>
    <n v="55039"/>
    <n v="55350.3"/>
    <m/>
    <m/>
    <m/>
    <m/>
    <m/>
    <m/>
    <m/>
    <m/>
    <n v="0"/>
    <n v="0"/>
    <n v="0"/>
    <n v="0"/>
    <m/>
    <m/>
    <n v="0"/>
    <n v="0"/>
    <m/>
    <m/>
    <m/>
    <m/>
    <m/>
    <m/>
    <m/>
    <m/>
    <n v="0"/>
    <n v="0"/>
    <n v="0"/>
    <n v="0"/>
    <n v="1834.6333333333334"/>
    <n v="1845.01"/>
  </r>
  <r>
    <x v="5"/>
    <s v="Henderson Community College "/>
    <m/>
    <n v="156851"/>
    <x v="8"/>
    <m/>
    <m/>
    <m/>
    <m/>
    <n v="11819"/>
    <n v="10242"/>
    <n v="1726"/>
    <n v="1722"/>
    <n v="13875"/>
    <n v="12972"/>
    <n v="27420"/>
    <n v="914"/>
    <n v="24936"/>
    <n v="831.2"/>
    <n v="4379"/>
    <n v="3690"/>
    <n v="27420"/>
    <n v="24936"/>
    <m/>
    <m/>
    <m/>
    <m/>
    <m/>
    <m/>
    <m/>
    <m/>
    <n v="0"/>
    <n v="0"/>
    <n v="0"/>
    <n v="0"/>
    <m/>
    <m/>
    <n v="0"/>
    <n v="0"/>
    <m/>
    <m/>
    <m/>
    <m/>
    <m/>
    <m/>
    <m/>
    <m/>
    <n v="0"/>
    <n v="0"/>
    <n v="0"/>
    <n v="0"/>
    <n v="914"/>
    <n v="831.2"/>
  </r>
  <r>
    <x v="5"/>
    <s v="Hopkinsville Community College "/>
    <m/>
    <n v="156860"/>
    <x v="8"/>
    <m/>
    <m/>
    <m/>
    <m/>
    <n v="19816"/>
    <n v="19380"/>
    <n v="4253"/>
    <n v="4493"/>
    <n v="22883"/>
    <n v="21635"/>
    <n v="46952"/>
    <n v="1565.0666666666666"/>
    <n v="45508"/>
    <n v="1516.9333333333334"/>
    <n v="3821"/>
    <n v="4355"/>
    <n v="46952"/>
    <n v="45508"/>
    <m/>
    <m/>
    <m/>
    <m/>
    <m/>
    <m/>
    <m/>
    <m/>
    <n v="0"/>
    <n v="0"/>
    <n v="0"/>
    <n v="0"/>
    <m/>
    <m/>
    <n v="0"/>
    <n v="0"/>
    <m/>
    <m/>
    <m/>
    <m/>
    <m/>
    <m/>
    <m/>
    <m/>
    <n v="0"/>
    <n v="0"/>
    <n v="0"/>
    <n v="0"/>
    <n v="1565.0666666666666"/>
    <n v="1516.9333333333334"/>
  </r>
  <r>
    <x v="5"/>
    <s v="Madisonville Community College"/>
    <m/>
    <n v="157304"/>
    <x v="8"/>
    <m/>
    <m/>
    <m/>
    <m/>
    <n v="21275"/>
    <n v="21936.2"/>
    <n v="2999"/>
    <n v="3624"/>
    <n v="25709"/>
    <n v="26664.1"/>
    <n v="49983"/>
    <n v="1666.1"/>
    <n v="52224.3"/>
    <n v="1740.8100000000002"/>
    <n v="8252"/>
    <n v="9777"/>
    <n v="49983"/>
    <n v="52224.3"/>
    <m/>
    <m/>
    <m/>
    <m/>
    <m/>
    <m/>
    <m/>
    <m/>
    <n v="0"/>
    <n v="0"/>
    <n v="0"/>
    <n v="0"/>
    <m/>
    <m/>
    <n v="0"/>
    <n v="0"/>
    <m/>
    <m/>
    <m/>
    <m/>
    <m/>
    <m/>
    <m/>
    <m/>
    <n v="0"/>
    <n v="0"/>
    <n v="0"/>
    <n v="0"/>
    <n v="1666.1"/>
    <n v="1740.8100000000002"/>
  </r>
  <r>
    <x v="5"/>
    <s v="Southeast Kentucky Community and Technical College"/>
    <m/>
    <n v="157739"/>
    <x v="8"/>
    <m/>
    <m/>
    <m/>
    <m/>
    <n v="24213"/>
    <n v="21918.6"/>
    <n v="3843"/>
    <n v="3450"/>
    <n v="26846"/>
    <n v="27700.3"/>
    <n v="54902"/>
    <n v="1830.0666666666666"/>
    <n v="53068.899999999994"/>
    <n v="1768.9633333333331"/>
    <n v="6663"/>
    <n v="7467.2"/>
    <n v="54902"/>
    <n v="53068.899999999994"/>
    <m/>
    <m/>
    <m/>
    <m/>
    <m/>
    <m/>
    <m/>
    <m/>
    <n v="0"/>
    <n v="0"/>
    <n v="0"/>
    <n v="0"/>
    <m/>
    <m/>
    <n v="0"/>
    <n v="0"/>
    <m/>
    <m/>
    <m/>
    <m/>
    <m/>
    <m/>
    <m/>
    <m/>
    <n v="0"/>
    <n v="0"/>
    <n v="0"/>
    <n v="0"/>
    <n v="1830.0666666666666"/>
    <n v="1768.9633333333331"/>
  </r>
  <r>
    <x v="5"/>
    <s v="Gateway Community and Technical College"/>
    <m/>
    <n v="157438"/>
    <x v="9"/>
    <m/>
    <m/>
    <m/>
    <m/>
    <n v="30797"/>
    <n v="32837.800000000003"/>
    <n v="6036"/>
    <n v="6496"/>
    <n v="33583"/>
    <n v="36568.199999999997"/>
    <n v="70416"/>
    <n v="2347.1999999999998"/>
    <n v="75902"/>
    <n v="2530.0666666666666"/>
    <n v="9474"/>
    <n v="11804.5"/>
    <n v="70416"/>
    <n v="75902"/>
    <m/>
    <m/>
    <m/>
    <m/>
    <m/>
    <m/>
    <m/>
    <m/>
    <n v="0"/>
    <n v="0"/>
    <n v="0"/>
    <n v="0"/>
    <m/>
    <m/>
    <n v="0"/>
    <n v="0"/>
    <m/>
    <m/>
    <m/>
    <m/>
    <m/>
    <m/>
    <m/>
    <m/>
    <n v="0"/>
    <n v="0"/>
    <n v="0"/>
    <n v="0"/>
    <n v="2347.1999999999998"/>
    <n v="2530.0666666666666"/>
  </r>
  <r>
    <x v="5"/>
    <s v="Southcentral Kentucky Community and Technical College"/>
    <m/>
    <n v="156338"/>
    <x v="9"/>
    <m/>
    <m/>
    <m/>
    <m/>
    <n v="34390"/>
    <n v="35020"/>
    <n v="5482"/>
    <n v="5356"/>
    <n v="39672"/>
    <n v="39600.699999999997"/>
    <n v="79544"/>
    <n v="2651.4666666666667"/>
    <n v="79976.7"/>
    <n v="2665.89"/>
    <n v="8570"/>
    <n v="8476"/>
    <n v="79544"/>
    <n v="79976.7"/>
    <m/>
    <m/>
    <m/>
    <m/>
    <m/>
    <m/>
    <m/>
    <m/>
    <n v="0"/>
    <n v="0"/>
    <n v="0"/>
    <n v="0"/>
    <m/>
    <m/>
    <n v="0"/>
    <n v="0"/>
    <m/>
    <m/>
    <m/>
    <m/>
    <m/>
    <m/>
    <m/>
    <m/>
    <n v="0"/>
    <n v="0"/>
    <n v="0"/>
    <n v="0"/>
    <n v="2651.4666666666667"/>
    <n v="2665.89"/>
  </r>
  <r>
    <x v="6"/>
    <s v="Louisiana State University and A&amp;M College"/>
    <m/>
    <n v="159391"/>
    <x v="0"/>
    <m/>
    <m/>
    <m/>
    <m/>
    <n v="316305"/>
    <n v="319146"/>
    <n v="32275"/>
    <n v="28240"/>
    <n v="348772"/>
    <n v="354136"/>
    <n v="697352"/>
    <n v="23245.066666666666"/>
    <n v="701522"/>
    <n v="23384.066666666666"/>
    <n v="10766"/>
    <n v="13261"/>
    <n v="697352"/>
    <n v="701522"/>
    <m/>
    <m/>
    <m/>
    <m/>
    <m/>
    <m/>
    <m/>
    <m/>
    <n v="0"/>
    <n v="0"/>
    <n v="0"/>
    <n v="0"/>
    <m/>
    <m/>
    <n v="0"/>
    <n v="0"/>
    <m/>
    <m/>
    <n v="57509"/>
    <n v="60091"/>
    <n v="15173"/>
    <n v="15984"/>
    <n v="64987.5"/>
    <n v="67908.5"/>
    <n v="137669.5"/>
    <n v="5736.229166666667"/>
    <n v="143983.5"/>
    <n v="5999.3125"/>
    <n v="28981.295833333334"/>
    <n v="29383.379166666666"/>
  </r>
  <r>
    <x v="6"/>
    <s v="Louisiana Tech University "/>
    <m/>
    <n v="159647"/>
    <x v="1"/>
    <m/>
    <m/>
    <n v="80134"/>
    <n v="78585"/>
    <n v="84152"/>
    <n v="82208"/>
    <n v="14169"/>
    <n v="13356"/>
    <n v="95345"/>
    <n v="92816"/>
    <n v="273800"/>
    <n v="9126.6666666666661"/>
    <n v="266965"/>
    <n v="8898.8333333333339"/>
    <n v="24555"/>
    <n v="19972"/>
    <n v="273800"/>
    <n v="266965"/>
    <m/>
    <m/>
    <m/>
    <m/>
    <m/>
    <m/>
    <m/>
    <m/>
    <n v="0"/>
    <n v="0"/>
    <n v="0"/>
    <n v="0"/>
    <m/>
    <m/>
    <n v="0"/>
    <n v="0"/>
    <n v="6418"/>
    <n v="5909"/>
    <n v="6098"/>
    <n v="6127"/>
    <n v="3998"/>
    <n v="3571"/>
    <n v="6564"/>
    <n v="6431"/>
    <n v="23078"/>
    <n v="961.58333333333337"/>
    <n v="22038"/>
    <n v="918.25"/>
    <n v="10088.25"/>
    <n v="9817.0833333333339"/>
  </r>
  <r>
    <x v="6"/>
    <s v="University of Louisiana at Lafayette"/>
    <m/>
    <n v="160658"/>
    <x v="1"/>
    <m/>
    <m/>
    <m/>
    <m/>
    <n v="185695"/>
    <n v="177885"/>
    <n v="19040"/>
    <n v="17740"/>
    <n v="198161"/>
    <n v="190623"/>
    <n v="402896"/>
    <n v="13429.866666666667"/>
    <n v="386248"/>
    <n v="12874.933333333332"/>
    <n v="4956"/>
    <n v="5307"/>
    <n v="402896"/>
    <n v="386248"/>
    <m/>
    <m/>
    <m/>
    <m/>
    <m/>
    <m/>
    <m/>
    <m/>
    <n v="0"/>
    <n v="0"/>
    <n v="0"/>
    <n v="0"/>
    <m/>
    <m/>
    <n v="0"/>
    <n v="0"/>
    <m/>
    <m/>
    <n v="12914"/>
    <n v="15803"/>
    <n v="3975"/>
    <n v="5192"/>
    <n v="15713"/>
    <n v="17724"/>
    <n v="32602"/>
    <n v="1358.4166666666667"/>
    <n v="38719"/>
    <n v="1613.2916666666667"/>
    <n v="14788.283333333333"/>
    <n v="14488.224999999999"/>
  </r>
  <r>
    <x v="6"/>
    <s v="University of New Orleans"/>
    <m/>
    <n v="159939"/>
    <x v="1"/>
    <m/>
    <m/>
    <m/>
    <m/>
    <n v="71024"/>
    <n v="72248"/>
    <n v="12647"/>
    <n v="13044"/>
    <n v="79972"/>
    <n v="80373"/>
    <n v="163643"/>
    <n v="5454.7666666666664"/>
    <n v="165665"/>
    <n v="5522.166666666667"/>
    <n v="3451"/>
    <n v="4929"/>
    <n v="163643"/>
    <n v="165665"/>
    <m/>
    <m/>
    <m/>
    <m/>
    <m/>
    <m/>
    <m/>
    <m/>
    <n v="0"/>
    <n v="0"/>
    <n v="0"/>
    <n v="0"/>
    <m/>
    <m/>
    <n v="0"/>
    <n v="0"/>
    <m/>
    <m/>
    <n v="9439"/>
    <n v="10099"/>
    <n v="2441"/>
    <n v="2402"/>
    <n v="10963"/>
    <n v="10810"/>
    <n v="22843"/>
    <n v="951.79166666666663"/>
    <n v="23311"/>
    <n v="971.29166666666663"/>
    <n v="6406.5583333333334"/>
    <n v="6493.4583333333339"/>
  </r>
  <r>
    <x v="6"/>
    <s v="McNeese State University"/>
    <m/>
    <n v="159717"/>
    <x v="2"/>
    <m/>
    <m/>
    <m/>
    <m/>
    <n v="82529"/>
    <n v="83295"/>
    <n v="9745"/>
    <n v="9599"/>
    <n v="94065"/>
    <n v="89545"/>
    <n v="186339"/>
    <n v="6211.3"/>
    <n v="182439"/>
    <n v="6081.3"/>
    <n v="11291"/>
    <n v="10902"/>
    <n v="186339"/>
    <n v="182439"/>
    <m/>
    <m/>
    <m/>
    <m/>
    <m/>
    <m/>
    <m/>
    <m/>
    <n v="0"/>
    <n v="0"/>
    <n v="0"/>
    <n v="0"/>
    <m/>
    <m/>
    <n v="0"/>
    <n v="0"/>
    <m/>
    <m/>
    <n v="4703"/>
    <n v="4575"/>
    <n v="1076"/>
    <n v="1131"/>
    <n v="4856"/>
    <n v="4897"/>
    <n v="10635"/>
    <n v="443.125"/>
    <n v="10603"/>
    <n v="441.79166666666669"/>
    <n v="6654.4250000000002"/>
    <n v="6523.0916666666672"/>
  </r>
  <r>
    <x v="6"/>
    <s v="Southeastern Louisiana University "/>
    <m/>
    <n v="160612"/>
    <x v="2"/>
    <m/>
    <m/>
    <m/>
    <m/>
    <n v="149604"/>
    <n v="149827"/>
    <n v="17163"/>
    <n v="17379"/>
    <n v="158253"/>
    <n v="159246"/>
    <n v="325020"/>
    <n v="10834"/>
    <n v="326452"/>
    <n v="10881.733333333334"/>
    <n v="23996"/>
    <n v="21710"/>
    <n v="325020"/>
    <n v="326452"/>
    <m/>
    <m/>
    <m/>
    <m/>
    <m/>
    <m/>
    <m/>
    <m/>
    <n v="0"/>
    <n v="0"/>
    <n v="0"/>
    <n v="0"/>
    <m/>
    <m/>
    <n v="0"/>
    <n v="0"/>
    <m/>
    <m/>
    <n v="6686"/>
    <n v="6654"/>
    <n v="3185"/>
    <n v="3221"/>
    <n v="6796"/>
    <n v="6941"/>
    <n v="16667"/>
    <n v="694.45833333333337"/>
    <n v="16816"/>
    <n v="700.66666666666663"/>
    <n v="11528.458333333334"/>
    <n v="11582.4"/>
  </r>
  <r>
    <x v="6"/>
    <s v="Southern University and A&amp;M College at Baton Rouge "/>
    <m/>
    <n v="160621"/>
    <x v="2"/>
    <m/>
    <m/>
    <m/>
    <m/>
    <n v="67250"/>
    <n v="70114"/>
    <n v="8759"/>
    <n v="9215"/>
    <n v="78310"/>
    <n v="79480"/>
    <n v="154319"/>
    <n v="5143.9666666666662"/>
    <n v="158809"/>
    <n v="5293.6333333333332"/>
    <n v="1698"/>
    <n v="2513"/>
    <n v="154319"/>
    <n v="158809"/>
    <m/>
    <m/>
    <m/>
    <m/>
    <m/>
    <m/>
    <m/>
    <m/>
    <n v="0"/>
    <n v="0"/>
    <n v="0"/>
    <n v="0"/>
    <m/>
    <m/>
    <n v="0"/>
    <n v="0"/>
    <m/>
    <m/>
    <n v="7547"/>
    <n v="6976"/>
    <n v="2005"/>
    <n v="1950"/>
    <n v="7040"/>
    <n v="6845"/>
    <n v="16592"/>
    <n v="691.33333333333337"/>
    <n v="15771"/>
    <n v="657.125"/>
    <n v="5835.2999999999993"/>
    <n v="5950.7583333333332"/>
  </r>
  <r>
    <x v="6"/>
    <s v="University of Louisiana at Monroe"/>
    <m/>
    <n v="159993"/>
    <x v="2"/>
    <m/>
    <m/>
    <m/>
    <m/>
    <n v="89035"/>
    <n v="85595"/>
    <n v="9075"/>
    <n v="8257"/>
    <n v="93200"/>
    <n v="86786"/>
    <n v="191310"/>
    <n v="6377"/>
    <n v="180638"/>
    <n v="6021.2666666666664"/>
    <n v="15582"/>
    <n v="12605"/>
    <n v="191310"/>
    <n v="180638"/>
    <m/>
    <m/>
    <m/>
    <m/>
    <m/>
    <m/>
    <m/>
    <m/>
    <n v="0"/>
    <n v="0"/>
    <n v="0"/>
    <n v="0"/>
    <m/>
    <m/>
    <n v="0"/>
    <n v="0"/>
    <m/>
    <m/>
    <n v="12987"/>
    <n v="15700"/>
    <n v="4700"/>
    <n v="5754"/>
    <n v="15331"/>
    <n v="17415"/>
    <n v="33018"/>
    <n v="1375.75"/>
    <n v="38869"/>
    <n v="1619.5416666666667"/>
    <n v="7752.75"/>
    <n v="7640.8083333333334"/>
  </r>
  <r>
    <x v="6"/>
    <s v="Grambling State University"/>
    <m/>
    <n v="159009"/>
    <x v="3"/>
    <m/>
    <m/>
    <m/>
    <m/>
    <n v="52306"/>
    <n v="52125"/>
    <n v="10159"/>
    <n v="9509"/>
    <n v="58800"/>
    <n v="58761"/>
    <n v="121265"/>
    <n v="4042.1666666666665"/>
    <n v="120395"/>
    <n v="4013.1666666666665"/>
    <n v="219"/>
    <n v="201"/>
    <n v="121265"/>
    <n v="120395"/>
    <m/>
    <m/>
    <m/>
    <m/>
    <m/>
    <m/>
    <m/>
    <m/>
    <n v="0"/>
    <n v="0"/>
    <n v="0"/>
    <n v="0"/>
    <m/>
    <m/>
    <n v="0"/>
    <n v="0"/>
    <m/>
    <m/>
    <n v="7753"/>
    <n v="7289"/>
    <n v="3452"/>
    <n v="3168"/>
    <n v="7909"/>
    <n v="7639"/>
    <n v="19114"/>
    <n v="796.41666666666663"/>
    <n v="18096"/>
    <n v="754"/>
    <n v="4838.583333333333"/>
    <n v="4767.1666666666661"/>
  </r>
  <r>
    <x v="6"/>
    <s v="Louisiana State University in Shreveport"/>
    <m/>
    <n v="159416"/>
    <x v="3"/>
    <m/>
    <m/>
    <m/>
    <m/>
    <n v="27052"/>
    <n v="26007"/>
    <n v="4272"/>
    <n v="4865"/>
    <n v="27633"/>
    <n v="28983"/>
    <n v="58957"/>
    <n v="1965.2333333333333"/>
    <n v="59855"/>
    <n v="1995.1666666666667"/>
    <n v="3518"/>
    <n v="2506"/>
    <n v="58957"/>
    <n v="59855"/>
    <m/>
    <m/>
    <m/>
    <m/>
    <m/>
    <m/>
    <m/>
    <m/>
    <n v="0"/>
    <n v="0"/>
    <n v="0"/>
    <n v="0"/>
    <m/>
    <m/>
    <n v="0"/>
    <n v="0"/>
    <m/>
    <m/>
    <n v="22755"/>
    <n v="32137"/>
    <n v="19538"/>
    <n v="28466"/>
    <n v="27913"/>
    <n v="36813"/>
    <n v="70206"/>
    <n v="2925.25"/>
    <n v="97416"/>
    <n v="4059"/>
    <n v="4890.4833333333336"/>
    <n v="6054.166666666667"/>
  </r>
  <r>
    <x v="6"/>
    <s v="Nicholls State University "/>
    <m/>
    <n v="159966"/>
    <x v="3"/>
    <m/>
    <m/>
    <m/>
    <m/>
    <n v="68990"/>
    <n v="71653"/>
    <n v="7890"/>
    <n v="7849"/>
    <n v="78544"/>
    <n v="79340"/>
    <n v="155424"/>
    <n v="5180.8"/>
    <n v="158842"/>
    <n v="5294.7333333333336"/>
    <n v="2079"/>
    <n v="1792"/>
    <n v="155424"/>
    <n v="158842"/>
    <m/>
    <m/>
    <m/>
    <m/>
    <m/>
    <m/>
    <m/>
    <m/>
    <n v="0"/>
    <n v="0"/>
    <n v="0"/>
    <n v="0"/>
    <m/>
    <m/>
    <n v="0"/>
    <n v="0"/>
    <m/>
    <m/>
    <n v="4090"/>
    <n v="4247"/>
    <n v="1797"/>
    <n v="1698"/>
    <n v="4188"/>
    <n v="4363"/>
    <n v="10075"/>
    <n v="419.79166666666669"/>
    <n v="10308"/>
    <n v="429.5"/>
    <n v="5600.5916666666672"/>
    <n v="5724.2333333333336"/>
  </r>
  <r>
    <x v="6"/>
    <s v="Northwestern State University"/>
    <m/>
    <n v="160038"/>
    <x v="3"/>
    <m/>
    <m/>
    <m/>
    <m/>
    <n v="105552"/>
    <n v="107797"/>
    <n v="15890"/>
    <n v="15708"/>
    <n v="117830"/>
    <n v="117171"/>
    <n v="239272"/>
    <n v="7975.7333333333336"/>
    <n v="240676"/>
    <n v="8022.5333333333338"/>
    <n v="8629"/>
    <n v="18051"/>
    <n v="239272"/>
    <n v="240676"/>
    <m/>
    <m/>
    <m/>
    <m/>
    <m/>
    <m/>
    <m/>
    <m/>
    <n v="0"/>
    <n v="0"/>
    <n v="0"/>
    <n v="0"/>
    <m/>
    <m/>
    <n v="0"/>
    <n v="0"/>
    <m/>
    <m/>
    <n v="5923"/>
    <n v="5408"/>
    <n v="3342"/>
    <n v="3154"/>
    <n v="6010"/>
    <n v="5967"/>
    <n v="15275"/>
    <n v="636.45833333333337"/>
    <n v="14529"/>
    <n v="605.375"/>
    <n v="8612.1916666666675"/>
    <n v="8627.9083333333328"/>
  </r>
  <r>
    <x v="6"/>
    <s v="Southern University at New Orleans"/>
    <m/>
    <n v="160630"/>
    <x v="4"/>
    <m/>
    <m/>
    <m/>
    <m/>
    <n v="23637"/>
    <n v="22074"/>
    <n v="2224"/>
    <n v="1939"/>
    <n v="22704"/>
    <n v="22264"/>
    <n v="48565"/>
    <n v="1618.8333333333333"/>
    <n v="46277"/>
    <n v="1542.5666666666666"/>
    <n v="1392"/>
    <n v="1494"/>
    <n v="48565"/>
    <n v="46277"/>
    <m/>
    <m/>
    <m/>
    <m/>
    <m/>
    <m/>
    <m/>
    <m/>
    <n v="0"/>
    <n v="0"/>
    <n v="0"/>
    <n v="0"/>
    <m/>
    <m/>
    <n v="0"/>
    <n v="0"/>
    <m/>
    <m/>
    <n v="4392"/>
    <n v="4383"/>
    <n v="735"/>
    <n v="651"/>
    <n v="4359"/>
    <n v="3840"/>
    <n v="9486"/>
    <n v="395.25"/>
    <n v="8874"/>
    <n v="369.75"/>
    <n v="2014.0833333333333"/>
    <n v="1912.3166666666666"/>
  </r>
  <r>
    <x v="6"/>
    <s v="Louisiana State University at Alexandria"/>
    <m/>
    <n v="159382"/>
    <x v="5"/>
    <m/>
    <m/>
    <m/>
    <m/>
    <n v="31745"/>
    <n v="30627"/>
    <n v="8094"/>
    <n v="8421"/>
    <n v="34601"/>
    <n v="35962"/>
    <n v="74440"/>
    <n v="2481.3333333333335"/>
    <n v="75010"/>
    <n v="2500.3333333333335"/>
    <n v="6297"/>
    <n v="5600"/>
    <n v="74440"/>
    <n v="75010"/>
    <m/>
    <m/>
    <m/>
    <m/>
    <m/>
    <m/>
    <m/>
    <m/>
    <n v="0"/>
    <n v="0"/>
    <n v="0"/>
    <n v="0"/>
    <m/>
    <m/>
    <n v="0"/>
    <n v="0"/>
    <m/>
    <m/>
    <n v="0"/>
    <n v="0"/>
    <n v="0"/>
    <n v="0"/>
    <n v="0"/>
    <n v="0"/>
    <n v="0"/>
    <n v="0"/>
    <n v="0"/>
    <n v="0"/>
    <n v="2481.3333333333335"/>
    <n v="2500.3333333333335"/>
  </r>
  <r>
    <x v="6"/>
    <s v="Baton Rouge Community College"/>
    <m/>
    <n v="437103"/>
    <x v="6"/>
    <m/>
    <m/>
    <m/>
    <m/>
    <n v="70184"/>
    <n v="72063"/>
    <n v="16709"/>
    <n v="16546"/>
    <n v="80684"/>
    <n v="78188"/>
    <n v="167577"/>
    <n v="5585.9"/>
    <n v="166797"/>
    <n v="5559.9"/>
    <n v="3398"/>
    <n v="3641"/>
    <n v="167577"/>
    <n v="166797"/>
    <m/>
    <m/>
    <m/>
    <m/>
    <m/>
    <m/>
    <m/>
    <m/>
    <n v="0"/>
    <n v="0"/>
    <n v="0"/>
    <n v="0"/>
    <m/>
    <m/>
    <n v="0"/>
    <n v="0"/>
    <m/>
    <m/>
    <n v="0"/>
    <n v="0"/>
    <n v="0"/>
    <n v="0"/>
    <n v="0"/>
    <n v="0"/>
    <n v="0"/>
    <n v="0"/>
    <n v="0"/>
    <n v="0"/>
    <n v="5585.9"/>
    <n v="5559.9"/>
  </r>
  <r>
    <x v="6"/>
    <s v="Bossier Parish Community College"/>
    <s v="Reclassified: Met the criteria for Two-Year 2 in 2017-18, 2018-19, and 2019-20."/>
    <n v="158431"/>
    <x v="7"/>
    <m/>
    <m/>
    <n v="0"/>
    <n v="0"/>
    <n v="62699"/>
    <n v="59337"/>
    <n v="12759"/>
    <n v="12059"/>
    <n v="65488"/>
    <n v="62994"/>
    <n v="140946"/>
    <n v="4698.2"/>
    <n v="134390"/>
    <n v="4479.666666666667"/>
    <n v="4338"/>
    <n v="4854"/>
    <n v="140946"/>
    <n v="134390"/>
    <m/>
    <m/>
    <m/>
    <m/>
    <m/>
    <m/>
    <m/>
    <m/>
    <n v="0"/>
    <n v="0"/>
    <n v="0"/>
    <n v="0"/>
    <m/>
    <m/>
    <n v="0"/>
    <n v="0"/>
    <n v="0"/>
    <m/>
    <n v="0"/>
    <n v="0"/>
    <n v="0"/>
    <n v="0"/>
    <n v="0"/>
    <n v="0"/>
    <n v="0"/>
    <n v="0"/>
    <n v="0"/>
    <n v="0"/>
    <n v="4698.2"/>
    <n v="4479.666666666667"/>
  </r>
  <r>
    <x v="6"/>
    <s v="Delgado Community College "/>
    <m/>
    <n v="158662"/>
    <x v="6"/>
    <m/>
    <m/>
    <m/>
    <m/>
    <n v="120475"/>
    <n v="119342"/>
    <n v="25124"/>
    <n v="25668"/>
    <n v="130349"/>
    <n v="128503"/>
    <n v="275948"/>
    <n v="9198.2666666666664"/>
    <n v="273513"/>
    <n v="9117.1"/>
    <n v="6172"/>
    <n v="6961"/>
    <n v="275948"/>
    <n v="273513"/>
    <m/>
    <m/>
    <m/>
    <m/>
    <m/>
    <m/>
    <m/>
    <m/>
    <n v="0"/>
    <n v="0"/>
    <n v="0"/>
    <n v="0"/>
    <m/>
    <m/>
    <n v="0"/>
    <n v="0"/>
    <m/>
    <m/>
    <n v="0"/>
    <n v="0"/>
    <n v="0"/>
    <n v="0"/>
    <n v="0"/>
    <n v="0"/>
    <n v="0"/>
    <n v="0"/>
    <n v="0"/>
    <n v="0"/>
    <n v="9198.2666666666664"/>
    <n v="9117.1"/>
  </r>
  <r>
    <x v="6"/>
    <s v="Louisiana Delta Community College"/>
    <m/>
    <n v="483212"/>
    <x v="7"/>
    <m/>
    <m/>
    <m/>
    <m/>
    <n v="33475"/>
    <n v="37133"/>
    <n v="9777"/>
    <n v="12240"/>
    <n v="37048"/>
    <n v="42692.5"/>
    <n v="80300"/>
    <n v="2676.6666666666665"/>
    <n v="92065.5"/>
    <n v="3068.85"/>
    <n v="4640"/>
    <n v="4869"/>
    <n v="80300"/>
    <n v="92065.5"/>
    <m/>
    <m/>
    <m/>
    <m/>
    <m/>
    <m/>
    <m/>
    <m/>
    <n v="0"/>
    <n v="0"/>
    <n v="0"/>
    <n v="0"/>
    <m/>
    <m/>
    <n v="0"/>
    <n v="0"/>
    <m/>
    <m/>
    <n v="0"/>
    <n v="0"/>
    <n v="0"/>
    <n v="0"/>
    <n v="0"/>
    <n v="0"/>
    <n v="0"/>
    <n v="0"/>
    <n v="0"/>
    <n v="0"/>
    <n v="2676.6666666666665"/>
    <n v="3068.85"/>
  </r>
  <r>
    <x v="6"/>
    <s v="South Louisiana Community College"/>
    <m/>
    <n v="434061"/>
    <x v="7"/>
    <m/>
    <m/>
    <m/>
    <m/>
    <n v="60478"/>
    <n v="58167"/>
    <n v="13905"/>
    <n v="15709"/>
    <n v="64028"/>
    <n v="69068"/>
    <n v="138411"/>
    <n v="4613.7"/>
    <n v="142944"/>
    <n v="4764.8"/>
    <n v="10338"/>
    <n v="12335"/>
    <n v="138411"/>
    <n v="142944"/>
    <m/>
    <m/>
    <m/>
    <m/>
    <m/>
    <m/>
    <m/>
    <m/>
    <n v="0"/>
    <n v="0"/>
    <n v="0"/>
    <n v="0"/>
    <m/>
    <m/>
    <n v="0"/>
    <n v="0"/>
    <m/>
    <m/>
    <n v="0"/>
    <n v="0"/>
    <n v="0"/>
    <n v="0"/>
    <n v="0"/>
    <n v="0"/>
    <n v="0"/>
    <n v="0"/>
    <n v="0"/>
    <n v="0"/>
    <n v="4613.7"/>
    <n v="4764.8"/>
  </r>
  <r>
    <x v="6"/>
    <s v="Southern University in Shreveport"/>
    <m/>
    <n v="160649"/>
    <x v="7"/>
    <m/>
    <m/>
    <m/>
    <m/>
    <n v="24085"/>
    <n v="24894"/>
    <n v="9150"/>
    <n v="9753"/>
    <n v="27062"/>
    <n v="31001"/>
    <n v="60297"/>
    <n v="2009.9"/>
    <n v="65648"/>
    <n v="2188.2666666666669"/>
    <n v="4403"/>
    <n v="4219"/>
    <n v="60297"/>
    <n v="65648"/>
    <m/>
    <m/>
    <m/>
    <m/>
    <m/>
    <m/>
    <m/>
    <m/>
    <n v="0"/>
    <n v="0"/>
    <n v="0"/>
    <n v="0"/>
    <m/>
    <m/>
    <n v="0"/>
    <n v="0"/>
    <m/>
    <m/>
    <n v="0"/>
    <n v="0"/>
    <n v="0"/>
    <n v="0"/>
    <n v="0"/>
    <n v="0"/>
    <n v="0"/>
    <n v="0"/>
    <n v="0"/>
    <n v="0"/>
    <n v="2009.9"/>
    <n v="2188.2666666666669"/>
  </r>
  <r>
    <x v="6"/>
    <s v="Louisiana State University at Eunice"/>
    <s v="Met the criteria for Two-Year 2 in 2018-19 and 2019-20."/>
    <n v="159407"/>
    <x v="8"/>
    <m/>
    <m/>
    <m/>
    <m/>
    <n v="27271"/>
    <n v="27806"/>
    <n v="3678"/>
    <n v="3542"/>
    <n v="32229"/>
    <n v="30533"/>
    <n v="63178"/>
    <n v="2105.9333333333334"/>
    <n v="61881"/>
    <n v="2062.6999999999998"/>
    <n v="5583"/>
    <n v="5257"/>
    <n v="63178"/>
    <n v="61881"/>
    <m/>
    <m/>
    <m/>
    <m/>
    <m/>
    <m/>
    <m/>
    <m/>
    <n v="0"/>
    <n v="0"/>
    <n v="0"/>
    <n v="0"/>
    <m/>
    <m/>
    <n v="0"/>
    <n v="0"/>
    <m/>
    <m/>
    <n v="0"/>
    <n v="0"/>
    <n v="0"/>
    <n v="0"/>
    <n v="0"/>
    <n v="0"/>
    <n v="0"/>
    <n v="0"/>
    <n v="0"/>
    <n v="0"/>
    <n v="2105.9333333333334"/>
    <n v="2062.6999999999998"/>
  </r>
  <r>
    <x v="6"/>
    <s v="Nunez Community College"/>
    <m/>
    <n v="158884"/>
    <x v="8"/>
    <m/>
    <m/>
    <m/>
    <m/>
    <n v="20227"/>
    <n v="19433"/>
    <n v="4120"/>
    <n v="4101"/>
    <n v="21173"/>
    <n v="20306"/>
    <n v="45520"/>
    <n v="1517.3333333333333"/>
    <n v="43840"/>
    <n v="1461.3333333333333"/>
    <n v="8426"/>
    <n v="4571"/>
    <n v="45520"/>
    <n v="43840"/>
    <m/>
    <m/>
    <m/>
    <m/>
    <m/>
    <m/>
    <m/>
    <m/>
    <n v="0"/>
    <n v="0"/>
    <n v="0"/>
    <n v="0"/>
    <m/>
    <m/>
    <n v="0"/>
    <n v="0"/>
    <m/>
    <m/>
    <n v="0"/>
    <n v="0"/>
    <n v="0"/>
    <n v="0"/>
    <n v="0"/>
    <n v="0"/>
    <n v="0"/>
    <n v="0"/>
    <n v="0"/>
    <n v="0"/>
    <n v="1517.3333333333333"/>
    <n v="1461.3333333333333"/>
  </r>
  <r>
    <x v="6"/>
    <s v="River Parishes Community College"/>
    <s v="Met the criteria for Two-Year 2 in 2018-19 and 2019-20."/>
    <n v="436304"/>
    <x v="8"/>
    <m/>
    <m/>
    <m/>
    <m/>
    <n v="27519"/>
    <n v="26604"/>
    <n v="5771"/>
    <n v="5434"/>
    <n v="32014"/>
    <n v="29482"/>
    <n v="65304"/>
    <n v="2176.8000000000002"/>
    <n v="61520"/>
    <n v="2050.6666666666665"/>
    <n v="11212"/>
    <n v="9243"/>
    <n v="65304"/>
    <n v="61520"/>
    <m/>
    <m/>
    <m/>
    <m/>
    <m/>
    <m/>
    <m/>
    <m/>
    <n v="0"/>
    <n v="0"/>
    <n v="0"/>
    <n v="0"/>
    <m/>
    <m/>
    <n v="0"/>
    <n v="0"/>
    <m/>
    <m/>
    <n v="0"/>
    <n v="0"/>
    <n v="0"/>
    <n v="0"/>
    <n v="0"/>
    <n v="0"/>
    <n v="0"/>
    <n v="0"/>
    <n v="0"/>
    <n v="0"/>
    <n v="2176.8000000000002"/>
    <n v="2050.6666666666665"/>
  </r>
  <r>
    <x v="6"/>
    <s v="Central LA Technical Community College"/>
    <m/>
    <n v="158088"/>
    <x v="9"/>
    <m/>
    <m/>
    <m/>
    <m/>
    <n v="15695"/>
    <n v="18799"/>
    <n v="3963"/>
    <n v="3746"/>
    <n v="23966"/>
    <n v="22989"/>
    <n v="43624"/>
    <n v="1454.1333333333334"/>
    <n v="45534"/>
    <n v="1517.8"/>
    <n v="8689"/>
    <n v="7479"/>
    <n v="43624"/>
    <n v="45534"/>
    <m/>
    <m/>
    <m/>
    <m/>
    <m/>
    <m/>
    <m/>
    <m/>
    <n v="0"/>
    <n v="0"/>
    <n v="0"/>
    <n v="0"/>
    <m/>
    <m/>
    <n v="0"/>
    <n v="0"/>
    <m/>
    <m/>
    <n v="0"/>
    <n v="0"/>
    <n v="0"/>
    <n v="0"/>
    <n v="0"/>
    <n v="0"/>
    <n v="0"/>
    <n v="0"/>
    <n v="0"/>
    <n v="0"/>
    <n v="1454.1333333333334"/>
    <n v="1517.8"/>
  </r>
  <r>
    <x v="6"/>
    <s v="L.E. Fletcher Technical Community College"/>
    <m/>
    <n v="160481"/>
    <x v="9"/>
    <m/>
    <m/>
    <m/>
    <m/>
    <n v="19423"/>
    <n v="20445"/>
    <n v="3705"/>
    <n v="3635"/>
    <n v="21347"/>
    <n v="24164"/>
    <n v="44475"/>
    <n v="1482.5"/>
    <n v="48244"/>
    <n v="1608.1333333333334"/>
    <n v="2191"/>
    <n v="2390"/>
    <n v="44475"/>
    <n v="48244"/>
    <m/>
    <m/>
    <m/>
    <m/>
    <m/>
    <m/>
    <m/>
    <m/>
    <n v="0"/>
    <n v="0"/>
    <n v="0"/>
    <n v="0"/>
    <m/>
    <m/>
    <n v="0"/>
    <n v="0"/>
    <m/>
    <m/>
    <n v="0"/>
    <n v="0"/>
    <n v="0"/>
    <n v="0"/>
    <n v="0"/>
    <n v="0"/>
    <n v="0"/>
    <n v="0"/>
    <n v="0"/>
    <n v="0"/>
    <n v="1482.5"/>
    <n v="1608.1333333333334"/>
  </r>
  <r>
    <x v="6"/>
    <s v="Northshore Technical College"/>
    <m/>
    <n v="160667"/>
    <x v="9"/>
    <m/>
    <m/>
    <m/>
    <m/>
    <n v="29045"/>
    <n v="30112"/>
    <n v="5055"/>
    <n v="4642"/>
    <n v="34276"/>
    <n v="33719"/>
    <n v="68376"/>
    <n v="2279.1999999999998"/>
    <n v="68473"/>
    <n v="2282.4333333333334"/>
    <n v="9506"/>
    <n v="8635"/>
    <n v="68376"/>
    <n v="68473"/>
    <m/>
    <m/>
    <m/>
    <m/>
    <m/>
    <m/>
    <m/>
    <m/>
    <n v="0"/>
    <n v="0"/>
    <n v="0"/>
    <n v="0"/>
    <m/>
    <m/>
    <n v="0"/>
    <n v="0"/>
    <m/>
    <m/>
    <n v="0"/>
    <n v="0"/>
    <n v="0"/>
    <n v="0"/>
    <n v="0"/>
    <n v="0"/>
    <n v="0"/>
    <n v="0"/>
    <n v="0"/>
    <n v="0"/>
    <n v="2279.1999999999998"/>
    <n v="2282.4333333333334"/>
  </r>
  <r>
    <x v="6"/>
    <s v="Northwest LA Technical College"/>
    <s v="Reclassified: Met the criteria for Technical Institute or College 2 in 2017-18, 2018-19, and 2019-20."/>
    <n v="160010"/>
    <x v="10"/>
    <m/>
    <m/>
    <m/>
    <m/>
    <n v="9375"/>
    <n v="10079"/>
    <n v="3612"/>
    <n v="3517"/>
    <n v="10330"/>
    <n v="11022"/>
    <n v="23317"/>
    <n v="777.23333333333335"/>
    <n v="24618"/>
    <n v="820.6"/>
    <n v="1346"/>
    <n v="1439"/>
    <n v="23317"/>
    <n v="24618"/>
    <m/>
    <m/>
    <m/>
    <m/>
    <m/>
    <m/>
    <m/>
    <m/>
    <n v="0"/>
    <n v="0"/>
    <n v="0"/>
    <n v="0"/>
    <m/>
    <m/>
    <n v="0"/>
    <n v="0"/>
    <m/>
    <m/>
    <n v="0"/>
    <n v="0"/>
    <n v="0"/>
    <n v="0"/>
    <n v="0"/>
    <n v="0"/>
    <n v="0"/>
    <n v="0"/>
    <n v="0"/>
    <n v="0"/>
    <n v="777.23333333333335"/>
    <n v="820.6"/>
  </r>
  <r>
    <x v="6"/>
    <s v="South Central LA Technical College"/>
    <s v="*Delete after 2017-18; campuses have been absorbed into other institutions."/>
    <n v="160913"/>
    <x v="9"/>
    <m/>
    <m/>
    <m/>
    <m/>
    <m/>
    <m/>
    <m/>
    <m/>
    <m/>
    <m/>
    <n v="0"/>
    <n v="0"/>
    <n v="0"/>
    <n v="0"/>
    <m/>
    <m/>
    <n v="0"/>
    <n v="0"/>
    <m/>
    <m/>
    <m/>
    <m/>
    <m/>
    <m/>
    <m/>
    <m/>
    <n v="0"/>
    <n v="0"/>
    <n v="0"/>
    <n v="0"/>
    <m/>
    <m/>
    <n v="0"/>
    <n v="0"/>
    <m/>
    <m/>
    <m/>
    <m/>
    <m/>
    <m/>
    <m/>
    <m/>
    <n v="0"/>
    <n v="0"/>
    <n v="0"/>
    <n v="0"/>
    <n v="0"/>
    <n v="0"/>
  </r>
  <r>
    <x v="6"/>
    <s v="Sowela Technical Community College"/>
    <m/>
    <n v="160579"/>
    <x v="9"/>
    <m/>
    <m/>
    <m/>
    <m/>
    <n v="30801"/>
    <n v="31282"/>
    <n v="5207"/>
    <n v="5870"/>
    <n v="34680"/>
    <n v="37313.5"/>
    <n v="70688"/>
    <n v="2356.2666666666669"/>
    <n v="74465.5"/>
    <n v="2482.1833333333334"/>
    <n v="4884.5"/>
    <n v="5305"/>
    <n v="70688"/>
    <n v="74465.5"/>
    <m/>
    <m/>
    <m/>
    <m/>
    <m/>
    <m/>
    <m/>
    <m/>
    <n v="0"/>
    <n v="0"/>
    <n v="0"/>
    <n v="0"/>
    <m/>
    <m/>
    <n v="0"/>
    <n v="0"/>
    <m/>
    <m/>
    <m/>
    <m/>
    <m/>
    <m/>
    <m/>
    <m/>
    <n v="0"/>
    <n v="0"/>
    <n v="0"/>
    <n v="0"/>
    <n v="2356.2666666666669"/>
    <n v="2482.1833333333334"/>
  </r>
  <r>
    <x v="6"/>
    <s v="Southern University Law Center"/>
    <m/>
    <n v="440916"/>
    <x v="13"/>
    <m/>
    <m/>
    <m/>
    <m/>
    <m/>
    <m/>
    <m/>
    <m/>
    <m/>
    <m/>
    <n v="0"/>
    <n v="0"/>
    <n v="0"/>
    <n v="0"/>
    <m/>
    <m/>
    <n v="0"/>
    <n v="0"/>
    <m/>
    <m/>
    <m/>
    <m/>
    <m/>
    <m/>
    <m/>
    <m/>
    <n v="0"/>
    <n v="0"/>
    <n v="0"/>
    <n v="0"/>
    <m/>
    <m/>
    <n v="0"/>
    <n v="0"/>
    <m/>
    <m/>
    <n v="7044"/>
    <n v="7299"/>
    <n v="1536"/>
    <n v="1553"/>
    <n v="8484"/>
    <n v="8936"/>
    <n v="17064"/>
    <n v="711"/>
    <n v="17788"/>
    <n v="741.16666666666663"/>
    <n v="711"/>
    <n v="741.16666666666663"/>
  </r>
  <r>
    <x v="7"/>
    <s v="University of Maryland College Park"/>
    <m/>
    <n v="163286"/>
    <x v="0"/>
    <s v="sem"/>
    <s v="sem"/>
    <n v="11705"/>
    <n v="11515"/>
    <n v="399625"/>
    <n v="407236"/>
    <n v="33864"/>
    <n v="33091"/>
    <n v="418828"/>
    <n v="420148"/>
    <n v="864022"/>
    <n v="28800.733333333334"/>
    <n v="871990"/>
    <n v="29066.333333333332"/>
    <m/>
    <m/>
    <n v="0"/>
    <n v="0"/>
    <m/>
    <m/>
    <m/>
    <m/>
    <m/>
    <m/>
    <m/>
    <m/>
    <n v="0"/>
    <n v="0"/>
    <n v="0"/>
    <n v="0"/>
    <m/>
    <m/>
    <n v="0"/>
    <n v="0"/>
    <n v="3092"/>
    <n v="3085"/>
    <n v="68412"/>
    <n v="66323"/>
    <n v="11675"/>
    <n v="11875"/>
    <n v="75836"/>
    <n v="72934"/>
    <n v="159015"/>
    <n v="6625.625"/>
    <n v="154217"/>
    <n v="6425.708333333333"/>
    <n v="35426.358333333337"/>
    <n v="35492.041666666664"/>
  </r>
  <r>
    <x v="7"/>
    <s v="Morgan State University"/>
    <m/>
    <n v="163453"/>
    <x v="1"/>
    <s v="sem"/>
    <s v="sem"/>
    <n v="2569"/>
    <n v="2475"/>
    <n v="86513"/>
    <n v="83996"/>
    <n v="8311"/>
    <n v="9125"/>
    <n v="92888"/>
    <n v="88915"/>
    <n v="190281"/>
    <n v="6342.7"/>
    <n v="184511"/>
    <n v="6150.3666666666668"/>
    <m/>
    <m/>
    <n v="0"/>
    <n v="0"/>
    <m/>
    <m/>
    <m/>
    <m/>
    <m/>
    <m/>
    <m/>
    <m/>
    <n v="0"/>
    <n v="0"/>
    <n v="0"/>
    <n v="0"/>
    <m/>
    <m/>
    <n v="0"/>
    <n v="0"/>
    <n v="14"/>
    <n v="46"/>
    <n v="11459"/>
    <n v="11859"/>
    <n v="739"/>
    <n v="766"/>
    <n v="12110"/>
    <n v="11937"/>
    <n v="24322"/>
    <n v="1013.4166666666666"/>
    <n v="24608"/>
    <n v="1025.3333333333333"/>
    <n v="7356.1166666666668"/>
    <n v="7175.7"/>
  </r>
  <r>
    <x v="7"/>
    <s v="University of Maryland, Baltimore County"/>
    <m/>
    <n v="163268"/>
    <x v="1"/>
    <s v="sem"/>
    <s v="sem"/>
    <n v="6707"/>
    <n v="5503.5"/>
    <n v="143359"/>
    <n v="142356"/>
    <n v="18810.5"/>
    <n v="17117"/>
    <n v="153546.5"/>
    <n v="149312"/>
    <n v="322423"/>
    <n v="10747.433333333332"/>
    <n v="314288.5"/>
    <n v="10476.283333333333"/>
    <m/>
    <m/>
    <n v="0"/>
    <n v="0"/>
    <m/>
    <m/>
    <m/>
    <m/>
    <m/>
    <m/>
    <m/>
    <m/>
    <n v="0"/>
    <n v="0"/>
    <n v="0"/>
    <n v="0"/>
    <m/>
    <m/>
    <n v="0"/>
    <n v="0"/>
    <n v="61"/>
    <n v="28"/>
    <n v="14717"/>
    <n v="15774"/>
    <n v="2801"/>
    <n v="2531"/>
    <n v="16408"/>
    <n v="16491"/>
    <n v="33987"/>
    <n v="1416.125"/>
    <n v="34824"/>
    <n v="1451"/>
    <n v="12163.558333333332"/>
    <n v="11927.283333333333"/>
  </r>
  <r>
    <x v="7"/>
    <s v="Towson University "/>
    <m/>
    <n v="164076"/>
    <x v="2"/>
    <s v="sem"/>
    <s v="sem"/>
    <n v="7074"/>
    <n v="7207"/>
    <n v="250063.5"/>
    <n v="251636"/>
    <n v="24855"/>
    <n v="23905"/>
    <n v="268856"/>
    <n v="266658.5"/>
    <n v="550848.5"/>
    <n v="18361.616666666665"/>
    <n v="549406.5"/>
    <n v="18313.55"/>
    <m/>
    <m/>
    <n v="0"/>
    <n v="0"/>
    <m/>
    <m/>
    <m/>
    <m/>
    <m/>
    <m/>
    <m/>
    <m/>
    <n v="0"/>
    <n v="0"/>
    <n v="0"/>
    <n v="0"/>
    <m/>
    <m/>
    <n v="0"/>
    <n v="0"/>
    <n v="668.5"/>
    <n v="538"/>
    <n v="18840"/>
    <n v="18775.5"/>
    <n v="6666"/>
    <n v="6145"/>
    <n v="19048.5"/>
    <n v="18925.5"/>
    <n v="45223"/>
    <n v="1884.2916666666667"/>
    <n v="44384"/>
    <n v="1849.3333333333333"/>
    <n v="20245.908333333333"/>
    <n v="20162.883333333331"/>
  </r>
  <r>
    <x v="7"/>
    <s v="University of Baltimore"/>
    <m/>
    <n v="161873"/>
    <x v="2"/>
    <s v="sem"/>
    <s v="sem"/>
    <n v="335"/>
    <n v="252"/>
    <n v="28346"/>
    <n v="24283"/>
    <n v="3241"/>
    <n v="2690"/>
    <n v="26793"/>
    <n v="21925"/>
    <n v="58715"/>
    <n v="1957.1666666666667"/>
    <n v="49150"/>
    <n v="1638.3333333333333"/>
    <m/>
    <m/>
    <n v="0"/>
    <n v="0"/>
    <m/>
    <m/>
    <m/>
    <m/>
    <m/>
    <m/>
    <m/>
    <m/>
    <n v="0"/>
    <n v="0"/>
    <n v="0"/>
    <n v="0"/>
    <m/>
    <m/>
    <n v="0"/>
    <n v="0"/>
    <n v="219.5"/>
    <n v="229"/>
    <n v="19725.5"/>
    <n v="18765.5"/>
    <n v="2852.5"/>
    <n v="2691.5"/>
    <n v="19939.5"/>
    <n v="19308.5"/>
    <n v="42737"/>
    <n v="1780.7083333333333"/>
    <n v="40994.5"/>
    <n v="1708.1041666666667"/>
    <n v="3737.875"/>
    <n v="3346.4375"/>
  </r>
  <r>
    <x v="7"/>
    <s v="Bowie State University "/>
    <s v="Met the criteria for Four-Year 3 in 2018-19 and 2019-20."/>
    <n v="162007"/>
    <x v="3"/>
    <s v="sem"/>
    <s v="sem"/>
    <n v="1579"/>
    <n v="1608"/>
    <n v="64650"/>
    <n v="62691"/>
    <n v="6887"/>
    <n v="7096"/>
    <n v="71042"/>
    <n v="70243"/>
    <n v="144158"/>
    <n v="4805.2666666666664"/>
    <n v="141638"/>
    <n v="4721.2666666666664"/>
    <m/>
    <m/>
    <n v="0"/>
    <n v="0"/>
    <m/>
    <m/>
    <m/>
    <m/>
    <m/>
    <m/>
    <m/>
    <m/>
    <n v="0"/>
    <n v="0"/>
    <n v="0"/>
    <n v="0"/>
    <m/>
    <m/>
    <n v="0"/>
    <n v="0"/>
    <n v="189"/>
    <n v="189"/>
    <n v="6528"/>
    <n v="6553"/>
    <n v="1034"/>
    <n v="1394"/>
    <n v="7267"/>
    <n v="6922"/>
    <n v="15018"/>
    <n v="625.75"/>
    <n v="15058"/>
    <n v="627.41666666666663"/>
    <n v="5431.0166666666664"/>
    <n v="5348.6833333333334"/>
  </r>
  <r>
    <x v="7"/>
    <s v="Frostburg State University "/>
    <m/>
    <n v="162584"/>
    <x v="3"/>
    <s v="sem"/>
    <s v="sem"/>
    <n v="2353"/>
    <n v="2368"/>
    <n v="57445.5"/>
    <n v="53759"/>
    <n v="7105"/>
    <n v="8272"/>
    <n v="62083.5"/>
    <n v="58494"/>
    <n v="128987"/>
    <n v="4299.5666666666666"/>
    <n v="122893"/>
    <n v="4096.4333333333334"/>
    <m/>
    <m/>
    <n v="0"/>
    <n v="0"/>
    <m/>
    <m/>
    <m/>
    <m/>
    <m/>
    <m/>
    <m/>
    <m/>
    <n v="0"/>
    <n v="0"/>
    <n v="0"/>
    <n v="0"/>
    <m/>
    <m/>
    <n v="0"/>
    <n v="0"/>
    <n v="291"/>
    <n v="299"/>
    <n v="3612"/>
    <n v="4107"/>
    <n v="1912"/>
    <n v="2804"/>
    <n v="4049"/>
    <n v="5032"/>
    <n v="9864"/>
    <n v="411"/>
    <n v="12242"/>
    <n v="510.08333333333331"/>
    <n v="4710.5666666666666"/>
    <n v="4606.5166666666664"/>
  </r>
  <r>
    <x v="7"/>
    <s v="Salisbury University "/>
    <m/>
    <n v="163851"/>
    <x v="3"/>
    <s v="sem"/>
    <s v="sem"/>
    <n v="5182"/>
    <n v="5199"/>
    <n v="106324"/>
    <n v="104797"/>
    <n v="6365"/>
    <n v="6156"/>
    <n v="110303"/>
    <n v="110435"/>
    <n v="228174"/>
    <n v="7605.8"/>
    <n v="226587"/>
    <n v="7552.9"/>
    <m/>
    <m/>
    <n v="0"/>
    <n v="0"/>
    <m/>
    <m/>
    <m/>
    <m/>
    <m/>
    <m/>
    <m/>
    <m/>
    <n v="0"/>
    <n v="0"/>
    <n v="0"/>
    <n v="0"/>
    <m/>
    <m/>
    <n v="0"/>
    <n v="0"/>
    <n v="300"/>
    <n v="266"/>
    <n v="6333"/>
    <n v="6385"/>
    <n v="1787"/>
    <n v="1880"/>
    <n v="6985"/>
    <n v="7038"/>
    <n v="15405"/>
    <n v="641.875"/>
    <n v="15569"/>
    <n v="648.70833333333337"/>
    <n v="8247.6749999999993"/>
    <n v="8201.6083333333336"/>
  </r>
  <r>
    <x v="7"/>
    <s v="University of Maryland Eastern Shore "/>
    <m/>
    <n v="163338"/>
    <x v="3"/>
    <s v="sem"/>
    <s v="sem"/>
    <n v="832"/>
    <n v="778.5"/>
    <n v="36644"/>
    <n v="32036"/>
    <n v="2882"/>
    <n v="2400"/>
    <n v="37852"/>
    <n v="33546.5"/>
    <n v="78210"/>
    <n v="2607"/>
    <n v="68761"/>
    <n v="2292.0333333333333"/>
    <m/>
    <m/>
    <n v="0"/>
    <n v="0"/>
    <m/>
    <m/>
    <m/>
    <m/>
    <m/>
    <m/>
    <m/>
    <m/>
    <n v="0"/>
    <n v="0"/>
    <n v="0"/>
    <n v="0"/>
    <m/>
    <m/>
    <n v="0"/>
    <n v="0"/>
    <n v="321"/>
    <n v="307"/>
    <n v="7598"/>
    <n v="6664.5"/>
    <n v="1343"/>
    <n v="1344"/>
    <n v="7226.5"/>
    <n v="7096"/>
    <n v="16488.5"/>
    <n v="687.02083333333337"/>
    <n v="15411.5"/>
    <n v="642.14583333333337"/>
    <n v="3294.0208333333335"/>
    <n v="2934.1791666666668"/>
  </r>
  <r>
    <x v="7"/>
    <s v="Coppin State University"/>
    <s v="Met the criteria for Four-Year 4 in 2019-20."/>
    <n v="162283"/>
    <x v="4"/>
    <s v="sem"/>
    <s v="sem"/>
    <n v="255"/>
    <n v="213"/>
    <n v="29158"/>
    <n v="27459"/>
    <n v="1473"/>
    <n v="1349"/>
    <n v="30829"/>
    <n v="31245"/>
    <n v="61715"/>
    <n v="2057.1666666666665"/>
    <n v="60266"/>
    <n v="2008.8666666666666"/>
    <m/>
    <m/>
    <n v="0"/>
    <n v="0"/>
    <m/>
    <m/>
    <m/>
    <m/>
    <m/>
    <m/>
    <m/>
    <m/>
    <n v="0"/>
    <n v="0"/>
    <n v="0"/>
    <n v="0"/>
    <m/>
    <m/>
    <n v="0"/>
    <n v="0"/>
    <n v="55"/>
    <n v="27"/>
    <n v="2722"/>
    <n v="2375"/>
    <n v="163"/>
    <n v="143"/>
    <n v="2261"/>
    <n v="2046"/>
    <n v="5201"/>
    <n v="216.70833333333334"/>
    <n v="4591"/>
    <n v="191.29166666666666"/>
    <n v="2273.875"/>
    <n v="2200.1583333333333"/>
  </r>
  <r>
    <x v="7"/>
    <s v="Saint Mary's College of Maryland"/>
    <m/>
    <n v="163912"/>
    <x v="5"/>
    <s v="sem"/>
    <s v="sem"/>
    <n v="0"/>
    <n v="0"/>
    <n v="22726.5"/>
    <n v="22736.5"/>
    <n v="1131"/>
    <n v="1409"/>
    <n v="24228"/>
    <n v="22716.5"/>
    <n v="48085.5"/>
    <n v="1602.85"/>
    <n v="46862"/>
    <n v="1562.0666666666666"/>
    <m/>
    <m/>
    <n v="0"/>
    <n v="0"/>
    <m/>
    <m/>
    <m/>
    <m/>
    <m/>
    <m/>
    <m/>
    <m/>
    <n v="0"/>
    <n v="0"/>
    <n v="0"/>
    <n v="0"/>
    <m/>
    <m/>
    <n v="0"/>
    <n v="0"/>
    <n v="0"/>
    <n v="0"/>
    <n v="437"/>
    <n v="458"/>
    <n v="468"/>
    <n v="375"/>
    <n v="428"/>
    <n v="289"/>
    <n v="1333"/>
    <n v="55.541666666666664"/>
    <n v="1122"/>
    <n v="46.75"/>
    <n v="1658.3916666666667"/>
    <n v="1608.8166666666666"/>
  </r>
  <r>
    <x v="7"/>
    <s v="Anne Arundel Community College "/>
    <m/>
    <n v="161767"/>
    <x v="6"/>
    <s v="sem"/>
    <s v="sem"/>
    <n v="5003"/>
    <n v="4968"/>
    <n v="96663"/>
    <n v="93417"/>
    <n v="25311"/>
    <n v="25001"/>
    <n v="106526"/>
    <n v="103748"/>
    <n v="233503"/>
    <n v="7783.4333333333334"/>
    <n v="227134"/>
    <n v="7571.1333333333332"/>
    <m/>
    <m/>
    <n v="0"/>
    <n v="0"/>
    <m/>
    <m/>
    <m/>
    <m/>
    <m/>
    <m/>
    <m/>
    <m/>
    <n v="0"/>
    <n v="0"/>
    <n v="0"/>
    <n v="0"/>
    <m/>
    <m/>
    <n v="0"/>
    <n v="0"/>
    <n v="0"/>
    <n v="0"/>
    <n v="0"/>
    <n v="0"/>
    <n v="0"/>
    <n v="0"/>
    <n v="0"/>
    <n v="0"/>
    <n v="0"/>
    <n v="0"/>
    <n v="0"/>
    <n v="0"/>
    <n v="7783.4333333333334"/>
    <n v="7571.1333333333332"/>
  </r>
  <r>
    <x v="7"/>
    <s v="College of Southern Maryland"/>
    <s v="Reclassified: Met the criteria for Two-Year 2 in 2017-18, 2018-19, and 2019-20."/>
    <n v="162122"/>
    <x v="7"/>
    <s v="sem"/>
    <s v="sem"/>
    <n v="0"/>
    <n v="0"/>
    <n v="60172"/>
    <n v="56368"/>
    <n v="12536"/>
    <n v="11755"/>
    <n v="61024"/>
    <n v="55258"/>
    <n v="133732"/>
    <n v="4457.7333333333336"/>
    <n v="123381"/>
    <n v="4112.7"/>
    <m/>
    <m/>
    <n v="0"/>
    <n v="0"/>
    <m/>
    <m/>
    <m/>
    <m/>
    <m/>
    <m/>
    <m/>
    <m/>
    <n v="0"/>
    <n v="0"/>
    <n v="0"/>
    <n v="0"/>
    <m/>
    <m/>
    <n v="0"/>
    <n v="0"/>
    <n v="0"/>
    <n v="0"/>
    <n v="0"/>
    <n v="0"/>
    <n v="0"/>
    <n v="0"/>
    <n v="0"/>
    <n v="0"/>
    <n v="0"/>
    <n v="0"/>
    <n v="0"/>
    <n v="0"/>
    <n v="4457.7333333333336"/>
    <n v="4112.7"/>
  </r>
  <r>
    <x v="7"/>
    <s v="Community College of Baltimore County (all campuses)"/>
    <m/>
    <n v="434672"/>
    <x v="6"/>
    <s v="sem"/>
    <s v="sem"/>
    <n v="9742"/>
    <n v="9415"/>
    <n v="144180"/>
    <n v="132304"/>
    <n v="32225"/>
    <n v="30120"/>
    <n v="158375"/>
    <n v="146813"/>
    <n v="344522"/>
    <n v="11484.066666666668"/>
    <n v="318652"/>
    <n v="10621.733333333334"/>
    <m/>
    <m/>
    <n v="0"/>
    <n v="0"/>
    <m/>
    <m/>
    <m/>
    <m/>
    <m/>
    <m/>
    <m/>
    <m/>
    <n v="0"/>
    <n v="0"/>
    <n v="0"/>
    <n v="0"/>
    <m/>
    <m/>
    <n v="0"/>
    <n v="0"/>
    <n v="0"/>
    <n v="0"/>
    <n v="0"/>
    <n v="0"/>
    <n v="0"/>
    <n v="0"/>
    <n v="0"/>
    <n v="0"/>
    <n v="0"/>
    <n v="0"/>
    <n v="0"/>
    <n v="0"/>
    <n v="11484.066666666668"/>
    <n v="10621.733333333334"/>
  </r>
  <r>
    <x v="7"/>
    <s v="Howard Community College "/>
    <m/>
    <n v="162779"/>
    <x v="6"/>
    <s v="sem"/>
    <s v="sem"/>
    <n v="6018"/>
    <n v="5493"/>
    <n v="76807"/>
    <n v="73747"/>
    <n v="19431"/>
    <n v="17921"/>
    <n v="82396"/>
    <n v="77773"/>
    <n v="184652"/>
    <n v="6155.0666666666666"/>
    <n v="174934"/>
    <n v="5831.1333333333332"/>
    <m/>
    <m/>
    <n v="0"/>
    <n v="0"/>
    <m/>
    <m/>
    <m/>
    <m/>
    <m/>
    <m/>
    <m/>
    <m/>
    <n v="0"/>
    <n v="0"/>
    <n v="0"/>
    <n v="0"/>
    <m/>
    <m/>
    <n v="0"/>
    <n v="0"/>
    <n v="0"/>
    <n v="0"/>
    <n v="0"/>
    <n v="0"/>
    <n v="0"/>
    <n v="0"/>
    <n v="0"/>
    <n v="0"/>
    <n v="0"/>
    <n v="0"/>
    <n v="0"/>
    <n v="0"/>
    <n v="6155.0666666666666"/>
    <n v="5831.1333333333332"/>
  </r>
  <r>
    <x v="7"/>
    <s v="Montgomery College (all campuses)"/>
    <m/>
    <n v="163426"/>
    <x v="6"/>
    <s v="sem"/>
    <s v="sem"/>
    <n v="5344"/>
    <n v="6715"/>
    <n v="246854"/>
    <n v="241915.5"/>
    <n v="152292"/>
    <n v="158532"/>
    <n v="245358"/>
    <n v="244043"/>
    <n v="649848"/>
    <n v="21661.599999999999"/>
    <n v="651205.5"/>
    <n v="21706.85"/>
    <m/>
    <m/>
    <n v="0"/>
    <n v="0"/>
    <m/>
    <m/>
    <m/>
    <m/>
    <m/>
    <m/>
    <m/>
    <m/>
    <n v="0"/>
    <n v="0"/>
    <n v="0"/>
    <n v="0"/>
    <m/>
    <m/>
    <n v="0"/>
    <n v="0"/>
    <n v="0"/>
    <n v="0"/>
    <n v="0"/>
    <n v="0"/>
    <n v="0"/>
    <n v="0"/>
    <n v="0"/>
    <n v="0"/>
    <n v="0"/>
    <n v="0"/>
    <n v="0"/>
    <n v="0"/>
    <n v="21661.599999999999"/>
    <n v="21706.85"/>
  </r>
  <r>
    <x v="7"/>
    <s v="Prince George's Community College "/>
    <m/>
    <n v="163657"/>
    <x v="6"/>
    <s v="sem"/>
    <s v="sem"/>
    <n v="0"/>
    <n v="978"/>
    <n v="161540"/>
    <n v="168618"/>
    <n v="69197"/>
    <n v="69917"/>
    <n v="160958"/>
    <n v="164595"/>
    <n v="391695"/>
    <n v="13056.5"/>
    <n v="404108"/>
    <n v="13470.266666666666"/>
    <m/>
    <m/>
    <n v="0"/>
    <n v="0"/>
    <m/>
    <m/>
    <m/>
    <m/>
    <m/>
    <m/>
    <m/>
    <m/>
    <n v="0"/>
    <n v="0"/>
    <n v="0"/>
    <n v="0"/>
    <m/>
    <m/>
    <n v="0"/>
    <n v="0"/>
    <n v="0"/>
    <n v="0"/>
    <n v="0"/>
    <n v="0"/>
    <n v="0"/>
    <n v="0"/>
    <n v="0"/>
    <n v="0"/>
    <n v="0"/>
    <n v="0"/>
    <n v="0"/>
    <n v="0"/>
    <n v="13056.5"/>
    <n v="13470.266666666666"/>
  </r>
  <r>
    <x v="7"/>
    <s v="Baltimore City Community College"/>
    <m/>
    <n v="161864"/>
    <x v="7"/>
    <s v="sem"/>
    <s v="sem"/>
    <n v="210"/>
    <n v="86"/>
    <n v="34636.5"/>
    <n v="36214"/>
    <n v="7396"/>
    <n v="7432"/>
    <n v="40748.9"/>
    <n v="41555"/>
    <n v="82991.399999999994"/>
    <n v="2766.3799999999997"/>
    <n v="85287"/>
    <n v="2842.9"/>
    <m/>
    <m/>
    <n v="0"/>
    <n v="0"/>
    <m/>
    <m/>
    <m/>
    <m/>
    <m/>
    <m/>
    <m/>
    <m/>
    <n v="0"/>
    <n v="0"/>
    <n v="0"/>
    <n v="0"/>
    <m/>
    <m/>
    <n v="0"/>
    <n v="0"/>
    <n v="0"/>
    <n v="0"/>
    <n v="0"/>
    <n v="0"/>
    <n v="0"/>
    <n v="0"/>
    <n v="0"/>
    <n v="0"/>
    <n v="0"/>
    <n v="0"/>
    <n v="0"/>
    <n v="0"/>
    <n v="2766.3799999999997"/>
    <n v="2842.9"/>
  </r>
  <r>
    <x v="7"/>
    <s v="Carroll Community College"/>
    <s v="Met the criteria for Two-Year 3 in 2018-19 and 2019-20."/>
    <n v="405872"/>
    <x v="7"/>
    <s v="sem"/>
    <s v="sem"/>
    <n v="2787"/>
    <n v="26243"/>
    <n v="23838"/>
    <n v="22950.5"/>
    <n v="4992"/>
    <n v="4661"/>
    <n v="26972.5"/>
    <n v="2178"/>
    <n v="58589.5"/>
    <n v="1952.9833333333333"/>
    <n v="56032.5"/>
    <n v="1867.75"/>
    <m/>
    <m/>
    <n v="0"/>
    <n v="0"/>
    <m/>
    <m/>
    <m/>
    <m/>
    <m/>
    <m/>
    <m/>
    <m/>
    <n v="0"/>
    <n v="0"/>
    <n v="0"/>
    <n v="0"/>
    <m/>
    <m/>
    <n v="0"/>
    <n v="0"/>
    <n v="0"/>
    <n v="0"/>
    <n v="0"/>
    <n v="0"/>
    <n v="0"/>
    <n v="0"/>
    <n v="0"/>
    <n v="0"/>
    <n v="0"/>
    <n v="0"/>
    <n v="0"/>
    <n v="0"/>
    <n v="1952.9833333333333"/>
    <n v="1867.75"/>
  </r>
  <r>
    <x v="7"/>
    <s v="Frederick Community College "/>
    <m/>
    <n v="162557"/>
    <x v="7"/>
    <s v="sem"/>
    <s v="sem"/>
    <n v="1363"/>
    <n v="1389"/>
    <n v="46865"/>
    <n v="46713"/>
    <n v="9326"/>
    <n v="9000"/>
    <n v="50148"/>
    <n v="50384"/>
    <n v="107702"/>
    <n v="3590.0666666666666"/>
    <n v="107486"/>
    <n v="3582.8666666666668"/>
    <m/>
    <m/>
    <n v="0"/>
    <n v="0"/>
    <m/>
    <m/>
    <m/>
    <m/>
    <m/>
    <m/>
    <m/>
    <m/>
    <n v="0"/>
    <n v="0"/>
    <n v="0"/>
    <n v="0"/>
    <m/>
    <m/>
    <n v="0"/>
    <n v="0"/>
    <n v="0"/>
    <n v="0"/>
    <n v="0"/>
    <n v="0"/>
    <n v="0"/>
    <n v="0"/>
    <n v="0"/>
    <n v="0"/>
    <n v="0"/>
    <n v="0"/>
    <n v="0"/>
    <n v="0"/>
    <n v="3590.0666666666666"/>
    <n v="3582.8666666666668"/>
  </r>
  <r>
    <x v="7"/>
    <s v="Hagerstown Community College "/>
    <m/>
    <n v="162690"/>
    <x v="7"/>
    <s v="sem"/>
    <s v="sem"/>
    <n v="0"/>
    <n v="0"/>
    <n v="33184"/>
    <n v="30094"/>
    <n v="9511"/>
    <n v="9102"/>
    <n v="36849"/>
    <n v="32333"/>
    <n v="79544"/>
    <n v="2651.4666666666667"/>
    <n v="71529"/>
    <n v="2384.3000000000002"/>
    <m/>
    <m/>
    <n v="0"/>
    <n v="0"/>
    <m/>
    <m/>
    <m/>
    <m/>
    <m/>
    <m/>
    <m/>
    <m/>
    <n v="0"/>
    <n v="0"/>
    <n v="0"/>
    <n v="0"/>
    <m/>
    <m/>
    <n v="0"/>
    <n v="0"/>
    <n v="0"/>
    <n v="0"/>
    <n v="0"/>
    <n v="0"/>
    <n v="0"/>
    <n v="0"/>
    <n v="0"/>
    <n v="0"/>
    <n v="0"/>
    <n v="0"/>
    <n v="0"/>
    <n v="0"/>
    <n v="2651.4666666666667"/>
    <n v="2384.3000000000002"/>
  </r>
  <r>
    <x v="7"/>
    <s v="Harford Community College "/>
    <m/>
    <n v="162706"/>
    <x v="7"/>
    <s v="sem"/>
    <s v="sem"/>
    <n v="3148"/>
    <n v="3546"/>
    <n v="44050"/>
    <n v="44045.5"/>
    <n v="9781"/>
    <n v="9408"/>
    <n v="48989"/>
    <n v="46258.5"/>
    <n v="105968"/>
    <n v="3532.2666666666669"/>
    <n v="103258"/>
    <n v="3441.9333333333334"/>
    <m/>
    <m/>
    <n v="0"/>
    <n v="0"/>
    <m/>
    <m/>
    <m/>
    <m/>
    <m/>
    <m/>
    <m/>
    <m/>
    <n v="0"/>
    <n v="0"/>
    <n v="0"/>
    <n v="0"/>
    <m/>
    <m/>
    <n v="0"/>
    <n v="0"/>
    <n v="0"/>
    <n v="0"/>
    <n v="0"/>
    <n v="0"/>
    <n v="0"/>
    <n v="0"/>
    <n v="0"/>
    <n v="0"/>
    <n v="0"/>
    <n v="0"/>
    <n v="0"/>
    <n v="0"/>
    <n v="3532.2666666666669"/>
    <n v="3441.9333333333334"/>
  </r>
  <r>
    <x v="7"/>
    <s v="Allegany College of Maryland"/>
    <m/>
    <n v="161688"/>
    <x v="8"/>
    <s v="sem"/>
    <s v="sem"/>
    <n v="0"/>
    <n v="0"/>
    <n v="22674"/>
    <n v="20882"/>
    <n v="3182"/>
    <n v="3506"/>
    <n v="23737"/>
    <n v="23347"/>
    <n v="49593"/>
    <n v="1653.1"/>
    <n v="47735"/>
    <n v="1591.1666666666667"/>
    <m/>
    <m/>
    <n v="0"/>
    <n v="0"/>
    <m/>
    <m/>
    <m/>
    <m/>
    <m/>
    <m/>
    <m/>
    <m/>
    <n v="0"/>
    <n v="0"/>
    <n v="0"/>
    <n v="0"/>
    <m/>
    <m/>
    <n v="0"/>
    <n v="0"/>
    <n v="0"/>
    <n v="0"/>
    <n v="0"/>
    <n v="0"/>
    <n v="0"/>
    <n v="0"/>
    <n v="0"/>
    <n v="0"/>
    <n v="0"/>
    <n v="0"/>
    <n v="0"/>
    <n v="0"/>
    <n v="1653.1"/>
    <n v="1591.1666666666667"/>
  </r>
  <r>
    <x v="7"/>
    <s v="Cecil Community College "/>
    <m/>
    <n v="162104"/>
    <x v="8"/>
    <s v="sem"/>
    <s v="sem"/>
    <n v="0"/>
    <n v="0"/>
    <n v="18979"/>
    <n v="17820"/>
    <n v="2972"/>
    <n v="2977"/>
    <n v="20457"/>
    <n v="20137"/>
    <n v="42408"/>
    <n v="1413.6"/>
    <n v="40934"/>
    <n v="1364.4666666666667"/>
    <m/>
    <m/>
    <n v="0"/>
    <n v="0"/>
    <m/>
    <m/>
    <m/>
    <m/>
    <m/>
    <m/>
    <m/>
    <m/>
    <n v="0"/>
    <n v="0"/>
    <n v="0"/>
    <n v="0"/>
    <m/>
    <m/>
    <n v="0"/>
    <n v="0"/>
    <n v="0"/>
    <n v="0"/>
    <n v="0"/>
    <n v="0"/>
    <n v="0"/>
    <n v="0"/>
    <n v="0"/>
    <n v="0"/>
    <n v="0"/>
    <n v="0"/>
    <n v="0"/>
    <n v="0"/>
    <n v="1413.6"/>
    <n v="1364.4666666666667"/>
  </r>
  <r>
    <x v="7"/>
    <s v="Chesapeake College "/>
    <m/>
    <n v="162168"/>
    <x v="8"/>
    <s v="sem"/>
    <s v="sem"/>
    <n v="474"/>
    <n v="430"/>
    <n v="15264"/>
    <n v="15337"/>
    <n v="1989"/>
    <n v="2314"/>
    <n v="16961"/>
    <n v="17460"/>
    <n v="34688"/>
    <n v="1156.2666666666667"/>
    <n v="35541"/>
    <n v="1184.7"/>
    <m/>
    <m/>
    <n v="0"/>
    <n v="0"/>
    <m/>
    <m/>
    <m/>
    <m/>
    <m/>
    <m/>
    <m/>
    <m/>
    <n v="0"/>
    <n v="0"/>
    <n v="0"/>
    <n v="0"/>
    <m/>
    <m/>
    <n v="0"/>
    <n v="0"/>
    <n v="0"/>
    <n v="0"/>
    <n v="0"/>
    <n v="0"/>
    <n v="0"/>
    <n v="0"/>
    <n v="0"/>
    <n v="0"/>
    <n v="0"/>
    <n v="0"/>
    <n v="0"/>
    <n v="0"/>
    <n v="1156.2666666666667"/>
    <n v="1184.7"/>
  </r>
  <r>
    <x v="7"/>
    <s v="Garrett College "/>
    <m/>
    <n v="162609"/>
    <x v="8"/>
    <s v="sem"/>
    <s v="sem"/>
    <n v="247"/>
    <n v="290"/>
    <n v="6413.5"/>
    <n v="5883.75"/>
    <n v="486"/>
    <n v="597"/>
    <n v="7435"/>
    <n v="7275.25"/>
    <n v="14581.5"/>
    <n v="486.05"/>
    <n v="14046"/>
    <n v="468.2"/>
    <m/>
    <m/>
    <n v="0"/>
    <n v="0"/>
    <m/>
    <m/>
    <m/>
    <m/>
    <m/>
    <m/>
    <m/>
    <m/>
    <n v="0"/>
    <n v="0"/>
    <n v="0"/>
    <n v="0"/>
    <m/>
    <m/>
    <n v="0"/>
    <n v="0"/>
    <n v="0"/>
    <n v="0"/>
    <n v="0"/>
    <n v="0"/>
    <n v="0"/>
    <n v="0"/>
    <n v="0"/>
    <n v="0"/>
    <n v="0"/>
    <n v="0"/>
    <n v="0"/>
    <n v="0"/>
    <n v="486.05"/>
    <n v="468.2"/>
  </r>
  <r>
    <x v="7"/>
    <s v="Wor-Wic Community College "/>
    <m/>
    <n v="164313"/>
    <x v="8"/>
    <s v="sem"/>
    <s v="sem"/>
    <n v="0"/>
    <n v="0"/>
    <n v="21519.5"/>
    <n v="20259.5"/>
    <n v="5598.5"/>
    <n v="5293.5"/>
    <n v="25208.5"/>
    <n v="23601.5"/>
    <n v="52326.5"/>
    <n v="1744.2166666666667"/>
    <n v="49154.5"/>
    <n v="1638.4833333333333"/>
    <m/>
    <m/>
    <n v="0"/>
    <n v="0"/>
    <m/>
    <m/>
    <m/>
    <m/>
    <m/>
    <m/>
    <m/>
    <m/>
    <n v="0"/>
    <n v="0"/>
    <n v="0"/>
    <n v="0"/>
    <m/>
    <m/>
    <n v="0"/>
    <n v="0"/>
    <n v="0"/>
    <n v="0"/>
    <n v="0"/>
    <n v="0"/>
    <n v="0"/>
    <n v="0"/>
    <n v="0"/>
    <n v="0"/>
    <n v="0"/>
    <n v="0"/>
    <n v="0"/>
    <n v="0"/>
    <n v="1744.2166666666667"/>
    <n v="1638.4833333333333"/>
  </r>
  <r>
    <x v="8"/>
    <s v="Mississippi State University"/>
    <m/>
    <n v="176080"/>
    <x v="0"/>
    <m/>
    <m/>
    <m/>
    <m/>
    <n v="230836"/>
    <n v="241609"/>
    <n v="30473"/>
    <n v="30016"/>
    <n v="261855"/>
    <n v="266429"/>
    <n v="523164"/>
    <n v="17438.8"/>
    <n v="538054"/>
    <n v="17935.133333333335"/>
    <m/>
    <m/>
    <n v="0"/>
    <n v="0"/>
    <m/>
    <m/>
    <m/>
    <m/>
    <m/>
    <m/>
    <m/>
    <m/>
    <n v="0"/>
    <n v="0"/>
    <n v="0"/>
    <n v="0"/>
    <m/>
    <m/>
    <n v="0"/>
    <n v="0"/>
    <m/>
    <m/>
    <n v="21566"/>
    <n v="21608"/>
    <n v="10929"/>
    <n v="11029"/>
    <n v="22282"/>
    <n v="21605"/>
    <n v="54777"/>
    <n v="2282.375"/>
    <n v="54242"/>
    <n v="2260.0833333333335"/>
    <n v="19721.174999999999"/>
    <n v="20195.216666666667"/>
  </r>
  <r>
    <x v="8"/>
    <s v="University of Mississippi"/>
    <m/>
    <n v="176017"/>
    <x v="0"/>
    <m/>
    <m/>
    <m/>
    <m/>
    <n v="254757"/>
    <n v="246873"/>
    <n v="42724"/>
    <n v="39636"/>
    <n v="256104"/>
    <n v="244471"/>
    <n v="553585"/>
    <n v="18452.833333333332"/>
    <n v="530980"/>
    <n v="17699.333333333332"/>
    <m/>
    <m/>
    <n v="0"/>
    <n v="0"/>
    <m/>
    <m/>
    <m/>
    <m/>
    <m/>
    <m/>
    <m/>
    <m/>
    <n v="0"/>
    <n v="0"/>
    <n v="0"/>
    <n v="0"/>
    <m/>
    <m/>
    <n v="0"/>
    <n v="0"/>
    <m/>
    <m/>
    <n v="27968"/>
    <n v="29090"/>
    <n v="10178"/>
    <n v="10657"/>
    <n v="29637"/>
    <n v="29912"/>
    <n v="67783"/>
    <n v="2824.2916666666665"/>
    <n v="69659"/>
    <n v="2902.4583333333335"/>
    <n v="21277.125"/>
    <n v="20601.791666666664"/>
  </r>
  <r>
    <x v="8"/>
    <s v="University of Southern Mississippi"/>
    <m/>
    <n v="176372"/>
    <x v="0"/>
    <m/>
    <m/>
    <m/>
    <m/>
    <n v="143968"/>
    <n v="148324"/>
    <n v="23047"/>
    <n v="22338"/>
    <n v="165663"/>
    <n v="163204"/>
    <n v="332678"/>
    <n v="11089.266666666666"/>
    <n v="333866"/>
    <n v="11128.866666666667"/>
    <m/>
    <m/>
    <n v="0"/>
    <n v="0"/>
    <m/>
    <m/>
    <m/>
    <m/>
    <m/>
    <m/>
    <m/>
    <m/>
    <n v="0"/>
    <n v="0"/>
    <n v="0"/>
    <n v="0"/>
    <m/>
    <m/>
    <n v="0"/>
    <n v="0"/>
    <m/>
    <m/>
    <n v="21037"/>
    <n v="19002"/>
    <n v="9541"/>
    <n v="9270"/>
    <n v="20651"/>
    <n v="20260"/>
    <n v="51229"/>
    <n v="2134.5416666666665"/>
    <n v="48532"/>
    <n v="2022.1666666666667"/>
    <n v="13223.808333333332"/>
    <n v="13151.033333333333"/>
  </r>
  <r>
    <x v="8"/>
    <s v="Jackson State University "/>
    <m/>
    <n v="175856"/>
    <x v="1"/>
    <m/>
    <m/>
    <m/>
    <m/>
    <n v="71274.5"/>
    <n v="65247"/>
    <n v="8577"/>
    <n v="7951"/>
    <n v="71391.5"/>
    <n v="69018"/>
    <n v="151243"/>
    <n v="5041.4333333333334"/>
    <n v="142216"/>
    <n v="4740.5333333333338"/>
    <m/>
    <m/>
    <n v="0"/>
    <n v="0"/>
    <m/>
    <m/>
    <m/>
    <m/>
    <m/>
    <m/>
    <m/>
    <m/>
    <n v="0"/>
    <n v="0"/>
    <n v="0"/>
    <n v="0"/>
    <m/>
    <m/>
    <n v="0"/>
    <n v="0"/>
    <m/>
    <m/>
    <n v="12437.5"/>
    <n v="12241"/>
    <n v="3926"/>
    <n v="3972"/>
    <n v="12983"/>
    <n v="13480"/>
    <n v="29346.5"/>
    <n v="1222.7708333333333"/>
    <n v="29693"/>
    <n v="1237.2083333333333"/>
    <n v="6264.2041666666664"/>
    <n v="5977.7416666666668"/>
  </r>
  <r>
    <x v="8"/>
    <s v="Alcorn State University"/>
    <m/>
    <n v="175342"/>
    <x v="3"/>
    <m/>
    <m/>
    <m/>
    <m/>
    <n v="42309"/>
    <n v="41900"/>
    <n v="7132"/>
    <n v="7374"/>
    <n v="45149"/>
    <n v="42875"/>
    <n v="94590"/>
    <n v="3153"/>
    <n v="92149"/>
    <n v="3071.6333333333332"/>
    <m/>
    <m/>
    <n v="0"/>
    <n v="0"/>
    <m/>
    <m/>
    <m/>
    <m/>
    <m/>
    <m/>
    <m/>
    <m/>
    <n v="0"/>
    <n v="0"/>
    <n v="0"/>
    <n v="0"/>
    <m/>
    <m/>
    <n v="0"/>
    <n v="0"/>
    <m/>
    <m/>
    <n v="3542"/>
    <n v="3338"/>
    <n v="1457"/>
    <n v="1257"/>
    <n v="3397"/>
    <n v="3113"/>
    <n v="8396"/>
    <n v="349.83333333333331"/>
    <n v="7708"/>
    <n v="321.16666666666669"/>
    <n v="3502.8333333333335"/>
    <n v="3392.7999999999997"/>
  </r>
  <r>
    <x v="8"/>
    <s v="Delta State University"/>
    <m/>
    <n v="175616"/>
    <x v="3"/>
    <m/>
    <m/>
    <m/>
    <m/>
    <n v="34174"/>
    <n v="33077"/>
    <n v="2683"/>
    <n v="3185"/>
    <n v="36218"/>
    <n v="36961"/>
    <n v="73075"/>
    <n v="2435.8333333333335"/>
    <n v="73223"/>
    <n v="2440.7666666666669"/>
    <m/>
    <m/>
    <n v="0"/>
    <n v="0"/>
    <m/>
    <m/>
    <m/>
    <m/>
    <m/>
    <m/>
    <m/>
    <m/>
    <n v="0"/>
    <n v="0"/>
    <n v="0"/>
    <n v="0"/>
    <m/>
    <m/>
    <n v="0"/>
    <n v="0"/>
    <m/>
    <m/>
    <n v="4855"/>
    <n v="4570"/>
    <n v="11922"/>
    <n v="6334"/>
    <n v="4610"/>
    <n v="4814.5"/>
    <n v="21387"/>
    <n v="891.125"/>
    <n v="15718.5"/>
    <n v="654.9375"/>
    <n v="3326.9583333333335"/>
    <n v="3095.7041666666669"/>
  </r>
  <r>
    <x v="8"/>
    <s v="Mississippi Valley State University"/>
    <m/>
    <n v="176044"/>
    <x v="3"/>
    <m/>
    <m/>
    <m/>
    <m/>
    <n v="22526"/>
    <n v="21299"/>
    <n v="4565"/>
    <n v="3971"/>
    <n v="23952"/>
    <n v="22347.7"/>
    <n v="51043"/>
    <n v="1701.4333333333334"/>
    <n v="47617.7"/>
    <n v="1587.2566666666667"/>
    <m/>
    <m/>
    <n v="0"/>
    <n v="0"/>
    <m/>
    <m/>
    <m/>
    <m/>
    <m/>
    <m/>
    <m/>
    <m/>
    <n v="0"/>
    <n v="0"/>
    <n v="0"/>
    <n v="0"/>
    <m/>
    <m/>
    <n v="0"/>
    <n v="0"/>
    <m/>
    <m/>
    <n v="2662"/>
    <n v="2242"/>
    <n v="615"/>
    <n v="573"/>
    <n v="2494"/>
    <n v="2163"/>
    <n v="5771"/>
    <n v="240.45833333333334"/>
    <n v="4978"/>
    <n v="207.41666666666666"/>
    <n v="1941.8916666666667"/>
    <n v="1794.6733333333334"/>
  </r>
  <r>
    <x v="8"/>
    <s v="Mississippi University for Women"/>
    <s v="Reclassified: Met the criteria for Four-Year 4 in 2017-18, 2018-19, and 2019-20."/>
    <n v="176035"/>
    <x v="3"/>
    <m/>
    <m/>
    <m/>
    <m/>
    <n v="30217"/>
    <n v="30462"/>
    <n v="8406"/>
    <n v="8644"/>
    <n v="31813"/>
    <n v="32762"/>
    <n v="70436"/>
    <n v="2347.8666666666668"/>
    <n v="71868"/>
    <n v="2395.6"/>
    <m/>
    <m/>
    <n v="0"/>
    <n v="0"/>
    <m/>
    <m/>
    <m/>
    <m/>
    <m/>
    <m/>
    <m/>
    <m/>
    <n v="0"/>
    <n v="0"/>
    <n v="0"/>
    <n v="0"/>
    <m/>
    <m/>
    <n v="0"/>
    <n v="0"/>
    <m/>
    <m/>
    <n v="1647"/>
    <n v="1634"/>
    <n v="1002"/>
    <n v="971"/>
    <n v="1727"/>
    <n v="1945"/>
    <n v="4376"/>
    <n v="182.33333333333334"/>
    <n v="4550"/>
    <n v="189.58333333333334"/>
    <n v="2530.2000000000003"/>
    <n v="2585.1833333333334"/>
  </r>
  <r>
    <x v="8"/>
    <s v="Hinds Community College "/>
    <m/>
    <n v="175786"/>
    <x v="6"/>
    <m/>
    <m/>
    <m/>
    <m/>
    <n v="125586"/>
    <n v="117825"/>
    <n v="23859"/>
    <n v="20441"/>
    <n v="142371"/>
    <n v="138606"/>
    <n v="291816"/>
    <n v="9727.2000000000007"/>
    <n v="276872"/>
    <n v="9229.0666666666675"/>
    <n v="26180"/>
    <n v="29356"/>
    <n v="291816"/>
    <n v="276872"/>
    <m/>
    <m/>
    <m/>
    <m/>
    <m/>
    <m/>
    <m/>
    <m/>
    <n v="0"/>
    <n v="0"/>
    <n v="0"/>
    <n v="0"/>
    <m/>
    <m/>
    <n v="0"/>
    <n v="0"/>
    <m/>
    <m/>
    <m/>
    <m/>
    <m/>
    <m/>
    <m/>
    <m/>
    <n v="0"/>
    <n v="0"/>
    <n v="0"/>
    <n v="0"/>
    <n v="9727.2000000000007"/>
    <n v="9229.0666666666675"/>
  </r>
  <r>
    <x v="8"/>
    <s v="Holmes Community College "/>
    <m/>
    <n v="175810"/>
    <x v="6"/>
    <m/>
    <m/>
    <m/>
    <m/>
    <n v="67235"/>
    <n v="65328"/>
    <n v="17791"/>
    <n v="18378"/>
    <n v="77165"/>
    <n v="73040"/>
    <n v="162191"/>
    <n v="5406.3666666666668"/>
    <n v="156746"/>
    <n v="5224.8666666666668"/>
    <n v="8927"/>
    <n v="8498"/>
    <n v="162191"/>
    <n v="156746"/>
    <m/>
    <m/>
    <m/>
    <m/>
    <m/>
    <m/>
    <m/>
    <m/>
    <n v="0"/>
    <n v="0"/>
    <n v="0"/>
    <n v="0"/>
    <m/>
    <m/>
    <n v="0"/>
    <n v="0"/>
    <m/>
    <m/>
    <m/>
    <m/>
    <m/>
    <m/>
    <m/>
    <m/>
    <n v="0"/>
    <n v="0"/>
    <n v="0"/>
    <n v="0"/>
    <n v="5406.3666666666668"/>
    <n v="5224.8666666666668"/>
  </r>
  <r>
    <x v="8"/>
    <s v="Itawamba Community College "/>
    <s v="Reclassified: Met the criteria for Two-Year 2 in 2017-18, 2018-19, and 2019-20."/>
    <n v="175829"/>
    <x v="7"/>
    <m/>
    <m/>
    <m/>
    <m/>
    <n v="61916"/>
    <n v="59079"/>
    <n v="8869"/>
    <n v="7547"/>
    <n v="69910"/>
    <n v="65153"/>
    <n v="140695"/>
    <n v="4689.833333333333"/>
    <n v="131779"/>
    <n v="4392.6333333333332"/>
    <n v="6065"/>
    <n v="6911"/>
    <n v="140695"/>
    <n v="131779"/>
    <m/>
    <m/>
    <m/>
    <m/>
    <m/>
    <m/>
    <m/>
    <m/>
    <n v="0"/>
    <n v="0"/>
    <n v="0"/>
    <n v="0"/>
    <m/>
    <m/>
    <n v="0"/>
    <n v="0"/>
    <m/>
    <m/>
    <m/>
    <m/>
    <m/>
    <m/>
    <m/>
    <m/>
    <n v="0"/>
    <n v="0"/>
    <n v="0"/>
    <n v="0"/>
    <n v="4689.833333333333"/>
    <n v="4392.6333333333332"/>
  </r>
  <r>
    <x v="8"/>
    <s v="Mississippi Gulf Coast Community College "/>
    <m/>
    <n v="176071"/>
    <x v="6"/>
    <m/>
    <m/>
    <m/>
    <m/>
    <n v="99351"/>
    <n v="99723"/>
    <n v="21840"/>
    <n v="20971"/>
    <n v="109124"/>
    <n v="109037"/>
    <n v="230315"/>
    <n v="7677.166666666667"/>
    <n v="229731"/>
    <n v="7657.7"/>
    <n v="11936"/>
    <n v="15110"/>
    <n v="230315"/>
    <n v="229731"/>
    <m/>
    <m/>
    <m/>
    <m/>
    <m/>
    <m/>
    <m/>
    <m/>
    <n v="0"/>
    <n v="0"/>
    <n v="0"/>
    <n v="0"/>
    <m/>
    <m/>
    <n v="0"/>
    <n v="0"/>
    <m/>
    <m/>
    <m/>
    <m/>
    <m/>
    <m/>
    <m/>
    <m/>
    <n v="0"/>
    <n v="0"/>
    <n v="0"/>
    <n v="0"/>
    <n v="7677.166666666667"/>
    <n v="7657.7"/>
  </r>
  <r>
    <x v="8"/>
    <s v="Northwest Mississippi Community College "/>
    <m/>
    <n v="176178"/>
    <x v="6"/>
    <m/>
    <m/>
    <m/>
    <m/>
    <n v="82912"/>
    <n v="81173"/>
    <n v="15793"/>
    <n v="14206"/>
    <n v="93958"/>
    <n v="88679"/>
    <n v="192663"/>
    <n v="6422.1"/>
    <n v="184058"/>
    <n v="6135.2666666666664"/>
    <n v="13029"/>
    <n v="15597"/>
    <n v="192663"/>
    <n v="184058"/>
    <m/>
    <m/>
    <m/>
    <m/>
    <m/>
    <m/>
    <m/>
    <m/>
    <n v="0"/>
    <n v="0"/>
    <n v="0"/>
    <n v="0"/>
    <m/>
    <m/>
    <n v="0"/>
    <n v="0"/>
    <m/>
    <m/>
    <m/>
    <m/>
    <m/>
    <m/>
    <m/>
    <m/>
    <n v="0"/>
    <n v="0"/>
    <n v="0"/>
    <n v="0"/>
    <n v="6422.1"/>
    <n v="6135.2666666666664"/>
  </r>
  <r>
    <x v="8"/>
    <s v="Copiah-Lincoln Community College "/>
    <m/>
    <n v="175573"/>
    <x v="7"/>
    <m/>
    <m/>
    <m/>
    <m/>
    <n v="33425"/>
    <n v="34048"/>
    <n v="7273"/>
    <n v="7231"/>
    <n v="38986"/>
    <n v="38389"/>
    <n v="79684"/>
    <n v="2656.1333333333332"/>
    <n v="79668"/>
    <n v="2655.6"/>
    <n v="7639"/>
    <n v="8151"/>
    <n v="79684"/>
    <n v="79668"/>
    <m/>
    <m/>
    <m/>
    <m/>
    <m/>
    <m/>
    <m/>
    <m/>
    <n v="0"/>
    <n v="0"/>
    <n v="0"/>
    <n v="0"/>
    <m/>
    <m/>
    <n v="0"/>
    <n v="0"/>
    <m/>
    <m/>
    <m/>
    <m/>
    <m/>
    <m/>
    <m/>
    <m/>
    <n v="0"/>
    <n v="0"/>
    <n v="0"/>
    <n v="0"/>
    <n v="2656.1333333333332"/>
    <n v="2655.6"/>
  </r>
  <r>
    <x v="8"/>
    <s v="East Central Community College "/>
    <m/>
    <n v="175643"/>
    <x v="7"/>
    <m/>
    <m/>
    <m/>
    <m/>
    <n v="31099"/>
    <n v="29684"/>
    <n v="4498"/>
    <n v="3832"/>
    <n v="35805"/>
    <n v="32487"/>
    <n v="71402"/>
    <n v="2380.0666666666666"/>
    <n v="66003"/>
    <n v="2200.1"/>
    <n v="5994"/>
    <n v="6648"/>
    <n v="71402"/>
    <n v="66003"/>
    <m/>
    <m/>
    <m/>
    <m/>
    <m/>
    <m/>
    <m/>
    <m/>
    <n v="0"/>
    <n v="0"/>
    <n v="0"/>
    <n v="0"/>
    <m/>
    <m/>
    <n v="0"/>
    <n v="0"/>
    <m/>
    <m/>
    <m/>
    <m/>
    <m/>
    <m/>
    <m/>
    <m/>
    <n v="0"/>
    <n v="0"/>
    <n v="0"/>
    <n v="0"/>
    <n v="2380.0666666666666"/>
    <n v="2200.1"/>
  </r>
  <r>
    <x v="8"/>
    <s v="East Mississippi Community College "/>
    <m/>
    <n v="175652"/>
    <x v="7"/>
    <m/>
    <m/>
    <m/>
    <m/>
    <n v="44242"/>
    <n v="42855"/>
    <n v="9932"/>
    <n v="9718"/>
    <n v="52817"/>
    <n v="47194"/>
    <n v="106991"/>
    <n v="3566.3666666666668"/>
    <n v="99767"/>
    <n v="3325.5666666666666"/>
    <n v="9659"/>
    <n v="10266"/>
    <n v="106991"/>
    <n v="99767"/>
    <m/>
    <m/>
    <m/>
    <m/>
    <m/>
    <m/>
    <m/>
    <m/>
    <n v="0"/>
    <n v="0"/>
    <n v="0"/>
    <n v="0"/>
    <m/>
    <m/>
    <n v="0"/>
    <n v="0"/>
    <m/>
    <m/>
    <m/>
    <m/>
    <m/>
    <m/>
    <m/>
    <m/>
    <n v="0"/>
    <n v="0"/>
    <n v="0"/>
    <n v="0"/>
    <n v="3566.3666666666668"/>
    <n v="3325.5666666666666"/>
  </r>
  <r>
    <x v="8"/>
    <s v="Jones County Junior College "/>
    <m/>
    <n v="175883"/>
    <x v="7"/>
    <m/>
    <m/>
    <m/>
    <m/>
    <n v="53837"/>
    <n v="51770"/>
    <n v="11878"/>
    <n v="10708"/>
    <n v="63050"/>
    <n v="59106"/>
    <n v="128765"/>
    <n v="4292.166666666667"/>
    <n v="121584"/>
    <n v="4052.8"/>
    <n v="5213"/>
    <n v="7089"/>
    <n v="128765"/>
    <n v="121584"/>
    <m/>
    <m/>
    <m/>
    <m/>
    <m/>
    <m/>
    <m/>
    <m/>
    <n v="0"/>
    <n v="0"/>
    <n v="0"/>
    <n v="0"/>
    <m/>
    <m/>
    <n v="0"/>
    <n v="0"/>
    <m/>
    <m/>
    <m/>
    <m/>
    <m/>
    <m/>
    <m/>
    <m/>
    <n v="0"/>
    <n v="0"/>
    <n v="0"/>
    <n v="0"/>
    <n v="4292.166666666667"/>
    <n v="4052.8"/>
  </r>
  <r>
    <x v="8"/>
    <s v="Meridian Community College "/>
    <m/>
    <n v="175935"/>
    <x v="7"/>
    <m/>
    <m/>
    <m/>
    <m/>
    <n v="37484"/>
    <n v="37076.5"/>
    <n v="7744"/>
    <n v="7579"/>
    <n v="44440"/>
    <n v="41137"/>
    <n v="89668"/>
    <n v="2988.9333333333334"/>
    <n v="85792.5"/>
    <n v="2859.75"/>
    <n v="3603"/>
    <n v="3680"/>
    <n v="89668"/>
    <n v="85792.5"/>
    <m/>
    <m/>
    <m/>
    <m/>
    <m/>
    <m/>
    <m/>
    <m/>
    <n v="0"/>
    <n v="0"/>
    <n v="0"/>
    <n v="0"/>
    <m/>
    <m/>
    <n v="0"/>
    <n v="0"/>
    <m/>
    <m/>
    <m/>
    <m/>
    <m/>
    <m/>
    <m/>
    <m/>
    <n v="0"/>
    <n v="0"/>
    <n v="0"/>
    <n v="0"/>
    <n v="2988.9333333333334"/>
    <n v="2859.75"/>
  </r>
  <r>
    <x v="8"/>
    <s v="Mississippi Delta Community College "/>
    <m/>
    <n v="176008"/>
    <x v="7"/>
    <m/>
    <m/>
    <m/>
    <m/>
    <n v="26423"/>
    <n v="26825"/>
    <n v="6956"/>
    <n v="7464"/>
    <n v="31107"/>
    <n v="30334"/>
    <n v="64486"/>
    <n v="2149.5333333333333"/>
    <n v="64623"/>
    <n v="2154.1"/>
    <n v="2585"/>
    <n v="4195"/>
    <n v="64486"/>
    <n v="64623"/>
    <m/>
    <m/>
    <m/>
    <m/>
    <m/>
    <m/>
    <m/>
    <m/>
    <n v="0"/>
    <n v="0"/>
    <n v="0"/>
    <n v="0"/>
    <m/>
    <m/>
    <n v="0"/>
    <n v="0"/>
    <m/>
    <m/>
    <m/>
    <m/>
    <m/>
    <m/>
    <m/>
    <m/>
    <n v="0"/>
    <n v="0"/>
    <n v="0"/>
    <n v="0"/>
    <n v="2149.5333333333333"/>
    <n v="2154.1"/>
  </r>
  <r>
    <x v="8"/>
    <s v="Northeast Mississippi Community College "/>
    <m/>
    <n v="176169"/>
    <x v="7"/>
    <m/>
    <m/>
    <m/>
    <m/>
    <n v="41260"/>
    <n v="42095"/>
    <n v="3242"/>
    <n v="3485"/>
    <n v="46161"/>
    <n v="47249"/>
    <n v="90663"/>
    <n v="3022.1"/>
    <n v="92829"/>
    <n v="3094.3"/>
    <n v="8385"/>
    <n v="4371"/>
    <n v="90663"/>
    <n v="92829"/>
    <m/>
    <m/>
    <m/>
    <m/>
    <m/>
    <m/>
    <m/>
    <m/>
    <n v="0"/>
    <n v="0"/>
    <n v="0"/>
    <n v="0"/>
    <m/>
    <m/>
    <n v="0"/>
    <n v="0"/>
    <m/>
    <m/>
    <m/>
    <m/>
    <m/>
    <m/>
    <m/>
    <m/>
    <n v="0"/>
    <n v="0"/>
    <n v="0"/>
    <n v="0"/>
    <n v="3022.1"/>
    <n v="3094.3"/>
  </r>
  <r>
    <x v="8"/>
    <s v="Pearl River Community College "/>
    <m/>
    <n v="176239"/>
    <x v="7"/>
    <m/>
    <m/>
    <m/>
    <m/>
    <n v="52844"/>
    <n v="56257"/>
    <n v="8898"/>
    <n v="9575"/>
    <n v="61327"/>
    <n v="68731"/>
    <n v="123069"/>
    <n v="4102.3"/>
    <n v="134563"/>
    <n v="4485.4333333333334"/>
    <n v="9101"/>
    <n v="6737"/>
    <n v="123069"/>
    <n v="134563"/>
    <m/>
    <m/>
    <m/>
    <m/>
    <m/>
    <m/>
    <m/>
    <m/>
    <n v="0"/>
    <n v="0"/>
    <n v="0"/>
    <n v="0"/>
    <m/>
    <m/>
    <n v="0"/>
    <n v="0"/>
    <m/>
    <m/>
    <m/>
    <m/>
    <m/>
    <m/>
    <m/>
    <m/>
    <n v="0"/>
    <n v="0"/>
    <n v="0"/>
    <n v="0"/>
    <n v="4102.3"/>
    <n v="4485.4333333333334"/>
  </r>
  <r>
    <x v="8"/>
    <s v="Coahoma Community College "/>
    <m/>
    <n v="175519"/>
    <x v="8"/>
    <m/>
    <m/>
    <m/>
    <m/>
    <n v="20498"/>
    <n v="20165"/>
    <n v="5143"/>
    <n v="5028"/>
    <n v="24687"/>
    <n v="23968"/>
    <n v="50328"/>
    <n v="1677.6"/>
    <n v="49161"/>
    <n v="1638.7"/>
    <n v="2851"/>
    <n v="3583"/>
    <n v="50328"/>
    <n v="49161"/>
    <m/>
    <m/>
    <m/>
    <m/>
    <m/>
    <m/>
    <m/>
    <m/>
    <n v="0"/>
    <n v="0"/>
    <n v="0"/>
    <n v="0"/>
    <m/>
    <m/>
    <n v="0"/>
    <n v="0"/>
    <m/>
    <m/>
    <m/>
    <m/>
    <m/>
    <m/>
    <m/>
    <m/>
    <n v="0"/>
    <n v="0"/>
    <n v="0"/>
    <n v="0"/>
    <n v="1677.6"/>
    <n v="1638.7"/>
  </r>
  <r>
    <x v="8"/>
    <s v="Southwest Mississippi Community College"/>
    <m/>
    <n v="176354"/>
    <x v="8"/>
    <m/>
    <m/>
    <m/>
    <m/>
    <n v="23713"/>
    <n v="24243"/>
    <n v="3600"/>
    <n v="4193"/>
    <n v="27746"/>
    <n v="29695"/>
    <n v="55059"/>
    <n v="1835.3"/>
    <n v="58131"/>
    <n v="1937.7"/>
    <n v="2081"/>
    <n v="2537"/>
    <n v="55059"/>
    <n v="58131"/>
    <m/>
    <m/>
    <m/>
    <m/>
    <m/>
    <m/>
    <m/>
    <m/>
    <n v="0"/>
    <n v="0"/>
    <n v="0"/>
    <n v="0"/>
    <m/>
    <m/>
    <n v="0"/>
    <n v="0"/>
    <m/>
    <m/>
    <m/>
    <m/>
    <m/>
    <m/>
    <m/>
    <m/>
    <n v="0"/>
    <n v="0"/>
    <n v="0"/>
    <n v="0"/>
    <n v="1835.3"/>
    <n v="1937.7"/>
  </r>
  <r>
    <x v="9"/>
    <s v="North Carolina State University "/>
    <m/>
    <n v="199193"/>
    <x v="0"/>
    <m/>
    <m/>
    <m/>
    <m/>
    <n v="315750"/>
    <n v="325566"/>
    <n v="48092"/>
    <n v="48885"/>
    <n v="347121"/>
    <n v="354137"/>
    <n v="710963"/>
    <n v="23698.766666666666"/>
    <n v="728588"/>
    <n v="24286.266666666666"/>
    <n v="1928"/>
    <n v="2123"/>
    <n v="710963"/>
    <n v="728588"/>
    <m/>
    <m/>
    <m/>
    <m/>
    <m/>
    <m/>
    <m/>
    <m/>
    <n v="0"/>
    <n v="0"/>
    <n v="0"/>
    <n v="0"/>
    <m/>
    <m/>
    <n v="0"/>
    <n v="0"/>
    <m/>
    <m/>
    <n v="76243"/>
    <n v="76388.5"/>
    <n v="11444"/>
    <n v="11500.5"/>
    <n v="86392"/>
    <n v="86724.5"/>
    <n v="174079"/>
    <n v="7253.291666666667"/>
    <n v="174613.5"/>
    <n v="7275.5625"/>
    <n v="30952.058333333334"/>
    <n v="31561.829166666666"/>
  </r>
  <r>
    <x v="9"/>
    <s v="University of North Carolina at Chapel Hill "/>
    <m/>
    <n v="199120"/>
    <x v="0"/>
    <m/>
    <m/>
    <m/>
    <m/>
    <n v="245772"/>
    <n v="249231.5"/>
    <n v="30723"/>
    <n v="31219"/>
    <n v="266061"/>
    <n v="265142.5"/>
    <n v="542556"/>
    <n v="18085.2"/>
    <n v="545593"/>
    <n v="18186.433333333334"/>
    <n v="0"/>
    <n v="0"/>
    <n v="542556"/>
    <n v="545593"/>
    <m/>
    <m/>
    <m/>
    <m/>
    <m/>
    <m/>
    <m/>
    <m/>
    <n v="0"/>
    <n v="0"/>
    <n v="0"/>
    <n v="0"/>
    <m/>
    <m/>
    <n v="0"/>
    <n v="0"/>
    <m/>
    <m/>
    <n v="92412"/>
    <n v="88392"/>
    <n v="15324"/>
    <n v="16205"/>
    <n v="95311"/>
    <n v="93304.5"/>
    <n v="203047"/>
    <n v="8460.2916666666661"/>
    <n v="197901.5"/>
    <n v="8245.8958333333339"/>
    <n v="26545.491666666669"/>
    <n v="26432.32916666667"/>
  </r>
  <r>
    <x v="9"/>
    <s v="University of North Carolina at Charlotte"/>
    <m/>
    <n v="199139"/>
    <x v="0"/>
    <m/>
    <m/>
    <m/>
    <m/>
    <n v="298522"/>
    <n v="305219"/>
    <n v="53177"/>
    <n v="54980"/>
    <n v="326755"/>
    <n v="322370"/>
    <n v="678454"/>
    <n v="22615.133333333335"/>
    <n v="682569"/>
    <n v="22752.3"/>
    <n v="3383"/>
    <n v="4226"/>
    <n v="678454"/>
    <n v="682569"/>
    <m/>
    <m/>
    <m/>
    <m/>
    <m/>
    <m/>
    <m/>
    <m/>
    <n v="0"/>
    <n v="0"/>
    <n v="0"/>
    <n v="0"/>
    <m/>
    <m/>
    <n v="0"/>
    <n v="0"/>
    <m/>
    <m/>
    <n v="36143"/>
    <n v="36101"/>
    <n v="10371"/>
    <n v="10064"/>
    <n v="39966"/>
    <n v="41031"/>
    <n v="86480"/>
    <n v="3603.3333333333335"/>
    <n v="87196"/>
    <n v="3633.1666666666665"/>
    <n v="26218.466666666667"/>
    <n v="26385.466666666667"/>
  </r>
  <r>
    <x v="9"/>
    <s v="University of North Carolina at Greensboro"/>
    <m/>
    <n v="199148"/>
    <x v="0"/>
    <m/>
    <m/>
    <m/>
    <m/>
    <n v="208053"/>
    <n v="205042"/>
    <n v="35355"/>
    <n v="36452"/>
    <n v="222437"/>
    <n v="219953"/>
    <n v="465845"/>
    <n v="15528.166666666666"/>
    <n v="461447"/>
    <n v="15381.566666666668"/>
    <n v="1383"/>
    <n v="1899"/>
    <n v="465845"/>
    <n v="461447"/>
    <m/>
    <m/>
    <m/>
    <m/>
    <m/>
    <m/>
    <m/>
    <m/>
    <n v="0"/>
    <n v="0"/>
    <n v="0"/>
    <n v="0"/>
    <m/>
    <m/>
    <n v="0"/>
    <n v="0"/>
    <m/>
    <m/>
    <n v="26204"/>
    <n v="26104.5"/>
    <n v="7281"/>
    <n v="7433"/>
    <n v="26974"/>
    <n v="27504"/>
    <n v="60459"/>
    <n v="2519.125"/>
    <n v="61041.5"/>
    <n v="2543.3958333333335"/>
    <n v="18047.291666666664"/>
    <n v="17924.962500000001"/>
  </r>
  <r>
    <x v="9"/>
    <s v="East Carolina University "/>
    <m/>
    <n v="198464"/>
    <x v="1"/>
    <m/>
    <m/>
    <m/>
    <m/>
    <n v="291613"/>
    <n v="282644"/>
    <n v="53045"/>
    <n v="53646"/>
    <n v="310102"/>
    <n v="304952"/>
    <n v="654760"/>
    <n v="21825.333333333332"/>
    <n v="641242"/>
    <n v="21374.733333333334"/>
    <n v="55"/>
    <n v="302"/>
    <n v="654760"/>
    <n v="641242"/>
    <m/>
    <m/>
    <m/>
    <m/>
    <m/>
    <m/>
    <m/>
    <m/>
    <n v="0"/>
    <n v="0"/>
    <n v="0"/>
    <n v="0"/>
    <m/>
    <m/>
    <n v="0"/>
    <n v="0"/>
    <m/>
    <m/>
    <n v="35461"/>
    <n v="33457"/>
    <n v="17885"/>
    <n v="17078"/>
    <n v="36717"/>
    <n v="36650"/>
    <n v="90063"/>
    <n v="3752.625"/>
    <n v="87185"/>
    <n v="3632.7083333333335"/>
    <n v="25577.958333333332"/>
    <n v="25007.441666666666"/>
  </r>
  <r>
    <x v="9"/>
    <s v="Appalachian State University "/>
    <m/>
    <n v="197869"/>
    <x v="2"/>
    <m/>
    <m/>
    <m/>
    <m/>
    <n v="231168"/>
    <n v="235523"/>
    <n v="39167"/>
    <n v="39598"/>
    <n v="251179"/>
    <n v="252871"/>
    <n v="521514"/>
    <n v="17383.8"/>
    <n v="527992"/>
    <n v="17599.733333333334"/>
    <n v="0"/>
    <n v="0"/>
    <n v="521514"/>
    <n v="527992"/>
    <m/>
    <m/>
    <m/>
    <m/>
    <m/>
    <m/>
    <m/>
    <m/>
    <n v="0"/>
    <n v="0"/>
    <n v="0"/>
    <n v="0"/>
    <m/>
    <m/>
    <n v="0"/>
    <n v="0"/>
    <m/>
    <m/>
    <n v="13478"/>
    <n v="13190"/>
    <n v="6363"/>
    <n v="6639"/>
    <n v="14003"/>
    <n v="14148"/>
    <n v="33844"/>
    <n v="1410.1666666666667"/>
    <n v="33977"/>
    <n v="1415.7083333333333"/>
    <n v="18793.966666666667"/>
    <n v="19015.441666666666"/>
  </r>
  <r>
    <x v="9"/>
    <s v="North Carolina A&amp;T State University"/>
    <s v="Met the criteria for Four-Year 2 in 2019-20."/>
    <n v="199102"/>
    <x v="2"/>
    <m/>
    <m/>
    <m/>
    <m/>
    <n v="133605"/>
    <n v="136331"/>
    <n v="17199"/>
    <n v="19972"/>
    <n v="148447"/>
    <n v="153869"/>
    <n v="299251"/>
    <n v="9975.0333333333328"/>
    <n v="310172"/>
    <n v="10339.066666666668"/>
    <n v="0"/>
    <n v="843"/>
    <n v="299251"/>
    <n v="310172"/>
    <m/>
    <m/>
    <m/>
    <m/>
    <m/>
    <m/>
    <m/>
    <m/>
    <n v="0"/>
    <n v="0"/>
    <n v="0"/>
    <n v="0"/>
    <m/>
    <m/>
    <n v="0"/>
    <n v="0"/>
    <m/>
    <m/>
    <n v="11211"/>
    <n v="10861"/>
    <n v="2288"/>
    <n v="2282"/>
    <n v="11863"/>
    <n v="11899"/>
    <n v="25362"/>
    <n v="1056.75"/>
    <n v="25042"/>
    <n v="1043.4166666666667"/>
    <n v="11031.783333333333"/>
    <n v="11382.483333333334"/>
  </r>
  <r>
    <x v="9"/>
    <s v="North Carolina Central University "/>
    <m/>
    <n v="199157"/>
    <x v="2"/>
    <m/>
    <m/>
    <m/>
    <m/>
    <n v="78474"/>
    <n v="75543"/>
    <n v="20090"/>
    <n v="18097"/>
    <n v="85662"/>
    <n v="80366"/>
    <n v="184226"/>
    <n v="6140.8666666666668"/>
    <n v="174006"/>
    <n v="5800.2"/>
    <n v="5236"/>
    <n v="6206"/>
    <n v="184226"/>
    <n v="174006"/>
    <m/>
    <m/>
    <m/>
    <m/>
    <m/>
    <m/>
    <m/>
    <m/>
    <n v="0"/>
    <n v="0"/>
    <n v="0"/>
    <n v="0"/>
    <m/>
    <m/>
    <n v="0"/>
    <n v="0"/>
    <m/>
    <m/>
    <n v="15701"/>
    <n v="15736"/>
    <n v="4289"/>
    <n v="4822.5"/>
    <n v="16981"/>
    <n v="17874"/>
    <n v="36971"/>
    <n v="1540.4583333333333"/>
    <n v="38432.5"/>
    <n v="1601.3541666666667"/>
    <n v="7681.3249999999998"/>
    <n v="7401.5541666666668"/>
  </r>
  <r>
    <x v="9"/>
    <s v="University of North Carolina at Wilmington"/>
    <m/>
    <n v="199218"/>
    <x v="2"/>
    <m/>
    <m/>
    <m/>
    <m/>
    <n v="180235"/>
    <n v="179523.5"/>
    <n v="39431"/>
    <n v="40088.5"/>
    <n v="191545"/>
    <n v="195080.5"/>
    <n v="411211"/>
    <n v="13707.033333333333"/>
    <n v="414692.5"/>
    <n v="13823.083333333334"/>
    <n v="2160"/>
    <n v="2512"/>
    <n v="411211"/>
    <n v="414692.5"/>
    <m/>
    <m/>
    <m/>
    <m/>
    <m/>
    <m/>
    <m/>
    <m/>
    <n v="0"/>
    <n v="0"/>
    <n v="0"/>
    <n v="0"/>
    <m/>
    <m/>
    <n v="0"/>
    <n v="0"/>
    <m/>
    <m/>
    <n v="13485"/>
    <n v="16215"/>
    <n v="5387"/>
    <n v="7415.5"/>
    <n v="17163"/>
    <n v="20066"/>
    <n v="36035"/>
    <n v="1501.4583333333333"/>
    <n v="43696.5"/>
    <n v="1820.6875"/>
    <n v="15208.491666666667"/>
    <n v="15643.770833333334"/>
  </r>
  <r>
    <x v="9"/>
    <s v="Western Carolina University "/>
    <m/>
    <n v="200004"/>
    <x v="2"/>
    <m/>
    <m/>
    <m/>
    <m/>
    <n v="117860"/>
    <n v="127502"/>
    <n v="18509"/>
    <n v="19115"/>
    <n v="136671"/>
    <n v="142083"/>
    <n v="273040"/>
    <n v="9101.3333333333339"/>
    <n v="288700"/>
    <n v="9623.3333333333339"/>
    <n v="0"/>
    <n v="0"/>
    <n v="273040"/>
    <n v="288700"/>
    <m/>
    <m/>
    <m/>
    <m/>
    <m/>
    <m/>
    <m/>
    <m/>
    <n v="0"/>
    <n v="0"/>
    <n v="0"/>
    <n v="0"/>
    <m/>
    <m/>
    <n v="0"/>
    <n v="0"/>
    <m/>
    <m/>
    <n v="12526"/>
    <n v="13036"/>
    <n v="5724"/>
    <n v="5669"/>
    <n v="13120"/>
    <n v="13967"/>
    <n v="31370"/>
    <n v="1307.0833333333333"/>
    <n v="32672"/>
    <n v="1361.3333333333333"/>
    <n v="10408.416666666668"/>
    <n v="10984.666666666668"/>
  </r>
  <r>
    <x v="9"/>
    <s v="Fayetteville State University "/>
    <m/>
    <n v="198543"/>
    <x v="3"/>
    <m/>
    <m/>
    <m/>
    <m/>
    <n v="62448"/>
    <n v="64237"/>
    <n v="15270"/>
    <n v="17177"/>
    <n v="67778"/>
    <n v="68701"/>
    <n v="145496"/>
    <n v="4849.8666666666668"/>
    <n v="150115"/>
    <n v="5003.833333333333"/>
    <n v="7882"/>
    <n v="7860"/>
    <n v="145496"/>
    <n v="150115"/>
    <m/>
    <m/>
    <m/>
    <m/>
    <m/>
    <m/>
    <m/>
    <m/>
    <n v="0"/>
    <n v="0"/>
    <n v="0"/>
    <n v="0"/>
    <m/>
    <m/>
    <n v="0"/>
    <n v="0"/>
    <m/>
    <m/>
    <n v="5963"/>
    <n v="5694"/>
    <n v="2051"/>
    <n v="2184"/>
    <n v="6484"/>
    <n v="6460"/>
    <n v="14498"/>
    <n v="604.08333333333337"/>
    <n v="14338"/>
    <n v="597.41666666666663"/>
    <n v="5453.95"/>
    <n v="5601.25"/>
  </r>
  <r>
    <x v="9"/>
    <s v="University of North Carolina at Pembroke"/>
    <m/>
    <n v="199281"/>
    <x v="4"/>
    <m/>
    <m/>
    <m/>
    <m/>
    <n v="63839"/>
    <n v="71272"/>
    <n v="15369"/>
    <n v="17971"/>
    <n v="78317"/>
    <n v="81177"/>
    <n v="157525"/>
    <n v="5250.833333333333"/>
    <n v="170420"/>
    <n v="5680.666666666667"/>
    <n v="0"/>
    <n v="0"/>
    <n v="157525"/>
    <n v="170420"/>
    <m/>
    <m/>
    <m/>
    <m/>
    <m/>
    <m/>
    <m/>
    <m/>
    <n v="0"/>
    <n v="0"/>
    <n v="0"/>
    <n v="0"/>
    <m/>
    <m/>
    <n v="0"/>
    <n v="0"/>
    <m/>
    <m/>
    <n v="5367"/>
    <n v="7137"/>
    <n v="4000"/>
    <n v="5618"/>
    <n v="6975"/>
    <n v="9416"/>
    <n v="16342"/>
    <n v="680.91666666666663"/>
    <n v="22171"/>
    <n v="923.79166666666663"/>
    <n v="5931.75"/>
    <n v="6604.4583333333339"/>
  </r>
  <r>
    <x v="9"/>
    <s v="Winston-Salem State University "/>
    <m/>
    <n v="199999"/>
    <x v="4"/>
    <m/>
    <m/>
    <m/>
    <m/>
    <n v="60923"/>
    <n v="59707"/>
    <n v="8920"/>
    <n v="8428"/>
    <n v="65120"/>
    <n v="64295"/>
    <n v="134963"/>
    <n v="4498.7666666666664"/>
    <n v="132430"/>
    <n v="4414.333333333333"/>
    <n v="0"/>
    <n v="0"/>
    <n v="134963"/>
    <n v="132430"/>
    <m/>
    <m/>
    <m/>
    <m/>
    <m/>
    <m/>
    <m/>
    <m/>
    <n v="0"/>
    <n v="0"/>
    <n v="0"/>
    <n v="0"/>
    <m/>
    <m/>
    <n v="0"/>
    <n v="0"/>
    <m/>
    <m/>
    <n v="3974"/>
    <n v="4309"/>
    <n v="2102"/>
    <n v="2247"/>
    <n v="4361"/>
    <n v="4457"/>
    <n v="10437"/>
    <n v="434.875"/>
    <n v="11013"/>
    <n v="458.875"/>
    <n v="4933.6416666666664"/>
    <n v="4873.208333333333"/>
  </r>
  <r>
    <x v="9"/>
    <s v="Elizabeth City State University "/>
    <m/>
    <n v="198507"/>
    <x v="5"/>
    <m/>
    <m/>
    <m/>
    <m/>
    <n v="16951"/>
    <n v="20165"/>
    <n v="1550"/>
    <n v="2453"/>
    <n v="22715"/>
    <n v="23739"/>
    <n v="41216"/>
    <n v="1373.8666666666666"/>
    <n v="46357"/>
    <n v="1545.2333333333333"/>
    <n v="0"/>
    <n v="0"/>
    <n v="41216"/>
    <n v="46357"/>
    <m/>
    <m/>
    <m/>
    <m/>
    <m/>
    <m/>
    <m/>
    <m/>
    <n v="0"/>
    <n v="0"/>
    <n v="0"/>
    <n v="0"/>
    <m/>
    <m/>
    <n v="0"/>
    <n v="0"/>
    <m/>
    <m/>
    <n v="280"/>
    <n v="399"/>
    <n v="91"/>
    <n v="236"/>
    <n v="282"/>
    <n v="593"/>
    <n v="653"/>
    <n v="27.208333333333332"/>
    <n v="1228"/>
    <n v="51.166666666666664"/>
    <n v="1401.0749999999998"/>
    <n v="1596.4"/>
  </r>
  <r>
    <x v="9"/>
    <s v="University of North Carolina at Asheville"/>
    <m/>
    <n v="199111"/>
    <x v="5"/>
    <m/>
    <m/>
    <m/>
    <m/>
    <n v="47284"/>
    <n v="46802"/>
    <n v="4138"/>
    <n v="4228"/>
    <n v="50683"/>
    <n v="47948"/>
    <n v="102105"/>
    <n v="3403.5"/>
    <n v="98978"/>
    <n v="3299.2666666666669"/>
    <n v="0"/>
    <n v="0"/>
    <n v="102105"/>
    <n v="98978"/>
    <m/>
    <m/>
    <m/>
    <m/>
    <m/>
    <m/>
    <m/>
    <m/>
    <n v="0"/>
    <n v="0"/>
    <n v="0"/>
    <n v="0"/>
    <m/>
    <m/>
    <n v="0"/>
    <n v="0"/>
    <m/>
    <m/>
    <n v="127"/>
    <n v="120"/>
    <n v="3"/>
    <n v="26"/>
    <n v="99"/>
    <n v="67"/>
    <n v="229"/>
    <n v="9.5416666666666661"/>
    <n v="213"/>
    <n v="8.875"/>
    <n v="3413.0416666666665"/>
    <n v="3308.1416666666669"/>
  </r>
  <r>
    <x v="9"/>
    <s v="University of North Carolina School of the Arts"/>
    <m/>
    <n v="199184"/>
    <x v="13"/>
    <m/>
    <m/>
    <m/>
    <m/>
    <n v="13092"/>
    <n v="13360"/>
    <n v="276"/>
    <n v="230"/>
    <n v="14434"/>
    <n v="13847"/>
    <n v="27802"/>
    <n v="926.73333333333335"/>
    <n v="27437"/>
    <n v="914.56666666666672"/>
    <m/>
    <n v="0"/>
    <n v="0"/>
    <n v="27437"/>
    <m/>
    <m/>
    <m/>
    <m/>
    <m/>
    <m/>
    <m/>
    <m/>
    <n v="0"/>
    <n v="0"/>
    <n v="0"/>
    <n v="0"/>
    <m/>
    <m/>
    <n v="0"/>
    <n v="0"/>
    <m/>
    <m/>
    <n v="1778"/>
    <n v="1864"/>
    <n v="2"/>
    <n v="0"/>
    <n v="1946"/>
    <n v="1958"/>
    <n v="3726"/>
    <n v="155.25"/>
    <n v="3822"/>
    <n v="159.25"/>
    <n v="1081.9833333333333"/>
    <n v="1073.8166666666666"/>
  </r>
  <r>
    <x v="9"/>
    <s v="Asheville-Buncombe Technical Community College"/>
    <m/>
    <n v="197887"/>
    <x v="6"/>
    <s v="sem"/>
    <m/>
    <m/>
    <m/>
    <n v="59567"/>
    <n v="55880"/>
    <n v="14890"/>
    <n v="14802"/>
    <n v="60621"/>
    <n v="59570"/>
    <n v="135078"/>
    <n v="4502.6000000000004"/>
    <n v="130252"/>
    <n v="4341.7333333333336"/>
    <n v="23697"/>
    <n v="24622"/>
    <n v="135078"/>
    <n v="130252"/>
    <m/>
    <m/>
    <n v="252043"/>
    <n v="273043"/>
    <n v="178992"/>
    <n v="175951"/>
    <n v="244114"/>
    <n v="267607"/>
    <n v="675149"/>
    <n v="750.16555555555556"/>
    <n v="716601"/>
    <n v="796.22333333333336"/>
    <m/>
    <m/>
    <n v="0"/>
    <n v="0"/>
    <m/>
    <m/>
    <m/>
    <m/>
    <m/>
    <m/>
    <m/>
    <m/>
    <n v="0"/>
    <n v="0"/>
    <n v="0"/>
    <n v="0"/>
    <n v="5252.7655555555557"/>
    <n v="5137.9566666666669"/>
  </r>
  <r>
    <x v="9"/>
    <s v="Cape Fear Community College"/>
    <m/>
    <n v="198154"/>
    <x v="6"/>
    <s v="sem"/>
    <m/>
    <m/>
    <m/>
    <n v="77080"/>
    <n v="73892"/>
    <n v="22371"/>
    <n v="22097"/>
    <n v="82841"/>
    <n v="84210"/>
    <n v="182292"/>
    <n v="6076.4"/>
    <n v="180199"/>
    <n v="6006.6333333333332"/>
    <n v="19206"/>
    <n v="23372"/>
    <n v="182292"/>
    <n v="180199"/>
    <m/>
    <m/>
    <n v="244914"/>
    <n v="250103"/>
    <n v="145395"/>
    <n v="149085"/>
    <n v="208047"/>
    <n v="292108"/>
    <n v="598356"/>
    <n v="664.84"/>
    <n v="691296"/>
    <n v="768.10666666666668"/>
    <m/>
    <m/>
    <n v="0"/>
    <n v="0"/>
    <m/>
    <m/>
    <m/>
    <m/>
    <m/>
    <m/>
    <m/>
    <m/>
    <n v="0"/>
    <n v="0"/>
    <n v="0"/>
    <n v="0"/>
    <n v="6741.24"/>
    <n v="6774.74"/>
  </r>
  <r>
    <x v="9"/>
    <s v="Central Piedmont Community College "/>
    <m/>
    <n v="198260"/>
    <x v="6"/>
    <s v="sem"/>
    <m/>
    <m/>
    <m/>
    <n v="174730.8"/>
    <n v="169269.5"/>
    <n v="47173"/>
    <n v="46388"/>
    <n v="178841.5"/>
    <n v="178676"/>
    <n v="400745.3"/>
    <n v="13358.176666666666"/>
    <n v="394333.5"/>
    <n v="13144.45"/>
    <n v="21000.5"/>
    <n v="30622.5"/>
    <n v="400745.3"/>
    <n v="394333.5"/>
    <m/>
    <m/>
    <n v="525940"/>
    <n v="544624"/>
    <n v="255810"/>
    <n v="233382"/>
    <n v="487842"/>
    <n v="502316"/>
    <n v="1269592"/>
    <n v="1410.6577777777777"/>
    <n v="1280322"/>
    <n v="1422.58"/>
    <m/>
    <m/>
    <n v="0"/>
    <n v="0"/>
    <m/>
    <m/>
    <m/>
    <m/>
    <m/>
    <m/>
    <m/>
    <m/>
    <n v="0"/>
    <n v="0"/>
    <n v="0"/>
    <n v="0"/>
    <n v="14768.834444444445"/>
    <n v="14567.03"/>
  </r>
  <r>
    <x v="9"/>
    <s v="Fayetteville Technical Community College"/>
    <m/>
    <n v="198534"/>
    <x v="6"/>
    <s v="sem"/>
    <m/>
    <m/>
    <m/>
    <n v="106524"/>
    <n v="104030"/>
    <n v="31484"/>
    <n v="35057"/>
    <n v="108583"/>
    <n v="113917"/>
    <n v="246591"/>
    <n v="8219.7000000000007"/>
    <n v="253004"/>
    <n v="8433.4666666666672"/>
    <n v="17478"/>
    <n v="20010"/>
    <n v="246591"/>
    <n v="253004"/>
    <m/>
    <m/>
    <n v="694534"/>
    <n v="727015"/>
    <n v="637123"/>
    <n v="650272"/>
    <n v="960583"/>
    <n v="970233"/>
    <n v="2292240"/>
    <n v="2546.9333333333334"/>
    <n v="2347520"/>
    <n v="2608.3555555555554"/>
    <m/>
    <m/>
    <n v="0"/>
    <n v="0"/>
    <m/>
    <m/>
    <m/>
    <m/>
    <m/>
    <m/>
    <m/>
    <m/>
    <n v="0"/>
    <n v="0"/>
    <n v="0"/>
    <n v="0"/>
    <n v="10766.633333333335"/>
    <n v="11041.822222222223"/>
  </r>
  <r>
    <x v="9"/>
    <s v="Forsyth Technical Community College"/>
    <m/>
    <n v="198552"/>
    <x v="6"/>
    <s v="sem"/>
    <m/>
    <m/>
    <m/>
    <n v="67204"/>
    <n v="67366"/>
    <n v="22848"/>
    <n v="23797"/>
    <n v="73096"/>
    <n v="72616"/>
    <n v="163148"/>
    <n v="5438.2666666666664"/>
    <n v="163779"/>
    <n v="5459.3"/>
    <n v="15329"/>
    <n v="14786"/>
    <n v="163148"/>
    <n v="163779"/>
    <m/>
    <m/>
    <n v="297150"/>
    <n v="201159"/>
    <n v="171194"/>
    <n v="191527"/>
    <n v="300039"/>
    <n v="239291"/>
    <n v="768383"/>
    <n v="853.75888888888892"/>
    <n v="631977"/>
    <n v="702.19666666666672"/>
    <m/>
    <m/>
    <n v="0"/>
    <n v="0"/>
    <m/>
    <m/>
    <m/>
    <m/>
    <m/>
    <m/>
    <m/>
    <m/>
    <n v="0"/>
    <n v="0"/>
    <n v="0"/>
    <n v="0"/>
    <n v="6292.025555555555"/>
    <n v="6161.4966666666669"/>
  </r>
  <r>
    <x v="9"/>
    <s v="Guilford Technical Community College"/>
    <m/>
    <n v="198622"/>
    <x v="6"/>
    <s v="sem"/>
    <m/>
    <m/>
    <m/>
    <n v="92786"/>
    <n v="90788"/>
    <n v="24999"/>
    <n v="26645"/>
    <n v="99897"/>
    <n v="105817"/>
    <n v="217682"/>
    <n v="7256.0666666666666"/>
    <n v="223250"/>
    <n v="7441.666666666667"/>
    <n v="15044"/>
    <n v="18352"/>
    <n v="217682"/>
    <n v="223250"/>
    <m/>
    <m/>
    <n v="426460"/>
    <n v="446684"/>
    <n v="273588"/>
    <n v="257759"/>
    <n v="380428"/>
    <n v="375261"/>
    <n v="1080476"/>
    <n v="1200.5288888888888"/>
    <n v="1079704"/>
    <n v="1199.671111111111"/>
    <m/>
    <m/>
    <n v="0"/>
    <n v="0"/>
    <m/>
    <m/>
    <m/>
    <m/>
    <m/>
    <m/>
    <m/>
    <m/>
    <n v="0"/>
    <n v="0"/>
    <n v="0"/>
    <n v="0"/>
    <n v="8456.5955555555556"/>
    <n v="8641.3377777777787"/>
  </r>
  <r>
    <x v="9"/>
    <s v="Pitt Community College"/>
    <m/>
    <n v="199333"/>
    <x v="6"/>
    <s v="sem"/>
    <m/>
    <m/>
    <m/>
    <n v="74824"/>
    <n v="73757"/>
    <n v="21862"/>
    <n v="22997"/>
    <n v="78789"/>
    <n v="80416"/>
    <n v="175475"/>
    <n v="5849.166666666667"/>
    <n v="177170"/>
    <n v="5905.666666666667"/>
    <n v="15195"/>
    <n v="18604"/>
    <n v="175475"/>
    <n v="177170"/>
    <m/>
    <m/>
    <n v="179114"/>
    <n v="187805"/>
    <n v="158237"/>
    <n v="122228"/>
    <n v="218617"/>
    <n v="251602"/>
    <n v="555968"/>
    <n v="617.74222222222227"/>
    <n v="561635"/>
    <n v="624.03888888888889"/>
    <m/>
    <m/>
    <n v="0"/>
    <n v="0"/>
    <m/>
    <m/>
    <m/>
    <m/>
    <m/>
    <m/>
    <m/>
    <m/>
    <n v="0"/>
    <n v="0"/>
    <n v="0"/>
    <n v="0"/>
    <n v="6466.9088888888891"/>
    <n v="6529.7055555555562"/>
  </r>
  <r>
    <x v="9"/>
    <s v="Rowan-Cabarrus Community College"/>
    <m/>
    <n v="199494"/>
    <x v="6"/>
    <s v="sem"/>
    <m/>
    <m/>
    <m/>
    <n v="51344"/>
    <n v="52491"/>
    <n v="12970"/>
    <n v="13900"/>
    <n v="58245"/>
    <n v="61435"/>
    <n v="122559"/>
    <n v="4085.3"/>
    <n v="127826"/>
    <n v="4260.8666666666668"/>
    <n v="22807"/>
    <n v="30097"/>
    <n v="122559"/>
    <n v="127826"/>
    <m/>
    <m/>
    <n v="212189"/>
    <n v="324177"/>
    <n v="275635"/>
    <n v="186892"/>
    <n v="365021"/>
    <n v="416158"/>
    <n v="852845"/>
    <n v="947.60555555555561"/>
    <n v="927227"/>
    <n v="1030.2522222222221"/>
    <m/>
    <m/>
    <n v="0"/>
    <n v="0"/>
    <m/>
    <m/>
    <m/>
    <m/>
    <m/>
    <m/>
    <m/>
    <m/>
    <n v="0"/>
    <n v="0"/>
    <n v="0"/>
    <n v="0"/>
    <n v="5032.905555555556"/>
    <n v="5291.1188888888892"/>
  </r>
  <r>
    <x v="9"/>
    <s v="Wake Technical Community College"/>
    <m/>
    <n v="199856"/>
    <x v="6"/>
    <s v="sem"/>
    <m/>
    <m/>
    <m/>
    <n v="191677.5"/>
    <n v="190801"/>
    <n v="51594"/>
    <n v="51329"/>
    <n v="208320"/>
    <n v="209683"/>
    <n v="451591.5"/>
    <n v="15053.05"/>
    <n v="451813"/>
    <n v="15060.433333333332"/>
    <n v="18947.5"/>
    <n v="24076"/>
    <n v="451591.5"/>
    <n v="451813"/>
    <m/>
    <m/>
    <n v="723569"/>
    <n v="751268"/>
    <n v="635059"/>
    <n v="645131"/>
    <n v="980787"/>
    <n v="1035870"/>
    <n v="2339415"/>
    <n v="2599.35"/>
    <n v="2432269"/>
    <n v="2702.5211111111112"/>
    <m/>
    <m/>
    <n v="0"/>
    <n v="0"/>
    <m/>
    <m/>
    <m/>
    <m/>
    <m/>
    <m/>
    <m/>
    <m/>
    <n v="0"/>
    <n v="0"/>
    <n v="0"/>
    <n v="0"/>
    <n v="17652.399999999998"/>
    <n v="17762.954444444444"/>
  </r>
  <r>
    <x v="9"/>
    <s v="Alamance Community College"/>
    <m/>
    <n v="199786"/>
    <x v="7"/>
    <s v="sem"/>
    <m/>
    <m/>
    <m/>
    <n v="37269.5"/>
    <n v="35199"/>
    <n v="9706"/>
    <n v="9644"/>
    <n v="38817"/>
    <n v="40556.5"/>
    <n v="85792.5"/>
    <n v="2859.75"/>
    <n v="85399.5"/>
    <n v="2846.65"/>
    <n v="15249.5"/>
    <n v="17147"/>
    <n v="85792.5"/>
    <n v="85399.5"/>
    <m/>
    <m/>
    <n v="168331"/>
    <n v="199369"/>
    <n v="122405"/>
    <n v="123966"/>
    <n v="213554"/>
    <n v="261556"/>
    <n v="504290"/>
    <n v="560.32222222222219"/>
    <n v="584891"/>
    <n v="649.87888888888892"/>
    <m/>
    <m/>
    <n v="0"/>
    <n v="0"/>
    <m/>
    <m/>
    <m/>
    <m/>
    <m/>
    <m/>
    <m/>
    <m/>
    <n v="0"/>
    <n v="0"/>
    <n v="0"/>
    <n v="0"/>
    <n v="3420.0722222222221"/>
    <n v="3496.528888888889"/>
  </r>
  <r>
    <x v="9"/>
    <s v="Caldwell Community College &amp; Technical Institute"/>
    <m/>
    <n v="198118"/>
    <x v="7"/>
    <s v="sem"/>
    <m/>
    <m/>
    <m/>
    <n v="29352.5"/>
    <n v="29843"/>
    <n v="7279"/>
    <n v="7755"/>
    <n v="33088"/>
    <n v="35505"/>
    <n v="69719.5"/>
    <n v="2323.9833333333331"/>
    <n v="73103"/>
    <n v="2436.7666666666669"/>
    <n v="18317.5"/>
    <n v="19195"/>
    <n v="69719.5"/>
    <n v="73103"/>
    <m/>
    <m/>
    <n v="169550"/>
    <n v="148790"/>
    <n v="120960"/>
    <n v="142987"/>
    <n v="209676"/>
    <n v="216626"/>
    <n v="500186"/>
    <n v="555.76222222222225"/>
    <n v="508403"/>
    <n v="564.89222222222224"/>
    <m/>
    <m/>
    <n v="0"/>
    <n v="0"/>
    <m/>
    <m/>
    <m/>
    <m/>
    <m/>
    <m/>
    <m/>
    <m/>
    <n v="0"/>
    <n v="0"/>
    <n v="0"/>
    <n v="0"/>
    <n v="2879.7455555555553"/>
    <n v="3001.6588888888891"/>
  </r>
  <r>
    <x v="9"/>
    <s v="Catawba Valley Community College"/>
    <m/>
    <n v="198233"/>
    <x v="7"/>
    <s v="sem"/>
    <m/>
    <m/>
    <m/>
    <n v="40773"/>
    <n v="40042"/>
    <n v="9309"/>
    <n v="9862"/>
    <n v="44114"/>
    <n v="45979"/>
    <n v="94196"/>
    <n v="3139.8666666666668"/>
    <n v="95883"/>
    <n v="3196.1"/>
    <n v="20057"/>
    <n v="22225"/>
    <n v="94196"/>
    <n v="95883"/>
    <m/>
    <m/>
    <n v="195659"/>
    <n v="185527"/>
    <n v="143174"/>
    <n v="144684"/>
    <n v="173617"/>
    <n v="193300"/>
    <n v="512450"/>
    <n v="569.38888888888891"/>
    <n v="523511"/>
    <n v="581.67888888888888"/>
    <m/>
    <m/>
    <n v="0"/>
    <n v="0"/>
    <m/>
    <m/>
    <m/>
    <m/>
    <m/>
    <m/>
    <m/>
    <m/>
    <n v="0"/>
    <n v="0"/>
    <n v="0"/>
    <n v="0"/>
    <n v="3709.2555555555555"/>
    <n v="3777.778888888889"/>
  </r>
  <r>
    <x v="9"/>
    <s v="Central Carolina Commuity College"/>
    <m/>
    <n v="198251"/>
    <x v="7"/>
    <s v="sem"/>
    <m/>
    <m/>
    <m/>
    <n v="42653"/>
    <n v="42886"/>
    <n v="9435"/>
    <n v="9704"/>
    <n v="46513"/>
    <n v="53472"/>
    <n v="98601"/>
    <n v="3286.7"/>
    <n v="106062"/>
    <n v="3535.4"/>
    <n v="24133"/>
    <n v="28678"/>
    <n v="98601"/>
    <n v="106062"/>
    <m/>
    <m/>
    <n v="228599"/>
    <n v="229757"/>
    <n v="183520"/>
    <n v="183269"/>
    <n v="261457"/>
    <n v="271956"/>
    <n v="673576"/>
    <n v="748.41777777777781"/>
    <n v="684982"/>
    <n v="761.0911111111111"/>
    <m/>
    <m/>
    <n v="0"/>
    <n v="0"/>
    <m/>
    <m/>
    <m/>
    <m/>
    <m/>
    <m/>
    <m/>
    <m/>
    <n v="0"/>
    <n v="0"/>
    <n v="0"/>
    <n v="0"/>
    <n v="4035.1177777777775"/>
    <n v="4296.4911111111114"/>
  </r>
  <r>
    <x v="9"/>
    <s v="Cleveland Community College"/>
    <m/>
    <n v="198321"/>
    <x v="7"/>
    <s v="sem"/>
    <m/>
    <m/>
    <m/>
    <n v="22776.5"/>
    <n v="21958"/>
    <n v="6220"/>
    <n v="6172"/>
    <n v="24875"/>
    <n v="24771"/>
    <n v="53871.5"/>
    <n v="1795.7166666666667"/>
    <n v="52901"/>
    <n v="1763.3666666666666"/>
    <n v="8849"/>
    <n v="10085"/>
    <n v="53871.5"/>
    <n v="52901"/>
    <m/>
    <m/>
    <n v="151504"/>
    <n v="163622"/>
    <n v="95250"/>
    <n v="100860"/>
    <n v="192205"/>
    <n v="200271"/>
    <n v="438959"/>
    <n v="487.73222222222222"/>
    <n v="464753"/>
    <n v="516.39222222222224"/>
    <m/>
    <m/>
    <n v="0"/>
    <n v="0"/>
    <m/>
    <m/>
    <m/>
    <m/>
    <m/>
    <m/>
    <m/>
    <m/>
    <n v="0"/>
    <n v="0"/>
    <n v="0"/>
    <n v="0"/>
    <n v="2283.4488888888891"/>
    <n v="2279.7588888888886"/>
  </r>
  <r>
    <x v="9"/>
    <s v="Coastal Carolina Community College "/>
    <m/>
    <n v="198330"/>
    <x v="7"/>
    <s v="sem"/>
    <m/>
    <m/>
    <m/>
    <n v="39174"/>
    <n v="36858"/>
    <n v="15566"/>
    <n v="13983"/>
    <n v="40079"/>
    <n v="38743"/>
    <n v="94819"/>
    <n v="3160.6333333333332"/>
    <n v="89584"/>
    <n v="2986.1333333333332"/>
    <n v="3132"/>
    <n v="4628"/>
    <n v="94819"/>
    <n v="89584"/>
    <m/>
    <m/>
    <n v="153006"/>
    <n v="147800"/>
    <n v="125233"/>
    <n v="122831"/>
    <n v="140179"/>
    <n v="182776"/>
    <n v="418418"/>
    <n v="464.9088888888889"/>
    <n v="453407"/>
    <n v="503.78555555555556"/>
    <m/>
    <m/>
    <n v="0"/>
    <n v="0"/>
    <m/>
    <m/>
    <m/>
    <m/>
    <m/>
    <m/>
    <m/>
    <m/>
    <n v="0"/>
    <n v="0"/>
    <n v="0"/>
    <n v="0"/>
    <n v="3625.5422222222223"/>
    <n v="3489.9188888888889"/>
  </r>
  <r>
    <x v="9"/>
    <s v="Craven Community College "/>
    <m/>
    <n v="198367"/>
    <x v="7"/>
    <s v="sem"/>
    <m/>
    <m/>
    <m/>
    <n v="26151"/>
    <n v="24679"/>
    <n v="8246"/>
    <n v="7619"/>
    <n v="26976"/>
    <n v="26985"/>
    <n v="61373"/>
    <n v="2045.7666666666667"/>
    <n v="59283"/>
    <n v="1976.1"/>
    <n v="10330"/>
    <n v="11001"/>
    <n v="61373"/>
    <n v="59283"/>
    <m/>
    <m/>
    <n v="125062"/>
    <n v="136265"/>
    <n v="72306"/>
    <n v="74267"/>
    <n v="127000"/>
    <n v="130383"/>
    <n v="324368"/>
    <n v="360.4088888888889"/>
    <n v="340915"/>
    <n v="378.79444444444442"/>
    <m/>
    <m/>
    <n v="0"/>
    <n v="0"/>
    <m/>
    <m/>
    <m/>
    <m/>
    <m/>
    <m/>
    <m/>
    <m/>
    <n v="0"/>
    <n v="0"/>
    <n v="0"/>
    <n v="0"/>
    <n v="2406.1755555555555"/>
    <n v="2354.8944444444442"/>
  </r>
  <r>
    <x v="9"/>
    <s v="Davidson County Community College "/>
    <m/>
    <n v="198376"/>
    <x v="7"/>
    <s v="sem"/>
    <m/>
    <m/>
    <m/>
    <n v="31374"/>
    <n v="31138"/>
    <n v="6886"/>
    <n v="7170"/>
    <n v="34525"/>
    <n v="34883"/>
    <n v="72785"/>
    <n v="2426.1666666666665"/>
    <n v="73191"/>
    <n v="2439.6999999999998"/>
    <n v="15462"/>
    <n v="16692"/>
    <n v="72785"/>
    <n v="73191"/>
    <m/>
    <m/>
    <n v="140127"/>
    <n v="157079"/>
    <n v="96794"/>
    <n v="86379"/>
    <n v="138385"/>
    <n v="130508"/>
    <n v="375306"/>
    <n v="417.00666666666666"/>
    <n v="373966"/>
    <n v="415.51777777777778"/>
    <m/>
    <m/>
    <n v="0"/>
    <n v="0"/>
    <m/>
    <m/>
    <m/>
    <m/>
    <m/>
    <m/>
    <m/>
    <m/>
    <n v="0"/>
    <n v="0"/>
    <n v="0"/>
    <n v="0"/>
    <n v="2843.1733333333332"/>
    <n v="2855.2177777777774"/>
  </r>
  <r>
    <x v="9"/>
    <s v="Durham Technical Community College"/>
    <m/>
    <n v="198455"/>
    <x v="7"/>
    <s v="sem"/>
    <m/>
    <m/>
    <m/>
    <n v="42946"/>
    <n v="44361"/>
    <n v="12483"/>
    <n v="12334"/>
    <n v="45994"/>
    <n v="47570"/>
    <n v="101423"/>
    <n v="3380.7666666666669"/>
    <n v="104265"/>
    <n v="3475.5"/>
    <n v="10699"/>
    <n v="12114"/>
    <n v="101423"/>
    <n v="104265"/>
    <m/>
    <m/>
    <n v="202227"/>
    <n v="192831"/>
    <n v="111237"/>
    <n v="126157"/>
    <n v="200877"/>
    <n v="234484"/>
    <n v="514341"/>
    <n v="571.49"/>
    <n v="553472"/>
    <n v="614.96888888888884"/>
    <m/>
    <m/>
    <n v="0"/>
    <n v="0"/>
    <m/>
    <m/>
    <m/>
    <m/>
    <m/>
    <m/>
    <m/>
    <m/>
    <n v="0"/>
    <n v="0"/>
    <n v="0"/>
    <n v="0"/>
    <n v="3952.2566666666671"/>
    <n v="4090.4688888888886"/>
  </r>
  <r>
    <x v="9"/>
    <s v="Gaston College "/>
    <m/>
    <n v="198570"/>
    <x v="7"/>
    <s v="sem"/>
    <m/>
    <m/>
    <m/>
    <n v="44687"/>
    <n v="43385"/>
    <n v="14303"/>
    <n v="14197"/>
    <n v="48057"/>
    <n v="48852.5"/>
    <n v="107047"/>
    <n v="3568.2333333333331"/>
    <n v="106434.5"/>
    <n v="3547.8166666666666"/>
    <n v="16033"/>
    <n v="19137"/>
    <n v="107047"/>
    <n v="106434.5"/>
    <m/>
    <m/>
    <n v="108239"/>
    <n v="121757"/>
    <n v="102168"/>
    <n v="106318"/>
    <n v="152928"/>
    <n v="180479"/>
    <n v="363335"/>
    <n v="403.70555555555558"/>
    <n v="408554"/>
    <n v="453.94888888888892"/>
    <m/>
    <m/>
    <n v="0"/>
    <n v="0"/>
    <m/>
    <m/>
    <m/>
    <m/>
    <m/>
    <m/>
    <m/>
    <m/>
    <n v="0"/>
    <n v="0"/>
    <n v="0"/>
    <n v="0"/>
    <n v="3971.9388888888889"/>
    <n v="4001.7655555555557"/>
  </r>
  <r>
    <x v="9"/>
    <s v="Johnston Community College"/>
    <m/>
    <n v="198774"/>
    <x v="7"/>
    <s v="sem"/>
    <m/>
    <m/>
    <m/>
    <n v="34973"/>
    <n v="33471"/>
    <n v="7918"/>
    <n v="8428"/>
    <n v="37358"/>
    <n v="38913"/>
    <n v="80249"/>
    <n v="2674.9666666666667"/>
    <n v="80812"/>
    <n v="2693.7333333333331"/>
    <n v="16291"/>
    <n v="16070"/>
    <n v="80249"/>
    <n v="80812"/>
    <m/>
    <m/>
    <n v="140675"/>
    <n v="159182"/>
    <n v="138852"/>
    <n v="112947"/>
    <n v="178841"/>
    <n v="207217"/>
    <n v="458368"/>
    <n v="509.29777777777775"/>
    <n v="479346"/>
    <n v="532.60666666666668"/>
    <m/>
    <m/>
    <n v="0"/>
    <n v="0"/>
    <m/>
    <m/>
    <m/>
    <m/>
    <m/>
    <m/>
    <m/>
    <m/>
    <n v="0"/>
    <n v="0"/>
    <n v="0"/>
    <n v="0"/>
    <n v="3184.2644444444445"/>
    <n v="3226.3399999999997"/>
  </r>
  <r>
    <x v="9"/>
    <s v="Lenoir Community College "/>
    <m/>
    <n v="198817"/>
    <x v="7"/>
    <s v="sem"/>
    <m/>
    <m/>
    <m/>
    <n v="22690"/>
    <n v="21097"/>
    <n v="7240"/>
    <n v="7110"/>
    <n v="24932"/>
    <n v="25208"/>
    <n v="54862"/>
    <n v="1828.7333333333333"/>
    <n v="53415"/>
    <n v="1780.5"/>
    <n v="15053"/>
    <n v="14425"/>
    <n v="54862"/>
    <n v="53415"/>
    <m/>
    <m/>
    <n v="384535"/>
    <n v="524717"/>
    <n v="348397"/>
    <n v="231659"/>
    <n v="474060"/>
    <n v="475893"/>
    <n v="1206992"/>
    <n v="1341.1022222222223"/>
    <n v="1232269"/>
    <n v="1369.1877777777777"/>
    <m/>
    <m/>
    <n v="0"/>
    <n v="0"/>
    <m/>
    <m/>
    <m/>
    <m/>
    <m/>
    <m/>
    <m/>
    <m/>
    <n v="0"/>
    <n v="0"/>
    <n v="0"/>
    <n v="0"/>
    <n v="3169.8355555555554"/>
    <n v="3149.6877777777777"/>
  </r>
  <r>
    <x v="9"/>
    <s v="Mitchell Community College "/>
    <m/>
    <n v="198987"/>
    <x v="7"/>
    <s v="sem"/>
    <m/>
    <m/>
    <m/>
    <n v="25247"/>
    <n v="24349"/>
    <n v="6135"/>
    <n v="5727"/>
    <n v="26819"/>
    <n v="27407"/>
    <n v="58201"/>
    <n v="1940.0333333333333"/>
    <n v="57483"/>
    <n v="1916.1"/>
    <n v="13251"/>
    <n v="13147"/>
    <n v="58201"/>
    <n v="57483"/>
    <m/>
    <m/>
    <n v="75066"/>
    <n v="88157"/>
    <n v="68103"/>
    <n v="73960"/>
    <n v="112264"/>
    <n v="128261"/>
    <n v="255433"/>
    <n v="283.81444444444446"/>
    <n v="290378"/>
    <n v="322.64222222222224"/>
    <m/>
    <m/>
    <n v="0"/>
    <n v="0"/>
    <m/>
    <m/>
    <m/>
    <m/>
    <m/>
    <m/>
    <m/>
    <m/>
    <n v="0"/>
    <n v="0"/>
    <n v="0"/>
    <n v="0"/>
    <n v="2223.847777777778"/>
    <n v="2238.7422222222222"/>
  </r>
  <r>
    <x v="9"/>
    <s v="Nash Community College"/>
    <m/>
    <n v="199087"/>
    <x v="7"/>
    <s v="sem"/>
    <m/>
    <m/>
    <m/>
    <n v="26302"/>
    <n v="26627"/>
    <n v="7302"/>
    <n v="7150"/>
    <n v="27741"/>
    <n v="27571"/>
    <n v="61345"/>
    <n v="2044.8333333333333"/>
    <n v="61348"/>
    <n v="2044.9333333333334"/>
    <n v="8832"/>
    <n v="9921"/>
    <n v="61345"/>
    <n v="61348"/>
    <m/>
    <m/>
    <n v="132947"/>
    <n v="145232"/>
    <n v="92375"/>
    <n v="101848"/>
    <n v="135207"/>
    <n v="138111"/>
    <n v="360529"/>
    <n v="400.58777777777777"/>
    <n v="385191"/>
    <n v="427.99"/>
    <m/>
    <m/>
    <n v="0"/>
    <n v="0"/>
    <m/>
    <m/>
    <m/>
    <m/>
    <m/>
    <m/>
    <m/>
    <m/>
    <n v="0"/>
    <n v="0"/>
    <n v="0"/>
    <n v="0"/>
    <n v="2445.4211111111108"/>
    <n v="2472.9233333333332"/>
  </r>
  <r>
    <x v="9"/>
    <s v="Randolph Community College"/>
    <m/>
    <n v="199421"/>
    <x v="7"/>
    <s v="sem"/>
    <m/>
    <m/>
    <m/>
    <n v="23604.5"/>
    <n v="22952.5"/>
    <n v="5636"/>
    <n v="5376"/>
    <n v="25038.5"/>
    <n v="25623.5"/>
    <n v="54279"/>
    <n v="1809.3"/>
    <n v="53952"/>
    <n v="1798.4"/>
    <n v="12263"/>
    <n v="14270.5"/>
    <n v="54279"/>
    <n v="53952"/>
    <m/>
    <m/>
    <n v="162083"/>
    <n v="161999"/>
    <n v="85999"/>
    <n v="83262"/>
    <n v="150436"/>
    <n v="163364"/>
    <n v="398518"/>
    <n v="442.79777777777775"/>
    <n v="408625"/>
    <n v="454.02777777777777"/>
    <m/>
    <m/>
    <n v="0"/>
    <n v="0"/>
    <m/>
    <m/>
    <m/>
    <m/>
    <m/>
    <m/>
    <m/>
    <m/>
    <n v="0"/>
    <n v="0"/>
    <n v="0"/>
    <n v="0"/>
    <n v="2252.0977777777775"/>
    <n v="2252.4277777777779"/>
  </r>
  <r>
    <x v="9"/>
    <s v="Richmond Community College"/>
    <m/>
    <n v="199449"/>
    <x v="7"/>
    <s v="sem"/>
    <m/>
    <m/>
    <m/>
    <n v="21292.5"/>
    <n v="22110"/>
    <n v="5977"/>
    <n v="6268"/>
    <n v="24607"/>
    <n v="24445"/>
    <n v="51876.5"/>
    <n v="1729.2166666666667"/>
    <n v="52823"/>
    <n v="1760.7666666666667"/>
    <n v="13420"/>
    <n v="15911"/>
    <n v="51876.5"/>
    <n v="52823"/>
    <m/>
    <m/>
    <n v="177220"/>
    <n v="219076"/>
    <n v="169566"/>
    <n v="153743"/>
    <n v="152869"/>
    <n v="171919"/>
    <n v="499655"/>
    <n v="555.17222222222222"/>
    <n v="544738"/>
    <n v="605.26444444444439"/>
    <m/>
    <m/>
    <n v="0"/>
    <n v="0"/>
    <m/>
    <m/>
    <m/>
    <m/>
    <m/>
    <m/>
    <m/>
    <m/>
    <n v="0"/>
    <n v="0"/>
    <n v="0"/>
    <n v="0"/>
    <n v="2284.3888888888887"/>
    <n v="2366.0311111111109"/>
  </r>
  <r>
    <x v="9"/>
    <s v="Sandhills Community College "/>
    <m/>
    <n v="199634"/>
    <x v="7"/>
    <s v="sem"/>
    <m/>
    <m/>
    <m/>
    <n v="35414"/>
    <n v="34894"/>
    <n v="9856"/>
    <n v="9892"/>
    <n v="37646"/>
    <n v="37409"/>
    <n v="82916"/>
    <n v="2763.8666666666668"/>
    <n v="82195"/>
    <n v="2739.8333333333335"/>
    <n v="19285"/>
    <n v="17117"/>
    <n v="82916"/>
    <n v="82195"/>
    <m/>
    <m/>
    <n v="143422"/>
    <n v="171493"/>
    <n v="105789"/>
    <n v="106169"/>
    <n v="131721"/>
    <n v="158096"/>
    <n v="380932"/>
    <n v="423.25777777777779"/>
    <n v="435758"/>
    <n v="484.17555555555555"/>
    <m/>
    <m/>
    <n v="0"/>
    <n v="0"/>
    <m/>
    <m/>
    <m/>
    <m/>
    <m/>
    <m/>
    <m/>
    <m/>
    <n v="0"/>
    <n v="0"/>
    <n v="0"/>
    <n v="0"/>
    <n v="3187.1244444444446"/>
    <n v="3224.008888888889"/>
  </r>
  <r>
    <x v="9"/>
    <s v="South Piedmont Community College"/>
    <m/>
    <n v="197850"/>
    <x v="7"/>
    <s v="sem"/>
    <m/>
    <m/>
    <m/>
    <n v="20480"/>
    <n v="20994"/>
    <n v="3856"/>
    <n v="4600"/>
    <n v="22514"/>
    <n v="24636"/>
    <n v="46850"/>
    <n v="1561.6666666666667"/>
    <n v="50230"/>
    <n v="1674.3333333333333"/>
    <n v="18813"/>
    <n v="21316"/>
    <n v="46850"/>
    <n v="50230"/>
    <m/>
    <m/>
    <n v="159335"/>
    <n v="162744"/>
    <n v="96139"/>
    <n v="133834"/>
    <n v="176800"/>
    <n v="213700"/>
    <n v="432274"/>
    <n v="480.30444444444447"/>
    <n v="510278"/>
    <n v="566.9755555555555"/>
    <m/>
    <m/>
    <n v="0"/>
    <n v="0"/>
    <m/>
    <m/>
    <m/>
    <m/>
    <m/>
    <m/>
    <m/>
    <m/>
    <n v="0"/>
    <n v="0"/>
    <n v="0"/>
    <n v="0"/>
    <n v="2041.9711111111112"/>
    <n v="2241.3088888888888"/>
  </r>
  <r>
    <x v="9"/>
    <s v="Stanly Community College"/>
    <m/>
    <n v="199740"/>
    <x v="7"/>
    <s v="sem"/>
    <m/>
    <m/>
    <m/>
    <n v="21424"/>
    <n v="20496"/>
    <n v="6283"/>
    <n v="6444"/>
    <n v="22783"/>
    <n v="23769"/>
    <n v="50490"/>
    <n v="1683"/>
    <n v="50709"/>
    <n v="1690.3"/>
    <n v="7968"/>
    <n v="9552"/>
    <n v="50490"/>
    <n v="50709"/>
    <m/>
    <m/>
    <n v="220356"/>
    <n v="209966"/>
    <n v="130704"/>
    <n v="111625"/>
    <n v="174208"/>
    <n v="208612"/>
    <n v="525268"/>
    <n v="583.63111111111107"/>
    <n v="530203"/>
    <n v="589.11444444444442"/>
    <m/>
    <m/>
    <n v="0"/>
    <n v="0"/>
    <m/>
    <m/>
    <m/>
    <m/>
    <m/>
    <m/>
    <m/>
    <m/>
    <n v="0"/>
    <n v="0"/>
    <n v="0"/>
    <n v="0"/>
    <n v="2266.6311111111108"/>
    <n v="2279.4144444444446"/>
  </r>
  <r>
    <x v="9"/>
    <s v="Surry Community College "/>
    <m/>
    <n v="199768"/>
    <x v="7"/>
    <s v="sem"/>
    <m/>
    <m/>
    <m/>
    <n v="26665"/>
    <n v="26048"/>
    <n v="5770"/>
    <n v="6589"/>
    <n v="28815"/>
    <n v="30466"/>
    <n v="61250"/>
    <n v="2041.6666666666667"/>
    <n v="63103"/>
    <n v="2103.4333333333334"/>
    <n v="16060"/>
    <n v="17989"/>
    <n v="61250"/>
    <n v="63103"/>
    <m/>
    <m/>
    <n v="117249"/>
    <n v="125076"/>
    <n v="109860"/>
    <n v="108747"/>
    <n v="180225"/>
    <n v="174284"/>
    <n v="407334"/>
    <n v="452.59333333333331"/>
    <n v="408107"/>
    <n v="453.45222222222225"/>
    <m/>
    <m/>
    <n v="0"/>
    <n v="0"/>
    <m/>
    <m/>
    <m/>
    <m/>
    <m/>
    <m/>
    <m/>
    <m/>
    <n v="0"/>
    <n v="0"/>
    <n v="0"/>
    <n v="0"/>
    <n v="2494.2600000000002"/>
    <n v="2556.8855555555556"/>
  </r>
  <r>
    <x v="9"/>
    <s v="Vance-Granville Community College "/>
    <m/>
    <n v="199838"/>
    <x v="7"/>
    <s v="sem"/>
    <m/>
    <m/>
    <m/>
    <n v="24835"/>
    <n v="23329"/>
    <n v="5209"/>
    <n v="5309"/>
    <n v="26050"/>
    <n v="27722"/>
    <n v="56094"/>
    <n v="1869.8"/>
    <n v="56360"/>
    <n v="1878.6666666666667"/>
    <n v="14134"/>
    <n v="15388"/>
    <n v="56094"/>
    <n v="56360"/>
    <m/>
    <m/>
    <n v="144319"/>
    <n v="145264"/>
    <n v="100063"/>
    <n v="98682"/>
    <n v="150336"/>
    <n v="152433"/>
    <n v="394718"/>
    <n v="438.57555555555558"/>
    <n v="396379"/>
    <n v="440.42111111111109"/>
    <m/>
    <m/>
    <n v="0"/>
    <n v="0"/>
    <m/>
    <m/>
    <m/>
    <m/>
    <m/>
    <m/>
    <m/>
    <m/>
    <n v="0"/>
    <n v="0"/>
    <n v="0"/>
    <n v="0"/>
    <n v="2308.3755555555554"/>
    <n v="2319.0877777777778"/>
  </r>
  <r>
    <x v="9"/>
    <s v="Wayne Community College"/>
    <m/>
    <n v="199892"/>
    <x v="7"/>
    <s v="sem"/>
    <m/>
    <m/>
    <m/>
    <n v="30598"/>
    <n v="30073"/>
    <n v="9124"/>
    <n v="9353"/>
    <n v="32107"/>
    <n v="31252"/>
    <n v="71829"/>
    <n v="2394.3000000000002"/>
    <n v="70678"/>
    <n v="2355.9333333333334"/>
    <n v="12666"/>
    <n v="11618.5"/>
    <n v="71829"/>
    <n v="70678"/>
    <m/>
    <m/>
    <n v="152882"/>
    <n v="171551"/>
    <n v="115682"/>
    <n v="113241"/>
    <n v="134222"/>
    <n v="181076"/>
    <n v="402786"/>
    <n v="447.54"/>
    <n v="465868"/>
    <n v="517.63111111111107"/>
    <m/>
    <m/>
    <n v="0"/>
    <n v="0"/>
    <m/>
    <m/>
    <m/>
    <m/>
    <m/>
    <m/>
    <m/>
    <m/>
    <n v="0"/>
    <n v="0"/>
    <n v="0"/>
    <n v="0"/>
    <n v="2841.84"/>
    <n v="2873.5644444444442"/>
  </r>
  <r>
    <x v="9"/>
    <s v="Wilkes Community College "/>
    <m/>
    <n v="199926"/>
    <x v="7"/>
    <s v="sem"/>
    <m/>
    <m/>
    <m/>
    <n v="24260"/>
    <n v="22176"/>
    <n v="4857"/>
    <n v="4870"/>
    <n v="26082"/>
    <n v="26412"/>
    <n v="55199"/>
    <n v="1839.9666666666667"/>
    <n v="53458"/>
    <n v="1781.9333333333334"/>
    <n v="12832"/>
    <n v="12773"/>
    <n v="55199"/>
    <n v="53458"/>
    <m/>
    <m/>
    <n v="148986"/>
    <n v="158768"/>
    <n v="88456"/>
    <n v="97618"/>
    <n v="165244"/>
    <n v="158870"/>
    <n v="402686"/>
    <n v="447.42888888888888"/>
    <n v="415256"/>
    <n v="461.39555555555557"/>
    <m/>
    <m/>
    <n v="0"/>
    <n v="0"/>
    <m/>
    <m/>
    <m/>
    <m/>
    <m/>
    <m/>
    <m/>
    <m/>
    <n v="0"/>
    <n v="0"/>
    <n v="0"/>
    <n v="0"/>
    <n v="2287.3955555555558"/>
    <n v="2243.3288888888892"/>
  </r>
  <r>
    <x v="9"/>
    <s v="Beaufort County Community College "/>
    <m/>
    <n v="197966"/>
    <x v="8"/>
    <s v="sem"/>
    <m/>
    <m/>
    <m/>
    <n v="12072"/>
    <n v="13450"/>
    <n v="2911"/>
    <n v="2974"/>
    <n v="13867"/>
    <n v="14559"/>
    <n v="28850"/>
    <n v="961.66666666666663"/>
    <n v="30983"/>
    <n v="1032.7666666666667"/>
    <n v="9970"/>
    <n v="11145"/>
    <n v="28850"/>
    <n v="30983"/>
    <m/>
    <m/>
    <n v="87862"/>
    <n v="98836"/>
    <n v="61834"/>
    <n v="65875"/>
    <n v="92931"/>
    <n v="95865"/>
    <n v="242627"/>
    <n v="269.58555555555557"/>
    <n v="260576"/>
    <n v="289.5288888888889"/>
    <m/>
    <m/>
    <n v="0"/>
    <n v="0"/>
    <m/>
    <m/>
    <m/>
    <m/>
    <m/>
    <m/>
    <m/>
    <m/>
    <n v="0"/>
    <n v="0"/>
    <n v="0"/>
    <n v="0"/>
    <n v="1231.2522222222221"/>
    <n v="1322.2955555555554"/>
  </r>
  <r>
    <x v="9"/>
    <s v="Bladen Community College"/>
    <m/>
    <n v="198011"/>
    <x v="8"/>
    <s v="sem"/>
    <m/>
    <m/>
    <m/>
    <n v="11233"/>
    <n v="10947"/>
    <n v="3490"/>
    <n v="3487"/>
    <n v="12321"/>
    <n v="13181"/>
    <n v="27044"/>
    <n v="901.4666666666667"/>
    <n v="27615"/>
    <n v="920.5"/>
    <n v="6638"/>
    <n v="7348"/>
    <n v="27044"/>
    <n v="27615"/>
    <m/>
    <m/>
    <n v="56183"/>
    <n v="68047"/>
    <n v="33703"/>
    <n v="29827"/>
    <n v="52499"/>
    <n v="51214"/>
    <n v="142385"/>
    <n v="158.20555555555555"/>
    <n v="149088"/>
    <n v="165.65333333333334"/>
    <m/>
    <m/>
    <n v="0"/>
    <n v="0"/>
    <m/>
    <m/>
    <m/>
    <m/>
    <m/>
    <m/>
    <m/>
    <m/>
    <n v="0"/>
    <n v="0"/>
    <n v="0"/>
    <n v="0"/>
    <n v="1059.6722222222222"/>
    <n v="1086.1533333333334"/>
  </r>
  <r>
    <x v="9"/>
    <s v="Blue Ridge Community College"/>
    <m/>
    <n v="198039"/>
    <x v="8"/>
    <s v="sem"/>
    <m/>
    <m/>
    <m/>
    <n v="17261"/>
    <n v="17518"/>
    <n v="4106"/>
    <n v="4467"/>
    <n v="19473"/>
    <n v="20352"/>
    <n v="40840"/>
    <n v="1361.3333333333333"/>
    <n v="42337"/>
    <n v="1411.2333333333333"/>
    <n v="7963"/>
    <n v="8750"/>
    <n v="40840"/>
    <n v="42337"/>
    <m/>
    <m/>
    <n v="130538"/>
    <n v="130669"/>
    <n v="86709"/>
    <n v="97604"/>
    <n v="151376"/>
    <n v="169076"/>
    <n v="368623"/>
    <n v="409.58111111111111"/>
    <n v="397349"/>
    <n v="441.49888888888887"/>
    <m/>
    <m/>
    <n v="0"/>
    <n v="0"/>
    <m/>
    <m/>
    <m/>
    <m/>
    <m/>
    <m/>
    <m/>
    <m/>
    <n v="0"/>
    <n v="0"/>
    <n v="0"/>
    <n v="0"/>
    <n v="1770.9144444444444"/>
    <n v="1852.7322222222222"/>
  </r>
  <r>
    <x v="9"/>
    <s v="Brunswick Community College"/>
    <m/>
    <n v="198084"/>
    <x v="8"/>
    <s v="sem"/>
    <m/>
    <m/>
    <m/>
    <n v="12557"/>
    <n v="13710"/>
    <n v="2936"/>
    <n v="2932"/>
    <n v="14887"/>
    <n v="15937"/>
    <n v="30380"/>
    <n v="1012.6666666666666"/>
    <n v="32579"/>
    <n v="1085.9666666666667"/>
    <n v="6784"/>
    <n v="8052"/>
    <n v="30380"/>
    <n v="32579"/>
    <m/>
    <m/>
    <n v="132928"/>
    <n v="135062"/>
    <n v="88130"/>
    <n v="74404"/>
    <n v="132953"/>
    <n v="137533"/>
    <n v="354011"/>
    <n v="393.34555555555556"/>
    <n v="346999"/>
    <n v="385.55444444444447"/>
    <m/>
    <m/>
    <n v="0"/>
    <n v="0"/>
    <m/>
    <m/>
    <m/>
    <m/>
    <m/>
    <m/>
    <m/>
    <m/>
    <n v="0"/>
    <n v="0"/>
    <n v="0"/>
    <n v="0"/>
    <n v="1406.0122222222221"/>
    <n v="1471.5211111111112"/>
  </r>
  <r>
    <x v="9"/>
    <s v="Carteret Community College"/>
    <m/>
    <n v="198206"/>
    <x v="8"/>
    <s v="sem"/>
    <m/>
    <m/>
    <m/>
    <n v="12816"/>
    <n v="14081"/>
    <n v="3316"/>
    <n v="3268"/>
    <n v="14392.5"/>
    <n v="14339"/>
    <n v="30524.5"/>
    <n v="1017.4833333333333"/>
    <n v="31688"/>
    <n v="1056.2666666666667"/>
    <n v="4755"/>
    <n v="4940"/>
    <n v="30524.5"/>
    <n v="31688"/>
    <m/>
    <m/>
    <n v="110517"/>
    <n v="102684"/>
    <n v="54185"/>
    <n v="51691"/>
    <n v="85369"/>
    <n v="113582"/>
    <n v="250071"/>
    <n v="277.85666666666668"/>
    <n v="267957"/>
    <n v="297.73"/>
    <m/>
    <m/>
    <n v="0"/>
    <n v="0"/>
    <m/>
    <m/>
    <m/>
    <m/>
    <m/>
    <m/>
    <m/>
    <m/>
    <n v="0"/>
    <n v="0"/>
    <n v="0"/>
    <n v="0"/>
    <n v="1295.3400000000001"/>
    <n v="1353.9966666666667"/>
  </r>
  <r>
    <x v="9"/>
    <s v="College of the Albemarle"/>
    <s v="Met the criteria for Two-Year 2 in 2019-20."/>
    <n v="197814"/>
    <x v="8"/>
    <s v="sem"/>
    <m/>
    <m/>
    <m/>
    <n v="21598"/>
    <n v="22451"/>
    <n v="4857"/>
    <n v="5668"/>
    <n v="24125"/>
    <n v="25236"/>
    <n v="50580"/>
    <n v="1686"/>
    <n v="53355"/>
    <n v="1778.5"/>
    <n v="7773"/>
    <n v="370"/>
    <n v="50580"/>
    <n v="53355"/>
    <m/>
    <m/>
    <n v="74742"/>
    <n v="87138"/>
    <n v="77452"/>
    <n v="80347"/>
    <n v="104640"/>
    <n v="117365"/>
    <n v="256834"/>
    <n v="285.37111111111113"/>
    <n v="284850"/>
    <n v="316.5"/>
    <m/>
    <m/>
    <n v="0"/>
    <n v="0"/>
    <m/>
    <m/>
    <m/>
    <m/>
    <m/>
    <m/>
    <m/>
    <m/>
    <n v="0"/>
    <n v="0"/>
    <n v="0"/>
    <n v="0"/>
    <n v="1971.3711111111111"/>
    <n v="2095"/>
  </r>
  <r>
    <x v="9"/>
    <s v="Edgecombe Community College"/>
    <m/>
    <n v="198491"/>
    <x v="8"/>
    <s v="sem"/>
    <m/>
    <m/>
    <m/>
    <n v="19152"/>
    <n v="17360"/>
    <n v="6159"/>
    <n v="5594"/>
    <n v="18765"/>
    <n v="17476"/>
    <n v="44076"/>
    <n v="1469.2"/>
    <n v="40430"/>
    <n v="1347.6666666666667"/>
    <n v="6214"/>
    <n v="5804"/>
    <n v="44076"/>
    <n v="40430"/>
    <m/>
    <m/>
    <n v="76187"/>
    <n v="88887"/>
    <n v="54733"/>
    <n v="49548"/>
    <n v="89391"/>
    <n v="114821"/>
    <n v="220311"/>
    <n v="244.79"/>
    <n v="253256"/>
    <n v="281.39555555555557"/>
    <m/>
    <m/>
    <n v="0"/>
    <n v="0"/>
    <m/>
    <m/>
    <m/>
    <m/>
    <m/>
    <m/>
    <m/>
    <m/>
    <n v="0"/>
    <n v="0"/>
    <n v="0"/>
    <n v="0"/>
    <n v="1713.99"/>
    <n v="1629.0622222222223"/>
  </r>
  <r>
    <x v="9"/>
    <s v="Halifax Community College "/>
    <m/>
    <n v="198640"/>
    <x v="8"/>
    <s v="sem"/>
    <m/>
    <m/>
    <m/>
    <n v="8656"/>
    <n v="8809"/>
    <n v="1772"/>
    <n v="2022"/>
    <n v="9386"/>
    <n v="9890"/>
    <n v="19814"/>
    <n v="660.4666666666667"/>
    <n v="20721"/>
    <n v="690.7"/>
    <n v="5864"/>
    <n v="6644"/>
    <n v="19814"/>
    <n v="20721"/>
    <m/>
    <m/>
    <n v="75002"/>
    <n v="89360"/>
    <n v="48191"/>
    <n v="35940"/>
    <n v="69286"/>
    <n v="90181"/>
    <n v="192479"/>
    <n v="213.86555555555555"/>
    <n v="215481"/>
    <n v="239.42333333333335"/>
    <m/>
    <m/>
    <n v="0"/>
    <n v="0"/>
    <m/>
    <m/>
    <m/>
    <m/>
    <m/>
    <m/>
    <m/>
    <m/>
    <n v="0"/>
    <n v="0"/>
    <n v="0"/>
    <n v="0"/>
    <n v="874.3322222222223"/>
    <n v="930.12333333333345"/>
  </r>
  <r>
    <x v="9"/>
    <s v="Haywood Community College"/>
    <m/>
    <n v="198668"/>
    <x v="8"/>
    <s v="sem"/>
    <m/>
    <m/>
    <m/>
    <n v="13764"/>
    <n v="13637"/>
    <n v="3546"/>
    <n v="3073"/>
    <n v="15233"/>
    <n v="15363"/>
    <n v="32543"/>
    <n v="1084.7666666666667"/>
    <n v="32073"/>
    <n v="1069.0999999999999"/>
    <n v="6153"/>
    <n v="6550"/>
    <n v="32543"/>
    <n v="32073"/>
    <m/>
    <m/>
    <n v="66290"/>
    <n v="74561"/>
    <n v="38300"/>
    <n v="36455"/>
    <n v="78388"/>
    <n v="71796"/>
    <n v="182978"/>
    <n v="203.3088888888889"/>
    <n v="182812"/>
    <n v="203.12444444444444"/>
    <m/>
    <m/>
    <n v="0"/>
    <n v="0"/>
    <m/>
    <m/>
    <m/>
    <m/>
    <m/>
    <m/>
    <m/>
    <m/>
    <n v="0"/>
    <n v="0"/>
    <n v="0"/>
    <n v="0"/>
    <n v="1288.0755555555556"/>
    <n v="1272.2244444444443"/>
  </r>
  <r>
    <x v="9"/>
    <s v="Isothermal Community College "/>
    <m/>
    <n v="198710"/>
    <x v="8"/>
    <s v="sem"/>
    <m/>
    <m/>
    <m/>
    <n v="18462"/>
    <n v="17832"/>
    <n v="5771"/>
    <n v="5883"/>
    <n v="18786"/>
    <n v="19920"/>
    <n v="43019"/>
    <n v="1433.9666666666667"/>
    <n v="43635"/>
    <n v="1454.5"/>
    <n v="12749"/>
    <n v="13343"/>
    <n v="43019"/>
    <n v="43635"/>
    <m/>
    <m/>
    <n v="70485"/>
    <n v="71947"/>
    <n v="30361"/>
    <n v="38187"/>
    <n v="68171"/>
    <n v="64682"/>
    <n v="169017"/>
    <n v="187.79666666666665"/>
    <n v="174816"/>
    <n v="194.24"/>
    <m/>
    <m/>
    <n v="0"/>
    <n v="0"/>
    <m/>
    <m/>
    <m/>
    <m/>
    <m/>
    <m/>
    <m/>
    <m/>
    <n v="0"/>
    <n v="0"/>
    <n v="0"/>
    <n v="0"/>
    <n v="1621.7633333333333"/>
    <n v="1648.74"/>
  </r>
  <r>
    <x v="9"/>
    <s v="James Sprunt Community College"/>
    <m/>
    <n v="198729"/>
    <x v="8"/>
    <s v="sem"/>
    <m/>
    <m/>
    <m/>
    <n v="11114"/>
    <n v="10442"/>
    <n v="2750"/>
    <n v="3403"/>
    <n v="10944"/>
    <n v="11671"/>
    <n v="24808"/>
    <n v="826.93333333333328"/>
    <n v="25516"/>
    <n v="850.5333333333333"/>
    <n v="7066"/>
    <n v="7506"/>
    <n v="24808"/>
    <n v="25516"/>
    <m/>
    <m/>
    <n v="53326"/>
    <n v="41421"/>
    <n v="37936"/>
    <n v="39164"/>
    <n v="59757"/>
    <n v="62795"/>
    <n v="151019"/>
    <n v="167.79888888888888"/>
    <n v="143380"/>
    <n v="159.3111111111111"/>
    <m/>
    <m/>
    <n v="0"/>
    <n v="0"/>
    <m/>
    <m/>
    <m/>
    <m/>
    <m/>
    <m/>
    <m/>
    <m/>
    <n v="0"/>
    <n v="0"/>
    <n v="0"/>
    <n v="0"/>
    <n v="994.73222222222216"/>
    <n v="1009.8444444444444"/>
  </r>
  <r>
    <x v="9"/>
    <s v="Martin Community College "/>
    <m/>
    <n v="198905"/>
    <x v="8"/>
    <s v="sem"/>
    <m/>
    <m/>
    <m/>
    <n v="6728.5"/>
    <n v="6437"/>
    <n v="1332"/>
    <n v="1381"/>
    <n v="7190"/>
    <n v="7864"/>
    <n v="15250.5"/>
    <n v="508.35"/>
    <n v="15682"/>
    <n v="522.73333333333335"/>
    <n v="8567.5"/>
    <n v="8637"/>
    <n v="15250.5"/>
    <n v="15682"/>
    <m/>
    <m/>
    <n v="56192"/>
    <n v="50245"/>
    <n v="32905"/>
    <n v="14794"/>
    <n v="62685"/>
    <n v="45630"/>
    <n v="151782"/>
    <n v="168.64666666666668"/>
    <n v="110669"/>
    <n v="122.96555555555555"/>
    <m/>
    <m/>
    <n v="0"/>
    <n v="0"/>
    <m/>
    <m/>
    <m/>
    <m/>
    <m/>
    <m/>
    <m/>
    <m/>
    <n v="0"/>
    <n v="0"/>
    <n v="0"/>
    <n v="0"/>
    <n v="676.99666666666667"/>
    <n v="645.69888888888886"/>
  </r>
  <r>
    <x v="9"/>
    <s v="Mayland Community College"/>
    <m/>
    <n v="198914"/>
    <x v="8"/>
    <s v="sem"/>
    <m/>
    <m/>
    <m/>
    <n v="9189"/>
    <n v="8903"/>
    <n v="1057"/>
    <n v="1261"/>
    <n v="9343"/>
    <n v="9077"/>
    <n v="19589"/>
    <n v="652.9666666666667"/>
    <n v="19241"/>
    <n v="641.36666666666667"/>
    <n v="7601"/>
    <n v="7964"/>
    <n v="19589"/>
    <n v="19241"/>
    <m/>
    <m/>
    <n v="166714"/>
    <n v="141236"/>
    <n v="104858"/>
    <n v="96025"/>
    <n v="126565"/>
    <n v="148269"/>
    <n v="398137"/>
    <n v="442.37444444444446"/>
    <n v="385530"/>
    <n v="428.36666666666667"/>
    <m/>
    <m/>
    <n v="0"/>
    <n v="0"/>
    <m/>
    <m/>
    <m/>
    <m/>
    <m/>
    <m/>
    <m/>
    <m/>
    <n v="0"/>
    <n v="0"/>
    <n v="0"/>
    <n v="0"/>
    <n v="1095.3411111111111"/>
    <n v="1069.7333333333333"/>
  </r>
  <r>
    <x v="9"/>
    <s v="McDowell Technical Community College"/>
    <m/>
    <n v="198923"/>
    <x v="8"/>
    <s v="sem"/>
    <m/>
    <m/>
    <m/>
    <n v="8862"/>
    <n v="8237"/>
    <n v="2676"/>
    <n v="2528"/>
    <n v="9686"/>
    <n v="10208"/>
    <n v="21224"/>
    <n v="707.4666666666667"/>
    <n v="20973"/>
    <n v="699.1"/>
    <n v="7573"/>
    <n v="8208"/>
    <n v="21224"/>
    <n v="20973"/>
    <m/>
    <m/>
    <n v="78423"/>
    <n v="78787"/>
    <n v="41268"/>
    <n v="55161"/>
    <n v="55730"/>
    <n v="60480"/>
    <n v="175421"/>
    <n v="194.91222222222223"/>
    <n v="194428"/>
    <n v="216.0311111111111"/>
    <m/>
    <m/>
    <n v="0"/>
    <n v="0"/>
    <m/>
    <m/>
    <m/>
    <m/>
    <m/>
    <m/>
    <m/>
    <m/>
    <n v="0"/>
    <n v="0"/>
    <n v="0"/>
    <n v="0"/>
    <n v="902.37888888888892"/>
    <n v="915.13111111111107"/>
  </r>
  <r>
    <x v="9"/>
    <s v="Montgomery Community College"/>
    <m/>
    <n v="199023"/>
    <x v="8"/>
    <s v="sem"/>
    <m/>
    <m/>
    <m/>
    <n v="7723"/>
    <n v="7125"/>
    <n v="1775"/>
    <n v="1412"/>
    <n v="8358.5"/>
    <n v="9553"/>
    <n v="17856.5"/>
    <n v="595.2166666666667"/>
    <n v="18090"/>
    <n v="603"/>
    <n v="4854"/>
    <n v="5998"/>
    <n v="17856.5"/>
    <n v="18090"/>
    <m/>
    <m/>
    <n v="49365"/>
    <n v="49962"/>
    <n v="38855"/>
    <n v="26048"/>
    <n v="48972"/>
    <n v="48729"/>
    <n v="137192"/>
    <n v="152.43555555555557"/>
    <n v="124739"/>
    <n v="138.59888888888889"/>
    <m/>
    <m/>
    <n v="0"/>
    <n v="0"/>
    <m/>
    <m/>
    <m/>
    <m/>
    <m/>
    <m/>
    <m/>
    <m/>
    <n v="0"/>
    <n v="0"/>
    <n v="0"/>
    <n v="0"/>
    <n v="747.65222222222224"/>
    <n v="741.59888888888895"/>
  </r>
  <r>
    <x v="9"/>
    <s v="Pamlico Community College"/>
    <m/>
    <n v="199263"/>
    <x v="8"/>
    <s v="sem"/>
    <m/>
    <m/>
    <m/>
    <n v="4998"/>
    <n v="3609"/>
    <n v="1408"/>
    <n v="1982"/>
    <n v="5247"/>
    <n v="5045"/>
    <n v="11653"/>
    <n v="388.43333333333334"/>
    <n v="10636"/>
    <n v="354.53333333333336"/>
    <n v="2053"/>
    <n v="1864"/>
    <n v="11653"/>
    <n v="10636"/>
    <m/>
    <m/>
    <n v="40951"/>
    <n v="23452"/>
    <n v="20469"/>
    <n v="19331"/>
    <n v="23668"/>
    <n v="28806"/>
    <n v="85088"/>
    <n v="94.542222222222222"/>
    <n v="71589"/>
    <n v="79.543333333333337"/>
    <m/>
    <m/>
    <n v="0"/>
    <n v="0"/>
    <m/>
    <m/>
    <m/>
    <m/>
    <m/>
    <m/>
    <m/>
    <m/>
    <n v="0"/>
    <n v="0"/>
    <n v="0"/>
    <n v="0"/>
    <n v="482.97555555555556"/>
    <n v="434.07666666666671"/>
  </r>
  <r>
    <x v="9"/>
    <s v="Piedmont Community College"/>
    <m/>
    <n v="199324"/>
    <x v="8"/>
    <s v="sem"/>
    <m/>
    <m/>
    <m/>
    <n v="9865.5"/>
    <n v="9488.5"/>
    <n v="1765.5"/>
    <n v="1949"/>
    <n v="10383.5"/>
    <n v="12298.5"/>
    <n v="22014.5"/>
    <n v="733.81666666666672"/>
    <n v="23736"/>
    <n v="791.2"/>
    <n v="4970"/>
    <n v="6194"/>
    <n v="22014.5"/>
    <n v="23736"/>
    <m/>
    <m/>
    <n v="142691"/>
    <n v="141940"/>
    <n v="74056"/>
    <n v="74694"/>
    <n v="131011"/>
    <n v="129261"/>
    <n v="347758"/>
    <n v="386.39777777777778"/>
    <n v="345895"/>
    <n v="384.32777777777778"/>
    <m/>
    <m/>
    <n v="0"/>
    <n v="0"/>
    <m/>
    <m/>
    <m/>
    <m/>
    <m/>
    <m/>
    <m/>
    <m/>
    <n v="0"/>
    <n v="0"/>
    <n v="0"/>
    <n v="0"/>
    <n v="1120.2144444444446"/>
    <n v="1175.5277777777778"/>
  </r>
  <r>
    <x v="9"/>
    <s v="Roanoke-Chowan Community College"/>
    <m/>
    <n v="199467"/>
    <x v="8"/>
    <s v="sem"/>
    <m/>
    <m/>
    <m/>
    <n v="6489"/>
    <n v="5831"/>
    <n v="1200"/>
    <n v="851"/>
    <n v="6502"/>
    <n v="5901"/>
    <n v="14191"/>
    <n v="473.03333333333336"/>
    <n v="12583"/>
    <n v="419.43333333333334"/>
    <n v="4748"/>
    <n v="4747"/>
    <n v="14191"/>
    <n v="12583"/>
    <m/>
    <m/>
    <n v="60664"/>
    <n v="56374"/>
    <n v="47741"/>
    <n v="38707"/>
    <n v="58544"/>
    <n v="40985"/>
    <n v="166949"/>
    <n v="185.4988888888889"/>
    <n v="136066"/>
    <n v="151.18444444444444"/>
    <m/>
    <m/>
    <n v="0"/>
    <n v="0"/>
    <m/>
    <m/>
    <m/>
    <m/>
    <m/>
    <m/>
    <m/>
    <m/>
    <n v="0"/>
    <n v="0"/>
    <n v="0"/>
    <n v="0"/>
    <n v="658.53222222222223"/>
    <n v="570.61777777777775"/>
  </r>
  <r>
    <x v="9"/>
    <s v="Robeson Community College"/>
    <m/>
    <n v="199476"/>
    <x v="8"/>
    <s v="sem"/>
    <m/>
    <m/>
    <m/>
    <n v="16423"/>
    <n v="15113"/>
    <n v="3933"/>
    <n v="4020"/>
    <n v="17502"/>
    <n v="18785"/>
    <n v="37858"/>
    <n v="1261.9333333333334"/>
    <n v="37918"/>
    <n v="1263.9333333333334"/>
    <n v="5919"/>
    <n v="7579"/>
    <n v="37858"/>
    <n v="37918"/>
    <m/>
    <m/>
    <n v="215412"/>
    <n v="198412"/>
    <n v="128891"/>
    <n v="155409"/>
    <n v="191738"/>
    <n v="306481"/>
    <n v="536041"/>
    <n v="595.60111111111109"/>
    <n v="660302"/>
    <n v="733.66888888888889"/>
    <m/>
    <m/>
    <n v="0"/>
    <n v="0"/>
    <m/>
    <m/>
    <m/>
    <m/>
    <m/>
    <m/>
    <m/>
    <m/>
    <n v="0"/>
    <n v="0"/>
    <n v="0"/>
    <n v="0"/>
    <n v="1857.5344444444445"/>
    <n v="1997.6022222222223"/>
  </r>
  <r>
    <x v="9"/>
    <s v="Rockingham Community College "/>
    <m/>
    <n v="199485"/>
    <x v="8"/>
    <s v="sem"/>
    <m/>
    <m/>
    <m/>
    <n v="15376"/>
    <n v="14219"/>
    <n v="3968"/>
    <n v="3748"/>
    <n v="15927"/>
    <n v="18163"/>
    <n v="35271"/>
    <n v="1175.7"/>
    <n v="36130"/>
    <n v="1204.3333333333333"/>
    <n v="6858"/>
    <n v="7625"/>
    <n v="35271"/>
    <n v="36130"/>
    <m/>
    <m/>
    <n v="68148"/>
    <n v="81892"/>
    <n v="49724"/>
    <n v="45586"/>
    <n v="83605"/>
    <n v="75754"/>
    <n v="201477"/>
    <n v="223.86333333333334"/>
    <n v="203232"/>
    <n v="225.81333333333333"/>
    <m/>
    <m/>
    <n v="0"/>
    <n v="0"/>
    <m/>
    <m/>
    <m/>
    <m/>
    <m/>
    <m/>
    <m/>
    <m/>
    <n v="0"/>
    <n v="0"/>
    <n v="0"/>
    <n v="0"/>
    <n v="1399.5633333333335"/>
    <n v="1430.1466666666665"/>
  </r>
  <r>
    <x v="9"/>
    <s v="Sampson Community College"/>
    <m/>
    <n v="199625"/>
    <x v="8"/>
    <s v="sem"/>
    <m/>
    <m/>
    <m/>
    <n v="13636"/>
    <n v="15052"/>
    <n v="5118"/>
    <n v="4467"/>
    <n v="15229"/>
    <n v="16850"/>
    <n v="33983"/>
    <n v="1132.7666666666667"/>
    <n v="36369"/>
    <n v="1212.3"/>
    <n v="12317"/>
    <n v="13371"/>
    <n v="33983"/>
    <n v="36369"/>
    <m/>
    <m/>
    <n v="103688"/>
    <n v="145114"/>
    <n v="90074"/>
    <n v="82577"/>
    <n v="168189"/>
    <n v="166374"/>
    <n v="361951"/>
    <n v="402.16777777777776"/>
    <n v="394065"/>
    <n v="437.85"/>
    <m/>
    <m/>
    <n v="0"/>
    <n v="0"/>
    <m/>
    <m/>
    <m/>
    <m/>
    <m/>
    <m/>
    <m/>
    <m/>
    <n v="0"/>
    <n v="0"/>
    <n v="0"/>
    <n v="0"/>
    <n v="1534.9344444444444"/>
    <n v="1650.15"/>
  </r>
  <r>
    <x v="9"/>
    <s v="Southeastern Community College "/>
    <m/>
    <n v="199722"/>
    <x v="8"/>
    <s v="sem"/>
    <m/>
    <m/>
    <m/>
    <n v="12481"/>
    <n v="13618"/>
    <n v="4124"/>
    <n v="3762"/>
    <n v="13638"/>
    <n v="14168"/>
    <n v="30243"/>
    <n v="1008.1"/>
    <n v="31548"/>
    <n v="1051.5999999999999"/>
    <n v="8934"/>
    <n v="9354"/>
    <n v="30243"/>
    <n v="31548"/>
    <m/>
    <m/>
    <n v="180414"/>
    <n v="208840"/>
    <n v="109671"/>
    <n v="102158"/>
    <n v="178038"/>
    <n v="192709"/>
    <n v="468123"/>
    <n v="520.13666666666666"/>
    <n v="503707"/>
    <n v="559.67444444444448"/>
    <m/>
    <m/>
    <n v="0"/>
    <n v="0"/>
    <m/>
    <m/>
    <m/>
    <m/>
    <m/>
    <m/>
    <m/>
    <m/>
    <n v="0"/>
    <n v="0"/>
    <n v="0"/>
    <n v="0"/>
    <n v="1528.2366666666667"/>
    <n v="1611.2744444444443"/>
  </r>
  <r>
    <x v="9"/>
    <s v="Southwestern Community College "/>
    <m/>
    <n v="199731"/>
    <x v="8"/>
    <s v="sem"/>
    <m/>
    <m/>
    <m/>
    <n v="21188"/>
    <n v="20956"/>
    <n v="4142"/>
    <n v="4049"/>
    <n v="21900"/>
    <n v="21372"/>
    <n v="47230"/>
    <n v="1574.3333333333333"/>
    <n v="46377"/>
    <n v="1545.9"/>
    <n v="11788"/>
    <n v="11390"/>
    <n v="47230"/>
    <n v="46377"/>
    <m/>
    <m/>
    <n v="133633"/>
    <n v="120126"/>
    <n v="78904"/>
    <n v="89973"/>
    <n v="139815"/>
    <n v="132301"/>
    <n v="352352"/>
    <n v="391.5022222222222"/>
    <n v="342400"/>
    <n v="380.44444444444446"/>
    <m/>
    <m/>
    <n v="0"/>
    <n v="0"/>
    <m/>
    <m/>
    <m/>
    <m/>
    <m/>
    <m/>
    <m/>
    <m/>
    <n v="0"/>
    <n v="0"/>
    <n v="0"/>
    <n v="0"/>
    <n v="1965.8355555555554"/>
    <n v="1926.3444444444444"/>
  </r>
  <r>
    <x v="9"/>
    <s v="Tri-County Community College "/>
    <m/>
    <n v="199795"/>
    <x v="8"/>
    <s v="sem"/>
    <m/>
    <m/>
    <m/>
    <n v="9196"/>
    <n v="9495"/>
    <n v="2208"/>
    <n v="2622"/>
    <n v="9937"/>
    <n v="10973"/>
    <n v="21341"/>
    <n v="711.36666666666667"/>
    <n v="23090"/>
    <n v="769.66666666666663"/>
    <n v="8845"/>
    <n v="9323"/>
    <n v="21341"/>
    <n v="23090"/>
    <m/>
    <m/>
    <n v="47896"/>
    <n v="59344"/>
    <n v="35460"/>
    <n v="40675"/>
    <n v="56951"/>
    <n v="67908"/>
    <n v="140307"/>
    <n v="155.89666666666668"/>
    <n v="167927"/>
    <n v="186.58555555555554"/>
    <m/>
    <m/>
    <n v="0"/>
    <n v="0"/>
    <m/>
    <m/>
    <m/>
    <m/>
    <m/>
    <m/>
    <m/>
    <m/>
    <n v="0"/>
    <n v="0"/>
    <n v="0"/>
    <n v="0"/>
    <n v="867.26333333333332"/>
    <n v="956.25222222222214"/>
  </r>
  <r>
    <x v="9"/>
    <s v="Western Piedmont Community College "/>
    <m/>
    <n v="199908"/>
    <x v="8"/>
    <s v="sem"/>
    <m/>
    <m/>
    <m/>
    <n v="16670"/>
    <n v="16817"/>
    <n v="3695"/>
    <n v="4105"/>
    <n v="17964"/>
    <n v="19798"/>
    <n v="38329"/>
    <n v="1277.6333333333334"/>
    <n v="40720"/>
    <n v="1357.3333333333333"/>
    <n v="7175"/>
    <n v="10567"/>
    <n v="38329"/>
    <n v="40720"/>
    <m/>
    <m/>
    <n v="101077"/>
    <n v="115420"/>
    <n v="66011"/>
    <n v="46010"/>
    <n v="88847"/>
    <n v="84010"/>
    <n v="255935"/>
    <n v="284.37222222222221"/>
    <n v="245440"/>
    <n v="272.71111111111111"/>
    <m/>
    <m/>
    <n v="0"/>
    <n v="0"/>
    <m/>
    <m/>
    <m/>
    <m/>
    <m/>
    <m/>
    <m/>
    <m/>
    <n v="0"/>
    <n v="0"/>
    <n v="0"/>
    <n v="0"/>
    <n v="1562.0055555555557"/>
    <n v="1630.0444444444443"/>
  </r>
  <r>
    <x v="9"/>
    <s v="Wilson Community College"/>
    <m/>
    <n v="199953"/>
    <x v="8"/>
    <s v="sem"/>
    <m/>
    <m/>
    <m/>
    <n v="14424"/>
    <n v="14104"/>
    <n v="5678"/>
    <n v="5251"/>
    <n v="14652"/>
    <n v="15703.5"/>
    <n v="34754"/>
    <n v="1158.4666666666667"/>
    <n v="35058.5"/>
    <n v="1168.6166666666666"/>
    <n v="9200"/>
    <n v="9785.5"/>
    <n v="34754"/>
    <n v="35058.5"/>
    <m/>
    <m/>
    <n v="90819"/>
    <n v="102294"/>
    <n v="65922"/>
    <n v="55422"/>
    <n v="84854"/>
    <n v="92042"/>
    <n v="241595"/>
    <n v="268.43888888888887"/>
    <n v="249758"/>
    <n v="277.50888888888886"/>
    <m/>
    <m/>
    <n v="0"/>
    <n v="0"/>
    <m/>
    <m/>
    <m/>
    <m/>
    <m/>
    <m/>
    <m/>
    <m/>
    <n v="0"/>
    <n v="0"/>
    <n v="0"/>
    <n v="0"/>
    <n v="1426.9055555555556"/>
    <n v="1446.1255555555554"/>
  </r>
  <r>
    <x v="10"/>
    <s v="Oklahoma State University Main Campus"/>
    <m/>
    <n v="207388"/>
    <x v="0"/>
    <s v="sem"/>
    <s v="sem"/>
    <m/>
    <m/>
    <n v="264874"/>
    <n v="258585"/>
    <n v="28868"/>
    <n v="28808"/>
    <n v="281804"/>
    <n v="280888"/>
    <n v="575546"/>
    <n v="19184.866666666665"/>
    <n v="568281"/>
    <n v="18942.7"/>
    <n v="871"/>
    <n v="970"/>
    <n v="575546"/>
    <n v="568281"/>
    <m/>
    <m/>
    <m/>
    <m/>
    <m/>
    <m/>
    <m/>
    <m/>
    <n v="0"/>
    <n v="0"/>
    <n v="0"/>
    <n v="0"/>
    <m/>
    <m/>
    <n v="0"/>
    <n v="0"/>
    <m/>
    <m/>
    <n v="30478"/>
    <n v="30186"/>
    <n v="9667"/>
    <n v="9453"/>
    <n v="31708"/>
    <n v="31653"/>
    <n v="71853"/>
    <n v="2993.875"/>
    <n v="71292"/>
    <n v="2970.5"/>
    <n v="22178.741666666665"/>
    <n v="21913.200000000001"/>
  </r>
  <r>
    <x v="10"/>
    <s v="University of Oklahoma Norman Campus"/>
    <m/>
    <n v="207500"/>
    <x v="0"/>
    <s v="sem"/>
    <s v="sem"/>
    <m/>
    <m/>
    <n v="279839"/>
    <n v="276087"/>
    <n v="37196"/>
    <n v="36599"/>
    <n v="300879"/>
    <n v="299748"/>
    <n v="617914"/>
    <n v="20597.133333333335"/>
    <n v="612434"/>
    <n v="20414.466666666667"/>
    <n v="2425"/>
    <n v="2301"/>
    <n v="617914"/>
    <n v="612434"/>
    <m/>
    <m/>
    <m/>
    <m/>
    <m/>
    <m/>
    <m/>
    <m/>
    <n v="0"/>
    <n v="0"/>
    <n v="0"/>
    <n v="0"/>
    <m/>
    <m/>
    <n v="0"/>
    <n v="0"/>
    <m/>
    <m/>
    <n v="59667"/>
    <n v="60512"/>
    <n v="19229"/>
    <n v="19968"/>
    <n v="59435"/>
    <n v="60306"/>
    <n v="138331"/>
    <n v="5763.791666666667"/>
    <n v="140786"/>
    <n v="5866.083333333333"/>
    <n v="26360.925000000003"/>
    <n v="26280.55"/>
  </r>
  <r>
    <x v="10"/>
    <s v="Northeastern State University"/>
    <m/>
    <n v="207263"/>
    <x v="2"/>
    <s v="sem"/>
    <s v="sem"/>
    <m/>
    <m/>
    <n v="72087"/>
    <n v="69371"/>
    <n v="13439"/>
    <n v="13302"/>
    <n v="78763"/>
    <n v="77707"/>
    <n v="164289"/>
    <n v="5476.3"/>
    <n v="160380"/>
    <n v="5346"/>
    <n v="2620"/>
    <n v="2387"/>
    <n v="164289"/>
    <n v="160380"/>
    <m/>
    <m/>
    <m/>
    <m/>
    <m/>
    <m/>
    <m/>
    <m/>
    <n v="0"/>
    <n v="0"/>
    <n v="0"/>
    <n v="0"/>
    <m/>
    <m/>
    <n v="0"/>
    <n v="0"/>
    <m/>
    <m/>
    <n v="8135"/>
    <n v="9503"/>
    <n v="3792"/>
    <n v="3848"/>
    <n v="9250"/>
    <n v="9938"/>
    <n v="21177"/>
    <n v="882.375"/>
    <n v="23289"/>
    <n v="970.375"/>
    <n v="6358.6750000000002"/>
    <n v="6316.375"/>
  </r>
  <r>
    <x v="10"/>
    <s v="University of Central Oklahoma"/>
    <s v="Met the criteria for Four-Year 4 in 2019-20."/>
    <n v="206941"/>
    <x v="2"/>
    <s v="sem"/>
    <s v="sem"/>
    <m/>
    <m/>
    <n v="153272"/>
    <n v="146042"/>
    <n v="24522"/>
    <n v="24041"/>
    <n v="167312"/>
    <n v="164215"/>
    <n v="345106"/>
    <n v="11503.533333333333"/>
    <n v="334298"/>
    <n v="11143.266666666666"/>
    <n v="5156"/>
    <n v="5012"/>
    <n v="345106"/>
    <n v="334298"/>
    <m/>
    <m/>
    <m/>
    <m/>
    <m/>
    <m/>
    <m/>
    <m/>
    <n v="0"/>
    <n v="0"/>
    <n v="0"/>
    <n v="0"/>
    <m/>
    <m/>
    <n v="0"/>
    <n v="0"/>
    <m/>
    <m/>
    <n v="9914"/>
    <n v="9778"/>
    <n v="3452"/>
    <n v="3482"/>
    <n v="10154"/>
    <n v="10475"/>
    <n v="23520"/>
    <n v="980"/>
    <n v="23735"/>
    <n v="988.95833333333337"/>
    <n v="12483.533333333333"/>
    <n v="12132.225"/>
  </r>
  <r>
    <x v="10"/>
    <s v="Southeastern Oklahoma State University "/>
    <m/>
    <n v="207847"/>
    <x v="3"/>
    <s v="sem"/>
    <s v="sem"/>
    <m/>
    <m/>
    <n v="34734"/>
    <n v="33073"/>
    <n v="5544"/>
    <n v="5320"/>
    <n v="39090"/>
    <n v="37944"/>
    <n v="79368"/>
    <n v="2645.6"/>
    <n v="76337"/>
    <n v="2544.5666666666666"/>
    <n v="2028"/>
    <n v="2157"/>
    <n v="79368"/>
    <n v="76337"/>
    <m/>
    <m/>
    <m/>
    <m/>
    <m/>
    <m/>
    <m/>
    <m/>
    <n v="0"/>
    <n v="0"/>
    <n v="0"/>
    <n v="0"/>
    <m/>
    <m/>
    <n v="0"/>
    <n v="0"/>
    <m/>
    <m/>
    <n v="6768"/>
    <n v="10634"/>
    <n v="6056"/>
    <n v="6089"/>
    <n v="9600"/>
    <n v="9645"/>
    <n v="22424"/>
    <n v="934.33333333333337"/>
    <n v="26368"/>
    <n v="1098.6666666666667"/>
    <n v="3579.9333333333334"/>
    <n v="3643.2333333333336"/>
  </r>
  <r>
    <x v="10"/>
    <s v="Southwestern Oklahoma State University"/>
    <m/>
    <n v="207865"/>
    <x v="3"/>
    <s v="sem"/>
    <s v="sem"/>
    <m/>
    <m/>
    <n v="53823"/>
    <n v="47910"/>
    <n v="8174"/>
    <n v="7988"/>
    <n v="59793"/>
    <n v="55785"/>
    <n v="121790"/>
    <n v="4059.6666666666665"/>
    <n v="111683"/>
    <n v="3722.7666666666669"/>
    <n v="2182"/>
    <n v="1913"/>
    <n v="121790"/>
    <n v="111683"/>
    <m/>
    <m/>
    <m/>
    <m/>
    <m/>
    <m/>
    <m/>
    <m/>
    <n v="0"/>
    <n v="0"/>
    <n v="0"/>
    <n v="0"/>
    <m/>
    <m/>
    <n v="0"/>
    <n v="0"/>
    <m/>
    <m/>
    <n v="6188"/>
    <n v="8693"/>
    <n v="2431"/>
    <n v="2402"/>
    <n v="5870"/>
    <n v="8791"/>
    <n v="14489"/>
    <n v="603.70833333333337"/>
    <n v="19886"/>
    <n v="828.58333333333337"/>
    <n v="4663.375"/>
    <n v="4551.3500000000004"/>
  </r>
  <r>
    <x v="10"/>
    <s v="Cameron University "/>
    <m/>
    <n v="206914"/>
    <x v="4"/>
    <s v="sem"/>
    <s v="sem"/>
    <m/>
    <m/>
    <n v="42601"/>
    <n v="39377"/>
    <n v="7452"/>
    <n v="7292"/>
    <n v="45607"/>
    <n v="43978"/>
    <n v="95660"/>
    <n v="3188.6666666666665"/>
    <n v="90647"/>
    <n v="3021.5666666666666"/>
    <n v="3154"/>
    <n v="3233"/>
    <n v="95660"/>
    <n v="90647"/>
    <m/>
    <m/>
    <m/>
    <m/>
    <m/>
    <m/>
    <m/>
    <m/>
    <n v="0"/>
    <n v="0"/>
    <n v="0"/>
    <n v="0"/>
    <m/>
    <m/>
    <n v="0"/>
    <n v="0"/>
    <m/>
    <m/>
    <n v="2278"/>
    <n v="2154"/>
    <n v="683"/>
    <n v="711"/>
    <n v="2280"/>
    <n v="2331"/>
    <n v="5241"/>
    <n v="218.375"/>
    <n v="5196"/>
    <n v="216.5"/>
    <n v="3407.0416666666665"/>
    <n v="3238.0666666666666"/>
  </r>
  <r>
    <x v="10"/>
    <s v="East Central University "/>
    <s v="Met the criteria for Four-Year 4 in 2018-19 and 2019-20."/>
    <n v="207041"/>
    <x v="4"/>
    <s v="sem"/>
    <s v="sem"/>
    <m/>
    <m/>
    <n v="37140"/>
    <n v="34185"/>
    <n v="5038"/>
    <n v="4870"/>
    <n v="38052"/>
    <n v="37156"/>
    <n v="80230"/>
    <n v="2674.3333333333335"/>
    <n v="76211"/>
    <n v="2540.3666666666668"/>
    <n v="2195"/>
    <n v="2348"/>
    <n v="80230"/>
    <n v="76211"/>
    <m/>
    <m/>
    <m/>
    <m/>
    <m/>
    <m/>
    <m/>
    <m/>
    <n v="0"/>
    <n v="0"/>
    <n v="0"/>
    <n v="0"/>
    <m/>
    <m/>
    <n v="0"/>
    <n v="0"/>
    <m/>
    <m/>
    <n v="4371"/>
    <n v="4071"/>
    <n v="2194"/>
    <n v="2162"/>
    <n v="4106"/>
    <n v="4243"/>
    <n v="10671"/>
    <n v="444.625"/>
    <n v="10476"/>
    <n v="436.5"/>
    <n v="3118.9583333333335"/>
    <n v="2976.8666666666668"/>
  </r>
  <r>
    <x v="10"/>
    <s v="Langston University"/>
    <m/>
    <n v="207209"/>
    <x v="4"/>
    <s v="sem"/>
    <s v="sem"/>
    <m/>
    <m/>
    <n v="25545"/>
    <n v="25507"/>
    <n v="2687"/>
    <n v="2690"/>
    <n v="28335"/>
    <n v="28275"/>
    <n v="56567"/>
    <n v="1885.5666666666666"/>
    <n v="56472"/>
    <n v="1882.4"/>
    <n v="59"/>
    <n v="65"/>
    <n v="56567"/>
    <n v="56472"/>
    <m/>
    <m/>
    <m/>
    <m/>
    <m/>
    <m/>
    <m/>
    <m/>
    <n v="0"/>
    <n v="0"/>
    <n v="0"/>
    <n v="0"/>
    <m/>
    <m/>
    <n v="0"/>
    <n v="0"/>
    <m/>
    <m/>
    <n v="2339"/>
    <n v="2121"/>
    <n v="1114"/>
    <n v="1111"/>
    <n v="2034"/>
    <n v="2035"/>
    <n v="5487"/>
    <n v="228.625"/>
    <n v="5267"/>
    <n v="219.45833333333334"/>
    <n v="2114.1916666666666"/>
    <n v="2101.8583333333336"/>
  </r>
  <r>
    <x v="10"/>
    <s v="Northwestern Oklahoma State University "/>
    <m/>
    <n v="207306"/>
    <x v="4"/>
    <s v="sem"/>
    <s v="sem"/>
    <m/>
    <m/>
    <n v="21089"/>
    <n v="20329"/>
    <n v="3189"/>
    <n v="2866"/>
    <n v="23591"/>
    <n v="22883"/>
    <n v="47869"/>
    <n v="1595.6333333333334"/>
    <n v="46078"/>
    <n v="1535.9333333333334"/>
    <n v="849"/>
    <n v="782"/>
    <n v="47869"/>
    <n v="46078"/>
    <m/>
    <m/>
    <m/>
    <m/>
    <m/>
    <m/>
    <m/>
    <m/>
    <n v="0"/>
    <n v="0"/>
    <n v="0"/>
    <n v="0"/>
    <m/>
    <m/>
    <n v="0"/>
    <n v="0"/>
    <m/>
    <m/>
    <n v="1050"/>
    <n v="1100"/>
    <n v="839"/>
    <n v="823"/>
    <n v="1291"/>
    <n v="1297"/>
    <n v="3180"/>
    <n v="132.5"/>
    <n v="3220"/>
    <n v="134.16666666666666"/>
    <n v="1728.1333333333334"/>
    <n v="1670.1000000000001"/>
  </r>
  <r>
    <x v="10"/>
    <s v="Oklahoma Panhandle State University "/>
    <m/>
    <n v="207351"/>
    <x v="5"/>
    <s v="sem"/>
    <s v="sem"/>
    <m/>
    <m/>
    <n v="12943"/>
    <n v="13254"/>
    <n v="1928"/>
    <n v="1848"/>
    <n v="16122"/>
    <n v="15573"/>
    <n v="30993"/>
    <n v="1033.0999999999999"/>
    <n v="30675"/>
    <n v="1022.5"/>
    <n v="1175"/>
    <n v="1249"/>
    <n v="30993"/>
    <n v="30675"/>
    <m/>
    <m/>
    <m/>
    <m/>
    <m/>
    <m/>
    <m/>
    <m/>
    <n v="0"/>
    <n v="0"/>
    <n v="0"/>
    <n v="0"/>
    <m/>
    <m/>
    <n v="0"/>
    <n v="0"/>
    <m/>
    <m/>
    <m/>
    <m/>
    <m/>
    <m/>
    <m/>
    <m/>
    <n v="0"/>
    <n v="0"/>
    <n v="0"/>
    <n v="0"/>
    <n v="1033.0999999999999"/>
    <n v="1022.5"/>
  </r>
  <r>
    <x v="10"/>
    <s v="Rogers State University"/>
    <m/>
    <n v="207661"/>
    <x v="5"/>
    <s v="sem"/>
    <s v="sem"/>
    <m/>
    <m/>
    <n v="37283"/>
    <n v="33796"/>
    <n v="4713"/>
    <n v="4585"/>
    <n v="39924"/>
    <n v="37984"/>
    <n v="81920"/>
    <n v="2730.6666666666665"/>
    <n v="76365"/>
    <n v="2545.5"/>
    <n v="3850"/>
    <n v="3885"/>
    <n v="81920"/>
    <n v="76365"/>
    <m/>
    <m/>
    <m/>
    <m/>
    <m/>
    <m/>
    <m/>
    <m/>
    <n v="0"/>
    <n v="0"/>
    <n v="0"/>
    <n v="0"/>
    <m/>
    <m/>
    <n v="0"/>
    <n v="0"/>
    <m/>
    <m/>
    <n v="222"/>
    <n v="165"/>
    <n v="24"/>
    <n v="24"/>
    <n v="213"/>
    <n v="216"/>
    <n v="459"/>
    <n v="19.125"/>
    <n v="405"/>
    <n v="16.875"/>
    <n v="2749.7916666666665"/>
    <n v="2562.375"/>
  </r>
  <r>
    <x v="10"/>
    <s v="University of Science and Arts of Oklahoma"/>
    <m/>
    <n v="207722"/>
    <x v="5"/>
    <s v="sem"/>
    <s v="sem"/>
    <m/>
    <m/>
    <n v="10796"/>
    <n v="9138"/>
    <n v="3265"/>
    <n v="3251"/>
    <n v="11425"/>
    <n v="11411"/>
    <n v="25486"/>
    <n v="849.5333333333333"/>
    <n v="23800"/>
    <n v="793.33333333333337"/>
    <n v="76"/>
    <n v="68"/>
    <n v="25486"/>
    <n v="23800"/>
    <m/>
    <m/>
    <m/>
    <m/>
    <m/>
    <m/>
    <m/>
    <m/>
    <n v="0"/>
    <n v="0"/>
    <n v="0"/>
    <n v="0"/>
    <m/>
    <m/>
    <n v="0"/>
    <n v="0"/>
    <m/>
    <m/>
    <m/>
    <m/>
    <m/>
    <m/>
    <m/>
    <m/>
    <n v="0"/>
    <n v="0"/>
    <n v="0"/>
    <n v="0"/>
    <n v="849.5333333333333"/>
    <n v="793.33333333333337"/>
  </r>
  <r>
    <x v="10"/>
    <s v="Oklahoma State University Institute of Technology - Okmulgee"/>
    <m/>
    <n v="207564"/>
    <x v="12"/>
    <s v="sem"/>
    <s v="sem"/>
    <m/>
    <m/>
    <n v="25378"/>
    <n v="23044"/>
    <n v="18124"/>
    <n v="17884"/>
    <n v="27886"/>
    <n v="26753"/>
    <n v="71388"/>
    <n v="2379.6"/>
    <n v="67681"/>
    <n v="2256.0333333333333"/>
    <n v="2474"/>
    <n v="2465"/>
    <n v="71388"/>
    <n v="67681"/>
    <m/>
    <m/>
    <m/>
    <m/>
    <m/>
    <m/>
    <m/>
    <m/>
    <n v="0"/>
    <n v="0"/>
    <n v="0"/>
    <n v="0"/>
    <m/>
    <m/>
    <n v="0"/>
    <n v="0"/>
    <m/>
    <m/>
    <m/>
    <m/>
    <m/>
    <m/>
    <m/>
    <m/>
    <n v="0"/>
    <n v="0"/>
    <n v="0"/>
    <n v="0"/>
    <n v="2379.6"/>
    <n v="2256.0333333333333"/>
  </r>
  <r>
    <x v="10"/>
    <s v="Oklahoma State University-Oklahoma City "/>
    <m/>
    <n v="207397"/>
    <x v="12"/>
    <s v="sem"/>
    <s v="sem"/>
    <m/>
    <m/>
    <n v="55763"/>
    <n v="49705"/>
    <n v="14322"/>
    <n v="13222"/>
    <n v="57147"/>
    <n v="53799"/>
    <n v="127232"/>
    <n v="4241.0666666666666"/>
    <n v="116726"/>
    <n v="3890.8666666666668"/>
    <n v="6719"/>
    <n v="7738"/>
    <n v="127232"/>
    <n v="116726"/>
    <m/>
    <m/>
    <m/>
    <m/>
    <m/>
    <m/>
    <m/>
    <m/>
    <n v="0"/>
    <n v="0"/>
    <n v="0"/>
    <n v="0"/>
    <m/>
    <m/>
    <n v="0"/>
    <n v="0"/>
    <m/>
    <m/>
    <m/>
    <m/>
    <m/>
    <m/>
    <m/>
    <m/>
    <n v="0"/>
    <n v="0"/>
    <n v="0"/>
    <n v="0"/>
    <n v="4241.0666666666666"/>
    <n v="3890.8666666666668"/>
  </r>
  <r>
    <x v="10"/>
    <s v="Oklahoma City Community College "/>
    <m/>
    <n v="207449"/>
    <x v="6"/>
    <s v="sem"/>
    <s v="sem"/>
    <m/>
    <m/>
    <n v="95887"/>
    <n v="84643"/>
    <n v="25404"/>
    <n v="23819"/>
    <n v="105931"/>
    <n v="97969"/>
    <n v="227222"/>
    <n v="7574.0666666666666"/>
    <n v="206431"/>
    <n v="6881.0333333333338"/>
    <n v="16932"/>
    <n v="17587"/>
    <n v="227222"/>
    <n v="206431"/>
    <m/>
    <m/>
    <m/>
    <m/>
    <m/>
    <m/>
    <m/>
    <m/>
    <n v="0"/>
    <n v="0"/>
    <n v="0"/>
    <n v="0"/>
    <m/>
    <m/>
    <n v="0"/>
    <n v="0"/>
    <m/>
    <m/>
    <m/>
    <m/>
    <m/>
    <m/>
    <m/>
    <m/>
    <n v="0"/>
    <n v="0"/>
    <n v="0"/>
    <n v="0"/>
    <n v="7574.0666666666666"/>
    <n v="6881.0333333333338"/>
  </r>
  <r>
    <x v="10"/>
    <s v="Tulsa Community College "/>
    <m/>
    <n v="207935"/>
    <x v="6"/>
    <s v="sem"/>
    <s v="sem"/>
    <m/>
    <m/>
    <n v="126064"/>
    <n v="113955"/>
    <n v="32240"/>
    <n v="31246"/>
    <n v="138552"/>
    <n v="129059"/>
    <n v="296856"/>
    <n v="9895.2000000000007"/>
    <n v="274260"/>
    <n v="9142"/>
    <n v="20172"/>
    <n v="21179"/>
    <n v="296856"/>
    <n v="274260"/>
    <m/>
    <m/>
    <m/>
    <m/>
    <m/>
    <m/>
    <m/>
    <m/>
    <n v="0"/>
    <n v="0"/>
    <n v="0"/>
    <n v="0"/>
    <m/>
    <m/>
    <n v="0"/>
    <n v="0"/>
    <m/>
    <m/>
    <m/>
    <m/>
    <m/>
    <m/>
    <m/>
    <m/>
    <n v="0"/>
    <n v="0"/>
    <n v="0"/>
    <n v="0"/>
    <n v="9895.2000000000007"/>
    <n v="9142"/>
  </r>
  <r>
    <x v="10"/>
    <s v="Northern Oklahoma College "/>
    <m/>
    <n v="207281"/>
    <x v="7"/>
    <s v="sem"/>
    <s v="sem"/>
    <m/>
    <m/>
    <n v="33593"/>
    <n v="30011"/>
    <n v="6398"/>
    <n v="6194"/>
    <n v="37256"/>
    <n v="35427"/>
    <n v="77247"/>
    <n v="2574.9"/>
    <n v="71632"/>
    <n v="2387.7333333333331"/>
    <n v="3535"/>
    <n v="3817"/>
    <n v="77247"/>
    <n v="71632"/>
    <m/>
    <m/>
    <m/>
    <m/>
    <m/>
    <m/>
    <m/>
    <m/>
    <n v="0"/>
    <n v="0"/>
    <n v="0"/>
    <n v="0"/>
    <m/>
    <m/>
    <n v="0"/>
    <n v="0"/>
    <m/>
    <m/>
    <m/>
    <m/>
    <m/>
    <m/>
    <m/>
    <m/>
    <n v="0"/>
    <n v="0"/>
    <n v="0"/>
    <n v="0"/>
    <n v="2574.9"/>
    <n v="2387.7333333333331"/>
  </r>
  <r>
    <x v="10"/>
    <s v="Rose State College "/>
    <m/>
    <n v="207670"/>
    <x v="7"/>
    <s v="sem"/>
    <s v="sem"/>
    <m/>
    <m/>
    <n v="54742"/>
    <n v="48051"/>
    <n v="11982"/>
    <n v="11603"/>
    <n v="62502"/>
    <n v="59505"/>
    <n v="129226"/>
    <n v="4307.5333333333338"/>
    <n v="119159"/>
    <n v="3971.9666666666667"/>
    <n v="6094"/>
    <n v="6547"/>
    <n v="129226"/>
    <n v="119159"/>
    <m/>
    <m/>
    <m/>
    <m/>
    <m/>
    <m/>
    <m/>
    <m/>
    <n v="0"/>
    <n v="0"/>
    <n v="0"/>
    <n v="0"/>
    <m/>
    <m/>
    <n v="0"/>
    <n v="0"/>
    <m/>
    <m/>
    <m/>
    <m/>
    <m/>
    <m/>
    <m/>
    <m/>
    <n v="0"/>
    <n v="0"/>
    <n v="0"/>
    <n v="0"/>
    <n v="4307.5333333333338"/>
    <n v="3971.9666666666667"/>
  </r>
  <r>
    <x v="10"/>
    <s v="Carl Albert State College"/>
    <m/>
    <n v="206923"/>
    <x v="8"/>
    <s v="sem"/>
    <s v="sem"/>
    <m/>
    <m/>
    <n v="19124"/>
    <n v="15799"/>
    <n v="2828"/>
    <n v="2633"/>
    <n v="20496"/>
    <n v="18823"/>
    <n v="42448"/>
    <n v="1414.9333333333334"/>
    <n v="37255"/>
    <n v="1241.8333333333333"/>
    <n v="3823"/>
    <n v="3537"/>
    <n v="42448"/>
    <n v="37255"/>
    <m/>
    <m/>
    <m/>
    <m/>
    <m/>
    <m/>
    <m/>
    <m/>
    <n v="0"/>
    <n v="0"/>
    <n v="0"/>
    <n v="0"/>
    <m/>
    <m/>
    <n v="0"/>
    <n v="0"/>
    <m/>
    <m/>
    <m/>
    <m/>
    <m/>
    <m/>
    <m/>
    <m/>
    <n v="0"/>
    <n v="0"/>
    <n v="0"/>
    <n v="0"/>
    <n v="1414.9333333333334"/>
    <n v="1241.8333333333333"/>
  </r>
  <r>
    <x v="10"/>
    <s v="Connors State College "/>
    <m/>
    <n v="206996"/>
    <x v="8"/>
    <s v="sem"/>
    <s v="sem"/>
    <m/>
    <m/>
    <n v="22125"/>
    <n v="19270"/>
    <n v="2663"/>
    <n v="2531"/>
    <n v="22663"/>
    <n v="21263"/>
    <n v="47451"/>
    <n v="1581.7"/>
    <n v="43064"/>
    <n v="1435.4666666666667"/>
    <n v="3502"/>
    <n v="2914"/>
    <n v="47451"/>
    <n v="43064"/>
    <m/>
    <m/>
    <m/>
    <m/>
    <m/>
    <m/>
    <m/>
    <m/>
    <n v="0"/>
    <n v="0"/>
    <n v="0"/>
    <n v="0"/>
    <m/>
    <m/>
    <n v="0"/>
    <n v="0"/>
    <m/>
    <m/>
    <m/>
    <m/>
    <m/>
    <m/>
    <m/>
    <m/>
    <n v="0"/>
    <n v="0"/>
    <n v="0"/>
    <n v="0"/>
    <n v="1581.7"/>
    <n v="1435.4666666666667"/>
  </r>
  <r>
    <x v="10"/>
    <s v="Eastern Oklahoma State College "/>
    <m/>
    <n v="207050"/>
    <x v="8"/>
    <s v="sem"/>
    <s v="sem"/>
    <m/>
    <m/>
    <n v="14199"/>
    <n v="11138"/>
    <n v="2618"/>
    <n v="2246"/>
    <n v="15601"/>
    <n v="13792"/>
    <n v="32418"/>
    <n v="1080.5999999999999"/>
    <n v="27176"/>
    <n v="905.86666666666667"/>
    <n v="3866"/>
    <n v="3697"/>
    <n v="32418"/>
    <n v="27176"/>
    <m/>
    <m/>
    <m/>
    <m/>
    <m/>
    <m/>
    <m/>
    <m/>
    <n v="0"/>
    <n v="0"/>
    <n v="0"/>
    <n v="0"/>
    <m/>
    <m/>
    <n v="0"/>
    <n v="0"/>
    <m/>
    <m/>
    <m/>
    <m/>
    <m/>
    <m/>
    <m/>
    <m/>
    <n v="0"/>
    <n v="0"/>
    <n v="0"/>
    <n v="0"/>
    <n v="1080.5999999999999"/>
    <n v="905.86666666666667"/>
  </r>
  <r>
    <x v="10"/>
    <s v="Murray State College "/>
    <m/>
    <n v="207236"/>
    <x v="8"/>
    <s v="sem"/>
    <s v="sem"/>
    <m/>
    <m/>
    <n v="19791"/>
    <n v="16301"/>
    <n v="2956"/>
    <n v="2565"/>
    <n v="21425"/>
    <n v="18964"/>
    <n v="44172"/>
    <n v="1472.4"/>
    <n v="37830"/>
    <n v="1261"/>
    <n v="5256"/>
    <n v="5347"/>
    <n v="44172"/>
    <n v="37830"/>
    <m/>
    <m/>
    <m/>
    <m/>
    <m/>
    <m/>
    <m/>
    <m/>
    <n v="0"/>
    <n v="0"/>
    <n v="0"/>
    <n v="0"/>
    <m/>
    <m/>
    <n v="0"/>
    <n v="0"/>
    <m/>
    <m/>
    <m/>
    <m/>
    <m/>
    <m/>
    <m/>
    <m/>
    <n v="0"/>
    <n v="0"/>
    <n v="0"/>
    <n v="0"/>
    <n v="1472.4"/>
    <n v="1261"/>
  </r>
  <r>
    <x v="10"/>
    <s v="Northeastern Oklahoma A &amp; M College "/>
    <m/>
    <n v="207290"/>
    <x v="8"/>
    <s v="sem"/>
    <s v="sem"/>
    <m/>
    <m/>
    <n v="22010"/>
    <n v="19155"/>
    <n v="3616"/>
    <n v="3154"/>
    <n v="24350"/>
    <n v="23104"/>
    <n v="49976"/>
    <n v="1665.8666666666666"/>
    <n v="45413"/>
    <n v="1513.7666666666667"/>
    <n v="2871"/>
    <n v="3075"/>
    <n v="49976"/>
    <n v="45413"/>
    <m/>
    <m/>
    <m/>
    <m/>
    <m/>
    <m/>
    <m/>
    <m/>
    <n v="0"/>
    <n v="0"/>
    <n v="0"/>
    <n v="0"/>
    <m/>
    <m/>
    <n v="0"/>
    <n v="0"/>
    <m/>
    <m/>
    <m/>
    <m/>
    <m/>
    <m/>
    <m/>
    <m/>
    <n v="0"/>
    <n v="0"/>
    <n v="0"/>
    <n v="0"/>
    <n v="1665.8666666666666"/>
    <n v="1513.7666666666667"/>
  </r>
  <r>
    <x v="10"/>
    <s v="Redlands Community College"/>
    <m/>
    <n v="207069"/>
    <x v="8"/>
    <s v="sem"/>
    <s v="sem"/>
    <m/>
    <m/>
    <n v="15165"/>
    <n v="9933"/>
    <n v="3448"/>
    <n v="2602"/>
    <n v="15450"/>
    <n v="11285"/>
    <n v="34063"/>
    <n v="1135.4333333333334"/>
    <n v="23820"/>
    <n v="794"/>
    <n v="9885"/>
    <n v="9220"/>
    <n v="34063"/>
    <n v="23820"/>
    <m/>
    <m/>
    <m/>
    <m/>
    <m/>
    <m/>
    <m/>
    <m/>
    <n v="0"/>
    <n v="0"/>
    <n v="0"/>
    <n v="0"/>
    <m/>
    <m/>
    <n v="0"/>
    <n v="0"/>
    <m/>
    <m/>
    <m/>
    <m/>
    <m/>
    <m/>
    <m/>
    <m/>
    <n v="0"/>
    <n v="0"/>
    <n v="0"/>
    <n v="0"/>
    <n v="1135.4333333333334"/>
    <n v="794"/>
  </r>
  <r>
    <x v="10"/>
    <s v="Seminole State College "/>
    <m/>
    <n v="207740"/>
    <x v="8"/>
    <s v="sem"/>
    <s v="sem"/>
    <m/>
    <m/>
    <n v="15324"/>
    <n v="13407"/>
    <n v="2759"/>
    <n v="2632"/>
    <n v="16850"/>
    <n v="15203"/>
    <n v="34933"/>
    <n v="1164.4333333333334"/>
    <n v="31242"/>
    <n v="1041.4000000000001"/>
    <n v="3022"/>
    <n v="3314"/>
    <n v="34933"/>
    <n v="31242"/>
    <m/>
    <m/>
    <m/>
    <m/>
    <m/>
    <m/>
    <m/>
    <m/>
    <n v="0"/>
    <n v="0"/>
    <n v="0"/>
    <n v="0"/>
    <m/>
    <m/>
    <n v="0"/>
    <n v="0"/>
    <m/>
    <m/>
    <m/>
    <m/>
    <m/>
    <m/>
    <m/>
    <m/>
    <n v="0"/>
    <n v="0"/>
    <n v="0"/>
    <n v="0"/>
    <n v="1164.4333333333334"/>
    <n v="1041.4000000000001"/>
  </r>
  <r>
    <x v="10"/>
    <s v="Western Oklahoma State College "/>
    <m/>
    <n v="208035"/>
    <x v="8"/>
    <s v="sem"/>
    <s v="sem"/>
    <m/>
    <m/>
    <n v="11582"/>
    <n v="9639"/>
    <n v="2302"/>
    <n v="2120"/>
    <n v="12139"/>
    <n v="10726"/>
    <n v="26023"/>
    <n v="867.43333333333328"/>
    <n v="22485"/>
    <n v="749.5"/>
    <n v="2707"/>
    <n v="2966"/>
    <n v="26023"/>
    <n v="22485"/>
    <m/>
    <m/>
    <m/>
    <m/>
    <m/>
    <m/>
    <m/>
    <m/>
    <n v="0"/>
    <n v="0"/>
    <n v="0"/>
    <n v="0"/>
    <m/>
    <m/>
    <n v="0"/>
    <n v="0"/>
    <m/>
    <m/>
    <m/>
    <m/>
    <m/>
    <m/>
    <m/>
    <m/>
    <n v="0"/>
    <n v="0"/>
    <n v="0"/>
    <n v="0"/>
    <n v="867.43333333333328"/>
    <n v="749.5"/>
  </r>
  <r>
    <x v="10"/>
    <s v="Canadian Valley Technology Center                 "/>
    <m/>
    <n v="365374"/>
    <x v="9"/>
    <m/>
    <m/>
    <m/>
    <m/>
    <m/>
    <m/>
    <m/>
    <m/>
    <m/>
    <m/>
    <n v="0"/>
    <n v="0"/>
    <n v="0"/>
    <n v="0"/>
    <m/>
    <m/>
    <n v="0"/>
    <n v="0"/>
    <m/>
    <m/>
    <m/>
    <m/>
    <m/>
    <m/>
    <n v="1069253.1499999999"/>
    <n v="1013178.47"/>
    <n v="1069253.1499999999"/>
    <n v="1188.0590555555555"/>
    <n v="1013178.47"/>
    <n v="1125.7538555555554"/>
    <m/>
    <m/>
    <n v="0"/>
    <n v="0"/>
    <m/>
    <m/>
    <m/>
    <m/>
    <m/>
    <m/>
    <m/>
    <m/>
    <n v="0"/>
    <n v="0"/>
    <n v="0"/>
    <n v="0"/>
    <n v="1188.0590555555555"/>
    <n v="1125.7538555555554"/>
  </r>
  <r>
    <x v="10"/>
    <s v="Francis Tuttle Technology Center                  "/>
    <m/>
    <n v="245999"/>
    <x v="9"/>
    <m/>
    <m/>
    <m/>
    <m/>
    <m/>
    <m/>
    <m/>
    <m/>
    <m/>
    <m/>
    <n v="0"/>
    <n v="0"/>
    <n v="0"/>
    <n v="0"/>
    <m/>
    <m/>
    <n v="0"/>
    <n v="0"/>
    <m/>
    <m/>
    <m/>
    <m/>
    <m/>
    <m/>
    <n v="1594984.13"/>
    <n v="1578505.76"/>
    <n v="1594984.13"/>
    <n v="1772.2045888888888"/>
    <n v="1578505.76"/>
    <n v="1753.8952888888889"/>
    <m/>
    <m/>
    <n v="0"/>
    <n v="0"/>
    <m/>
    <m/>
    <m/>
    <m/>
    <m/>
    <m/>
    <m/>
    <m/>
    <n v="0"/>
    <n v="0"/>
    <n v="0"/>
    <n v="0"/>
    <n v="1772.2045888888888"/>
    <n v="1753.8952888888889"/>
  </r>
  <r>
    <x v="10"/>
    <s v="Tulsa Technology Center-Lemley Campus             "/>
    <s v="Met the criteria for Technical Institute or College 2 in 2019-20."/>
    <n v="261375"/>
    <x v="9"/>
    <m/>
    <m/>
    <m/>
    <m/>
    <m/>
    <m/>
    <m/>
    <m/>
    <m/>
    <m/>
    <n v="0"/>
    <n v="0"/>
    <n v="0"/>
    <n v="0"/>
    <m/>
    <m/>
    <n v="0"/>
    <n v="0"/>
    <m/>
    <m/>
    <m/>
    <m/>
    <m/>
    <m/>
    <n v="1406166.27"/>
    <n v="751564.71"/>
    <n v="1406166.27"/>
    <n v="1562.4069666666667"/>
    <n v="751564.71"/>
    <n v="835.07189999999991"/>
    <m/>
    <m/>
    <n v="0"/>
    <n v="0"/>
    <m/>
    <m/>
    <m/>
    <m/>
    <m/>
    <m/>
    <m/>
    <m/>
    <n v="0"/>
    <n v="0"/>
    <n v="0"/>
    <n v="0"/>
    <n v="1562.4069666666667"/>
    <n v="835.07189999999991"/>
  </r>
  <r>
    <x v="10"/>
    <s v="Autry Technology Center                           "/>
    <m/>
    <n v="365213"/>
    <x v="10"/>
    <m/>
    <m/>
    <m/>
    <m/>
    <m/>
    <m/>
    <m/>
    <m/>
    <m/>
    <m/>
    <n v="0"/>
    <n v="0"/>
    <n v="0"/>
    <n v="0"/>
    <m/>
    <m/>
    <n v="0"/>
    <n v="0"/>
    <m/>
    <m/>
    <m/>
    <m/>
    <m/>
    <m/>
    <n v="482141"/>
    <n v="368359.08"/>
    <n v="482141"/>
    <n v="535.71222222222218"/>
    <n v="368359.08"/>
    <n v="409.28786666666667"/>
    <m/>
    <m/>
    <n v="0"/>
    <n v="0"/>
    <m/>
    <m/>
    <m/>
    <m/>
    <m/>
    <m/>
    <m/>
    <m/>
    <n v="0"/>
    <n v="0"/>
    <n v="0"/>
    <n v="0"/>
    <n v="535.71222222222218"/>
    <n v="409.28786666666667"/>
  </r>
  <r>
    <x v="10"/>
    <s v="Caddo Kiowa Technology Center                     "/>
    <m/>
    <n v="364946"/>
    <x v="10"/>
    <m/>
    <m/>
    <m/>
    <m/>
    <m/>
    <m/>
    <m/>
    <m/>
    <m/>
    <m/>
    <n v="0"/>
    <n v="0"/>
    <n v="0"/>
    <n v="0"/>
    <m/>
    <m/>
    <n v="0"/>
    <n v="0"/>
    <m/>
    <m/>
    <m/>
    <m/>
    <m/>
    <m/>
    <n v="302326.62"/>
    <n v="290951.09999999998"/>
    <n v="302326.62"/>
    <n v="335.91846666666669"/>
    <n v="290951.09999999998"/>
    <n v="323.279"/>
    <m/>
    <m/>
    <n v="0"/>
    <n v="0"/>
    <m/>
    <m/>
    <m/>
    <m/>
    <m/>
    <m/>
    <m/>
    <m/>
    <n v="0"/>
    <n v="0"/>
    <n v="0"/>
    <n v="0"/>
    <n v="335.91846666666669"/>
    <n v="323.279"/>
  </r>
  <r>
    <x v="10"/>
    <s v="Central Technology Center                         "/>
    <m/>
    <n v="246017"/>
    <x v="10"/>
    <m/>
    <m/>
    <m/>
    <m/>
    <m/>
    <m/>
    <m/>
    <m/>
    <m/>
    <m/>
    <n v="0"/>
    <n v="0"/>
    <n v="0"/>
    <n v="0"/>
    <m/>
    <m/>
    <n v="0"/>
    <n v="0"/>
    <m/>
    <m/>
    <m/>
    <m/>
    <m/>
    <m/>
    <n v="830823"/>
    <n v="852056.76"/>
    <n v="830823"/>
    <n v="923.13666666666666"/>
    <n v="852056.76"/>
    <n v="946.72973333333334"/>
    <m/>
    <m/>
    <n v="0"/>
    <n v="0"/>
    <m/>
    <m/>
    <m/>
    <m/>
    <m/>
    <m/>
    <m/>
    <m/>
    <n v="0"/>
    <n v="0"/>
    <n v="0"/>
    <n v="0"/>
    <n v="923.13666666666666"/>
    <n v="946.72973333333334"/>
  </r>
  <r>
    <x v="10"/>
    <s v="Chisholm Trail Technology Center                  "/>
    <m/>
    <n v="375656"/>
    <x v="10"/>
    <m/>
    <m/>
    <m/>
    <m/>
    <m/>
    <m/>
    <m/>
    <m/>
    <m/>
    <m/>
    <n v="0"/>
    <n v="0"/>
    <n v="0"/>
    <n v="0"/>
    <m/>
    <m/>
    <n v="0"/>
    <n v="0"/>
    <m/>
    <m/>
    <m/>
    <m/>
    <m/>
    <m/>
    <n v="88180.5"/>
    <n v="145383.78"/>
    <n v="88180.5"/>
    <n v="97.978333333333339"/>
    <n v="145383.78"/>
    <n v="161.53753333333333"/>
    <m/>
    <m/>
    <n v="0"/>
    <n v="0"/>
    <m/>
    <m/>
    <m/>
    <m/>
    <m/>
    <m/>
    <m/>
    <m/>
    <n v="0"/>
    <n v="0"/>
    <n v="0"/>
    <n v="0"/>
    <n v="97.978333333333339"/>
    <n v="161.53753333333333"/>
  </r>
  <r>
    <x v="10"/>
    <s v="Eastern Oklahoma County Technology Center         "/>
    <m/>
    <n v="418348"/>
    <x v="10"/>
    <m/>
    <m/>
    <m/>
    <m/>
    <m/>
    <m/>
    <m/>
    <m/>
    <m/>
    <m/>
    <n v="0"/>
    <n v="0"/>
    <n v="0"/>
    <n v="0"/>
    <m/>
    <m/>
    <n v="0"/>
    <n v="0"/>
    <m/>
    <m/>
    <m/>
    <m/>
    <m/>
    <m/>
    <n v="319534"/>
    <n v="366625.33"/>
    <n v="319534"/>
    <n v="355.03777777777776"/>
    <n v="366625.33"/>
    <n v="407.36147777777779"/>
    <m/>
    <m/>
    <n v="0"/>
    <n v="0"/>
    <m/>
    <m/>
    <m/>
    <m/>
    <m/>
    <m/>
    <m/>
    <m/>
    <n v="0"/>
    <n v="0"/>
    <n v="0"/>
    <n v="0"/>
    <n v="355.03777777777776"/>
    <n v="407.36147777777779"/>
  </r>
  <r>
    <x v="10"/>
    <s v="Gordon Cooper Technology Center                   "/>
    <m/>
    <n v="375683"/>
    <x v="10"/>
    <m/>
    <m/>
    <m/>
    <m/>
    <m/>
    <m/>
    <m/>
    <m/>
    <m/>
    <m/>
    <n v="0"/>
    <n v="0"/>
    <n v="0"/>
    <n v="0"/>
    <m/>
    <m/>
    <n v="0"/>
    <n v="0"/>
    <m/>
    <m/>
    <m/>
    <m/>
    <m/>
    <m/>
    <n v="647934.25"/>
    <n v="593311.30000000005"/>
    <n v="647934.25"/>
    <n v="719.92694444444442"/>
    <n v="593311.30000000005"/>
    <n v="659.23477777777782"/>
    <m/>
    <m/>
    <n v="0"/>
    <n v="0"/>
    <m/>
    <m/>
    <m/>
    <m/>
    <m/>
    <m/>
    <m/>
    <m/>
    <n v="0"/>
    <n v="0"/>
    <n v="0"/>
    <n v="0"/>
    <n v="719.92694444444442"/>
    <n v="659.23477777777782"/>
  </r>
  <r>
    <x v="10"/>
    <s v="Great Plains Technology Center                    "/>
    <m/>
    <n v="364548"/>
    <x v="10"/>
    <m/>
    <m/>
    <m/>
    <m/>
    <m/>
    <m/>
    <m/>
    <m/>
    <m/>
    <m/>
    <n v="0"/>
    <n v="0"/>
    <n v="0"/>
    <n v="0"/>
    <m/>
    <m/>
    <n v="0"/>
    <n v="0"/>
    <m/>
    <m/>
    <m/>
    <m/>
    <m/>
    <m/>
    <n v="789953.98999999894"/>
    <n v="766348.03"/>
    <n v="789953.98999999894"/>
    <n v="877.72665555555443"/>
    <n v="766348.03"/>
    <n v="851.4978111111111"/>
    <m/>
    <m/>
    <n v="0"/>
    <n v="0"/>
    <m/>
    <m/>
    <m/>
    <m/>
    <m/>
    <m/>
    <m/>
    <m/>
    <n v="0"/>
    <n v="0"/>
    <n v="0"/>
    <n v="0"/>
    <n v="877.72665555555443"/>
    <n v="851.4978111111111"/>
  </r>
  <r>
    <x v="10"/>
    <s v="Green Country Technology Center                   "/>
    <m/>
    <n v="428019"/>
    <x v="10"/>
    <m/>
    <m/>
    <m/>
    <m/>
    <m/>
    <m/>
    <m/>
    <m/>
    <m/>
    <m/>
    <n v="0"/>
    <n v="0"/>
    <n v="0"/>
    <n v="0"/>
    <m/>
    <m/>
    <n v="0"/>
    <n v="0"/>
    <m/>
    <m/>
    <m/>
    <m/>
    <m/>
    <m/>
    <n v="197214.78"/>
    <n v="186012.7"/>
    <n v="197214.78"/>
    <n v="219.12753333333333"/>
    <n v="186012.7"/>
    <n v="206.68077777777779"/>
    <m/>
    <m/>
    <n v="0"/>
    <n v="0"/>
    <m/>
    <m/>
    <m/>
    <m/>
    <m/>
    <m/>
    <m/>
    <m/>
    <n v="0"/>
    <n v="0"/>
    <n v="0"/>
    <n v="0"/>
    <n v="219.12753333333333"/>
    <n v="206.68077777777779"/>
  </r>
  <r>
    <x v="10"/>
    <s v="High Plains Technology Center                     "/>
    <m/>
    <n v="208053"/>
    <x v="10"/>
    <m/>
    <m/>
    <m/>
    <m/>
    <m/>
    <m/>
    <m/>
    <m/>
    <m/>
    <m/>
    <n v="0"/>
    <n v="0"/>
    <n v="0"/>
    <n v="0"/>
    <m/>
    <m/>
    <n v="0"/>
    <n v="0"/>
    <m/>
    <m/>
    <m/>
    <m/>
    <m/>
    <m/>
    <n v="202706.91"/>
    <n v="203650.91"/>
    <n v="202706.91"/>
    <n v="225.22990000000001"/>
    <n v="203650.91"/>
    <n v="226.2787888888889"/>
    <m/>
    <m/>
    <n v="0"/>
    <n v="0"/>
    <m/>
    <m/>
    <m/>
    <m/>
    <m/>
    <m/>
    <m/>
    <m/>
    <n v="0"/>
    <n v="0"/>
    <n v="0"/>
    <n v="0"/>
    <n v="225.22990000000001"/>
    <n v="226.2787888888889"/>
  </r>
  <r>
    <x v="10"/>
    <s v="Indian Capital Technology Center-Muskogee         "/>
    <m/>
    <n v="418296"/>
    <x v="10"/>
    <m/>
    <m/>
    <m/>
    <m/>
    <m/>
    <m/>
    <m/>
    <m/>
    <m/>
    <m/>
    <n v="0"/>
    <n v="0"/>
    <n v="0"/>
    <n v="0"/>
    <m/>
    <m/>
    <n v="0"/>
    <n v="0"/>
    <m/>
    <m/>
    <m/>
    <m/>
    <m/>
    <m/>
    <n v="539866.15"/>
    <n v="452639.67"/>
    <n v="539866.15"/>
    <n v="599.8512777777778"/>
    <n v="452639.67"/>
    <n v="502.93296666666663"/>
    <m/>
    <m/>
    <n v="0"/>
    <n v="0"/>
    <m/>
    <m/>
    <m/>
    <m/>
    <m/>
    <m/>
    <m/>
    <m/>
    <n v="0"/>
    <n v="0"/>
    <n v="0"/>
    <n v="0"/>
    <n v="599.8512777777778"/>
    <n v="502.93296666666663"/>
  </r>
  <r>
    <x v="10"/>
    <s v="Indian Capital Technology Center-Sallisaw         "/>
    <m/>
    <n v="421540"/>
    <x v="10"/>
    <m/>
    <m/>
    <m/>
    <m/>
    <m/>
    <m/>
    <m/>
    <m/>
    <m/>
    <m/>
    <n v="0"/>
    <n v="0"/>
    <n v="0"/>
    <n v="0"/>
    <m/>
    <m/>
    <n v="0"/>
    <n v="0"/>
    <m/>
    <m/>
    <m/>
    <m/>
    <m/>
    <m/>
    <n v="132482"/>
    <n v="120424.69"/>
    <n v="132482"/>
    <n v="147.20222222222222"/>
    <n v="120424.69"/>
    <n v="133.80521111111111"/>
    <m/>
    <m/>
    <n v="0"/>
    <n v="0"/>
    <m/>
    <m/>
    <m/>
    <m/>
    <m/>
    <m/>
    <m/>
    <m/>
    <n v="0"/>
    <n v="0"/>
    <n v="0"/>
    <n v="0"/>
    <n v="147.20222222222222"/>
    <n v="133.80521111111111"/>
  </r>
  <r>
    <x v="10"/>
    <s v="Indian Capital Technology Center-Stilwell         "/>
    <m/>
    <n v="421559"/>
    <x v="10"/>
    <m/>
    <m/>
    <m/>
    <m/>
    <m/>
    <m/>
    <m/>
    <m/>
    <m/>
    <m/>
    <n v="0"/>
    <n v="0"/>
    <n v="0"/>
    <n v="0"/>
    <m/>
    <m/>
    <n v="0"/>
    <n v="0"/>
    <m/>
    <m/>
    <m/>
    <m/>
    <m/>
    <m/>
    <n v="109921"/>
    <n v="96298.68"/>
    <n v="109921"/>
    <n v="122.13444444444444"/>
    <n v="96298.68"/>
    <n v="106.99853333333333"/>
    <m/>
    <m/>
    <n v="0"/>
    <n v="0"/>
    <m/>
    <m/>
    <m/>
    <m/>
    <m/>
    <m/>
    <m/>
    <m/>
    <n v="0"/>
    <n v="0"/>
    <n v="0"/>
    <n v="0"/>
    <n v="122.13444444444444"/>
    <n v="106.99853333333333"/>
  </r>
  <r>
    <x v="10"/>
    <s v="Indian Capital Technology Center-Tahlequah        "/>
    <m/>
    <n v="208026"/>
    <x v="10"/>
    <m/>
    <m/>
    <m/>
    <m/>
    <m/>
    <m/>
    <m/>
    <m/>
    <m/>
    <m/>
    <n v="0"/>
    <n v="0"/>
    <n v="0"/>
    <n v="0"/>
    <m/>
    <m/>
    <n v="0"/>
    <n v="0"/>
    <m/>
    <m/>
    <m/>
    <m/>
    <m/>
    <m/>
    <n v="231258"/>
    <n v="196529.22"/>
    <n v="231258"/>
    <n v="256.95333333333332"/>
    <n v="196529.22"/>
    <n v="218.36580000000001"/>
    <m/>
    <m/>
    <n v="0"/>
    <n v="0"/>
    <m/>
    <m/>
    <m/>
    <m/>
    <m/>
    <m/>
    <m/>
    <m/>
    <n v="0"/>
    <n v="0"/>
    <n v="0"/>
    <n v="0"/>
    <n v="256.95333333333332"/>
    <n v="218.36580000000001"/>
  </r>
  <r>
    <x v="10"/>
    <s v="Kiamichi Technology Center-Atoka                  "/>
    <m/>
    <n v="375692"/>
    <x v="10"/>
    <m/>
    <m/>
    <m/>
    <m/>
    <m/>
    <m/>
    <m/>
    <m/>
    <m/>
    <m/>
    <n v="0"/>
    <n v="0"/>
    <n v="0"/>
    <n v="0"/>
    <m/>
    <m/>
    <n v="0"/>
    <n v="0"/>
    <m/>
    <m/>
    <m/>
    <m/>
    <m/>
    <m/>
    <n v="103580.45"/>
    <n v="121865.98"/>
    <n v="103580.45"/>
    <n v="115.08938888888889"/>
    <n v="121865.98"/>
    <n v="135.40664444444445"/>
    <m/>
    <m/>
    <n v="0"/>
    <n v="0"/>
    <m/>
    <m/>
    <m/>
    <m/>
    <m/>
    <m/>
    <m/>
    <m/>
    <n v="0"/>
    <n v="0"/>
    <n v="0"/>
    <n v="0"/>
    <n v="115.08938888888889"/>
    <n v="135.40664444444445"/>
  </r>
  <r>
    <x v="10"/>
    <s v="Kiamichi Technology Center-Durant                 "/>
    <m/>
    <n v="375708"/>
    <x v="10"/>
    <m/>
    <m/>
    <m/>
    <m/>
    <m/>
    <m/>
    <m/>
    <m/>
    <m/>
    <m/>
    <n v="0"/>
    <n v="0"/>
    <n v="0"/>
    <n v="0"/>
    <m/>
    <m/>
    <n v="0"/>
    <n v="0"/>
    <m/>
    <m/>
    <m/>
    <m/>
    <m/>
    <m/>
    <n v="202547.14"/>
    <n v="173694.75"/>
    <n v="202547.14"/>
    <n v="225.05237777777779"/>
    <n v="173694.75"/>
    <n v="192.99416666666667"/>
    <m/>
    <m/>
    <n v="0"/>
    <n v="0"/>
    <m/>
    <m/>
    <m/>
    <m/>
    <m/>
    <m/>
    <m/>
    <m/>
    <n v="0"/>
    <n v="0"/>
    <n v="0"/>
    <n v="0"/>
    <n v="225.05237777777779"/>
    <n v="192.99416666666667"/>
  </r>
  <r>
    <x v="10"/>
    <s v="Kiamichi Technology Center-Hugo                   "/>
    <m/>
    <n v="375717"/>
    <x v="10"/>
    <m/>
    <m/>
    <m/>
    <m/>
    <m/>
    <m/>
    <m/>
    <m/>
    <m/>
    <m/>
    <n v="0"/>
    <n v="0"/>
    <n v="0"/>
    <n v="0"/>
    <m/>
    <m/>
    <n v="0"/>
    <n v="0"/>
    <m/>
    <m/>
    <m/>
    <m/>
    <m/>
    <m/>
    <n v="113767"/>
    <n v="94510.59"/>
    <n v="113767"/>
    <n v="126.40777777777778"/>
    <n v="94510.59"/>
    <n v="105.01176666666666"/>
    <m/>
    <m/>
    <n v="0"/>
    <n v="0"/>
    <m/>
    <m/>
    <m/>
    <m/>
    <m/>
    <m/>
    <m/>
    <m/>
    <n v="0"/>
    <n v="0"/>
    <n v="0"/>
    <n v="0"/>
    <n v="126.40777777777778"/>
    <n v="105.01176666666666"/>
  </r>
  <r>
    <x v="10"/>
    <s v="Kiamichi Technology Center-Idabel                 "/>
    <m/>
    <n v="375735"/>
    <x v="10"/>
    <m/>
    <m/>
    <m/>
    <m/>
    <m/>
    <m/>
    <m/>
    <m/>
    <m/>
    <m/>
    <n v="0"/>
    <n v="0"/>
    <n v="0"/>
    <n v="0"/>
    <m/>
    <m/>
    <n v="0"/>
    <n v="0"/>
    <m/>
    <m/>
    <m/>
    <m/>
    <m/>
    <m/>
    <n v="180681.25"/>
    <n v="168725.32"/>
    <n v="180681.25"/>
    <n v="200.75694444444446"/>
    <n v="168725.32"/>
    <n v="187.47257777777779"/>
    <m/>
    <m/>
    <n v="0"/>
    <n v="0"/>
    <m/>
    <m/>
    <m/>
    <m/>
    <m/>
    <m/>
    <m/>
    <m/>
    <n v="0"/>
    <n v="0"/>
    <n v="0"/>
    <n v="0"/>
    <n v="200.75694444444446"/>
    <n v="187.47257777777779"/>
  </r>
  <r>
    <x v="10"/>
    <s v="Kiamichi Technology Center-McAlester              "/>
    <m/>
    <n v="375726"/>
    <x v="10"/>
    <m/>
    <m/>
    <m/>
    <m/>
    <m/>
    <m/>
    <m/>
    <m/>
    <m/>
    <m/>
    <n v="0"/>
    <n v="0"/>
    <n v="0"/>
    <n v="0"/>
    <m/>
    <m/>
    <n v="0"/>
    <n v="0"/>
    <m/>
    <m/>
    <m/>
    <m/>
    <m/>
    <m/>
    <n v="275512"/>
    <n v="283838.7"/>
    <n v="275512"/>
    <n v="306.12444444444446"/>
    <n v="283838.7"/>
    <n v="315.37633333333332"/>
    <m/>
    <m/>
    <n v="0"/>
    <n v="0"/>
    <m/>
    <m/>
    <m/>
    <m/>
    <m/>
    <m/>
    <m/>
    <m/>
    <n v="0"/>
    <n v="0"/>
    <n v="0"/>
    <n v="0"/>
    <n v="306.12444444444446"/>
    <n v="315.37633333333332"/>
  </r>
  <r>
    <x v="10"/>
    <s v="Kiamichi Technology Center-Poteau                 "/>
    <m/>
    <n v="375744"/>
    <x v="10"/>
    <m/>
    <m/>
    <m/>
    <m/>
    <m/>
    <m/>
    <m/>
    <m/>
    <m/>
    <m/>
    <n v="0"/>
    <n v="0"/>
    <n v="0"/>
    <n v="0"/>
    <m/>
    <m/>
    <n v="0"/>
    <n v="0"/>
    <m/>
    <m/>
    <m/>
    <m/>
    <m/>
    <m/>
    <n v="232972.5"/>
    <n v="229024.9"/>
    <n v="232972.5"/>
    <n v="258.85833333333335"/>
    <n v="229024.9"/>
    <n v="254.4721111111111"/>
    <m/>
    <m/>
    <n v="0"/>
    <n v="0"/>
    <m/>
    <m/>
    <m/>
    <m/>
    <m/>
    <m/>
    <m/>
    <m/>
    <n v="0"/>
    <n v="0"/>
    <n v="0"/>
    <n v="0"/>
    <n v="258.85833333333335"/>
    <n v="254.4721111111111"/>
  </r>
  <r>
    <x v="10"/>
    <s v="Kiamichi Technology Center-Spiro                  "/>
    <m/>
    <n v="375753"/>
    <x v="10"/>
    <m/>
    <m/>
    <m/>
    <m/>
    <m/>
    <m/>
    <m/>
    <m/>
    <m/>
    <m/>
    <n v="0"/>
    <n v="0"/>
    <n v="0"/>
    <n v="0"/>
    <m/>
    <m/>
    <n v="0"/>
    <n v="0"/>
    <m/>
    <m/>
    <m/>
    <m/>
    <m/>
    <m/>
    <n v="15105"/>
    <n v="16925"/>
    <n v="15105"/>
    <n v="16.783333333333335"/>
    <n v="16925"/>
    <n v="18.805555555555557"/>
    <m/>
    <m/>
    <n v="0"/>
    <n v="0"/>
    <m/>
    <m/>
    <m/>
    <m/>
    <m/>
    <m/>
    <m/>
    <m/>
    <n v="0"/>
    <n v="0"/>
    <n v="0"/>
    <n v="0"/>
    <n v="16.783333333333335"/>
    <n v="18.805555555555557"/>
  </r>
  <r>
    <x v="10"/>
    <s v="Kiamichi Technology Center-Stigler                "/>
    <m/>
    <n v="405748"/>
    <x v="10"/>
    <m/>
    <m/>
    <m/>
    <m/>
    <m/>
    <m/>
    <m/>
    <m/>
    <m/>
    <m/>
    <n v="0"/>
    <n v="0"/>
    <n v="0"/>
    <n v="0"/>
    <m/>
    <m/>
    <n v="0"/>
    <n v="0"/>
    <m/>
    <m/>
    <m/>
    <m/>
    <m/>
    <m/>
    <n v="81930.5"/>
    <n v="81216.78"/>
    <n v="81930.5"/>
    <n v="91.033888888888896"/>
    <n v="81216.78"/>
    <n v="90.240866666666662"/>
    <m/>
    <m/>
    <n v="0"/>
    <n v="0"/>
    <m/>
    <m/>
    <m/>
    <m/>
    <m/>
    <m/>
    <m/>
    <m/>
    <n v="0"/>
    <n v="0"/>
    <n v="0"/>
    <n v="0"/>
    <n v="91.033888888888896"/>
    <n v="90.240866666666662"/>
  </r>
  <r>
    <x v="10"/>
    <s v="Kiamichi Technology Center-Talihina               "/>
    <m/>
    <n v="375762"/>
    <x v="10"/>
    <m/>
    <m/>
    <m/>
    <m/>
    <m/>
    <m/>
    <m/>
    <m/>
    <m/>
    <m/>
    <n v="0"/>
    <n v="0"/>
    <n v="0"/>
    <n v="0"/>
    <m/>
    <m/>
    <n v="0"/>
    <n v="0"/>
    <m/>
    <m/>
    <m/>
    <m/>
    <m/>
    <m/>
    <n v="68826.5"/>
    <n v="65027.33"/>
    <n v="68826.5"/>
    <n v="76.473888888888894"/>
    <n v="65027.33"/>
    <n v="72.252588888888894"/>
    <m/>
    <m/>
    <n v="0"/>
    <n v="0"/>
    <m/>
    <m/>
    <m/>
    <m/>
    <m/>
    <m/>
    <m/>
    <m/>
    <n v="0"/>
    <n v="0"/>
    <n v="0"/>
    <n v="0"/>
    <n v="76.473888888888894"/>
    <n v="72.252588888888894"/>
  </r>
  <r>
    <x v="10"/>
    <s v="Meridian Technology Center                        "/>
    <m/>
    <n v="365480"/>
    <x v="10"/>
    <m/>
    <m/>
    <m/>
    <m/>
    <m/>
    <m/>
    <m/>
    <m/>
    <m/>
    <m/>
    <n v="0"/>
    <n v="0"/>
    <n v="0"/>
    <n v="0"/>
    <m/>
    <m/>
    <n v="0"/>
    <n v="0"/>
    <m/>
    <m/>
    <m/>
    <m/>
    <m/>
    <m/>
    <n v="517997.7"/>
    <n v="509245.37"/>
    <n v="517997.7"/>
    <n v="575.553"/>
    <n v="509245.37"/>
    <n v="565.82818888888892"/>
    <m/>
    <m/>
    <n v="0"/>
    <n v="0"/>
    <m/>
    <m/>
    <m/>
    <m/>
    <m/>
    <m/>
    <m/>
    <m/>
    <n v="0"/>
    <n v="0"/>
    <n v="0"/>
    <n v="0"/>
    <n v="575.553"/>
    <n v="565.82818888888892"/>
  </r>
  <r>
    <x v="10"/>
    <s v="Metro Technology Centers                          "/>
    <m/>
    <n v="363165"/>
    <x v="10"/>
    <m/>
    <m/>
    <m/>
    <m/>
    <m/>
    <m/>
    <m/>
    <m/>
    <m/>
    <m/>
    <n v="0"/>
    <n v="0"/>
    <n v="0"/>
    <n v="0"/>
    <m/>
    <m/>
    <n v="0"/>
    <n v="0"/>
    <m/>
    <m/>
    <m/>
    <m/>
    <m/>
    <m/>
    <n v="813191.06"/>
    <n v="712439.32"/>
    <n v="813191.06"/>
    <n v="903.54562222222228"/>
    <n v="712439.32"/>
    <n v="791.59924444444437"/>
    <m/>
    <m/>
    <n v="0"/>
    <n v="0"/>
    <m/>
    <m/>
    <m/>
    <m/>
    <m/>
    <m/>
    <m/>
    <m/>
    <n v="0"/>
    <n v="0"/>
    <n v="0"/>
    <n v="0"/>
    <n v="903.54562222222228"/>
    <n v="791.59924444444437"/>
  </r>
  <r>
    <x v="10"/>
    <s v="Mid-America Technology Center                     "/>
    <m/>
    <n v="418320"/>
    <x v="10"/>
    <m/>
    <m/>
    <m/>
    <m/>
    <m/>
    <m/>
    <m/>
    <m/>
    <m/>
    <m/>
    <n v="0"/>
    <n v="0"/>
    <n v="0"/>
    <n v="0"/>
    <m/>
    <m/>
    <n v="0"/>
    <n v="0"/>
    <m/>
    <m/>
    <m/>
    <m/>
    <m/>
    <m/>
    <n v="520285.5"/>
    <n v="489818.93"/>
    <n v="520285.5"/>
    <n v="578.09500000000003"/>
    <n v="489818.93"/>
    <n v="544.24325555555549"/>
    <m/>
    <m/>
    <n v="0"/>
    <n v="0"/>
    <m/>
    <m/>
    <m/>
    <m/>
    <m/>
    <m/>
    <m/>
    <m/>
    <n v="0"/>
    <n v="0"/>
    <n v="0"/>
    <n v="0"/>
    <n v="578.09500000000003"/>
    <n v="544.24325555555549"/>
  </r>
  <r>
    <x v="10"/>
    <s v="Mid-Del Technology Center                         "/>
    <m/>
    <n v="431017"/>
    <x v="10"/>
    <m/>
    <m/>
    <m/>
    <m/>
    <m/>
    <m/>
    <m/>
    <m/>
    <m/>
    <m/>
    <n v="0"/>
    <n v="0"/>
    <n v="0"/>
    <n v="0"/>
    <m/>
    <m/>
    <n v="0"/>
    <n v="0"/>
    <m/>
    <m/>
    <m/>
    <m/>
    <m/>
    <m/>
    <n v="369502.5"/>
    <n v="340899.65"/>
    <n v="369502.5"/>
    <n v="410.55833333333334"/>
    <n v="340899.65"/>
    <n v="378.77738888888894"/>
    <m/>
    <m/>
    <n v="0"/>
    <n v="0"/>
    <m/>
    <m/>
    <m/>
    <m/>
    <m/>
    <m/>
    <m/>
    <m/>
    <n v="0"/>
    <n v="0"/>
    <n v="0"/>
    <n v="0"/>
    <n v="410.55833333333334"/>
    <n v="378.77738888888894"/>
  </r>
  <r>
    <x v="10"/>
    <s v="Moore Norman Technology Center                    "/>
    <s v="Met the criteria for Technical Institute or College 1 in 2019-20."/>
    <n v="248606"/>
    <x v="10"/>
    <m/>
    <m/>
    <m/>
    <m/>
    <m/>
    <m/>
    <m/>
    <m/>
    <m/>
    <m/>
    <n v="0"/>
    <n v="0"/>
    <n v="0"/>
    <n v="0"/>
    <m/>
    <m/>
    <n v="0"/>
    <n v="0"/>
    <m/>
    <m/>
    <m/>
    <m/>
    <m/>
    <m/>
    <n v="854010"/>
    <n v="965709"/>
    <n v="854010"/>
    <n v="948.9"/>
    <n v="965709"/>
    <n v="1073.01"/>
    <m/>
    <m/>
    <n v="0"/>
    <n v="0"/>
    <m/>
    <m/>
    <m/>
    <m/>
    <m/>
    <m/>
    <m/>
    <m/>
    <n v="0"/>
    <n v="0"/>
    <n v="0"/>
    <n v="0"/>
    <n v="948.9"/>
    <n v="1073.01"/>
  </r>
  <r>
    <x v="10"/>
    <s v="Northeast Technology Center-Afton                 "/>
    <m/>
    <n v="420459"/>
    <x v="10"/>
    <m/>
    <m/>
    <m/>
    <m/>
    <m/>
    <m/>
    <m/>
    <m/>
    <m/>
    <m/>
    <n v="0"/>
    <n v="0"/>
    <n v="0"/>
    <n v="0"/>
    <m/>
    <m/>
    <n v="0"/>
    <n v="0"/>
    <m/>
    <m/>
    <m/>
    <m/>
    <m/>
    <m/>
    <n v="287298"/>
    <n v="278844.75"/>
    <n v="287298"/>
    <n v="319.22000000000003"/>
    <n v="278844.75"/>
    <n v="309.82749999999999"/>
    <m/>
    <m/>
    <n v="0"/>
    <n v="0"/>
    <m/>
    <m/>
    <m/>
    <m/>
    <m/>
    <m/>
    <m/>
    <m/>
    <n v="0"/>
    <n v="0"/>
    <n v="0"/>
    <n v="0"/>
    <n v="319.22000000000003"/>
    <n v="309.82749999999999"/>
  </r>
  <r>
    <x v="10"/>
    <s v="Northeast Technology Center-Claremore"/>
    <m/>
    <n v="456560"/>
    <x v="10"/>
    <m/>
    <m/>
    <m/>
    <m/>
    <m/>
    <m/>
    <m/>
    <m/>
    <m/>
    <m/>
    <n v="0"/>
    <n v="0"/>
    <n v="0"/>
    <n v="0"/>
    <m/>
    <m/>
    <n v="0"/>
    <n v="0"/>
    <m/>
    <m/>
    <m/>
    <m/>
    <m/>
    <m/>
    <n v="168846.5"/>
    <n v="238524.75"/>
    <n v="168846.5"/>
    <n v="187.60722222222222"/>
    <n v="238524.75"/>
    <n v="265.02749999999997"/>
    <m/>
    <m/>
    <n v="0"/>
    <n v="0"/>
    <m/>
    <m/>
    <m/>
    <m/>
    <m/>
    <m/>
    <m/>
    <m/>
    <n v="0"/>
    <n v="0"/>
    <n v="0"/>
    <n v="0"/>
    <n v="187.60722222222222"/>
    <n v="265.02749999999997"/>
  </r>
  <r>
    <x v="10"/>
    <s v="Northeast Technology Center-Kansas                "/>
    <m/>
    <n v="432074"/>
    <x v="10"/>
    <m/>
    <m/>
    <m/>
    <m/>
    <m/>
    <m/>
    <m/>
    <m/>
    <m/>
    <m/>
    <n v="0"/>
    <n v="0"/>
    <n v="0"/>
    <n v="0"/>
    <m/>
    <m/>
    <n v="0"/>
    <n v="0"/>
    <m/>
    <m/>
    <m/>
    <m/>
    <m/>
    <m/>
    <n v="163414"/>
    <n v="136506.5"/>
    <n v="163414"/>
    <n v="181.57111111111112"/>
    <n v="136506.5"/>
    <n v="151.67388888888888"/>
    <m/>
    <m/>
    <n v="0"/>
    <n v="0"/>
    <m/>
    <m/>
    <m/>
    <m/>
    <m/>
    <m/>
    <m/>
    <m/>
    <n v="0"/>
    <n v="0"/>
    <n v="0"/>
    <n v="0"/>
    <n v="181.57111111111112"/>
    <n v="151.67388888888888"/>
  </r>
  <r>
    <x v="10"/>
    <s v="Northeast Technology Center-Pryor                 "/>
    <m/>
    <n v="418339"/>
    <x v="10"/>
    <m/>
    <m/>
    <m/>
    <m/>
    <m/>
    <m/>
    <m/>
    <m/>
    <m/>
    <m/>
    <n v="0"/>
    <n v="0"/>
    <n v="0"/>
    <n v="0"/>
    <m/>
    <m/>
    <n v="0"/>
    <n v="0"/>
    <m/>
    <m/>
    <m/>
    <m/>
    <m/>
    <m/>
    <n v="307108"/>
    <n v="292105.96999999997"/>
    <n v="307108"/>
    <n v="341.23111111111109"/>
    <n v="292105.96999999997"/>
    <n v="324.56218888888884"/>
    <m/>
    <m/>
    <n v="0"/>
    <n v="0"/>
    <m/>
    <m/>
    <m/>
    <m/>
    <m/>
    <m/>
    <m/>
    <m/>
    <n v="0"/>
    <n v="0"/>
    <n v="0"/>
    <n v="0"/>
    <n v="341.23111111111109"/>
    <n v="324.56218888888884"/>
  </r>
  <r>
    <x v="10"/>
    <s v="Northwest Technology Center-Alva                  "/>
    <m/>
    <n v="366623"/>
    <x v="10"/>
    <m/>
    <m/>
    <m/>
    <m/>
    <m/>
    <m/>
    <m/>
    <m/>
    <m/>
    <m/>
    <n v="0"/>
    <n v="0"/>
    <n v="0"/>
    <n v="0"/>
    <m/>
    <m/>
    <n v="0"/>
    <n v="0"/>
    <m/>
    <m/>
    <m/>
    <m/>
    <m/>
    <m/>
    <n v="100785.5"/>
    <n v="102168"/>
    <n v="100785.5"/>
    <n v="111.98388888888888"/>
    <n v="102168"/>
    <n v="113.52"/>
    <m/>
    <m/>
    <n v="0"/>
    <n v="0"/>
    <m/>
    <m/>
    <m/>
    <m/>
    <m/>
    <m/>
    <m/>
    <m/>
    <n v="0"/>
    <n v="0"/>
    <n v="0"/>
    <n v="0"/>
    <n v="111.98388888888888"/>
    <n v="113.52"/>
  </r>
  <r>
    <x v="10"/>
    <s v="Northwest Technology Center-Fairview              "/>
    <m/>
    <n v="407601"/>
    <x v="10"/>
    <m/>
    <m/>
    <m/>
    <m/>
    <m/>
    <m/>
    <m/>
    <m/>
    <m/>
    <m/>
    <n v="0"/>
    <n v="0"/>
    <n v="0"/>
    <n v="0"/>
    <m/>
    <m/>
    <n v="0"/>
    <n v="0"/>
    <m/>
    <m/>
    <m/>
    <m/>
    <m/>
    <m/>
    <n v="70849.5"/>
    <n v="75018.62"/>
    <n v="70849.5"/>
    <n v="78.721666666666664"/>
    <n v="75018.62"/>
    <n v="83.354022222222213"/>
    <m/>
    <m/>
    <n v="0"/>
    <n v="0"/>
    <m/>
    <m/>
    <m/>
    <m/>
    <m/>
    <m/>
    <m/>
    <m/>
    <n v="0"/>
    <n v="0"/>
    <n v="0"/>
    <n v="0"/>
    <n v="78.721666666666664"/>
    <n v="83.354022222222213"/>
  </r>
  <r>
    <x v="10"/>
    <s v="Pioneer Technology Center                         "/>
    <m/>
    <n v="364627"/>
    <x v="10"/>
    <m/>
    <m/>
    <m/>
    <m/>
    <m/>
    <m/>
    <m/>
    <m/>
    <m/>
    <m/>
    <n v="0"/>
    <n v="0"/>
    <n v="0"/>
    <n v="0"/>
    <m/>
    <m/>
    <n v="0"/>
    <n v="0"/>
    <m/>
    <m/>
    <m/>
    <m/>
    <m/>
    <m/>
    <n v="316587.25"/>
    <n v="329025.89"/>
    <n v="316587.25"/>
    <n v="351.76361111111112"/>
    <n v="329025.89"/>
    <n v="365.58432222222223"/>
    <m/>
    <m/>
    <n v="0"/>
    <n v="0"/>
    <m/>
    <m/>
    <m/>
    <m/>
    <m/>
    <m/>
    <m/>
    <m/>
    <n v="0"/>
    <n v="0"/>
    <n v="0"/>
    <n v="0"/>
    <n v="351.76361111111112"/>
    <n v="365.58432222222223"/>
  </r>
  <r>
    <x v="10"/>
    <s v="Pontotoc Technology Center                        "/>
    <m/>
    <n v="206905"/>
    <x v="10"/>
    <m/>
    <m/>
    <m/>
    <m/>
    <m/>
    <m/>
    <m/>
    <m/>
    <m/>
    <m/>
    <n v="0"/>
    <n v="0"/>
    <n v="0"/>
    <n v="0"/>
    <m/>
    <m/>
    <n v="0"/>
    <n v="0"/>
    <m/>
    <m/>
    <m/>
    <m/>
    <m/>
    <m/>
    <n v="196335.66"/>
    <n v="178204.59"/>
    <n v="196335.66"/>
    <n v="218.15073333333333"/>
    <n v="178204.59"/>
    <n v="198.0051"/>
    <m/>
    <m/>
    <n v="0"/>
    <n v="0"/>
    <m/>
    <m/>
    <m/>
    <m/>
    <m/>
    <m/>
    <m/>
    <m/>
    <n v="0"/>
    <n v="0"/>
    <n v="0"/>
    <n v="0"/>
    <n v="218.15073333333333"/>
    <n v="198.0051"/>
  </r>
  <r>
    <x v="10"/>
    <s v="Red River Technology Center                       "/>
    <m/>
    <n v="250993"/>
    <x v="10"/>
    <m/>
    <m/>
    <m/>
    <m/>
    <m/>
    <m/>
    <m/>
    <m/>
    <m/>
    <m/>
    <n v="0"/>
    <n v="0"/>
    <n v="0"/>
    <n v="0"/>
    <m/>
    <m/>
    <n v="0"/>
    <n v="0"/>
    <m/>
    <m/>
    <m/>
    <m/>
    <m/>
    <m/>
    <n v="317392.64000000001"/>
    <n v="237938.52"/>
    <n v="317392.64000000001"/>
    <n v="352.65848888888888"/>
    <n v="237938.52"/>
    <n v="264.37613333333331"/>
    <m/>
    <m/>
    <n v="0"/>
    <n v="0"/>
    <m/>
    <m/>
    <m/>
    <m/>
    <m/>
    <m/>
    <m/>
    <m/>
    <n v="0"/>
    <n v="0"/>
    <n v="0"/>
    <n v="0"/>
    <n v="352.65848888888888"/>
    <n v="264.37613333333331"/>
  </r>
  <r>
    <x v="10"/>
    <s v="Southern Oklahoma Technology Center               "/>
    <m/>
    <n v="365198"/>
    <x v="10"/>
    <m/>
    <m/>
    <m/>
    <m/>
    <m/>
    <m/>
    <m/>
    <m/>
    <m/>
    <m/>
    <n v="0"/>
    <n v="0"/>
    <n v="0"/>
    <n v="0"/>
    <m/>
    <m/>
    <n v="0"/>
    <n v="0"/>
    <m/>
    <m/>
    <m/>
    <m/>
    <m/>
    <m/>
    <n v="451598.07"/>
    <n v="406473.71"/>
    <n v="451598.07"/>
    <n v="501.77563333333336"/>
    <n v="406473.71"/>
    <n v="451.63745555555556"/>
    <m/>
    <m/>
    <n v="0"/>
    <n v="0"/>
    <m/>
    <m/>
    <m/>
    <m/>
    <m/>
    <m/>
    <m/>
    <m/>
    <n v="0"/>
    <n v="0"/>
    <n v="0"/>
    <n v="0"/>
    <n v="501.77563333333336"/>
    <n v="451.63745555555556"/>
  </r>
  <r>
    <x v="10"/>
    <s v="Southwest Technology Center                       "/>
    <m/>
    <n v="368364"/>
    <x v="10"/>
    <m/>
    <m/>
    <m/>
    <m/>
    <m/>
    <m/>
    <m/>
    <m/>
    <m/>
    <m/>
    <n v="0"/>
    <n v="0"/>
    <n v="0"/>
    <n v="0"/>
    <m/>
    <m/>
    <n v="0"/>
    <n v="0"/>
    <m/>
    <m/>
    <m/>
    <m/>
    <m/>
    <m/>
    <n v="230765.5"/>
    <n v="179521.29"/>
    <n v="230765.5"/>
    <n v="256.4061111111111"/>
    <n v="179521.29"/>
    <n v="199.46810000000002"/>
    <m/>
    <m/>
    <n v="0"/>
    <n v="0"/>
    <m/>
    <m/>
    <m/>
    <m/>
    <m/>
    <m/>
    <m/>
    <m/>
    <n v="0"/>
    <n v="0"/>
    <n v="0"/>
    <n v="0"/>
    <n v="256.4061111111111"/>
    <n v="199.46810000000002"/>
  </r>
  <r>
    <x v="10"/>
    <s v="Tri County Technology Center                      "/>
    <m/>
    <n v="418287"/>
    <x v="10"/>
    <m/>
    <m/>
    <m/>
    <m/>
    <m/>
    <m/>
    <m/>
    <m/>
    <m/>
    <m/>
    <n v="0"/>
    <n v="0"/>
    <n v="0"/>
    <n v="0"/>
    <m/>
    <m/>
    <n v="0"/>
    <n v="0"/>
    <m/>
    <m/>
    <m/>
    <m/>
    <m/>
    <m/>
    <n v="307609.45"/>
    <n v="362212.89"/>
    <n v="307609.45"/>
    <n v="341.78827777777781"/>
    <n v="362212.89"/>
    <n v="402.45876666666669"/>
    <m/>
    <m/>
    <n v="0"/>
    <n v="0"/>
    <m/>
    <m/>
    <m/>
    <m/>
    <m/>
    <m/>
    <m/>
    <m/>
    <n v="0"/>
    <n v="0"/>
    <n v="0"/>
    <n v="0"/>
    <n v="341.78827777777781"/>
    <n v="402.45876666666669"/>
  </r>
  <r>
    <x v="10"/>
    <s v="Tulsa County Area Voc Tech School Dist 18-Peoria  "/>
    <m/>
    <n v="207607"/>
    <x v="10"/>
    <m/>
    <m/>
    <m/>
    <m/>
    <m/>
    <m/>
    <m/>
    <m/>
    <m/>
    <m/>
    <n v="0"/>
    <n v="0"/>
    <n v="0"/>
    <n v="0"/>
    <m/>
    <m/>
    <n v="0"/>
    <n v="0"/>
    <m/>
    <m/>
    <m/>
    <m/>
    <m/>
    <m/>
    <n v="328184"/>
    <n v="372974.93"/>
    <n v="328184"/>
    <n v="364.64888888888891"/>
    <n v="372974.93"/>
    <n v="414.4165888888889"/>
    <m/>
    <m/>
    <n v="0"/>
    <n v="0"/>
    <m/>
    <m/>
    <m/>
    <m/>
    <m/>
    <m/>
    <m/>
    <m/>
    <n v="0"/>
    <n v="0"/>
    <n v="0"/>
    <n v="0"/>
    <n v="364.64888888888891"/>
    <n v="414.4165888888889"/>
  </r>
  <r>
    <x v="10"/>
    <s v="Tulsa Technology Center-Broken Arrow Campus       "/>
    <m/>
    <n v="261393"/>
    <x v="10"/>
    <m/>
    <m/>
    <m/>
    <m/>
    <m/>
    <m/>
    <m/>
    <m/>
    <m/>
    <m/>
    <n v="0"/>
    <n v="0"/>
    <n v="0"/>
    <n v="0"/>
    <m/>
    <m/>
    <n v="0"/>
    <n v="0"/>
    <m/>
    <m/>
    <m/>
    <m/>
    <m/>
    <m/>
    <n v="456158.5"/>
    <n v="445145.86"/>
    <n v="456158.5"/>
    <n v="506.84277777777777"/>
    <n v="445145.86"/>
    <n v="494.6065111111111"/>
    <m/>
    <m/>
    <n v="0"/>
    <n v="0"/>
    <m/>
    <m/>
    <m/>
    <m/>
    <m/>
    <m/>
    <m/>
    <m/>
    <n v="0"/>
    <n v="0"/>
    <n v="0"/>
    <n v="0"/>
    <n v="506.84277777777777"/>
    <n v="494.6065111111111"/>
  </r>
  <r>
    <x v="10"/>
    <s v="Tulsa Technology Center-Owasso"/>
    <m/>
    <n v="482264"/>
    <x v="10"/>
    <m/>
    <m/>
    <m/>
    <m/>
    <m/>
    <m/>
    <m/>
    <m/>
    <m/>
    <m/>
    <n v="0"/>
    <n v="0"/>
    <n v="0"/>
    <n v="0"/>
    <m/>
    <m/>
    <n v="0"/>
    <n v="0"/>
    <m/>
    <m/>
    <m/>
    <m/>
    <m/>
    <m/>
    <n v="247921"/>
    <n v="273866.96999999997"/>
    <n v="247921"/>
    <n v="275.46777777777777"/>
    <n v="273866.96999999997"/>
    <n v="304.29663333333332"/>
    <m/>
    <m/>
    <n v="0"/>
    <n v="0"/>
    <m/>
    <m/>
    <m/>
    <m/>
    <m/>
    <m/>
    <m/>
    <m/>
    <n v="0"/>
    <n v="0"/>
    <n v="0"/>
    <n v="0"/>
    <n v="275.46777777777777"/>
    <n v="304.29663333333332"/>
  </r>
  <r>
    <x v="10"/>
    <s v="Tulsa Technology Center-Riverside Campus          "/>
    <m/>
    <n v="261384"/>
    <x v="10"/>
    <m/>
    <m/>
    <m/>
    <m/>
    <m/>
    <m/>
    <m/>
    <m/>
    <m/>
    <m/>
    <n v="0"/>
    <n v="0"/>
    <n v="0"/>
    <n v="0"/>
    <m/>
    <m/>
    <n v="0"/>
    <n v="0"/>
    <m/>
    <m/>
    <m/>
    <m/>
    <m/>
    <m/>
    <n v="464517"/>
    <n v="441856.48"/>
    <n v="464517"/>
    <n v="516.13"/>
    <n v="441856.48"/>
    <n v="490.95164444444441"/>
    <m/>
    <m/>
    <n v="0"/>
    <n v="0"/>
    <m/>
    <m/>
    <m/>
    <m/>
    <m/>
    <m/>
    <m/>
    <m/>
    <n v="0"/>
    <n v="0"/>
    <n v="0"/>
    <n v="0"/>
    <n v="516.13"/>
    <n v="490.95164444444441"/>
  </r>
  <r>
    <x v="10"/>
    <s v="Tulsa Technology Center-Sand Springs"/>
    <m/>
    <n v="482273"/>
    <x v="10"/>
    <m/>
    <m/>
    <m/>
    <m/>
    <m/>
    <m/>
    <m/>
    <m/>
    <m/>
    <m/>
    <n v="0"/>
    <n v="0"/>
    <n v="0"/>
    <n v="0"/>
    <m/>
    <m/>
    <n v="0"/>
    <n v="0"/>
    <m/>
    <m/>
    <m/>
    <m/>
    <m/>
    <m/>
    <n v="121723"/>
    <n v="141856.54"/>
    <n v="121723"/>
    <n v="135.24777777777777"/>
    <n v="141856.54"/>
    <n v="157.61837777777779"/>
    <m/>
    <m/>
    <n v="0"/>
    <n v="0"/>
    <m/>
    <m/>
    <m/>
    <m/>
    <m/>
    <m/>
    <m/>
    <m/>
    <n v="0"/>
    <n v="0"/>
    <n v="0"/>
    <n v="0"/>
    <n v="135.24777777777777"/>
    <n v="157.61837777777779"/>
  </r>
  <r>
    <x v="10"/>
    <s v="Wes Watkins Technology Center                     "/>
    <m/>
    <n v="418357"/>
    <x v="10"/>
    <m/>
    <m/>
    <m/>
    <m/>
    <m/>
    <m/>
    <m/>
    <m/>
    <m/>
    <m/>
    <n v="0"/>
    <n v="0"/>
    <n v="0"/>
    <n v="0"/>
    <m/>
    <m/>
    <n v="0"/>
    <n v="0"/>
    <m/>
    <m/>
    <m/>
    <m/>
    <m/>
    <m/>
    <n v="144593.98000000001"/>
    <n v="130496.63"/>
    <n v="144593.98000000001"/>
    <n v="160.65997777777778"/>
    <n v="130496.63"/>
    <n v="144.99625555555556"/>
    <m/>
    <m/>
    <n v="0"/>
    <n v="0"/>
    <m/>
    <m/>
    <m/>
    <m/>
    <m/>
    <m/>
    <m/>
    <m/>
    <n v="0"/>
    <n v="0"/>
    <n v="0"/>
    <n v="0"/>
    <n v="160.65997777777778"/>
    <n v="144.99625555555556"/>
  </r>
  <r>
    <x v="10"/>
    <s v="Western Technology Center                         "/>
    <m/>
    <n v="418302"/>
    <x v="10"/>
    <m/>
    <m/>
    <m/>
    <m/>
    <m/>
    <m/>
    <m/>
    <m/>
    <m/>
    <m/>
    <n v="0"/>
    <n v="0"/>
    <n v="0"/>
    <n v="0"/>
    <m/>
    <m/>
    <n v="0"/>
    <n v="0"/>
    <m/>
    <m/>
    <m/>
    <m/>
    <m/>
    <m/>
    <n v="316466.5"/>
    <n v="288010.40999999997"/>
    <n v="316466.5"/>
    <n v="351.62944444444446"/>
    <n v="288010.40999999997"/>
    <n v="320.01156666666662"/>
    <m/>
    <m/>
    <n v="0"/>
    <n v="0"/>
    <m/>
    <m/>
    <m/>
    <m/>
    <m/>
    <m/>
    <m/>
    <m/>
    <n v="0"/>
    <n v="0"/>
    <n v="0"/>
    <n v="0"/>
    <n v="351.62944444444446"/>
    <n v="320.01156666666662"/>
  </r>
  <r>
    <x v="11"/>
    <s v="Clemson University"/>
    <m/>
    <n v="217882"/>
    <x v="0"/>
    <s v="sem"/>
    <s v="sem"/>
    <m/>
    <m/>
    <n v="268967"/>
    <n v="272130"/>
    <n v="34394"/>
    <n v="36670"/>
    <n v="296147"/>
    <n v="303943"/>
    <n v="599508"/>
    <n v="19983.599999999999"/>
    <n v="612743"/>
    <n v="20424.766666666666"/>
    <n v="294"/>
    <n v="217"/>
    <n v="599508"/>
    <n v="612743"/>
    <m/>
    <m/>
    <m/>
    <m/>
    <m/>
    <m/>
    <m/>
    <m/>
    <n v="0"/>
    <n v="0"/>
    <n v="0"/>
    <n v="0"/>
    <m/>
    <m/>
    <n v="0"/>
    <n v="0"/>
    <m/>
    <m/>
    <n v="38086"/>
    <n v="39239"/>
    <n v="17344"/>
    <n v="17690"/>
    <n v="42267"/>
    <n v="44605"/>
    <n v="97697"/>
    <n v="4070.7083333333335"/>
    <n v="101534"/>
    <n v="4230.583333333333"/>
    <n v="24054.308333333331"/>
    <n v="24655.35"/>
  </r>
  <r>
    <x v="11"/>
    <s v="University of South Carolina-Columbia"/>
    <m/>
    <n v="218663"/>
    <x v="0"/>
    <s v="sem"/>
    <s v="sem"/>
    <m/>
    <m/>
    <n v="356057"/>
    <n v="363381"/>
    <n v="45579"/>
    <n v="46434"/>
    <n v="398668"/>
    <n v="409689"/>
    <n v="800304"/>
    <n v="26676.799999999999"/>
    <n v="819504"/>
    <n v="27316.799999999999"/>
    <n v="62"/>
    <n v="45"/>
    <n v="800304"/>
    <n v="819504"/>
    <m/>
    <m/>
    <m/>
    <m/>
    <m/>
    <m/>
    <m/>
    <m/>
    <n v="0"/>
    <n v="0"/>
    <n v="0"/>
    <n v="0"/>
    <m/>
    <m/>
    <n v="0"/>
    <n v="0"/>
    <m/>
    <m/>
    <n v="76337"/>
    <n v="73988"/>
    <n v="23831"/>
    <n v="23418"/>
    <n v="78392"/>
    <n v="77796"/>
    <n v="178560"/>
    <n v="7440"/>
    <n v="175202"/>
    <n v="7300.083333333333"/>
    <n v="34116.800000000003"/>
    <n v="34616.883333333331"/>
  </r>
  <r>
    <x v="11"/>
    <s v="College of Charleston"/>
    <m/>
    <n v="217819"/>
    <x v="2"/>
    <s v="sem"/>
    <s v="sem"/>
    <m/>
    <m/>
    <n v="135927"/>
    <n v="134199"/>
    <n v="15743"/>
    <n v="15077"/>
    <n v="141862"/>
    <n v="137451"/>
    <n v="293532"/>
    <n v="9784.4"/>
    <n v="286727"/>
    <n v="9557.5666666666675"/>
    <n v="767"/>
    <n v="769"/>
    <n v="293532"/>
    <n v="286727"/>
    <m/>
    <m/>
    <m/>
    <m/>
    <m/>
    <m/>
    <m/>
    <m/>
    <n v="0"/>
    <n v="0"/>
    <n v="0"/>
    <n v="0"/>
    <m/>
    <m/>
    <n v="0"/>
    <n v="0"/>
    <m/>
    <m/>
    <n v="5707"/>
    <n v="5496"/>
    <n v="2813"/>
    <n v="3231"/>
    <n v="4770"/>
    <n v="4943"/>
    <n v="13290"/>
    <n v="553.75"/>
    <n v="13670"/>
    <n v="569.58333333333337"/>
    <n v="10338.15"/>
    <n v="10127.150000000001"/>
  </r>
  <r>
    <x v="11"/>
    <s v="The Citadel, the Military College of South Carolina "/>
    <m/>
    <n v="217864"/>
    <x v="2"/>
    <s v="sem"/>
    <s v="sem"/>
    <m/>
    <m/>
    <n v="44742"/>
    <n v="46323"/>
    <n v="7276"/>
    <n v="6577"/>
    <n v="48579"/>
    <n v="47998"/>
    <n v="100597"/>
    <n v="3353.2333333333331"/>
    <n v="100898"/>
    <n v="3363.2666666666669"/>
    <m/>
    <n v="45"/>
    <n v="0"/>
    <n v="100898"/>
    <m/>
    <m/>
    <m/>
    <m/>
    <m/>
    <m/>
    <m/>
    <m/>
    <n v="0"/>
    <n v="0"/>
    <n v="0"/>
    <n v="0"/>
    <m/>
    <m/>
    <n v="0"/>
    <n v="0"/>
    <m/>
    <m/>
    <n v="5400"/>
    <n v="5286"/>
    <n v="4639"/>
    <n v="4330"/>
    <n v="5322"/>
    <n v="5344"/>
    <n v="15361"/>
    <n v="640.04166666666663"/>
    <n v="14960"/>
    <n v="623.33333333333337"/>
    <n v="3993.2749999999996"/>
    <n v="3986.6000000000004"/>
  </r>
  <r>
    <x v="11"/>
    <s v="Winthrop University "/>
    <m/>
    <n v="218964"/>
    <x v="2"/>
    <s v="sem"/>
    <s v="sem"/>
    <m/>
    <m/>
    <n v="66604.5"/>
    <n v="62708"/>
    <n v="5625"/>
    <n v="5253"/>
    <n v="68997"/>
    <n v="67863"/>
    <n v="141226.5"/>
    <n v="4707.55"/>
    <n v="135824"/>
    <n v="4527.4666666666662"/>
    <n v="1506"/>
    <n v="1476"/>
    <n v="141226.5"/>
    <n v="135824"/>
    <m/>
    <m/>
    <m/>
    <m/>
    <m/>
    <m/>
    <m/>
    <m/>
    <n v="0"/>
    <n v="0"/>
    <n v="0"/>
    <n v="0"/>
    <m/>
    <m/>
    <n v="0"/>
    <n v="0"/>
    <m/>
    <m/>
    <n v="6316"/>
    <n v="6037"/>
    <n v="2987"/>
    <n v="3503"/>
    <n v="6019"/>
    <n v="6683"/>
    <n v="15322"/>
    <n v="638.41666666666663"/>
    <n v="16223"/>
    <n v="675.95833333333337"/>
    <n v="5345.9666666666672"/>
    <n v="5203.4249999999993"/>
  </r>
  <r>
    <x v="11"/>
    <s v="Coastal Carolina University"/>
    <m/>
    <n v="218724"/>
    <x v="3"/>
    <s v="sem"/>
    <s v="sem"/>
    <m/>
    <m/>
    <n v="131138"/>
    <n v="130819"/>
    <n v="17712"/>
    <n v="17312"/>
    <n v="143502"/>
    <n v="142967"/>
    <n v="292352"/>
    <n v="9745.0666666666675"/>
    <n v="291098"/>
    <n v="9703.2666666666664"/>
    <n v="2460"/>
    <n v="2674"/>
    <n v="292352"/>
    <n v="291098"/>
    <m/>
    <m/>
    <m/>
    <m/>
    <m/>
    <m/>
    <m/>
    <m/>
    <n v="0"/>
    <n v="0"/>
    <n v="0"/>
    <n v="0"/>
    <m/>
    <m/>
    <n v="0"/>
    <n v="0"/>
    <m/>
    <m/>
    <n v="4062"/>
    <n v="4186"/>
    <n v="4186"/>
    <n v="3901"/>
    <n v="4594"/>
    <n v="4589"/>
    <n v="12842"/>
    <n v="535.08333333333337"/>
    <n v="12676"/>
    <n v="528.16666666666663"/>
    <n v="10280.150000000001"/>
    <n v="10231.433333333332"/>
  </r>
  <r>
    <x v="11"/>
    <s v="Francis Marion University "/>
    <m/>
    <n v="218061"/>
    <x v="4"/>
    <s v="sem"/>
    <s v="sem"/>
    <m/>
    <m/>
    <n v="41435"/>
    <n v="33667"/>
    <n v="2360"/>
    <n v="0"/>
    <n v="46655"/>
    <n v="46709"/>
    <n v="90450"/>
    <n v="3015"/>
    <n v="80376"/>
    <n v="2679.2"/>
    <n v="1178"/>
    <n v="3015"/>
    <n v="90450"/>
    <n v="80376"/>
    <m/>
    <m/>
    <m/>
    <m/>
    <m/>
    <m/>
    <m/>
    <m/>
    <n v="0"/>
    <n v="0"/>
    <n v="0"/>
    <n v="0"/>
    <m/>
    <m/>
    <n v="0"/>
    <n v="0"/>
    <m/>
    <m/>
    <n v="2829"/>
    <n v="7856"/>
    <n v="2554"/>
    <n v="1994"/>
    <n v="3910"/>
    <n v="3667"/>
    <n v="9293"/>
    <n v="387.20833333333331"/>
    <n v="13517"/>
    <n v="563.20833333333337"/>
    <n v="3402.2083333333335"/>
    <n v="3242.4083333333333"/>
  </r>
  <r>
    <x v="11"/>
    <s v="South Carolina State University "/>
    <m/>
    <n v="218733"/>
    <x v="4"/>
    <s v="sem"/>
    <s v="sem"/>
    <m/>
    <m/>
    <n v="31376"/>
    <n v="30751"/>
    <n v="1941"/>
    <n v="1896"/>
    <n v="34719"/>
    <n v="31188"/>
    <n v="68036"/>
    <n v="2267.8666666666668"/>
    <n v="63835"/>
    <n v="2127.8333333333335"/>
    <m/>
    <m/>
    <n v="0"/>
    <n v="0"/>
    <m/>
    <m/>
    <m/>
    <m/>
    <m/>
    <m/>
    <m/>
    <m/>
    <n v="0"/>
    <n v="0"/>
    <n v="0"/>
    <n v="0"/>
    <m/>
    <m/>
    <n v="0"/>
    <n v="0"/>
    <m/>
    <m/>
    <n v="3169"/>
    <n v="2732"/>
    <n v="1259"/>
    <n v="917"/>
    <n v="3811"/>
    <n v="2464"/>
    <n v="8239"/>
    <n v="343.29166666666669"/>
    <n v="6113"/>
    <n v="254.70833333333334"/>
    <n v="2611.1583333333333"/>
    <n v="2382.541666666667"/>
  </r>
  <r>
    <x v="11"/>
    <s v="Lander University"/>
    <s v="Met the criteria for Four-Year 5 in 2019-20."/>
    <n v="218229"/>
    <x v="5"/>
    <s v="sem"/>
    <s v="sem"/>
    <m/>
    <m/>
    <n v="36288.5"/>
    <n v="38379.5"/>
    <n v="3011.5"/>
    <n v="3709.5"/>
    <n v="42716.5"/>
    <n v="45775.5"/>
    <n v="82016.5"/>
    <n v="2733.8833333333332"/>
    <n v="87864.5"/>
    <n v="2928.8166666666666"/>
    <n v="272"/>
    <n v="351"/>
    <n v="82016.5"/>
    <n v="87864.5"/>
    <m/>
    <m/>
    <m/>
    <m/>
    <m/>
    <m/>
    <m/>
    <m/>
    <n v="0"/>
    <n v="0"/>
    <n v="0"/>
    <n v="0"/>
    <m/>
    <m/>
    <n v="0"/>
    <n v="0"/>
    <m/>
    <m/>
    <n v="483"/>
    <n v="491"/>
    <n v="678"/>
    <n v="529"/>
    <n v="449"/>
    <n v="533"/>
    <n v="1610"/>
    <n v="67.083333333333329"/>
    <n v="1553"/>
    <n v="64.708333333333329"/>
    <n v="2800.9666666666667"/>
    <n v="2993.5250000000001"/>
  </r>
  <r>
    <x v="11"/>
    <s v="University of South Carolina-Aiken"/>
    <s v="Met the criteria for Four-Year 5 in 2019-20."/>
    <n v="218645"/>
    <x v="5"/>
    <s v="sem"/>
    <s v="sem"/>
    <m/>
    <m/>
    <n v="40186"/>
    <n v="38990"/>
    <n v="5426"/>
    <n v="5239"/>
    <n v="43467"/>
    <n v="41962"/>
    <n v="89079"/>
    <n v="2969.3"/>
    <n v="86191"/>
    <n v="2873.0333333333333"/>
    <n v="1690"/>
    <n v="1623"/>
    <n v="89079"/>
    <n v="86191"/>
    <m/>
    <m/>
    <m/>
    <m/>
    <m/>
    <m/>
    <m/>
    <m/>
    <n v="0"/>
    <n v="0"/>
    <n v="0"/>
    <n v="0"/>
    <m/>
    <m/>
    <n v="0"/>
    <n v="0"/>
    <m/>
    <m/>
    <n v="1271"/>
    <n v="2156"/>
    <n v="1492"/>
    <n v="1959"/>
    <n v="1624"/>
    <n v="2197"/>
    <n v="4387"/>
    <n v="182.79166666666666"/>
    <n v="6312"/>
    <n v="263"/>
    <n v="3152.0916666666667"/>
    <n v="3136.0333333333333"/>
  </r>
  <r>
    <x v="11"/>
    <s v="University of South Carolina-Beaufort"/>
    <m/>
    <n v="218654"/>
    <x v="5"/>
    <s v="sem"/>
    <s v="sem"/>
    <m/>
    <m/>
    <n v="26759"/>
    <n v="27004"/>
    <n v="2875"/>
    <n v="3526"/>
    <n v="29185"/>
    <n v="28932"/>
    <n v="58819"/>
    <n v="1960.6333333333334"/>
    <n v="59462"/>
    <n v="1982.0666666666666"/>
    <n v="790"/>
    <n v="940"/>
    <n v="58819"/>
    <n v="59462"/>
    <m/>
    <m/>
    <m/>
    <m/>
    <m/>
    <m/>
    <m/>
    <m/>
    <n v="0"/>
    <n v="0"/>
    <n v="0"/>
    <n v="0"/>
    <m/>
    <m/>
    <n v="0"/>
    <n v="0"/>
    <m/>
    <m/>
    <m/>
    <m/>
    <m/>
    <m/>
    <m/>
    <n v="39"/>
    <n v="0"/>
    <n v="0"/>
    <n v="39"/>
    <n v="1.625"/>
    <n v="1960.6333333333334"/>
    <n v="1983.6916666666666"/>
  </r>
  <r>
    <x v="11"/>
    <s v="University of South Carolina-Upstate"/>
    <m/>
    <n v="218742"/>
    <x v="5"/>
    <s v="sem"/>
    <s v="sem"/>
    <m/>
    <m/>
    <n v="69541"/>
    <n v="69951"/>
    <n v="11306"/>
    <n v="10702"/>
    <n v="78007"/>
    <n v="75607"/>
    <n v="158854"/>
    <n v="5295.1333333333332"/>
    <n v="156260"/>
    <n v="5208.666666666667"/>
    <n v="5433"/>
    <n v="5197"/>
    <n v="158854"/>
    <n v="156260"/>
    <m/>
    <m/>
    <m/>
    <m/>
    <m/>
    <m/>
    <m/>
    <m/>
    <n v="0"/>
    <n v="0"/>
    <n v="0"/>
    <n v="0"/>
    <m/>
    <m/>
    <n v="0"/>
    <n v="0"/>
    <m/>
    <m/>
    <n v="813"/>
    <n v="1461"/>
    <n v="904"/>
    <n v="1464"/>
    <n v="558"/>
    <n v="2324"/>
    <n v="2275"/>
    <n v="94.791666666666671"/>
    <n v="5249"/>
    <n v="218.70833333333334"/>
    <n v="5389.9250000000002"/>
    <n v="5427.375"/>
  </r>
  <r>
    <x v="11"/>
    <s v="Greenville Technical College "/>
    <m/>
    <n v="218113"/>
    <x v="6"/>
    <s v="sem"/>
    <s v="sem"/>
    <m/>
    <m/>
    <n v="94951"/>
    <n v="90583"/>
    <n v="34479"/>
    <n v="33118"/>
    <n v="100480"/>
    <n v="104339"/>
    <n v="229910"/>
    <n v="7663.666666666667"/>
    <n v="228040"/>
    <n v="7601.333333333333"/>
    <n v="13706"/>
    <n v="15952"/>
    <n v="229910"/>
    <n v="228040"/>
    <m/>
    <m/>
    <m/>
    <m/>
    <m/>
    <m/>
    <m/>
    <m/>
    <n v="0"/>
    <n v="0"/>
    <n v="0"/>
    <n v="0"/>
    <m/>
    <m/>
    <n v="0"/>
    <n v="0"/>
    <m/>
    <m/>
    <m/>
    <m/>
    <m/>
    <m/>
    <m/>
    <m/>
    <n v="0"/>
    <n v="0"/>
    <n v="0"/>
    <n v="0"/>
    <n v="7663.666666666667"/>
    <n v="7601.333333333333"/>
  </r>
  <r>
    <x v="11"/>
    <s v="Horry-Georgetown Technical College "/>
    <m/>
    <n v="218140"/>
    <x v="6"/>
    <s v="sem"/>
    <s v="sem"/>
    <m/>
    <m/>
    <n v="63568"/>
    <n v="63855"/>
    <n v="22316"/>
    <n v="22104"/>
    <n v="69803"/>
    <n v="68248"/>
    <n v="155687"/>
    <n v="5189.5666666666666"/>
    <n v="154207"/>
    <n v="5140.2333333333336"/>
    <n v="7647"/>
    <n v="4776"/>
    <n v="155687"/>
    <n v="154207"/>
    <m/>
    <m/>
    <m/>
    <m/>
    <m/>
    <m/>
    <m/>
    <m/>
    <n v="0"/>
    <n v="0"/>
    <n v="0"/>
    <n v="0"/>
    <m/>
    <m/>
    <n v="0"/>
    <n v="0"/>
    <m/>
    <m/>
    <m/>
    <m/>
    <m/>
    <m/>
    <m/>
    <m/>
    <n v="0"/>
    <n v="0"/>
    <n v="0"/>
    <n v="0"/>
    <n v="5189.5666666666666"/>
    <n v="5140.2333333333336"/>
  </r>
  <r>
    <x v="11"/>
    <s v="Midlands Technical College "/>
    <m/>
    <n v="218353"/>
    <x v="6"/>
    <s v="sem"/>
    <s v="sem"/>
    <m/>
    <m/>
    <n v="89600"/>
    <n v="83297"/>
    <n v="32669"/>
    <n v="28839"/>
    <n v="96141"/>
    <n v="91135"/>
    <n v="218410"/>
    <n v="7280.333333333333"/>
    <n v="203271"/>
    <n v="6775.7"/>
    <n v="7301"/>
    <n v="7359"/>
    <n v="218410"/>
    <n v="203271"/>
    <m/>
    <m/>
    <m/>
    <m/>
    <m/>
    <m/>
    <m/>
    <m/>
    <n v="0"/>
    <n v="0"/>
    <n v="0"/>
    <n v="0"/>
    <m/>
    <m/>
    <n v="0"/>
    <n v="0"/>
    <m/>
    <m/>
    <m/>
    <m/>
    <m/>
    <m/>
    <m/>
    <m/>
    <n v="0"/>
    <n v="0"/>
    <n v="0"/>
    <n v="0"/>
    <n v="7280.333333333333"/>
    <n v="6775.7"/>
  </r>
  <r>
    <x v="11"/>
    <s v="Trident Technical College "/>
    <m/>
    <n v="218894"/>
    <x v="6"/>
    <s v="sem"/>
    <s v="sem"/>
    <m/>
    <m/>
    <n v="101880"/>
    <n v="98790"/>
    <n v="42119"/>
    <n v="41544"/>
    <n v="111421"/>
    <n v="111506"/>
    <n v="255420"/>
    <n v="8514"/>
    <n v="251840"/>
    <n v="8394.6666666666661"/>
    <n v="25924"/>
    <n v="31190"/>
    <n v="255420"/>
    <n v="251840"/>
    <m/>
    <m/>
    <m/>
    <m/>
    <m/>
    <m/>
    <m/>
    <m/>
    <n v="0"/>
    <n v="0"/>
    <n v="0"/>
    <n v="0"/>
    <m/>
    <m/>
    <n v="0"/>
    <n v="0"/>
    <m/>
    <m/>
    <m/>
    <m/>
    <m/>
    <m/>
    <m/>
    <m/>
    <n v="0"/>
    <n v="0"/>
    <n v="0"/>
    <n v="0"/>
    <n v="8514"/>
    <n v="8394.6666666666661"/>
  </r>
  <r>
    <x v="11"/>
    <s v="Central Carolina Technical College "/>
    <m/>
    <n v="218858"/>
    <x v="7"/>
    <s v="sem"/>
    <s v="sem"/>
    <m/>
    <m/>
    <n v="30311"/>
    <n v="29606"/>
    <n v="13720"/>
    <n v="13310"/>
    <n v="32730"/>
    <n v="30261"/>
    <n v="76761"/>
    <n v="2558.6999999999998"/>
    <n v="73177"/>
    <n v="2439.2333333333331"/>
    <n v="9132"/>
    <n v="9762"/>
    <n v="76761"/>
    <n v="73177"/>
    <m/>
    <m/>
    <m/>
    <m/>
    <m/>
    <m/>
    <m/>
    <m/>
    <n v="0"/>
    <n v="0"/>
    <n v="0"/>
    <n v="0"/>
    <m/>
    <m/>
    <n v="0"/>
    <n v="0"/>
    <m/>
    <m/>
    <m/>
    <m/>
    <m/>
    <m/>
    <m/>
    <m/>
    <n v="0"/>
    <n v="0"/>
    <n v="0"/>
    <n v="0"/>
    <n v="2558.6999999999998"/>
    <n v="2439.2333333333331"/>
  </r>
  <r>
    <x v="11"/>
    <s v="Florence-Darlington Technical College "/>
    <m/>
    <n v="218025"/>
    <x v="7"/>
    <s v="sem"/>
    <s v="sem"/>
    <m/>
    <m/>
    <n v="44453"/>
    <n v="32862"/>
    <n v="13563"/>
    <n v="11566"/>
    <n v="39504"/>
    <n v="34102"/>
    <n v="97520"/>
    <n v="3250.6666666666665"/>
    <n v="78530"/>
    <n v="2617.6666666666665"/>
    <n v="11574"/>
    <n v="5696"/>
    <n v="97520"/>
    <n v="78530"/>
    <m/>
    <m/>
    <m/>
    <m/>
    <m/>
    <m/>
    <m/>
    <m/>
    <n v="0"/>
    <n v="0"/>
    <n v="0"/>
    <n v="0"/>
    <m/>
    <m/>
    <n v="0"/>
    <n v="0"/>
    <m/>
    <m/>
    <m/>
    <m/>
    <m/>
    <m/>
    <m/>
    <m/>
    <n v="0"/>
    <n v="0"/>
    <n v="0"/>
    <n v="0"/>
    <n v="3250.6666666666665"/>
    <n v="2617.6666666666665"/>
  </r>
  <r>
    <x v="11"/>
    <s v="Piedmont Technical College "/>
    <m/>
    <n v="218520"/>
    <x v="7"/>
    <s v="sem"/>
    <s v="sem"/>
    <m/>
    <m/>
    <n v="38650"/>
    <n v="39982"/>
    <n v="17009"/>
    <n v="17581"/>
    <n v="42873"/>
    <n v="46262"/>
    <n v="98532"/>
    <n v="3284.4"/>
    <n v="103825"/>
    <n v="3460.8333333333335"/>
    <n v="9256"/>
    <n v="9599"/>
    <n v="98532"/>
    <n v="103825"/>
    <m/>
    <m/>
    <m/>
    <m/>
    <m/>
    <m/>
    <m/>
    <m/>
    <n v="0"/>
    <n v="0"/>
    <n v="0"/>
    <n v="0"/>
    <m/>
    <m/>
    <n v="0"/>
    <n v="0"/>
    <m/>
    <m/>
    <m/>
    <m/>
    <m/>
    <m/>
    <m/>
    <m/>
    <n v="0"/>
    <n v="0"/>
    <n v="0"/>
    <n v="0"/>
    <n v="3284.4"/>
    <n v="3460.8333333333335"/>
  </r>
  <r>
    <x v="11"/>
    <s v="Spartanburg Community College "/>
    <m/>
    <n v="218830"/>
    <x v="7"/>
    <s v="sem"/>
    <s v="sem"/>
    <m/>
    <m/>
    <n v="39864"/>
    <n v="39143"/>
    <n v="13030"/>
    <n v="13116"/>
    <n v="44059"/>
    <n v="44864"/>
    <n v="96953"/>
    <n v="3231.7666666666669"/>
    <n v="97123"/>
    <n v="3237.4333333333334"/>
    <n v="9623"/>
    <n v="10291"/>
    <n v="96953"/>
    <n v="97123"/>
    <m/>
    <m/>
    <m/>
    <m/>
    <m/>
    <m/>
    <m/>
    <m/>
    <n v="0"/>
    <n v="0"/>
    <n v="0"/>
    <n v="0"/>
    <m/>
    <m/>
    <n v="0"/>
    <n v="0"/>
    <m/>
    <m/>
    <m/>
    <m/>
    <m/>
    <m/>
    <m/>
    <m/>
    <n v="0"/>
    <n v="0"/>
    <n v="0"/>
    <n v="0"/>
    <n v="3231.7666666666669"/>
    <n v="3237.4333333333334"/>
  </r>
  <r>
    <x v="11"/>
    <s v="Tri-County Technical College "/>
    <m/>
    <n v="218885"/>
    <x v="7"/>
    <s v="sem"/>
    <s v="sem"/>
    <m/>
    <m/>
    <n v="58325"/>
    <n v="58698"/>
    <n v="19308"/>
    <n v="18963"/>
    <n v="66261"/>
    <n v="68215"/>
    <n v="143894"/>
    <n v="4796.4666666666662"/>
    <n v="145876"/>
    <n v="4862.5333333333338"/>
    <n v="8116"/>
    <n v="8439"/>
    <n v="143894"/>
    <n v="145876"/>
    <m/>
    <m/>
    <m/>
    <m/>
    <m/>
    <m/>
    <m/>
    <m/>
    <n v="0"/>
    <n v="0"/>
    <n v="0"/>
    <n v="0"/>
    <m/>
    <m/>
    <n v="0"/>
    <n v="0"/>
    <m/>
    <m/>
    <m/>
    <m/>
    <m/>
    <m/>
    <m/>
    <m/>
    <n v="0"/>
    <n v="0"/>
    <n v="0"/>
    <n v="0"/>
    <n v="4796.4666666666662"/>
    <n v="4862.5333333333338"/>
  </r>
  <r>
    <x v="11"/>
    <s v="York Technical College "/>
    <m/>
    <n v="218991"/>
    <x v="7"/>
    <s v="sem"/>
    <s v="sem"/>
    <m/>
    <m/>
    <n v="41110"/>
    <n v="39180"/>
    <n v="13417"/>
    <n v="12714"/>
    <n v="43259"/>
    <n v="47329"/>
    <n v="97786"/>
    <n v="3259.5333333333333"/>
    <n v="99223"/>
    <n v="3307.4333333333334"/>
    <n v="4824"/>
    <n v="6463"/>
    <n v="97786"/>
    <n v="99223"/>
    <m/>
    <m/>
    <m/>
    <m/>
    <m/>
    <m/>
    <m/>
    <m/>
    <n v="0"/>
    <n v="0"/>
    <n v="0"/>
    <n v="0"/>
    <m/>
    <m/>
    <n v="0"/>
    <n v="0"/>
    <m/>
    <m/>
    <m/>
    <m/>
    <m/>
    <m/>
    <m/>
    <m/>
    <n v="0"/>
    <n v="0"/>
    <n v="0"/>
    <n v="0"/>
    <n v="3259.5333333333333"/>
    <n v="3307.4333333333334"/>
  </r>
  <r>
    <x v="11"/>
    <s v="Aiken Technical College "/>
    <m/>
    <n v="217615"/>
    <x v="8"/>
    <s v="sem"/>
    <s v="sem"/>
    <m/>
    <m/>
    <n v="20375"/>
    <n v="18768"/>
    <n v="8275"/>
    <n v="7531"/>
    <n v="20452"/>
    <n v="20335"/>
    <n v="49102"/>
    <n v="1636.7333333333333"/>
    <n v="46634"/>
    <n v="1554.4666666666667"/>
    <n v="2004"/>
    <n v="2154"/>
    <n v="49102"/>
    <n v="46634"/>
    <m/>
    <m/>
    <m/>
    <m/>
    <m/>
    <m/>
    <m/>
    <m/>
    <n v="0"/>
    <n v="0"/>
    <n v="0"/>
    <n v="0"/>
    <m/>
    <m/>
    <n v="0"/>
    <n v="0"/>
    <m/>
    <m/>
    <m/>
    <m/>
    <m/>
    <m/>
    <m/>
    <m/>
    <n v="0"/>
    <n v="0"/>
    <n v="0"/>
    <n v="0"/>
    <n v="1636.7333333333333"/>
    <n v="1554.4666666666667"/>
  </r>
  <r>
    <x v="11"/>
    <s v="Denmark Technical College "/>
    <m/>
    <n v="217989"/>
    <x v="8"/>
    <s v="sem"/>
    <s v="sem"/>
    <m/>
    <m/>
    <n v="5791"/>
    <n v="4721"/>
    <n v="2457"/>
    <n v="2196"/>
    <n v="5443"/>
    <n v="4984"/>
    <n v="13691"/>
    <n v="456.36666666666667"/>
    <n v="11901"/>
    <n v="396.7"/>
    <n v="1843"/>
    <n v="2030"/>
    <n v="13691"/>
    <n v="11901"/>
    <m/>
    <m/>
    <m/>
    <m/>
    <m/>
    <m/>
    <m/>
    <m/>
    <n v="0"/>
    <n v="0"/>
    <n v="0"/>
    <n v="0"/>
    <m/>
    <m/>
    <n v="0"/>
    <n v="0"/>
    <m/>
    <m/>
    <m/>
    <m/>
    <m/>
    <m/>
    <m/>
    <m/>
    <n v="0"/>
    <n v="0"/>
    <n v="0"/>
    <n v="0"/>
    <n v="456.36666666666667"/>
    <n v="396.7"/>
  </r>
  <r>
    <x v="11"/>
    <s v="Northeastern Technical College "/>
    <m/>
    <n v="217837"/>
    <x v="8"/>
    <s v="sem"/>
    <s v="sem"/>
    <m/>
    <m/>
    <n v="8640"/>
    <n v="10672"/>
    <n v="4409"/>
    <n v="4766"/>
    <n v="11706"/>
    <n v="11853"/>
    <n v="24755"/>
    <n v="825.16666666666663"/>
    <n v="27291"/>
    <n v="909.7"/>
    <n v="3857"/>
    <n v="6133"/>
    <n v="24755"/>
    <n v="27291"/>
    <m/>
    <m/>
    <m/>
    <m/>
    <m/>
    <m/>
    <m/>
    <m/>
    <n v="0"/>
    <n v="0"/>
    <n v="0"/>
    <n v="0"/>
    <m/>
    <m/>
    <n v="0"/>
    <n v="0"/>
    <m/>
    <m/>
    <m/>
    <m/>
    <m/>
    <m/>
    <m/>
    <m/>
    <n v="0"/>
    <n v="0"/>
    <n v="0"/>
    <n v="0"/>
    <n v="825.16666666666663"/>
    <n v="909.7"/>
  </r>
  <r>
    <x v="11"/>
    <s v="Orangeburg-Calhoun Technical College "/>
    <m/>
    <n v="218487"/>
    <x v="8"/>
    <s v="sem"/>
    <s v="sem"/>
    <m/>
    <m/>
    <n v="19233"/>
    <n v="20426"/>
    <n v="8611"/>
    <n v="8961"/>
    <n v="22360"/>
    <n v="21181"/>
    <n v="50204"/>
    <n v="1673.4666666666667"/>
    <n v="50568"/>
    <n v="1685.6"/>
    <n v="7236"/>
    <n v="7664"/>
    <n v="50204"/>
    <n v="50568"/>
    <m/>
    <m/>
    <m/>
    <m/>
    <m/>
    <m/>
    <m/>
    <m/>
    <n v="0"/>
    <n v="0"/>
    <n v="0"/>
    <n v="0"/>
    <m/>
    <m/>
    <n v="0"/>
    <n v="0"/>
    <m/>
    <m/>
    <m/>
    <m/>
    <m/>
    <m/>
    <m/>
    <m/>
    <n v="0"/>
    <n v="0"/>
    <n v="0"/>
    <n v="0"/>
    <n v="1673.4666666666667"/>
    <n v="1685.6"/>
  </r>
  <r>
    <x v="11"/>
    <s v="Technical College of the Lowcountry"/>
    <m/>
    <n v="217712"/>
    <x v="8"/>
    <s v="sem"/>
    <s v="sem"/>
    <m/>
    <m/>
    <n v="18926"/>
    <n v="18050"/>
    <n v="7262"/>
    <n v="6968"/>
    <n v="19213"/>
    <n v="19187"/>
    <n v="45401"/>
    <n v="1513.3666666666666"/>
    <n v="44205"/>
    <n v="1473.5"/>
    <n v="6045"/>
    <n v="6051"/>
    <n v="45401"/>
    <n v="44205"/>
    <m/>
    <m/>
    <m/>
    <m/>
    <m/>
    <m/>
    <m/>
    <m/>
    <n v="0"/>
    <n v="0"/>
    <n v="0"/>
    <n v="0"/>
    <m/>
    <m/>
    <n v="0"/>
    <n v="0"/>
    <m/>
    <m/>
    <m/>
    <m/>
    <m/>
    <m/>
    <m/>
    <m/>
    <n v="0"/>
    <n v="0"/>
    <n v="0"/>
    <n v="0"/>
    <n v="1513.3666666666666"/>
    <n v="1473.5"/>
  </r>
  <r>
    <x v="11"/>
    <s v="University of South Carolina-Lancaster"/>
    <m/>
    <n v="218672"/>
    <x v="8"/>
    <s v="sem"/>
    <s v="sem"/>
    <m/>
    <m/>
    <n v="14612"/>
    <n v="13781"/>
    <n v="2867"/>
    <n v="2983"/>
    <n v="15887"/>
    <n v="16679"/>
    <n v="33366"/>
    <n v="1112.2"/>
    <n v="33443"/>
    <n v="1114.7666666666667"/>
    <n v="4166"/>
    <n v="10579"/>
    <n v="33366"/>
    <n v="33443"/>
    <m/>
    <m/>
    <m/>
    <m/>
    <m/>
    <m/>
    <m/>
    <m/>
    <n v="0"/>
    <n v="0"/>
    <n v="0"/>
    <n v="0"/>
    <m/>
    <m/>
    <n v="0"/>
    <n v="0"/>
    <m/>
    <m/>
    <m/>
    <m/>
    <m/>
    <m/>
    <m/>
    <m/>
    <n v="0"/>
    <n v="0"/>
    <n v="0"/>
    <n v="0"/>
    <n v="1112.2"/>
    <n v="1114.7666666666667"/>
  </r>
  <r>
    <x v="11"/>
    <s v="University of South Carolina-Salkehatchie"/>
    <m/>
    <n v="218681"/>
    <x v="8"/>
    <s v="sem"/>
    <s v="sem"/>
    <m/>
    <m/>
    <n v="9468"/>
    <n v="8939"/>
    <n v="424"/>
    <n v="703"/>
    <n v="10613"/>
    <n v="9571"/>
    <n v="20505"/>
    <n v="683.5"/>
    <n v="19213"/>
    <n v="640.43333333333328"/>
    <n v="2141"/>
    <n v="4959"/>
    <n v="20505"/>
    <n v="19213"/>
    <m/>
    <m/>
    <m/>
    <m/>
    <m/>
    <m/>
    <m/>
    <m/>
    <n v="0"/>
    <n v="0"/>
    <n v="0"/>
    <n v="0"/>
    <m/>
    <m/>
    <n v="0"/>
    <n v="0"/>
    <m/>
    <m/>
    <m/>
    <m/>
    <m/>
    <m/>
    <m/>
    <m/>
    <n v="0"/>
    <n v="0"/>
    <n v="0"/>
    <n v="0"/>
    <n v="683.5"/>
    <n v="640.43333333333328"/>
  </r>
  <r>
    <x v="11"/>
    <s v="University of South Carolina-Sumter"/>
    <m/>
    <n v="218690"/>
    <x v="8"/>
    <s v="sem"/>
    <s v="sem"/>
    <m/>
    <m/>
    <n v="9549"/>
    <n v="9566"/>
    <n v="1935"/>
    <n v="2161"/>
    <n v="11745"/>
    <n v="12817"/>
    <n v="23229"/>
    <n v="774.3"/>
    <n v="24544"/>
    <n v="818.13333333333333"/>
    <n v="2793"/>
    <n v="6970"/>
    <n v="23229"/>
    <n v="24544"/>
    <m/>
    <m/>
    <m/>
    <m/>
    <m/>
    <m/>
    <m/>
    <m/>
    <n v="0"/>
    <n v="0"/>
    <n v="0"/>
    <n v="0"/>
    <m/>
    <m/>
    <n v="0"/>
    <n v="0"/>
    <m/>
    <m/>
    <m/>
    <m/>
    <m/>
    <m/>
    <m/>
    <m/>
    <n v="0"/>
    <n v="0"/>
    <n v="0"/>
    <n v="0"/>
    <n v="774.3"/>
    <n v="818.13333333333333"/>
  </r>
  <r>
    <x v="11"/>
    <s v="University of South Carolina-Union"/>
    <m/>
    <n v="218706"/>
    <x v="8"/>
    <s v="sem"/>
    <s v="sem"/>
    <m/>
    <m/>
    <n v="8130"/>
    <n v="9256"/>
    <n v="390"/>
    <n v="453"/>
    <n v="9798"/>
    <n v="10335"/>
    <n v="18318"/>
    <n v="610.6"/>
    <n v="20044"/>
    <n v="668.13333333333333"/>
    <n v="5324"/>
    <n v="11133"/>
    <n v="18318"/>
    <n v="20044"/>
    <m/>
    <m/>
    <m/>
    <m/>
    <m/>
    <m/>
    <m/>
    <m/>
    <n v="0"/>
    <n v="0"/>
    <n v="0"/>
    <n v="0"/>
    <m/>
    <m/>
    <n v="0"/>
    <n v="0"/>
    <m/>
    <m/>
    <m/>
    <m/>
    <m/>
    <m/>
    <m/>
    <m/>
    <n v="0"/>
    <n v="0"/>
    <n v="0"/>
    <n v="0"/>
    <n v="610.6"/>
    <n v="668.13333333333333"/>
  </r>
  <r>
    <x v="11"/>
    <s v="Williamsburg Technical College "/>
    <m/>
    <n v="218955"/>
    <x v="8"/>
    <s v="sem"/>
    <s v="sem"/>
    <m/>
    <m/>
    <n v="5952"/>
    <n v="5963"/>
    <n v="2746"/>
    <n v="3185"/>
    <n v="6082"/>
    <n v="6699"/>
    <n v="14780"/>
    <n v="492.66666666666669"/>
    <n v="15847"/>
    <n v="528.23333333333335"/>
    <n v="5018"/>
    <n v="5408"/>
    <n v="14780"/>
    <n v="15847"/>
    <m/>
    <m/>
    <m/>
    <m/>
    <m/>
    <m/>
    <m/>
    <m/>
    <n v="0"/>
    <n v="0"/>
    <n v="0"/>
    <n v="0"/>
    <m/>
    <m/>
    <n v="0"/>
    <n v="0"/>
    <m/>
    <m/>
    <m/>
    <m/>
    <m/>
    <m/>
    <m/>
    <m/>
    <n v="0"/>
    <n v="0"/>
    <n v="0"/>
    <n v="0"/>
    <n v="492.66666666666669"/>
    <n v="528.23333333333335"/>
  </r>
  <r>
    <x v="12"/>
    <s v="University of Memphis"/>
    <m/>
    <n v="220862"/>
    <x v="0"/>
    <m/>
    <m/>
    <m/>
    <m/>
    <n v="186940"/>
    <n v="183589"/>
    <n v="27863"/>
    <n v="27039"/>
    <n v="203557"/>
    <n v="206982"/>
    <n v="418360"/>
    <n v="13945.333333333334"/>
    <n v="417610"/>
    <n v="13920.333333333334"/>
    <n v="11557"/>
    <n v="12601"/>
    <n v="418360"/>
    <n v="417610"/>
    <m/>
    <m/>
    <m/>
    <m/>
    <m/>
    <m/>
    <m/>
    <m/>
    <n v="0"/>
    <n v="0"/>
    <n v="0"/>
    <n v="0"/>
    <m/>
    <m/>
    <n v="0"/>
    <n v="0"/>
    <m/>
    <m/>
    <n v="29157"/>
    <n v="30022"/>
    <n v="8152"/>
    <n v="8328"/>
    <n v="31521"/>
    <n v="32164"/>
    <n v="68830"/>
    <n v="2867.9166666666665"/>
    <n v="70514"/>
    <n v="2938.0833333333335"/>
    <n v="16813.25"/>
    <n v="16858.416666666668"/>
  </r>
  <r>
    <x v="12"/>
    <s v="University of Tennessee, Knoxville"/>
    <m/>
    <n v="221759"/>
    <x v="0"/>
    <m/>
    <m/>
    <m/>
    <m/>
    <n v="288163"/>
    <n v="293363"/>
    <n v="32221"/>
    <n v="34095"/>
    <n v="315000"/>
    <n v="322611"/>
    <n v="635384"/>
    <n v="21179.466666666667"/>
    <n v="650069"/>
    <n v="21668.966666666667"/>
    <n v="154"/>
    <n v="86"/>
    <n v="635384"/>
    <n v="650069"/>
    <m/>
    <m/>
    <m/>
    <m/>
    <m/>
    <m/>
    <m/>
    <m/>
    <n v="0"/>
    <n v="0"/>
    <n v="0"/>
    <n v="0"/>
    <m/>
    <m/>
    <n v="0"/>
    <n v="0"/>
    <m/>
    <m/>
    <n v="46584"/>
    <n v="46696"/>
    <n v="16246"/>
    <n v="17010"/>
    <n v="51129"/>
    <n v="52054"/>
    <n v="113959"/>
    <n v="4748.291666666667"/>
    <n v="115760"/>
    <n v="4823.333333333333"/>
    <n v="25927.758333333335"/>
    <n v="26492.3"/>
  </r>
  <r>
    <x v="12"/>
    <s v="East Tennessee State University "/>
    <m/>
    <n v="220075"/>
    <x v="1"/>
    <m/>
    <m/>
    <m/>
    <m/>
    <n v="142160"/>
    <n v="142844"/>
    <n v="19068"/>
    <n v="21091"/>
    <n v="155296"/>
    <n v="153145"/>
    <n v="316524"/>
    <n v="10550.8"/>
    <n v="317080"/>
    <n v="10569.333333333334"/>
    <n v="2849"/>
    <n v="4393"/>
    <n v="316524"/>
    <n v="317080"/>
    <m/>
    <m/>
    <m/>
    <m/>
    <m/>
    <m/>
    <m/>
    <m/>
    <n v="0"/>
    <n v="0"/>
    <n v="0"/>
    <n v="0"/>
    <m/>
    <m/>
    <n v="0"/>
    <n v="0"/>
    <m/>
    <m/>
    <n v="19971"/>
    <n v="20196"/>
    <n v="9456"/>
    <n v="9768"/>
    <n v="20943"/>
    <n v="20577"/>
    <n v="50370"/>
    <n v="2098.75"/>
    <n v="50541"/>
    <n v="2105.875"/>
    <n v="12649.55"/>
    <n v="12675.208333333334"/>
  </r>
  <r>
    <x v="12"/>
    <s v="Middle Tennessee State University "/>
    <m/>
    <n v="220978"/>
    <x v="1"/>
    <m/>
    <m/>
    <m/>
    <m/>
    <n v="225021"/>
    <n v="220500"/>
    <n v="37600"/>
    <n v="35169"/>
    <n v="246440"/>
    <n v="248673"/>
    <n v="509061"/>
    <n v="16968.7"/>
    <n v="504342"/>
    <n v="16811.400000000001"/>
    <n v="8373"/>
    <n v="10247"/>
    <n v="509061"/>
    <n v="504342"/>
    <m/>
    <m/>
    <m/>
    <m/>
    <m/>
    <m/>
    <m/>
    <m/>
    <n v="0"/>
    <n v="0"/>
    <n v="0"/>
    <n v="0"/>
    <m/>
    <m/>
    <n v="0"/>
    <n v="0"/>
    <m/>
    <m/>
    <n v="15575"/>
    <n v="14583"/>
    <n v="7557"/>
    <n v="7600"/>
    <n v="15786"/>
    <n v="14866"/>
    <n v="38918"/>
    <n v="1621.5833333333333"/>
    <n v="37049"/>
    <n v="1543.7083333333333"/>
    <n v="18590.283333333333"/>
    <n v="18355.108333333334"/>
  </r>
  <r>
    <x v="12"/>
    <s v="Tennessee State University "/>
    <m/>
    <n v="221838"/>
    <x v="1"/>
    <m/>
    <m/>
    <m/>
    <m/>
    <n v="76877"/>
    <n v="69393"/>
    <n v="9699"/>
    <n v="10137"/>
    <n v="83507"/>
    <n v="79834"/>
    <n v="170083"/>
    <n v="5669.4333333333334"/>
    <n v="159364"/>
    <n v="5312.1333333333332"/>
    <m/>
    <n v="599"/>
    <n v="0"/>
    <n v="159364"/>
    <m/>
    <m/>
    <m/>
    <m/>
    <m/>
    <m/>
    <m/>
    <m/>
    <n v="0"/>
    <n v="0"/>
    <n v="0"/>
    <n v="0"/>
    <m/>
    <m/>
    <n v="0"/>
    <n v="0"/>
    <m/>
    <m/>
    <n v="11289"/>
    <n v="10873"/>
    <n v="4850"/>
    <n v="5047"/>
    <n v="11818"/>
    <n v="13138"/>
    <n v="27957"/>
    <n v="1164.875"/>
    <n v="29058"/>
    <n v="1210.75"/>
    <n v="6834.3083333333334"/>
    <n v="6522.8833333333332"/>
  </r>
  <r>
    <x v="12"/>
    <s v="Austin Peay State University "/>
    <m/>
    <n v="219602"/>
    <x v="2"/>
    <m/>
    <m/>
    <m/>
    <m/>
    <n v="110251"/>
    <n v="111943"/>
    <n v="18779"/>
    <n v="16738"/>
    <n v="122543"/>
    <n v="119454"/>
    <n v="251573"/>
    <n v="8385.7666666666664"/>
    <n v="248135"/>
    <n v="8271.1666666666661"/>
    <n v="7878"/>
    <n v="9545"/>
    <n v="251573"/>
    <n v="248135"/>
    <m/>
    <m/>
    <m/>
    <m/>
    <m/>
    <m/>
    <m/>
    <m/>
    <n v="0"/>
    <n v="0"/>
    <n v="0"/>
    <n v="0"/>
    <m/>
    <m/>
    <n v="0"/>
    <n v="0"/>
    <m/>
    <m/>
    <n v="6436"/>
    <n v="7927"/>
    <n v="3283"/>
    <n v="3685"/>
    <n v="8235"/>
    <n v="7878"/>
    <n v="17954"/>
    <n v="748.08333333333337"/>
    <n v="19490"/>
    <n v="812.08333333333337"/>
    <n v="9133.85"/>
    <n v="9083.25"/>
  </r>
  <r>
    <x v="12"/>
    <s v="Tennessee Technological University "/>
    <m/>
    <n v="221847"/>
    <x v="2"/>
    <m/>
    <m/>
    <m/>
    <m/>
    <n v="115436"/>
    <n v="112413"/>
    <n v="13025"/>
    <n v="12080"/>
    <n v="124575"/>
    <n v="123457"/>
    <n v="253036"/>
    <n v="8434.5333333333328"/>
    <n v="247950"/>
    <n v="8265"/>
    <n v="1074"/>
    <n v="1208"/>
    <n v="253036"/>
    <n v="247950"/>
    <m/>
    <m/>
    <m/>
    <m/>
    <m/>
    <m/>
    <m/>
    <m/>
    <n v="0"/>
    <n v="0"/>
    <n v="0"/>
    <n v="0"/>
    <m/>
    <m/>
    <n v="0"/>
    <n v="0"/>
    <m/>
    <m/>
    <n v="6919"/>
    <n v="7117"/>
    <n v="3398"/>
    <n v="3476"/>
    <n v="7354"/>
    <n v="7329"/>
    <n v="17671"/>
    <n v="736.29166666666663"/>
    <n v="17922"/>
    <n v="746.75"/>
    <n v="9170.8249999999989"/>
    <n v="9011.75"/>
  </r>
  <r>
    <x v="12"/>
    <s v="University of Tennessee at Chattanooga"/>
    <m/>
    <n v="221740"/>
    <x v="2"/>
    <m/>
    <m/>
    <m/>
    <m/>
    <n v="124069"/>
    <n v="124159"/>
    <n v="17957"/>
    <n v="16152"/>
    <n v="140730"/>
    <n v="143031"/>
    <n v="282756"/>
    <n v="9425.2000000000007"/>
    <n v="283342"/>
    <n v="9444.7333333333336"/>
    <n v="141"/>
    <n v="124"/>
    <n v="282756"/>
    <n v="283342"/>
    <m/>
    <m/>
    <m/>
    <m/>
    <m/>
    <m/>
    <m/>
    <m/>
    <n v="0"/>
    <n v="0"/>
    <n v="0"/>
    <n v="0"/>
    <m/>
    <m/>
    <n v="0"/>
    <n v="0"/>
    <m/>
    <m/>
    <n v="11339"/>
    <n v="11212"/>
    <n v="5565"/>
    <n v="5410"/>
    <n v="11971"/>
    <n v="11748"/>
    <n v="28875"/>
    <n v="1203.125"/>
    <n v="28370"/>
    <n v="1182.0833333333333"/>
    <n v="10628.325000000001"/>
    <n v="10626.816666666668"/>
  </r>
  <r>
    <x v="12"/>
    <s v="University of Tennessee at Martin"/>
    <s v="Met the criteria for Four-Year 4 in 2018-19 and 2019-20."/>
    <n v="221768"/>
    <x v="4"/>
    <m/>
    <m/>
    <m/>
    <m/>
    <n v="74927"/>
    <n v="73457"/>
    <n v="11166"/>
    <n v="9514"/>
    <n v="81107"/>
    <n v="80328"/>
    <n v="167200"/>
    <n v="5573.333333333333"/>
    <n v="163299"/>
    <n v="5443.3"/>
    <n v="7294"/>
    <n v="10044"/>
    <n v="167200"/>
    <n v="163299"/>
    <m/>
    <m/>
    <m/>
    <m/>
    <m/>
    <m/>
    <m/>
    <m/>
    <n v="0"/>
    <n v="0"/>
    <n v="0"/>
    <n v="0"/>
    <m/>
    <m/>
    <n v="0"/>
    <n v="0"/>
    <m/>
    <m/>
    <n v="2347"/>
    <n v="2050"/>
    <n v="1241"/>
    <n v="1334"/>
    <n v="2098"/>
    <n v="3498"/>
    <n v="5686"/>
    <n v="236.91666666666666"/>
    <n v="6882"/>
    <n v="286.75"/>
    <n v="5810.25"/>
    <n v="5730.05"/>
  </r>
  <r>
    <x v="12"/>
    <s v="Chattanooga State Technical Community College "/>
    <m/>
    <n v="219824"/>
    <x v="6"/>
    <m/>
    <m/>
    <m/>
    <m/>
    <n v="70098"/>
    <n v="69438"/>
    <n v="14254"/>
    <n v="13746"/>
    <n v="84446"/>
    <n v="80751"/>
    <n v="168798"/>
    <n v="5626.6"/>
    <n v="163935"/>
    <n v="5464.5"/>
    <n v="13584"/>
    <n v="13493"/>
    <n v="168798"/>
    <n v="163935"/>
    <m/>
    <m/>
    <m/>
    <m/>
    <m/>
    <m/>
    <m/>
    <m/>
    <n v="0"/>
    <n v="0"/>
    <n v="0"/>
    <n v="0"/>
    <m/>
    <m/>
    <n v="0"/>
    <n v="0"/>
    <m/>
    <m/>
    <m/>
    <m/>
    <m/>
    <m/>
    <m/>
    <m/>
    <n v="0"/>
    <n v="0"/>
    <n v="0"/>
    <n v="0"/>
    <n v="5626.6"/>
    <n v="5464.5"/>
  </r>
  <r>
    <x v="12"/>
    <s v="Nashville State Technical Community College"/>
    <m/>
    <n v="221184"/>
    <x v="6"/>
    <m/>
    <m/>
    <m/>
    <m/>
    <n v="65660"/>
    <n v="67812"/>
    <n v="13978"/>
    <n v="14219"/>
    <n v="77602"/>
    <n v="74753"/>
    <n v="157240"/>
    <n v="5241.333333333333"/>
    <n v="156784"/>
    <n v="5226.1333333333332"/>
    <n v="8226"/>
    <n v="8569"/>
    <n v="157240"/>
    <n v="156784"/>
    <m/>
    <m/>
    <m/>
    <m/>
    <m/>
    <m/>
    <m/>
    <m/>
    <n v="0"/>
    <n v="0"/>
    <n v="0"/>
    <n v="0"/>
    <m/>
    <m/>
    <n v="0"/>
    <n v="0"/>
    <m/>
    <m/>
    <m/>
    <m/>
    <m/>
    <m/>
    <m/>
    <m/>
    <n v="0"/>
    <n v="0"/>
    <n v="0"/>
    <n v="0"/>
    <n v="5241.333333333333"/>
    <n v="5226.1333333333332"/>
  </r>
  <r>
    <x v="12"/>
    <s v="Pellissippi State Technical Community College"/>
    <m/>
    <n v="221643"/>
    <x v="6"/>
    <m/>
    <m/>
    <m/>
    <m/>
    <n v="92278"/>
    <n v="90800"/>
    <n v="20417"/>
    <n v="19102"/>
    <n v="108027"/>
    <n v="104584"/>
    <n v="220722"/>
    <n v="7357.4"/>
    <n v="214486"/>
    <n v="7149.5333333333338"/>
    <n v="10406"/>
    <n v="11325"/>
    <n v="220722"/>
    <n v="214486"/>
    <m/>
    <m/>
    <m/>
    <m/>
    <m/>
    <m/>
    <m/>
    <m/>
    <n v="0"/>
    <n v="0"/>
    <n v="0"/>
    <n v="0"/>
    <m/>
    <m/>
    <n v="0"/>
    <n v="0"/>
    <m/>
    <m/>
    <m/>
    <m/>
    <m/>
    <m/>
    <m/>
    <m/>
    <n v="0"/>
    <n v="0"/>
    <n v="0"/>
    <n v="0"/>
    <n v="7357.4"/>
    <n v="7149.5333333333338"/>
  </r>
  <r>
    <x v="12"/>
    <s v="Southwest Tennessee Community College"/>
    <m/>
    <n v="221485"/>
    <x v="6"/>
    <m/>
    <m/>
    <m/>
    <m/>
    <n v="74436"/>
    <n v="76993"/>
    <n v="19546"/>
    <n v="19798"/>
    <n v="92128"/>
    <n v="90732"/>
    <n v="186110"/>
    <n v="6203.666666666667"/>
    <n v="187523"/>
    <n v="6250.7666666666664"/>
    <n v="4128"/>
    <n v="5807"/>
    <n v="186110"/>
    <n v="187523"/>
    <m/>
    <m/>
    <m/>
    <m/>
    <m/>
    <m/>
    <m/>
    <m/>
    <n v="0"/>
    <n v="0"/>
    <n v="0"/>
    <n v="0"/>
    <m/>
    <m/>
    <n v="0"/>
    <n v="0"/>
    <m/>
    <m/>
    <m/>
    <m/>
    <m/>
    <m/>
    <m/>
    <m/>
    <n v="0"/>
    <n v="0"/>
    <n v="0"/>
    <n v="0"/>
    <n v="6203.666666666667"/>
    <n v="6250.7666666666664"/>
  </r>
  <r>
    <x v="12"/>
    <s v="Volunteer State Community College "/>
    <m/>
    <n v="222053"/>
    <x v="6"/>
    <m/>
    <m/>
    <m/>
    <m/>
    <n v="74214"/>
    <n v="76607"/>
    <n v="13845"/>
    <n v="16562"/>
    <n v="93797"/>
    <n v="92214"/>
    <n v="181856"/>
    <n v="6061.8666666666668"/>
    <n v="185383"/>
    <n v="6179.4333333333334"/>
    <n v="17419"/>
    <n v="17302"/>
    <n v="181856"/>
    <n v="185383"/>
    <m/>
    <m/>
    <m/>
    <m/>
    <m/>
    <m/>
    <m/>
    <m/>
    <n v="0"/>
    <n v="0"/>
    <n v="0"/>
    <n v="0"/>
    <m/>
    <m/>
    <n v="0"/>
    <n v="0"/>
    <m/>
    <m/>
    <m/>
    <m/>
    <m/>
    <m/>
    <m/>
    <m/>
    <n v="0"/>
    <n v="0"/>
    <n v="0"/>
    <n v="0"/>
    <n v="6061.8666666666668"/>
    <n v="6179.4333333333334"/>
  </r>
  <r>
    <x v="12"/>
    <s v="Cleveland State Community College "/>
    <m/>
    <n v="219879"/>
    <x v="7"/>
    <m/>
    <m/>
    <m/>
    <m/>
    <n v="25643"/>
    <n v="27350"/>
    <n v="5290"/>
    <n v="4996"/>
    <n v="33008"/>
    <n v="35121"/>
    <n v="63941"/>
    <n v="2131.3666666666668"/>
    <n v="67467"/>
    <n v="2248.9"/>
    <n v="8009"/>
    <n v="9627"/>
    <n v="63941"/>
    <n v="67467"/>
    <m/>
    <m/>
    <m/>
    <m/>
    <m/>
    <m/>
    <m/>
    <m/>
    <n v="0"/>
    <n v="0"/>
    <n v="0"/>
    <n v="0"/>
    <m/>
    <m/>
    <n v="0"/>
    <n v="0"/>
    <m/>
    <m/>
    <m/>
    <m/>
    <m/>
    <m/>
    <m/>
    <m/>
    <n v="0"/>
    <n v="0"/>
    <n v="0"/>
    <n v="0"/>
    <n v="2131.3666666666668"/>
    <n v="2248.9"/>
  </r>
  <r>
    <x v="12"/>
    <s v="Columbia State Community College "/>
    <m/>
    <n v="219888"/>
    <x v="7"/>
    <m/>
    <m/>
    <m/>
    <m/>
    <n v="51237"/>
    <n v="54455"/>
    <n v="11126"/>
    <n v="11593"/>
    <n v="65409"/>
    <n v="66974"/>
    <n v="127772"/>
    <n v="4259.0666666666666"/>
    <n v="133022"/>
    <n v="4434.0666666666666"/>
    <n v="8293"/>
    <n v="9327"/>
    <n v="127772"/>
    <n v="133022"/>
    <m/>
    <m/>
    <m/>
    <m/>
    <m/>
    <m/>
    <m/>
    <m/>
    <n v="0"/>
    <n v="0"/>
    <n v="0"/>
    <n v="0"/>
    <m/>
    <m/>
    <n v="0"/>
    <n v="0"/>
    <m/>
    <m/>
    <m/>
    <m/>
    <m/>
    <m/>
    <m/>
    <m/>
    <n v="0"/>
    <n v="0"/>
    <n v="0"/>
    <n v="0"/>
    <n v="4259.0666666666666"/>
    <n v="4434.0666666666666"/>
  </r>
  <r>
    <x v="12"/>
    <s v="Jackson State Community College "/>
    <m/>
    <n v="220400"/>
    <x v="7"/>
    <m/>
    <m/>
    <m/>
    <m/>
    <n v="38376"/>
    <n v="37080"/>
    <n v="7022"/>
    <n v="7397"/>
    <n v="45582"/>
    <n v="47019"/>
    <n v="90980"/>
    <n v="3032.6666666666665"/>
    <n v="91496"/>
    <n v="3049.8666666666668"/>
    <n v="13050"/>
    <n v="12523"/>
    <n v="90980"/>
    <n v="91496"/>
    <m/>
    <m/>
    <m/>
    <m/>
    <m/>
    <m/>
    <m/>
    <m/>
    <n v="0"/>
    <n v="0"/>
    <n v="0"/>
    <n v="0"/>
    <m/>
    <m/>
    <n v="0"/>
    <n v="0"/>
    <m/>
    <m/>
    <m/>
    <m/>
    <m/>
    <m/>
    <m/>
    <m/>
    <n v="0"/>
    <n v="0"/>
    <n v="0"/>
    <n v="0"/>
    <n v="3032.6666666666665"/>
    <n v="3049.8666666666668"/>
  </r>
  <r>
    <x v="12"/>
    <s v="Motlow State Community College "/>
    <m/>
    <n v="221096"/>
    <x v="7"/>
    <m/>
    <m/>
    <m/>
    <m/>
    <n v="53674"/>
    <n v="57936"/>
    <n v="8886"/>
    <n v="12666"/>
    <n v="68357"/>
    <n v="68563"/>
    <n v="130917"/>
    <n v="4363.8999999999996"/>
    <n v="139165"/>
    <n v="4638.833333333333"/>
    <n v="16630"/>
    <n v="18577"/>
    <n v="130917"/>
    <n v="139165"/>
    <m/>
    <m/>
    <m/>
    <m/>
    <m/>
    <m/>
    <m/>
    <m/>
    <n v="0"/>
    <n v="0"/>
    <n v="0"/>
    <n v="0"/>
    <m/>
    <m/>
    <n v="0"/>
    <n v="0"/>
    <m/>
    <m/>
    <m/>
    <m/>
    <m/>
    <m/>
    <m/>
    <m/>
    <n v="0"/>
    <n v="0"/>
    <n v="0"/>
    <n v="0"/>
    <n v="4363.8999999999996"/>
    <n v="4638.833333333333"/>
  </r>
  <r>
    <x v="12"/>
    <s v="Northeast State Technical Community College"/>
    <m/>
    <n v="221908"/>
    <x v="7"/>
    <m/>
    <m/>
    <m/>
    <m/>
    <n v="52388"/>
    <n v="53136"/>
    <n v="6939"/>
    <n v="7764"/>
    <n v="64218"/>
    <n v="62645"/>
    <n v="123545"/>
    <n v="4118.166666666667"/>
    <n v="123545"/>
    <n v="4118.166666666667"/>
    <n v="7661"/>
    <n v="8975"/>
    <n v="123545"/>
    <n v="123545"/>
    <m/>
    <m/>
    <m/>
    <m/>
    <m/>
    <m/>
    <m/>
    <m/>
    <n v="0"/>
    <n v="0"/>
    <n v="0"/>
    <n v="0"/>
    <m/>
    <m/>
    <n v="0"/>
    <n v="0"/>
    <m/>
    <m/>
    <m/>
    <m/>
    <m/>
    <m/>
    <m/>
    <m/>
    <n v="0"/>
    <n v="0"/>
    <n v="0"/>
    <n v="0"/>
    <n v="4118.166666666667"/>
    <n v="4118.166666666667"/>
  </r>
  <r>
    <x v="12"/>
    <s v="Roane State Community College "/>
    <m/>
    <n v="221397"/>
    <x v="7"/>
    <m/>
    <m/>
    <m/>
    <m/>
    <n v="48915"/>
    <n v="52087"/>
    <n v="6326"/>
    <n v="7003"/>
    <n v="58870"/>
    <n v="59738"/>
    <n v="114111"/>
    <n v="3803.7"/>
    <n v="118828"/>
    <n v="3960.9333333333334"/>
    <n v="12766"/>
    <n v="14953"/>
    <n v="114111"/>
    <n v="118828"/>
    <m/>
    <m/>
    <m/>
    <m/>
    <m/>
    <m/>
    <m/>
    <m/>
    <n v="0"/>
    <n v="0"/>
    <n v="0"/>
    <n v="0"/>
    <m/>
    <m/>
    <n v="0"/>
    <n v="0"/>
    <m/>
    <m/>
    <m/>
    <m/>
    <m/>
    <m/>
    <m/>
    <m/>
    <n v="0"/>
    <n v="0"/>
    <n v="0"/>
    <n v="0"/>
    <n v="3803.7"/>
    <n v="3960.9333333333334"/>
  </r>
  <r>
    <x v="12"/>
    <s v="Walters State Community College "/>
    <m/>
    <n v="222062"/>
    <x v="7"/>
    <m/>
    <m/>
    <m/>
    <m/>
    <n v="52639"/>
    <n v="54184"/>
    <n v="5804"/>
    <n v="6119"/>
    <n v="63041"/>
    <n v="63882"/>
    <n v="121484"/>
    <n v="4049.4666666666667"/>
    <n v="124185"/>
    <n v="4139.5"/>
    <n v="12151"/>
    <n v="12800"/>
    <n v="121484"/>
    <n v="124185"/>
    <m/>
    <m/>
    <m/>
    <m/>
    <m/>
    <m/>
    <m/>
    <m/>
    <n v="0"/>
    <n v="0"/>
    <n v="0"/>
    <n v="0"/>
    <m/>
    <m/>
    <n v="0"/>
    <n v="0"/>
    <m/>
    <m/>
    <m/>
    <m/>
    <m/>
    <m/>
    <m/>
    <m/>
    <n v="0"/>
    <n v="0"/>
    <n v="0"/>
    <n v="0"/>
    <n v="4049.4666666666667"/>
    <n v="4139.5"/>
  </r>
  <r>
    <x v="12"/>
    <s v="Dyersburg State Community College "/>
    <m/>
    <n v="220057"/>
    <x v="8"/>
    <m/>
    <m/>
    <m/>
    <m/>
    <n v="21707"/>
    <n v="22580"/>
    <n v="3613"/>
    <n v="4394"/>
    <n v="26202"/>
    <n v="26134"/>
    <n v="51522"/>
    <n v="1717.4"/>
    <n v="53108"/>
    <n v="1770.2666666666667"/>
    <n v="8307"/>
    <n v="6012"/>
    <n v="51522"/>
    <n v="53108"/>
    <m/>
    <m/>
    <m/>
    <m/>
    <m/>
    <m/>
    <m/>
    <m/>
    <n v="0"/>
    <n v="0"/>
    <n v="0"/>
    <n v="0"/>
    <m/>
    <m/>
    <n v="0"/>
    <n v="0"/>
    <m/>
    <m/>
    <m/>
    <m/>
    <m/>
    <m/>
    <m/>
    <m/>
    <n v="0"/>
    <n v="0"/>
    <n v="0"/>
    <n v="0"/>
    <n v="1717.4"/>
    <n v="1770.2666666666667"/>
  </r>
  <r>
    <x v="12"/>
    <s v="Tennessee College of Applied Technology at Chattanooga"/>
    <s v="Reclassified: Met the criteria for Technical Institute or College 2 in 2017-18, 2018-19, and 2019-20."/>
    <s v="219824B"/>
    <x v="10"/>
    <m/>
    <m/>
    <m/>
    <m/>
    <m/>
    <m/>
    <m/>
    <m/>
    <m/>
    <m/>
    <n v="0"/>
    <n v="0"/>
    <n v="0"/>
    <n v="0"/>
    <m/>
    <m/>
    <n v="0"/>
    <n v="0"/>
    <m/>
    <m/>
    <n v="290004"/>
    <n v="315795"/>
    <n v="181107"/>
    <n v="197287"/>
    <n v="318945"/>
    <n v="329869"/>
    <n v="790056"/>
    <n v="877.84"/>
    <n v="842951"/>
    <n v="936.61222222222227"/>
    <m/>
    <m/>
    <n v="0"/>
    <n v="0"/>
    <m/>
    <m/>
    <m/>
    <m/>
    <m/>
    <m/>
    <m/>
    <m/>
    <n v="0"/>
    <n v="0"/>
    <n v="0"/>
    <n v="0"/>
    <n v="877.84"/>
    <n v="936.61222222222227"/>
  </r>
  <r>
    <x v="12"/>
    <s v="Tennessee College of Applied Technology at Athens"/>
    <m/>
    <n v="219596"/>
    <x v="10"/>
    <m/>
    <m/>
    <m/>
    <m/>
    <m/>
    <m/>
    <m/>
    <m/>
    <m/>
    <m/>
    <n v="0"/>
    <n v="0"/>
    <n v="0"/>
    <n v="0"/>
    <m/>
    <m/>
    <n v="0"/>
    <n v="0"/>
    <m/>
    <m/>
    <n v="102273"/>
    <n v="98018"/>
    <n v="76668"/>
    <n v="75283"/>
    <n v="99425"/>
    <n v="105359"/>
    <n v="278366"/>
    <n v="309.29555555555555"/>
    <n v="278660"/>
    <n v="309.62222222222221"/>
    <m/>
    <m/>
    <n v="0"/>
    <n v="0"/>
    <m/>
    <m/>
    <m/>
    <m/>
    <m/>
    <m/>
    <m/>
    <m/>
    <n v="0"/>
    <n v="0"/>
    <n v="0"/>
    <n v="0"/>
    <n v="309.29555555555555"/>
    <n v="309.62222222222221"/>
  </r>
  <r>
    <x v="12"/>
    <s v="Tennessee College of Applied Technology at Covington"/>
    <m/>
    <n v="219921"/>
    <x v="10"/>
    <m/>
    <m/>
    <m/>
    <m/>
    <m/>
    <m/>
    <m/>
    <m/>
    <m/>
    <m/>
    <n v="0"/>
    <n v="0"/>
    <n v="0"/>
    <n v="0"/>
    <m/>
    <m/>
    <n v="0"/>
    <n v="0"/>
    <m/>
    <m/>
    <n v="72187"/>
    <n v="72107"/>
    <n v="53037"/>
    <n v="55701"/>
    <n v="74896"/>
    <n v="94211"/>
    <n v="200120"/>
    <n v="222.35555555555555"/>
    <n v="222019"/>
    <n v="246.68777777777777"/>
    <m/>
    <m/>
    <n v="0"/>
    <n v="0"/>
    <m/>
    <m/>
    <m/>
    <m/>
    <m/>
    <m/>
    <m/>
    <m/>
    <n v="0"/>
    <n v="0"/>
    <n v="0"/>
    <n v="0"/>
    <n v="222.35555555555555"/>
    <n v="246.68777777777777"/>
  </r>
  <r>
    <x v="12"/>
    <s v="Tennessee College of Applied Technology at Crossville"/>
    <m/>
    <n v="221591"/>
    <x v="10"/>
    <m/>
    <m/>
    <m/>
    <m/>
    <m/>
    <m/>
    <m/>
    <m/>
    <m/>
    <m/>
    <n v="0"/>
    <n v="0"/>
    <n v="0"/>
    <n v="0"/>
    <m/>
    <m/>
    <n v="0"/>
    <n v="0"/>
    <m/>
    <m/>
    <n v="102367"/>
    <n v="133559"/>
    <n v="108320"/>
    <n v="119267"/>
    <n v="132382"/>
    <n v="140424"/>
    <n v="343069"/>
    <n v="381.1877777777778"/>
    <n v="393250"/>
    <n v="436.94444444444446"/>
    <m/>
    <m/>
    <n v="0"/>
    <n v="0"/>
    <m/>
    <m/>
    <m/>
    <m/>
    <m/>
    <m/>
    <m/>
    <m/>
    <n v="0"/>
    <n v="0"/>
    <n v="0"/>
    <n v="0"/>
    <n v="381.1877777777778"/>
    <n v="436.94444444444446"/>
  </r>
  <r>
    <x v="12"/>
    <s v="Tennessee College of Applied Technology at Crump"/>
    <m/>
    <n v="221430"/>
    <x v="10"/>
    <m/>
    <m/>
    <m/>
    <m/>
    <m/>
    <m/>
    <m/>
    <m/>
    <m/>
    <m/>
    <n v="0"/>
    <n v="0"/>
    <n v="0"/>
    <n v="0"/>
    <m/>
    <m/>
    <n v="0"/>
    <n v="0"/>
    <m/>
    <m/>
    <n v="72791"/>
    <n v="74482"/>
    <n v="50367"/>
    <n v="63255"/>
    <n v="102093"/>
    <n v="166896"/>
    <n v="225251"/>
    <n v="250.2788888888889"/>
    <n v="304633"/>
    <n v="338.48111111111109"/>
    <m/>
    <m/>
    <n v="0"/>
    <n v="0"/>
    <m/>
    <m/>
    <m/>
    <m/>
    <m/>
    <m/>
    <m/>
    <m/>
    <n v="0"/>
    <n v="0"/>
    <n v="0"/>
    <n v="0"/>
    <n v="250.2788888888889"/>
    <n v="338.48111111111109"/>
  </r>
  <r>
    <x v="12"/>
    <s v="Tennessee College of Applied Technology at Dickson"/>
    <m/>
    <n v="219994"/>
    <x v="10"/>
    <m/>
    <m/>
    <m/>
    <m/>
    <m/>
    <m/>
    <m/>
    <m/>
    <m/>
    <m/>
    <n v="0"/>
    <n v="0"/>
    <n v="0"/>
    <n v="0"/>
    <m/>
    <m/>
    <n v="0"/>
    <n v="0"/>
    <m/>
    <m/>
    <n v="202428"/>
    <n v="224737"/>
    <n v="189077"/>
    <n v="186292"/>
    <n v="228347"/>
    <n v="246426"/>
    <n v="619852"/>
    <n v="688.72444444444443"/>
    <n v="657455"/>
    <n v="730.50555555555559"/>
    <m/>
    <m/>
    <n v="0"/>
    <n v="0"/>
    <m/>
    <m/>
    <m/>
    <m/>
    <m/>
    <m/>
    <m/>
    <m/>
    <n v="0"/>
    <n v="0"/>
    <n v="0"/>
    <n v="0"/>
    <n v="688.72444444444443"/>
    <n v="730.50555555555559"/>
  </r>
  <r>
    <x v="12"/>
    <s v="Tennessee College of Applied Technology at Elizabethton"/>
    <m/>
    <n v="220127"/>
    <x v="10"/>
    <m/>
    <m/>
    <m/>
    <m/>
    <m/>
    <m/>
    <m/>
    <m/>
    <m/>
    <m/>
    <n v="0"/>
    <n v="0"/>
    <n v="0"/>
    <n v="0"/>
    <m/>
    <m/>
    <n v="0"/>
    <n v="0"/>
    <m/>
    <m/>
    <n v="165742"/>
    <n v="167231"/>
    <n v="162751"/>
    <n v="151964"/>
    <n v="175712"/>
    <n v="176613"/>
    <n v="504205"/>
    <n v="560.22777777777776"/>
    <n v="495808"/>
    <n v="550.89777777777783"/>
    <m/>
    <m/>
    <n v="0"/>
    <n v="0"/>
    <m/>
    <m/>
    <m/>
    <m/>
    <m/>
    <m/>
    <m/>
    <m/>
    <n v="0"/>
    <n v="0"/>
    <n v="0"/>
    <n v="0"/>
    <n v="560.22777777777776"/>
    <n v="550.89777777777783"/>
  </r>
  <r>
    <x v="12"/>
    <s v="Tennessee College of Applied Technology at Harriman"/>
    <m/>
    <n v="220251"/>
    <x v="10"/>
    <m/>
    <m/>
    <m/>
    <m/>
    <m/>
    <m/>
    <m/>
    <m/>
    <m/>
    <m/>
    <n v="0"/>
    <n v="0"/>
    <n v="0"/>
    <n v="0"/>
    <m/>
    <m/>
    <n v="0"/>
    <n v="0"/>
    <m/>
    <m/>
    <n v="110730"/>
    <n v="109518"/>
    <n v="76641"/>
    <n v="62355"/>
    <n v="115367"/>
    <n v="104485"/>
    <n v="302738"/>
    <n v="336.37555555555554"/>
    <n v="276358"/>
    <n v="307.06444444444446"/>
    <m/>
    <m/>
    <n v="0"/>
    <n v="0"/>
    <m/>
    <m/>
    <m/>
    <m/>
    <m/>
    <m/>
    <m/>
    <m/>
    <n v="0"/>
    <n v="0"/>
    <n v="0"/>
    <n v="0"/>
    <n v="336.37555555555554"/>
    <n v="307.06444444444446"/>
  </r>
  <r>
    <x v="12"/>
    <s v="Tennessee College of Applied Technology at Hartsville"/>
    <m/>
    <n v="220279"/>
    <x v="10"/>
    <m/>
    <m/>
    <m/>
    <m/>
    <m/>
    <m/>
    <m/>
    <m/>
    <m/>
    <m/>
    <n v="0"/>
    <n v="0"/>
    <n v="0"/>
    <n v="0"/>
    <m/>
    <m/>
    <n v="0"/>
    <n v="0"/>
    <m/>
    <m/>
    <n v="123450"/>
    <n v="120108"/>
    <n v="72119"/>
    <n v="71843"/>
    <n v="133504"/>
    <n v="136513"/>
    <n v="329073"/>
    <n v="365.63666666666666"/>
    <n v="328464"/>
    <n v="364.96"/>
    <m/>
    <m/>
    <n v="0"/>
    <n v="0"/>
    <m/>
    <m/>
    <m/>
    <m/>
    <m/>
    <m/>
    <m/>
    <m/>
    <n v="0"/>
    <n v="0"/>
    <n v="0"/>
    <n v="0"/>
    <n v="365.63666666666666"/>
    <n v="364.96"/>
  </r>
  <r>
    <x v="12"/>
    <s v="Tennessee College of Applied Technology at Hohenwald"/>
    <m/>
    <n v="220321"/>
    <x v="10"/>
    <m/>
    <m/>
    <m/>
    <m/>
    <m/>
    <m/>
    <m/>
    <m/>
    <m/>
    <m/>
    <n v="0"/>
    <n v="0"/>
    <n v="0"/>
    <n v="0"/>
    <m/>
    <m/>
    <n v="0"/>
    <n v="0"/>
    <m/>
    <m/>
    <n v="114333"/>
    <n v="135417"/>
    <n v="95940"/>
    <n v="100520"/>
    <n v="139896"/>
    <n v="143361"/>
    <n v="350169"/>
    <n v="389.07666666666665"/>
    <n v="379298"/>
    <n v="421.4422222222222"/>
    <m/>
    <m/>
    <n v="0"/>
    <n v="0"/>
    <m/>
    <m/>
    <m/>
    <m/>
    <m/>
    <m/>
    <m/>
    <m/>
    <n v="0"/>
    <n v="0"/>
    <n v="0"/>
    <n v="0"/>
    <n v="389.07666666666665"/>
    <n v="421.4422222222222"/>
  </r>
  <r>
    <x v="12"/>
    <s v="Tennessee College of Applied Technology at Jacksboro"/>
    <m/>
    <n v="220394"/>
    <x v="10"/>
    <m/>
    <m/>
    <m/>
    <m/>
    <m/>
    <m/>
    <m/>
    <m/>
    <m/>
    <m/>
    <n v="0"/>
    <n v="0"/>
    <n v="0"/>
    <n v="0"/>
    <m/>
    <m/>
    <n v="0"/>
    <n v="0"/>
    <m/>
    <m/>
    <n v="53770"/>
    <n v="61585"/>
    <n v="49937"/>
    <n v="65665"/>
    <n v="70993"/>
    <n v="90604"/>
    <n v="174700"/>
    <n v="194.11111111111111"/>
    <n v="217854"/>
    <n v="242.06"/>
    <m/>
    <m/>
    <n v="0"/>
    <n v="0"/>
    <m/>
    <m/>
    <m/>
    <m/>
    <m/>
    <m/>
    <m/>
    <m/>
    <n v="0"/>
    <n v="0"/>
    <n v="0"/>
    <n v="0"/>
    <n v="194.11111111111111"/>
    <n v="242.06"/>
  </r>
  <r>
    <x v="12"/>
    <s v="Tennessee College of Applied Technology at Jackson"/>
    <m/>
    <n v="221616"/>
    <x v="10"/>
    <m/>
    <m/>
    <m/>
    <m/>
    <m/>
    <m/>
    <m/>
    <m/>
    <m/>
    <m/>
    <n v="0"/>
    <n v="0"/>
    <n v="0"/>
    <n v="0"/>
    <m/>
    <m/>
    <n v="0"/>
    <n v="0"/>
    <m/>
    <m/>
    <n v="177025"/>
    <n v="176282"/>
    <n v="132393"/>
    <n v="134064"/>
    <n v="180291"/>
    <n v="165760"/>
    <n v="489709"/>
    <n v="544.12111111111108"/>
    <n v="476106"/>
    <n v="529.00666666666666"/>
    <m/>
    <m/>
    <n v="0"/>
    <n v="0"/>
    <m/>
    <m/>
    <m/>
    <m/>
    <m/>
    <m/>
    <m/>
    <m/>
    <n v="0"/>
    <n v="0"/>
    <n v="0"/>
    <n v="0"/>
    <n v="544.12111111111108"/>
    <n v="529.00666666666666"/>
  </r>
  <r>
    <x v="12"/>
    <s v="Tennessee College of Applied Technology at Knoxville"/>
    <m/>
    <n v="221625"/>
    <x v="10"/>
    <m/>
    <m/>
    <m/>
    <m/>
    <m/>
    <m/>
    <m/>
    <m/>
    <m/>
    <m/>
    <n v="0"/>
    <n v="0"/>
    <n v="0"/>
    <n v="0"/>
    <m/>
    <m/>
    <n v="0"/>
    <n v="0"/>
    <m/>
    <m/>
    <n v="255531"/>
    <n v="249520"/>
    <n v="225540"/>
    <n v="207078"/>
    <n v="244171"/>
    <n v="258262"/>
    <n v="725242"/>
    <n v="805.82444444444445"/>
    <n v="714860"/>
    <n v="794.28888888888889"/>
    <m/>
    <m/>
    <n v="0"/>
    <n v="0"/>
    <m/>
    <m/>
    <m/>
    <m/>
    <m/>
    <m/>
    <m/>
    <m/>
    <n v="0"/>
    <n v="0"/>
    <n v="0"/>
    <n v="0"/>
    <n v="805.82444444444445"/>
    <n v="794.28888888888889"/>
  </r>
  <r>
    <x v="12"/>
    <s v="Tennessee College of Applied Technology at Livingston"/>
    <m/>
    <n v="220640"/>
    <x v="10"/>
    <m/>
    <m/>
    <m/>
    <m/>
    <m/>
    <m/>
    <m/>
    <m/>
    <m/>
    <m/>
    <n v="0"/>
    <n v="0"/>
    <n v="0"/>
    <n v="0"/>
    <m/>
    <m/>
    <n v="0"/>
    <n v="0"/>
    <m/>
    <m/>
    <n v="169098"/>
    <n v="198583"/>
    <n v="111526"/>
    <n v="117067"/>
    <n v="209881"/>
    <n v="200835"/>
    <n v="490505"/>
    <n v="545.00555555555559"/>
    <n v="516485"/>
    <n v="573.87222222222226"/>
    <m/>
    <m/>
    <n v="0"/>
    <n v="0"/>
    <m/>
    <m/>
    <m/>
    <m/>
    <m/>
    <m/>
    <m/>
    <m/>
    <n v="0"/>
    <n v="0"/>
    <n v="0"/>
    <n v="0"/>
    <n v="545.00555555555559"/>
    <n v="573.87222222222226"/>
  </r>
  <r>
    <x v="12"/>
    <s v="Tennessee College of Applied Technology at McKenzie"/>
    <m/>
    <n v="220756"/>
    <x v="10"/>
    <m/>
    <m/>
    <m/>
    <m/>
    <m/>
    <m/>
    <m/>
    <m/>
    <m/>
    <m/>
    <n v="0"/>
    <n v="0"/>
    <n v="0"/>
    <n v="0"/>
    <m/>
    <m/>
    <n v="0"/>
    <n v="0"/>
    <m/>
    <m/>
    <n v="61930"/>
    <n v="54603"/>
    <n v="47174"/>
    <n v="47578"/>
    <n v="58922"/>
    <n v="56662"/>
    <n v="168026"/>
    <n v="186.69555555555556"/>
    <n v="158843"/>
    <n v="176.49222222222221"/>
    <m/>
    <m/>
    <n v="0"/>
    <n v="0"/>
    <m/>
    <m/>
    <m/>
    <m/>
    <m/>
    <m/>
    <m/>
    <m/>
    <n v="0"/>
    <n v="0"/>
    <n v="0"/>
    <n v="0"/>
    <n v="186.69555555555556"/>
    <n v="176.49222222222221"/>
  </r>
  <r>
    <x v="12"/>
    <s v="Tennessee College of Applied Technology at McMinnville"/>
    <m/>
    <n v="221607"/>
    <x v="10"/>
    <m/>
    <m/>
    <m/>
    <m/>
    <m/>
    <m/>
    <m/>
    <m/>
    <m/>
    <m/>
    <n v="0"/>
    <n v="0"/>
    <n v="0"/>
    <n v="0"/>
    <m/>
    <m/>
    <n v="0"/>
    <n v="0"/>
    <m/>
    <m/>
    <n v="58090"/>
    <n v="65483"/>
    <n v="50644"/>
    <n v="66391"/>
    <n v="69455"/>
    <n v="82284"/>
    <n v="178189"/>
    <n v="197.98777777777778"/>
    <n v="214158"/>
    <n v="237.95333333333335"/>
    <m/>
    <m/>
    <n v="0"/>
    <n v="0"/>
    <m/>
    <m/>
    <m/>
    <m/>
    <m/>
    <m/>
    <m/>
    <m/>
    <n v="0"/>
    <n v="0"/>
    <n v="0"/>
    <n v="0"/>
    <n v="197.98777777777778"/>
    <n v="237.95333333333335"/>
  </r>
  <r>
    <x v="12"/>
    <s v="Tennessee College of Applied Technology at Memphis"/>
    <s v="Met the criteria for Technical Institute or College 1 in 2019-20."/>
    <n v="220853"/>
    <x v="10"/>
    <m/>
    <m/>
    <m/>
    <m/>
    <m/>
    <m/>
    <m/>
    <m/>
    <m/>
    <m/>
    <n v="0"/>
    <n v="0"/>
    <n v="0"/>
    <n v="0"/>
    <m/>
    <m/>
    <n v="0"/>
    <n v="0"/>
    <m/>
    <m/>
    <n v="300265"/>
    <n v="312423"/>
    <n v="273553"/>
    <n v="245759"/>
    <n v="292159"/>
    <n v="353147"/>
    <n v="865977"/>
    <n v="962.19666666666672"/>
    <n v="911329"/>
    <n v="1012.5877777777778"/>
    <m/>
    <m/>
    <n v="0"/>
    <n v="0"/>
    <m/>
    <m/>
    <m/>
    <m/>
    <m/>
    <m/>
    <m/>
    <m/>
    <n v="0"/>
    <n v="0"/>
    <n v="0"/>
    <n v="0"/>
    <n v="962.19666666666672"/>
    <n v="1012.5877777777778"/>
  </r>
  <r>
    <x v="12"/>
    <s v="Tennessee College of Applied Technology at Morristown"/>
    <m/>
    <n v="221050"/>
    <x v="10"/>
    <m/>
    <m/>
    <m/>
    <m/>
    <m/>
    <m/>
    <m/>
    <m/>
    <m/>
    <m/>
    <n v="0"/>
    <n v="0"/>
    <n v="0"/>
    <n v="0"/>
    <m/>
    <m/>
    <n v="0"/>
    <n v="0"/>
    <m/>
    <m/>
    <n v="201982"/>
    <n v="250859"/>
    <n v="185560"/>
    <n v="204057"/>
    <n v="260744"/>
    <n v="259793"/>
    <n v="648286"/>
    <n v="720.31777777777779"/>
    <n v="714709"/>
    <n v="794.12111111111108"/>
    <m/>
    <m/>
    <n v="0"/>
    <n v="0"/>
    <m/>
    <m/>
    <m/>
    <m/>
    <m/>
    <m/>
    <m/>
    <m/>
    <n v="0"/>
    <n v="0"/>
    <n v="0"/>
    <n v="0"/>
    <n v="720.31777777777779"/>
    <n v="794.12111111111108"/>
  </r>
  <r>
    <x v="12"/>
    <s v="Tennessee College of Applied Technology at Murfreesboro"/>
    <m/>
    <n v="221102"/>
    <x v="10"/>
    <m/>
    <m/>
    <m/>
    <m/>
    <m/>
    <m/>
    <m/>
    <m/>
    <m/>
    <m/>
    <n v="0"/>
    <n v="0"/>
    <n v="0"/>
    <n v="0"/>
    <m/>
    <m/>
    <n v="0"/>
    <n v="0"/>
    <m/>
    <m/>
    <n v="234090"/>
    <n v="243236"/>
    <n v="216288"/>
    <n v="221520"/>
    <n v="249514"/>
    <n v="224672"/>
    <n v="699892"/>
    <n v="777.65777777777782"/>
    <n v="689428"/>
    <n v="766.03111111111116"/>
    <m/>
    <m/>
    <n v="0"/>
    <n v="0"/>
    <m/>
    <m/>
    <m/>
    <m/>
    <m/>
    <m/>
    <m/>
    <m/>
    <n v="0"/>
    <n v="0"/>
    <n v="0"/>
    <n v="0"/>
    <n v="777.65777777777782"/>
    <n v="766.03111111111116"/>
  </r>
  <r>
    <x v="12"/>
    <s v="Tennessee College of Applied Technology at Nashville"/>
    <m/>
    <n v="248925"/>
    <x v="10"/>
    <m/>
    <m/>
    <m/>
    <m/>
    <m/>
    <m/>
    <m/>
    <m/>
    <m/>
    <m/>
    <n v="0"/>
    <n v="0"/>
    <n v="0"/>
    <n v="0"/>
    <m/>
    <m/>
    <n v="0"/>
    <n v="0"/>
    <m/>
    <m/>
    <n v="256811"/>
    <n v="308057"/>
    <n v="237855"/>
    <n v="236744"/>
    <n v="324916"/>
    <n v="305075"/>
    <n v="819582"/>
    <n v="910.64666666666665"/>
    <n v="849876"/>
    <n v="944.30666666666662"/>
    <m/>
    <m/>
    <n v="0"/>
    <n v="0"/>
    <m/>
    <m/>
    <m/>
    <m/>
    <m/>
    <m/>
    <m/>
    <m/>
    <n v="0"/>
    <n v="0"/>
    <n v="0"/>
    <n v="0"/>
    <n v="910.64666666666665"/>
    <n v="944.30666666666662"/>
  </r>
  <r>
    <x v="12"/>
    <s v="Tennessee College of Applied Technology at Newbern"/>
    <m/>
    <n v="221236"/>
    <x v="10"/>
    <m/>
    <m/>
    <m/>
    <m/>
    <m/>
    <m/>
    <m/>
    <m/>
    <m/>
    <m/>
    <n v="0"/>
    <n v="0"/>
    <n v="0"/>
    <n v="0"/>
    <m/>
    <m/>
    <n v="0"/>
    <n v="0"/>
    <m/>
    <m/>
    <n v="118302"/>
    <n v="120797"/>
    <n v="99441"/>
    <n v="89103"/>
    <n v="127369"/>
    <n v="127791"/>
    <n v="345112"/>
    <n v="383.45777777777778"/>
    <n v="337691"/>
    <n v="375.21222222222224"/>
    <m/>
    <m/>
    <n v="0"/>
    <n v="0"/>
    <m/>
    <m/>
    <m/>
    <m/>
    <m/>
    <m/>
    <m/>
    <m/>
    <n v="0"/>
    <n v="0"/>
    <n v="0"/>
    <n v="0"/>
    <n v="383.45777777777778"/>
    <n v="375.21222222222224"/>
  </r>
  <r>
    <x v="12"/>
    <s v="Tennessee College of Applied Technology at Oneida"/>
    <m/>
    <n v="221582"/>
    <x v="10"/>
    <m/>
    <m/>
    <m/>
    <m/>
    <m/>
    <m/>
    <m/>
    <m/>
    <m/>
    <m/>
    <n v="0"/>
    <n v="0"/>
    <n v="0"/>
    <n v="0"/>
    <m/>
    <m/>
    <n v="0"/>
    <n v="0"/>
    <m/>
    <m/>
    <n v="63910"/>
    <n v="60907"/>
    <n v="49523"/>
    <n v="31343"/>
    <n v="75992"/>
    <n v="73425"/>
    <n v="189425"/>
    <n v="210.47222222222223"/>
    <n v="165675"/>
    <n v="184.08333333333334"/>
    <m/>
    <m/>
    <n v="0"/>
    <n v="0"/>
    <m/>
    <m/>
    <m/>
    <m/>
    <m/>
    <m/>
    <m/>
    <m/>
    <n v="0"/>
    <n v="0"/>
    <n v="0"/>
    <n v="0"/>
    <n v="210.47222222222223"/>
    <n v="184.08333333333334"/>
  </r>
  <r>
    <x v="12"/>
    <s v="Tennessee College of Applied Technology at Paris"/>
    <m/>
    <n v="221281"/>
    <x v="10"/>
    <m/>
    <m/>
    <m/>
    <m/>
    <m/>
    <m/>
    <m/>
    <m/>
    <m/>
    <m/>
    <n v="0"/>
    <n v="0"/>
    <n v="0"/>
    <n v="0"/>
    <m/>
    <m/>
    <n v="0"/>
    <n v="0"/>
    <m/>
    <m/>
    <n v="81300"/>
    <n v="85967"/>
    <n v="74312"/>
    <n v="65506"/>
    <n v="95477"/>
    <n v="99586"/>
    <n v="251089"/>
    <n v="278.98777777777775"/>
    <n v="251059"/>
    <n v="278.95444444444445"/>
    <m/>
    <m/>
    <n v="0"/>
    <n v="0"/>
    <m/>
    <m/>
    <m/>
    <m/>
    <m/>
    <m/>
    <m/>
    <m/>
    <n v="0"/>
    <n v="0"/>
    <n v="0"/>
    <n v="0"/>
    <n v="278.98777777777775"/>
    <n v="278.95444444444445"/>
  </r>
  <r>
    <x v="12"/>
    <s v="Tennessee College of Applied Technology at Pulaski"/>
    <m/>
    <n v="221333"/>
    <x v="10"/>
    <m/>
    <m/>
    <m/>
    <m/>
    <m/>
    <m/>
    <m/>
    <m/>
    <m/>
    <m/>
    <n v="0"/>
    <n v="0"/>
    <n v="0"/>
    <n v="0"/>
    <m/>
    <m/>
    <n v="0"/>
    <n v="0"/>
    <m/>
    <m/>
    <n v="150667"/>
    <n v="143191"/>
    <n v="82759"/>
    <n v="73727"/>
    <n v="155592"/>
    <n v="146642"/>
    <n v="389018"/>
    <n v="432.24222222222221"/>
    <n v="363560"/>
    <n v="403.95555555555558"/>
    <m/>
    <m/>
    <n v="0"/>
    <n v="0"/>
    <m/>
    <m/>
    <m/>
    <m/>
    <m/>
    <m/>
    <m/>
    <m/>
    <n v="0"/>
    <n v="0"/>
    <n v="0"/>
    <n v="0"/>
    <n v="432.24222222222221"/>
    <n v="403.95555555555558"/>
  </r>
  <r>
    <x v="12"/>
    <s v="Tennessee College of Applied Technology at Ripley"/>
    <m/>
    <n v="221388"/>
    <x v="10"/>
    <m/>
    <m/>
    <m/>
    <m/>
    <m/>
    <m/>
    <m/>
    <m/>
    <m/>
    <m/>
    <n v="0"/>
    <n v="0"/>
    <n v="0"/>
    <n v="0"/>
    <m/>
    <m/>
    <n v="0"/>
    <n v="0"/>
    <m/>
    <m/>
    <n v="59768"/>
    <n v="68141"/>
    <n v="44685"/>
    <n v="45572"/>
    <n v="59837"/>
    <n v="62603"/>
    <n v="164290"/>
    <n v="182.54444444444445"/>
    <n v="176316"/>
    <n v="195.90666666666667"/>
    <m/>
    <m/>
    <n v="0"/>
    <n v="0"/>
    <m/>
    <m/>
    <m/>
    <m/>
    <m/>
    <m/>
    <m/>
    <m/>
    <n v="0"/>
    <n v="0"/>
    <n v="0"/>
    <n v="0"/>
    <n v="182.54444444444445"/>
    <n v="195.90666666666667"/>
  </r>
  <r>
    <x v="12"/>
    <s v="Tennessee College of Applied Technology at Shelbyville"/>
    <m/>
    <n v="221494"/>
    <x v="10"/>
    <m/>
    <m/>
    <m/>
    <m/>
    <m/>
    <m/>
    <m/>
    <m/>
    <m/>
    <m/>
    <n v="0"/>
    <n v="0"/>
    <n v="0"/>
    <n v="0"/>
    <m/>
    <m/>
    <n v="0"/>
    <n v="0"/>
    <m/>
    <m/>
    <n v="157314"/>
    <n v="152551"/>
    <n v="138130"/>
    <n v="143840"/>
    <n v="157401"/>
    <n v="166918"/>
    <n v="452845"/>
    <n v="503.1611111111111"/>
    <n v="463309"/>
    <n v="514.78777777777782"/>
    <m/>
    <m/>
    <n v="0"/>
    <n v="0"/>
    <m/>
    <m/>
    <m/>
    <m/>
    <m/>
    <m/>
    <m/>
    <m/>
    <n v="0"/>
    <n v="0"/>
    <n v="0"/>
    <n v="0"/>
    <n v="503.1611111111111"/>
    <n v="514.78777777777782"/>
  </r>
  <r>
    <x v="12"/>
    <s v="Tennessee College of Applied Technology at Whiteville"/>
    <m/>
    <n v="221634"/>
    <x v="10"/>
    <m/>
    <m/>
    <m/>
    <m/>
    <m/>
    <m/>
    <m/>
    <m/>
    <m/>
    <m/>
    <n v="0"/>
    <n v="0"/>
    <n v="0"/>
    <n v="0"/>
    <m/>
    <m/>
    <n v="0"/>
    <n v="0"/>
    <m/>
    <m/>
    <n v="44387"/>
    <n v="61744"/>
    <n v="42496"/>
    <n v="48823"/>
    <n v="66945"/>
    <n v="61602"/>
    <n v="153828"/>
    <n v="170.92"/>
    <n v="172169"/>
    <n v="191.29888888888888"/>
    <m/>
    <m/>
    <n v="0"/>
    <n v="0"/>
    <m/>
    <m/>
    <m/>
    <m/>
    <m/>
    <m/>
    <m/>
    <m/>
    <n v="0"/>
    <n v="0"/>
    <n v="0"/>
    <n v="0"/>
    <n v="170.92"/>
    <n v="191.29888888888888"/>
  </r>
  <r>
    <x v="13"/>
    <s v="Texas A&amp;M University "/>
    <m/>
    <n v="228723"/>
    <x v="0"/>
    <m/>
    <m/>
    <n v="0"/>
    <n v="0"/>
    <n v="610041"/>
    <n v="613953"/>
    <n v="79798"/>
    <n v="77421"/>
    <n v="658037"/>
    <n v="663528"/>
    <n v="1347876"/>
    <n v="44929.2"/>
    <n v="1354902"/>
    <n v="45163.4"/>
    <n v="0"/>
    <n v="0"/>
    <n v="1347876"/>
    <n v="1354902"/>
    <m/>
    <m/>
    <m/>
    <m/>
    <m/>
    <m/>
    <m/>
    <m/>
    <n v="0"/>
    <n v="0"/>
    <n v="0"/>
    <n v="0"/>
    <m/>
    <m/>
    <n v="0"/>
    <n v="0"/>
    <m/>
    <m/>
    <n v="93240"/>
    <n v="94838"/>
    <n v="30884"/>
    <n v="32516"/>
    <n v="102738"/>
    <n v="103507"/>
    <n v="226862"/>
    <n v="9452.5833333333339"/>
    <n v="230861"/>
    <n v="9619.2083333333339"/>
    <n v="54381.783333333333"/>
    <n v="54782.608333333337"/>
  </r>
  <r>
    <x v="13"/>
    <s v="Texas Tech University "/>
    <m/>
    <n v="229115"/>
    <x v="0"/>
    <m/>
    <m/>
    <n v="0"/>
    <n v="0"/>
    <n v="360204"/>
    <n v="366209"/>
    <n v="71297"/>
    <n v="74344"/>
    <n v="405349"/>
    <n v="411531"/>
    <n v="836850"/>
    <n v="27895"/>
    <n v="852084"/>
    <n v="28402.799999999999"/>
    <n v="4394"/>
    <n v="4199"/>
    <n v="836850"/>
    <n v="852084"/>
    <m/>
    <m/>
    <m/>
    <m/>
    <m/>
    <m/>
    <m/>
    <m/>
    <n v="0"/>
    <n v="0"/>
    <n v="0"/>
    <n v="0"/>
    <m/>
    <m/>
    <n v="0"/>
    <n v="0"/>
    <m/>
    <m/>
    <n v="46104"/>
    <n v="46853"/>
    <n v="23105"/>
    <n v="23808"/>
    <n v="49043"/>
    <n v="50651"/>
    <n v="118252"/>
    <n v="4927.166666666667"/>
    <n v="121312"/>
    <n v="5054.666666666667"/>
    <n v="32822.166666666664"/>
    <n v="33457.466666666667"/>
  </r>
  <r>
    <x v="13"/>
    <s v="University of Houston"/>
    <m/>
    <n v="225511"/>
    <x v="0"/>
    <m/>
    <m/>
    <n v="0"/>
    <n v="0"/>
    <n v="419143"/>
    <n v="427518"/>
    <n v="72096"/>
    <n v="73620"/>
    <n v="463167"/>
    <n v="464662"/>
    <n v="954406"/>
    <n v="31813.533333333333"/>
    <n v="965800"/>
    <n v="32193.333333333332"/>
    <n v="6"/>
    <n v="0"/>
    <n v="954406"/>
    <n v="965800"/>
    <m/>
    <m/>
    <m/>
    <m/>
    <m/>
    <m/>
    <m/>
    <m/>
    <n v="0"/>
    <n v="0"/>
    <n v="0"/>
    <n v="0"/>
    <m/>
    <m/>
    <n v="0"/>
    <n v="0"/>
    <m/>
    <m/>
    <n v="75244"/>
    <n v="73523"/>
    <n v="21148"/>
    <n v="21519"/>
    <n v="77394"/>
    <n v="73754"/>
    <n v="173786"/>
    <n v="7241.083333333333"/>
    <n v="168796"/>
    <n v="7033.166666666667"/>
    <n v="39054.616666666669"/>
    <n v="39226.5"/>
  </r>
  <r>
    <x v="13"/>
    <s v="University of North Texas"/>
    <m/>
    <n v="227216"/>
    <x v="0"/>
    <m/>
    <m/>
    <n v="0"/>
    <n v="0"/>
    <n v="355728"/>
    <n v="356472"/>
    <n v="73143"/>
    <n v="73946"/>
    <n v="389686"/>
    <n v="400922"/>
    <n v="818557"/>
    <n v="27285.233333333334"/>
    <n v="831340"/>
    <n v="27711.333333333332"/>
    <n v="0"/>
    <n v="0"/>
    <n v="818557"/>
    <n v="831340"/>
    <m/>
    <m/>
    <m/>
    <m/>
    <m/>
    <m/>
    <m/>
    <m/>
    <n v="0"/>
    <n v="0"/>
    <n v="0"/>
    <n v="0"/>
    <m/>
    <m/>
    <n v="0"/>
    <n v="0"/>
    <m/>
    <m/>
    <n v="42365"/>
    <n v="44590"/>
    <n v="19134"/>
    <n v="20478"/>
    <n v="42804"/>
    <n v="45362"/>
    <n v="104303"/>
    <n v="4345.958333333333"/>
    <n v="110430"/>
    <n v="4601.25"/>
    <n v="31631.191666666666"/>
    <n v="32312.583333333332"/>
  </r>
  <r>
    <x v="13"/>
    <s v="University of Texas at Arlington"/>
    <m/>
    <n v="228769"/>
    <x v="0"/>
    <m/>
    <m/>
    <n v="0"/>
    <n v="0"/>
    <n v="312110"/>
    <n v="320709"/>
    <n v="109549"/>
    <n v="110325"/>
    <n v="311743"/>
    <n v="318412"/>
    <n v="733402"/>
    <n v="24446.733333333334"/>
    <n v="749446"/>
    <n v="24981.533333333333"/>
    <n v="1906"/>
    <n v="2023"/>
    <n v="733402"/>
    <n v="749446"/>
    <m/>
    <m/>
    <m/>
    <m/>
    <m/>
    <m/>
    <m/>
    <m/>
    <n v="0"/>
    <n v="0"/>
    <n v="0"/>
    <n v="0"/>
    <m/>
    <m/>
    <n v="0"/>
    <n v="0"/>
    <m/>
    <m/>
    <n v="85232"/>
    <n v="89706"/>
    <n v="55342"/>
    <n v="58861"/>
    <n v="71056"/>
    <n v="67888"/>
    <n v="211630"/>
    <n v="8817.9166666666661"/>
    <n v="216455"/>
    <n v="9018.9583333333339"/>
    <n v="33264.65"/>
    <n v="34000.491666666669"/>
  </r>
  <r>
    <x v="13"/>
    <s v="University of Texas at Austin"/>
    <m/>
    <n v="228778"/>
    <x v="0"/>
    <m/>
    <m/>
    <n v="0"/>
    <n v="0"/>
    <n v="508118"/>
    <n v="514424"/>
    <n v="44462"/>
    <n v="40383"/>
    <n v="548154"/>
    <n v="539827"/>
    <n v="1100734"/>
    <n v="36691.133333333331"/>
    <n v="1094634"/>
    <n v="36487.800000000003"/>
    <n v="0"/>
    <n v="0"/>
    <n v="1100734"/>
    <n v="1094634"/>
    <m/>
    <m/>
    <m/>
    <m/>
    <m/>
    <m/>
    <m/>
    <m/>
    <n v="0"/>
    <n v="0"/>
    <n v="0"/>
    <n v="0"/>
    <m/>
    <m/>
    <n v="0"/>
    <n v="0"/>
    <m/>
    <m/>
    <n v="107746"/>
    <n v="106645"/>
    <n v="18730"/>
    <n v="18031"/>
    <n v="113211"/>
    <n v="111316"/>
    <n v="239687"/>
    <n v="9986.9583333333339"/>
    <n v="235992"/>
    <n v="9833"/>
    <n v="46678.091666666667"/>
    <n v="46320.800000000003"/>
  </r>
  <r>
    <x v="13"/>
    <s v="University of Texas at Dallas"/>
    <m/>
    <n v="228787"/>
    <x v="0"/>
    <m/>
    <m/>
    <n v="0"/>
    <n v="0"/>
    <n v="221611"/>
    <n v="240608"/>
    <n v="27789"/>
    <n v="29328"/>
    <n v="261301"/>
    <n v="277510"/>
    <n v="510701"/>
    <n v="17023.366666666665"/>
    <n v="547446"/>
    <n v="18248.2"/>
    <n v="0"/>
    <n v="0"/>
    <n v="510701"/>
    <n v="547446"/>
    <m/>
    <m/>
    <m/>
    <m/>
    <m/>
    <m/>
    <m/>
    <m/>
    <n v="0"/>
    <n v="0"/>
    <n v="0"/>
    <n v="0"/>
    <m/>
    <m/>
    <n v="0"/>
    <n v="0"/>
    <m/>
    <m/>
    <n v="66552"/>
    <n v="62635"/>
    <n v="19206"/>
    <n v="18644"/>
    <n v="68704"/>
    <n v="66078"/>
    <n v="154462"/>
    <n v="6435.916666666667"/>
    <n v="147357"/>
    <n v="6139.875"/>
    <n v="23459.283333333333"/>
    <n v="24388.075000000001"/>
  </r>
  <r>
    <x v="13"/>
    <s v="University of Texas at San Antonio"/>
    <m/>
    <n v="229027"/>
    <x v="0"/>
    <m/>
    <m/>
    <n v="0"/>
    <n v="0"/>
    <n v="297430"/>
    <n v="308648"/>
    <n v="58801"/>
    <n v="58852"/>
    <n v="338674"/>
    <n v="338349"/>
    <n v="694905"/>
    <n v="23163.5"/>
    <n v="705849"/>
    <n v="23528.3"/>
    <n v="750"/>
    <n v="1314"/>
    <n v="694905"/>
    <n v="705849"/>
    <m/>
    <m/>
    <m/>
    <m/>
    <m/>
    <m/>
    <m/>
    <m/>
    <n v="0"/>
    <n v="0"/>
    <n v="0"/>
    <n v="0"/>
    <m/>
    <m/>
    <n v="0"/>
    <n v="0"/>
    <m/>
    <m/>
    <n v="27946"/>
    <n v="28655"/>
    <n v="11189"/>
    <n v="11683"/>
    <n v="29401"/>
    <n v="30532"/>
    <n v="68536"/>
    <n v="2855.6666666666665"/>
    <n v="70870"/>
    <n v="2952.9166666666665"/>
    <n v="26019.166666666668"/>
    <n v="26481.216666666667"/>
  </r>
  <r>
    <x v="13"/>
    <s v="Texas State University"/>
    <m/>
    <n v="228459"/>
    <x v="1"/>
    <m/>
    <m/>
    <n v="0"/>
    <n v="0"/>
    <n v="383315"/>
    <n v="382846"/>
    <n v="65344"/>
    <n v="64051"/>
    <n v="428019"/>
    <n v="424964"/>
    <n v="876678"/>
    <n v="29222.6"/>
    <n v="871861"/>
    <n v="29062.033333333333"/>
    <n v="0"/>
    <n v="0"/>
    <n v="876678"/>
    <n v="871861"/>
    <m/>
    <m/>
    <m/>
    <m/>
    <m/>
    <m/>
    <m/>
    <m/>
    <n v="0"/>
    <n v="0"/>
    <n v="0"/>
    <n v="0"/>
    <m/>
    <m/>
    <n v="0"/>
    <n v="0"/>
    <m/>
    <m/>
    <n v="29318"/>
    <n v="28724"/>
    <n v="12740"/>
    <n v="11160"/>
    <n v="31262"/>
    <n v="30367"/>
    <n v="73320"/>
    <n v="3055"/>
    <n v="70251"/>
    <n v="2927.125"/>
    <n v="32277.599999999999"/>
    <n v="31989.158333333333"/>
  </r>
  <r>
    <x v="13"/>
    <s v="Texas Woman's University"/>
    <m/>
    <n v="229179"/>
    <x v="1"/>
    <m/>
    <m/>
    <n v="0"/>
    <n v="0"/>
    <n v="107509"/>
    <n v="108299"/>
    <n v="22430"/>
    <n v="22725"/>
    <n v="116398"/>
    <n v="117589"/>
    <n v="246337"/>
    <n v="8211.2333333333336"/>
    <n v="248613"/>
    <n v="8287.1"/>
    <n v="8855"/>
    <n v="10870"/>
    <n v="246337"/>
    <n v="248613"/>
    <m/>
    <m/>
    <m/>
    <m/>
    <m/>
    <m/>
    <m/>
    <m/>
    <n v="0"/>
    <n v="0"/>
    <n v="0"/>
    <n v="0"/>
    <m/>
    <m/>
    <n v="0"/>
    <n v="0"/>
    <m/>
    <m/>
    <n v="33966"/>
    <n v="35279"/>
    <n v="21470"/>
    <n v="23157"/>
    <n v="36679"/>
    <n v="35560"/>
    <n v="92115"/>
    <n v="3838.125"/>
    <n v="93996"/>
    <n v="3916.5"/>
    <n v="12049.358333333334"/>
    <n v="12203.6"/>
  </r>
  <r>
    <x v="13"/>
    <s v="University of Texas at El Paso"/>
    <m/>
    <n v="228796"/>
    <x v="1"/>
    <m/>
    <m/>
    <n v="0"/>
    <n v="0"/>
    <n v="220983"/>
    <n v="219907"/>
    <n v="61465"/>
    <n v="58384"/>
    <n v="235634"/>
    <n v="233247"/>
    <n v="518082"/>
    <n v="17269.400000000001"/>
    <n v="511538"/>
    <n v="17051.266666666666"/>
    <n v="0"/>
    <n v="0"/>
    <n v="518082"/>
    <n v="511538"/>
    <m/>
    <m/>
    <m/>
    <m/>
    <m/>
    <m/>
    <m/>
    <m/>
    <n v="0"/>
    <n v="0"/>
    <n v="0"/>
    <n v="0"/>
    <m/>
    <m/>
    <n v="0"/>
    <n v="0"/>
    <m/>
    <m/>
    <n v="24419"/>
    <n v="26348"/>
    <n v="14432"/>
    <n v="13659"/>
    <n v="22974"/>
    <n v="24223"/>
    <n v="61825"/>
    <n v="2576.0416666666665"/>
    <n v="64230"/>
    <n v="2676.25"/>
    <n v="19845.441666666669"/>
    <n v="19727.516666666666"/>
  </r>
  <r>
    <x v="13"/>
    <s v="Angelo State University"/>
    <m/>
    <n v="222831"/>
    <x v="2"/>
    <m/>
    <m/>
    <n v="0"/>
    <n v="0"/>
    <n v="82619"/>
    <n v="82432"/>
    <n v="17217"/>
    <n v="16829"/>
    <n v="91898"/>
    <n v="93546"/>
    <n v="191734"/>
    <n v="6391.1333333333332"/>
    <n v="192807"/>
    <n v="6426.9"/>
    <n v="26703"/>
    <n v="27695"/>
    <n v="191734"/>
    <n v="192807"/>
    <m/>
    <m/>
    <m/>
    <m/>
    <m/>
    <m/>
    <m/>
    <m/>
    <n v="0"/>
    <n v="0"/>
    <n v="0"/>
    <n v="0"/>
    <m/>
    <m/>
    <n v="0"/>
    <n v="0"/>
    <m/>
    <m/>
    <n v="12337"/>
    <n v="11745"/>
    <n v="9227"/>
    <n v="8525"/>
    <n v="8193"/>
    <n v="7630"/>
    <n v="29757"/>
    <n v="1239.875"/>
    <n v="27900"/>
    <n v="1162.5"/>
    <n v="7631.0083333333332"/>
    <n v="7589.4"/>
  </r>
  <r>
    <x v="13"/>
    <s v="Lamar University"/>
    <m/>
    <n v="226091"/>
    <x v="2"/>
    <m/>
    <m/>
    <n v="0"/>
    <n v="0"/>
    <n v="96844"/>
    <n v="95780"/>
    <n v="30181"/>
    <n v="30424"/>
    <n v="95776"/>
    <n v="92533"/>
    <n v="222801"/>
    <n v="7426.7"/>
    <n v="218737"/>
    <n v="7291.2333333333336"/>
    <n v="2545"/>
    <n v="3117"/>
    <n v="222801"/>
    <n v="218737"/>
    <m/>
    <m/>
    <m/>
    <m/>
    <m/>
    <m/>
    <m/>
    <m/>
    <n v="0"/>
    <n v="0"/>
    <n v="0"/>
    <n v="0"/>
    <m/>
    <m/>
    <n v="0"/>
    <n v="0"/>
    <m/>
    <m/>
    <n v="38998"/>
    <n v="41955"/>
    <n v="33408"/>
    <n v="40555"/>
    <n v="38135"/>
    <n v="33910"/>
    <n v="110541"/>
    <n v="4605.875"/>
    <n v="116420"/>
    <n v="4850.833333333333"/>
    <n v="12032.575000000001"/>
    <n v="12142.066666666666"/>
  </r>
  <r>
    <x v="13"/>
    <s v="Midwestern State University"/>
    <m/>
    <n v="226833"/>
    <x v="2"/>
    <m/>
    <m/>
    <n v="0"/>
    <n v="0"/>
    <n v="56462"/>
    <n v="56170"/>
    <n v="11665"/>
    <n v="11207"/>
    <n v="61354"/>
    <n v="58981"/>
    <n v="129481"/>
    <n v="4316.0333333333338"/>
    <n v="126358"/>
    <n v="4211.9333333333334"/>
    <n v="142"/>
    <n v="348"/>
    <n v="129481"/>
    <n v="126358"/>
    <m/>
    <m/>
    <m/>
    <m/>
    <m/>
    <m/>
    <m/>
    <m/>
    <n v="0"/>
    <n v="0"/>
    <n v="0"/>
    <n v="0"/>
    <m/>
    <m/>
    <n v="0"/>
    <n v="0"/>
    <m/>
    <m/>
    <n v="3927"/>
    <n v="3866"/>
    <n v="2298"/>
    <n v="2118"/>
    <n v="4191"/>
    <n v="3836"/>
    <n v="10416"/>
    <n v="434"/>
    <n v="9820"/>
    <n v="409.16666666666669"/>
    <n v="4750.0333333333338"/>
    <n v="4621.1000000000004"/>
  </r>
  <r>
    <x v="13"/>
    <s v="Prairie View A&amp;M University"/>
    <m/>
    <n v="227526"/>
    <x v="2"/>
    <m/>
    <m/>
    <n v="0"/>
    <n v="0"/>
    <n v="99945"/>
    <n v="102339"/>
    <n v="15461"/>
    <n v="15020"/>
    <n v="117115"/>
    <n v="110493"/>
    <n v="232521"/>
    <n v="7750.7"/>
    <n v="227852"/>
    <n v="7595.0666666666666"/>
    <n v="0"/>
    <n v="4"/>
    <n v="232521"/>
    <n v="227852"/>
    <m/>
    <m/>
    <m/>
    <m/>
    <m/>
    <m/>
    <m/>
    <m/>
    <n v="0"/>
    <n v="0"/>
    <n v="0"/>
    <n v="0"/>
    <m/>
    <m/>
    <n v="0"/>
    <n v="0"/>
    <m/>
    <m/>
    <n v="8213"/>
    <n v="6497"/>
    <n v="3290"/>
    <n v="2495"/>
    <n v="6959"/>
    <n v="5613"/>
    <n v="18462"/>
    <n v="769.25"/>
    <n v="14605"/>
    <n v="608.54166666666663"/>
    <n v="8519.9500000000007"/>
    <n v="8203.6083333333336"/>
  </r>
  <r>
    <x v="13"/>
    <s v="Sam Houston State University "/>
    <m/>
    <n v="227881"/>
    <x v="2"/>
    <m/>
    <m/>
    <n v="0"/>
    <n v="0"/>
    <n v="217079"/>
    <n v="216441"/>
    <n v="45054"/>
    <n v="41153"/>
    <n v="234747"/>
    <n v="230210"/>
    <n v="496880"/>
    <n v="16562.666666666668"/>
    <n v="487804"/>
    <n v="16260.133333333333"/>
    <n v="0"/>
    <n v="0"/>
    <n v="496880"/>
    <n v="487804"/>
    <m/>
    <m/>
    <m/>
    <m/>
    <m/>
    <m/>
    <m/>
    <m/>
    <n v="0"/>
    <n v="0"/>
    <n v="0"/>
    <n v="0"/>
    <m/>
    <m/>
    <n v="0"/>
    <n v="0"/>
    <m/>
    <m/>
    <n v="15503"/>
    <n v="15200"/>
    <n v="9144"/>
    <n v="9720"/>
    <n v="15515"/>
    <n v="15960"/>
    <n v="40162"/>
    <n v="1673.4166666666667"/>
    <n v="40880"/>
    <n v="1703.3333333333333"/>
    <n v="18236.083333333336"/>
    <n v="17963.466666666667"/>
  </r>
  <r>
    <x v="13"/>
    <s v="Stephen F. Austin State University"/>
    <m/>
    <n v="228431"/>
    <x v="2"/>
    <m/>
    <m/>
    <n v="0"/>
    <n v="0"/>
    <n v="125885"/>
    <n v="126636"/>
    <n v="23841"/>
    <n v="22468"/>
    <n v="139362"/>
    <n v="137307"/>
    <n v="289088"/>
    <n v="9636.2666666666664"/>
    <n v="286411"/>
    <n v="9547.0333333333328"/>
    <n v="6166"/>
    <n v="9928"/>
    <n v="289088"/>
    <n v="286411"/>
    <m/>
    <m/>
    <m/>
    <m/>
    <m/>
    <m/>
    <m/>
    <m/>
    <n v="0"/>
    <n v="0"/>
    <n v="0"/>
    <n v="0"/>
    <m/>
    <m/>
    <n v="0"/>
    <n v="0"/>
    <m/>
    <m/>
    <n v="10238"/>
    <n v="10944"/>
    <n v="8239"/>
    <n v="6832"/>
    <n v="10829"/>
    <n v="9520"/>
    <n v="29306"/>
    <n v="1221.0833333333333"/>
    <n v="27296"/>
    <n v="1137.3333333333333"/>
    <n v="10857.35"/>
    <n v="10684.366666666667"/>
  </r>
  <r>
    <x v="13"/>
    <s v="Sul Ross State University "/>
    <m/>
    <n v="228501"/>
    <x v="2"/>
    <m/>
    <m/>
    <n v="0"/>
    <n v="0"/>
    <n v="15049"/>
    <n v="14125"/>
    <n v="3088"/>
    <n v="2640"/>
    <n v="16228"/>
    <n v="14708"/>
    <n v="34365"/>
    <n v="1145.5"/>
    <n v="31473"/>
    <n v="1049.0999999999999"/>
    <n v="1020"/>
    <n v="765"/>
    <n v="34365"/>
    <n v="31473"/>
    <m/>
    <m/>
    <m/>
    <m/>
    <m/>
    <m/>
    <m/>
    <m/>
    <n v="0"/>
    <n v="0"/>
    <n v="0"/>
    <n v="0"/>
    <m/>
    <m/>
    <n v="0"/>
    <n v="0"/>
    <m/>
    <m/>
    <n v="3281"/>
    <n v="3070"/>
    <n v="2566"/>
    <n v="2211"/>
    <n v="3035"/>
    <n v="2481"/>
    <n v="8882"/>
    <n v="370.08333333333331"/>
    <n v="7762"/>
    <n v="323.41666666666669"/>
    <n v="1515.5833333333333"/>
    <n v="1372.5166666666667"/>
  </r>
  <r>
    <x v="13"/>
    <s v="Tarleton State University"/>
    <m/>
    <n v="228529"/>
    <x v="2"/>
    <m/>
    <m/>
    <n v="0"/>
    <n v="0"/>
    <n v="123587"/>
    <n v="124099"/>
    <n v="29613"/>
    <n v="30112"/>
    <n v="132721"/>
    <n v="131580"/>
    <n v="285921"/>
    <n v="9530.7000000000007"/>
    <n v="285791"/>
    <n v="9526.3666666666668"/>
    <n v="0"/>
    <n v="0"/>
    <n v="285921"/>
    <n v="285791"/>
    <m/>
    <m/>
    <m/>
    <m/>
    <m/>
    <m/>
    <m/>
    <m/>
    <n v="0"/>
    <n v="0"/>
    <n v="0"/>
    <n v="0"/>
    <m/>
    <m/>
    <n v="0"/>
    <n v="0"/>
    <m/>
    <m/>
    <n v="10309"/>
    <n v="11028"/>
    <n v="7329"/>
    <n v="8143"/>
    <n v="10446"/>
    <n v="10380"/>
    <n v="28084"/>
    <n v="1170.1666666666667"/>
    <n v="29551"/>
    <n v="1231.2916666666667"/>
    <n v="10700.866666666667"/>
    <n v="10757.658333333333"/>
  </r>
  <r>
    <x v="13"/>
    <s v="Texas A&amp;M International University"/>
    <m/>
    <n v="226152"/>
    <x v="2"/>
    <m/>
    <m/>
    <n v="0"/>
    <n v="0"/>
    <n v="71731"/>
    <n v="78872"/>
    <n v="18928"/>
    <n v="16802"/>
    <n v="83693"/>
    <n v="86691"/>
    <n v="174352"/>
    <n v="5811.7333333333336"/>
    <n v="182365"/>
    <n v="6078.833333333333"/>
    <n v="9265"/>
    <n v="8749"/>
    <n v="174352"/>
    <n v="182365"/>
    <m/>
    <m/>
    <m/>
    <m/>
    <m/>
    <m/>
    <m/>
    <m/>
    <n v="0"/>
    <n v="0"/>
    <n v="0"/>
    <n v="0"/>
    <m/>
    <m/>
    <n v="0"/>
    <n v="0"/>
    <m/>
    <m/>
    <n v="1082"/>
    <n v="6203"/>
    <n v="7302"/>
    <n v="6635"/>
    <n v="4684"/>
    <n v="5428"/>
    <n v="13068"/>
    <n v="544.5"/>
    <n v="18266"/>
    <n v="761.08333333333337"/>
    <n v="6356.2333333333336"/>
    <n v="6839.9166666666661"/>
  </r>
  <r>
    <x v="13"/>
    <s v="Texas A&amp;M University-Commerce"/>
    <m/>
    <n v="224554"/>
    <x v="2"/>
    <m/>
    <m/>
    <n v="0"/>
    <n v="0"/>
    <n v="79589"/>
    <n v="80022"/>
    <n v="20261"/>
    <n v="20401"/>
    <n v="90349"/>
    <n v="91681"/>
    <n v="190199"/>
    <n v="6339.9666666666662"/>
    <n v="192104"/>
    <n v="6403.4666666666662"/>
    <n v="4098"/>
    <n v="4755"/>
    <n v="190199"/>
    <n v="192104"/>
    <m/>
    <m/>
    <m/>
    <m/>
    <m/>
    <m/>
    <m/>
    <m/>
    <n v="0"/>
    <n v="0"/>
    <n v="0"/>
    <n v="0"/>
    <m/>
    <m/>
    <n v="0"/>
    <n v="0"/>
    <m/>
    <m/>
    <n v="5041"/>
    <n v="21128"/>
    <n v="39141"/>
    <n v="14866"/>
    <n v="24432"/>
    <n v="20357"/>
    <n v="68614"/>
    <n v="2858.9166666666665"/>
    <n v="56351"/>
    <n v="2347.9583333333335"/>
    <n v="9198.8833333333332"/>
    <n v="8751.4249999999993"/>
  </r>
  <r>
    <x v="13"/>
    <s v="Texas A&amp;M University-Corpus Christi "/>
    <s v="Met the criteria for Four-Year 2 in 2019-20."/>
    <n v="224147"/>
    <x v="2"/>
    <m/>
    <m/>
    <n v="0"/>
    <n v="0"/>
    <n v="110629"/>
    <n v="104996"/>
    <n v="24904"/>
    <n v="26034"/>
    <n v="113588"/>
    <n v="108024"/>
    <n v="249121"/>
    <n v="8304.0333333333328"/>
    <n v="239054"/>
    <n v="7968.4666666666662"/>
    <n v="912"/>
    <n v="1705"/>
    <n v="249121"/>
    <n v="239054"/>
    <m/>
    <m/>
    <m/>
    <m/>
    <m/>
    <m/>
    <m/>
    <m/>
    <n v="0"/>
    <n v="0"/>
    <n v="0"/>
    <n v="0"/>
    <m/>
    <m/>
    <n v="0"/>
    <n v="0"/>
    <m/>
    <m/>
    <n v="14022"/>
    <n v="15205"/>
    <n v="10815"/>
    <n v="13232"/>
    <n v="11645"/>
    <n v="11518"/>
    <n v="36482"/>
    <n v="1520.0833333333333"/>
    <n v="39955"/>
    <n v="1664.7916666666667"/>
    <n v="9824.1166666666668"/>
    <n v="9633.2583333333332"/>
  </r>
  <r>
    <x v="13"/>
    <s v="Texas A&amp;M University-Kingsville"/>
    <m/>
    <n v="228705"/>
    <x v="2"/>
    <m/>
    <m/>
    <n v="0"/>
    <n v="0"/>
    <n v="72396"/>
    <n v="72436"/>
    <n v="12038"/>
    <n v="11297"/>
    <n v="81347"/>
    <n v="72881"/>
    <n v="165781"/>
    <n v="5526.0333333333338"/>
    <n v="156614"/>
    <n v="5220.4666666666662"/>
    <n v="11712"/>
    <n v="10516"/>
    <n v="165781"/>
    <n v="156614"/>
    <m/>
    <m/>
    <m/>
    <m/>
    <m/>
    <m/>
    <m/>
    <m/>
    <n v="0"/>
    <n v="0"/>
    <n v="0"/>
    <n v="0"/>
    <m/>
    <m/>
    <n v="0"/>
    <n v="0"/>
    <m/>
    <m/>
    <n v="12262"/>
    <n v="10742"/>
    <n v="6276"/>
    <n v="6011"/>
    <n v="11242"/>
    <n v="9605"/>
    <n v="29780"/>
    <n v="1240.8333333333333"/>
    <n v="26358"/>
    <n v="1098.25"/>
    <n v="6766.8666666666668"/>
    <n v="6318.7166666666662"/>
  </r>
  <r>
    <x v="13"/>
    <s v="Texas Southern University "/>
    <m/>
    <n v="229063"/>
    <x v="2"/>
    <m/>
    <m/>
    <n v="0"/>
    <n v="0"/>
    <n v="91250"/>
    <n v="87932"/>
    <n v="10763"/>
    <n v="11175"/>
    <n v="101449"/>
    <n v="93480"/>
    <n v="203462"/>
    <n v="6782.0666666666666"/>
    <n v="192587"/>
    <n v="6419.5666666666666"/>
    <n v="0"/>
    <n v="3"/>
    <n v="203462"/>
    <n v="192587"/>
    <m/>
    <m/>
    <m/>
    <m/>
    <m/>
    <m/>
    <m/>
    <m/>
    <n v="0"/>
    <n v="0"/>
    <n v="0"/>
    <n v="0"/>
    <m/>
    <m/>
    <n v="0"/>
    <n v="0"/>
    <m/>
    <m/>
    <n v="23537"/>
    <n v="21690"/>
    <n v="5122"/>
    <n v="4890"/>
    <n v="22423"/>
    <n v="20889"/>
    <n v="51082"/>
    <n v="2128.4166666666665"/>
    <n v="47469"/>
    <n v="1977.875"/>
    <n v="8910.4833333333336"/>
    <n v="8397.4416666666657"/>
  </r>
  <r>
    <x v="13"/>
    <s v="University of Houston-Clear Lake "/>
    <m/>
    <n v="225414"/>
    <x v="2"/>
    <m/>
    <m/>
    <n v="0"/>
    <n v="0"/>
    <n v="56603"/>
    <n v="60361"/>
    <n v="14841"/>
    <n v="17086"/>
    <n v="63823"/>
    <n v="65896"/>
    <n v="135267"/>
    <n v="4508.8999999999996"/>
    <n v="143343"/>
    <n v="4778.1000000000004"/>
    <n v="0"/>
    <n v="0"/>
    <n v="135267"/>
    <n v="143343"/>
    <m/>
    <m/>
    <m/>
    <m/>
    <m/>
    <m/>
    <m/>
    <m/>
    <n v="0"/>
    <n v="0"/>
    <n v="0"/>
    <n v="0"/>
    <m/>
    <m/>
    <n v="0"/>
    <n v="0"/>
    <m/>
    <m/>
    <n v="17205"/>
    <n v="17867"/>
    <n v="8367"/>
    <n v="9951"/>
    <n v="15154"/>
    <n v="14299"/>
    <n v="40726"/>
    <n v="1696.9166666666667"/>
    <n v="42117"/>
    <n v="1754.875"/>
    <n v="6205.8166666666666"/>
    <n v="6532.9750000000004"/>
  </r>
  <r>
    <x v="13"/>
    <s v="University of Texas - Rio Grande Valley"/>
    <m/>
    <n v="227368"/>
    <x v="2"/>
    <m/>
    <m/>
    <n v="0"/>
    <n v="0"/>
    <n v="276742"/>
    <n v="281152"/>
    <n v="74124"/>
    <n v="72151"/>
    <n v="305733"/>
    <n v="311726"/>
    <n v="656599"/>
    <n v="21886.633333333335"/>
    <n v="665029"/>
    <n v="22167.633333333335"/>
    <n v="16942"/>
    <n v="19152"/>
    <n v="656599"/>
    <n v="665029"/>
    <m/>
    <m/>
    <m/>
    <m/>
    <m/>
    <m/>
    <m/>
    <m/>
    <n v="0"/>
    <n v="0"/>
    <n v="0"/>
    <n v="0"/>
    <m/>
    <m/>
    <n v="0"/>
    <n v="0"/>
    <m/>
    <m/>
    <n v="21943"/>
    <n v="25988"/>
    <n v="16999"/>
    <n v="20477"/>
    <n v="22947"/>
    <n v="25682"/>
    <n v="61889"/>
    <n v="2578.7083333333335"/>
    <n v="72147"/>
    <n v="3006.125"/>
    <n v="24465.341666666667"/>
    <n v="25173.758333333335"/>
  </r>
  <r>
    <x v="13"/>
    <s v="University of Texas at Tyler"/>
    <m/>
    <n v="228802"/>
    <x v="2"/>
    <m/>
    <m/>
    <n v="0"/>
    <n v="0"/>
    <n v="74409"/>
    <n v="73082"/>
    <n v="14541"/>
    <n v="16088"/>
    <n v="79992"/>
    <n v="78733"/>
    <n v="168942"/>
    <n v="5631.4"/>
    <n v="167903"/>
    <n v="5596.7666666666664"/>
    <n v="4535"/>
    <n v="2153"/>
    <n v="168942"/>
    <n v="167903"/>
    <m/>
    <m/>
    <m/>
    <m/>
    <m/>
    <m/>
    <m/>
    <m/>
    <n v="0"/>
    <n v="0"/>
    <n v="0"/>
    <n v="0"/>
    <m/>
    <m/>
    <n v="0"/>
    <n v="0"/>
    <m/>
    <m/>
    <n v="16071"/>
    <n v="14828"/>
    <n v="12574"/>
    <n v="11028"/>
    <n v="14496"/>
    <n v="13511"/>
    <n v="43141"/>
    <n v="1797.5416666666667"/>
    <n v="39367"/>
    <n v="1640.2916666666667"/>
    <n v="7428.9416666666666"/>
    <n v="7237.0583333333334"/>
  </r>
  <r>
    <x v="13"/>
    <s v="University of Texas of the Permian Basin"/>
    <m/>
    <n v="229018"/>
    <x v="2"/>
    <m/>
    <m/>
    <n v="0"/>
    <n v="0"/>
    <n v="49116"/>
    <n v="43516"/>
    <n v="14803"/>
    <n v="17358"/>
    <n v="43457"/>
    <n v="40050"/>
    <n v="107376"/>
    <n v="3579.2"/>
    <n v="100924"/>
    <n v="3364.1333333333332"/>
    <n v="13605"/>
    <n v="7108"/>
    <n v="107376"/>
    <n v="100924"/>
    <m/>
    <m/>
    <m/>
    <m/>
    <m/>
    <m/>
    <m/>
    <m/>
    <n v="0"/>
    <n v="0"/>
    <n v="0"/>
    <n v="0"/>
    <m/>
    <m/>
    <n v="0"/>
    <n v="0"/>
    <m/>
    <m/>
    <n v="5719"/>
    <n v="7251"/>
    <n v="5665"/>
    <n v="7710"/>
    <n v="4097"/>
    <n v="3402"/>
    <n v="15481"/>
    <n v="645.04166666666663"/>
    <n v="18363"/>
    <n v="765.125"/>
    <n v="4224.2416666666668"/>
    <n v="4129.2583333333332"/>
  </r>
  <r>
    <x v="13"/>
    <s v="West Texas A&amp;M University"/>
    <m/>
    <n v="229814"/>
    <x v="2"/>
    <m/>
    <m/>
    <n v="0"/>
    <n v="0"/>
    <n v="81803"/>
    <n v="81596"/>
    <n v="14894"/>
    <n v="15477"/>
    <n v="90695"/>
    <n v="91069"/>
    <n v="187392"/>
    <n v="6246.4"/>
    <n v="188142"/>
    <n v="6271.4"/>
    <n v="0"/>
    <n v="0"/>
    <n v="187392"/>
    <n v="188142"/>
    <m/>
    <m/>
    <m/>
    <m/>
    <m/>
    <m/>
    <m/>
    <m/>
    <n v="0"/>
    <n v="0"/>
    <n v="0"/>
    <n v="0"/>
    <m/>
    <m/>
    <n v="0"/>
    <n v="0"/>
    <m/>
    <m/>
    <n v="15189"/>
    <n v="15504"/>
    <n v="8725"/>
    <n v="8553"/>
    <n v="15130"/>
    <n v="14836"/>
    <n v="39044"/>
    <n v="1626.8333333333333"/>
    <n v="38893"/>
    <n v="1620.5416666666667"/>
    <n v="7873.2333333333327"/>
    <n v="7891.9416666666666"/>
  </r>
  <r>
    <x v="13"/>
    <s v="Texas A &amp; M University - Central Texas"/>
    <s v="Met the criteria for Four-Year 3 in 2018-19 and 2019-20."/>
    <n v="483036"/>
    <x v="3"/>
    <m/>
    <m/>
    <n v="0"/>
    <n v="0"/>
    <n v="15543"/>
    <n v="16148"/>
    <n v="7622"/>
    <n v="7429"/>
    <n v="15740"/>
    <n v="16225"/>
    <n v="38905"/>
    <n v="1296.8333333333333"/>
    <n v="39802"/>
    <n v="1326.7333333333333"/>
    <n v="0"/>
    <n v="0"/>
    <n v="38905"/>
    <n v="39802"/>
    <m/>
    <m/>
    <m/>
    <m/>
    <m/>
    <m/>
    <m/>
    <m/>
    <n v="0"/>
    <n v="0"/>
    <n v="0"/>
    <n v="0"/>
    <m/>
    <m/>
    <n v="0"/>
    <n v="0"/>
    <m/>
    <m/>
    <n v="3250"/>
    <n v="3216"/>
    <n v="2185"/>
    <n v="1905"/>
    <n v="3357"/>
    <n v="2894"/>
    <n v="8792"/>
    <n v="366.33333333333331"/>
    <n v="8015"/>
    <n v="333.95833333333331"/>
    <n v="1663.1666666666665"/>
    <n v="1660.6916666666666"/>
  </r>
  <r>
    <x v="13"/>
    <s v="Texas A&amp;M -Texarkana"/>
    <m/>
    <n v="224545"/>
    <x v="3"/>
    <m/>
    <m/>
    <n v="0"/>
    <n v="0"/>
    <n v="18076"/>
    <n v="18043"/>
    <n v="4749"/>
    <n v="4431"/>
    <n v="19296"/>
    <n v="19678"/>
    <n v="42121"/>
    <n v="1404.0333333333333"/>
    <n v="42152"/>
    <n v="1405.0666666666666"/>
    <n v="0"/>
    <n v="0"/>
    <n v="42121"/>
    <n v="42152"/>
    <m/>
    <m/>
    <m/>
    <m/>
    <m/>
    <m/>
    <m/>
    <m/>
    <n v="0"/>
    <n v="0"/>
    <n v="0"/>
    <n v="0"/>
    <m/>
    <m/>
    <n v="0"/>
    <n v="0"/>
    <m/>
    <m/>
    <n v="2069"/>
    <n v="1857"/>
    <n v="1582"/>
    <n v="1288"/>
    <n v="2081"/>
    <n v="1790"/>
    <n v="5732"/>
    <n v="238.83333333333334"/>
    <n v="4935"/>
    <n v="205.625"/>
    <n v="1642.8666666666666"/>
    <n v="1610.6916666666666"/>
  </r>
  <r>
    <x v="13"/>
    <s v="University of Houston-Victoria"/>
    <m/>
    <n v="225502"/>
    <x v="3"/>
    <m/>
    <m/>
    <n v="0"/>
    <n v="0"/>
    <n v="30256"/>
    <n v="29444"/>
    <n v="8833"/>
    <n v="8975"/>
    <n v="32410"/>
    <n v="33068"/>
    <n v="71499"/>
    <n v="2383.3000000000002"/>
    <n v="71487"/>
    <n v="2382.9"/>
    <n v="561"/>
    <n v="891"/>
    <n v="71499"/>
    <n v="71487"/>
    <m/>
    <m/>
    <m/>
    <m/>
    <m/>
    <m/>
    <m/>
    <m/>
    <n v="0"/>
    <n v="0"/>
    <n v="0"/>
    <n v="0"/>
    <m/>
    <m/>
    <n v="0"/>
    <n v="0"/>
    <m/>
    <m/>
    <n v="6467"/>
    <n v="6891"/>
    <n v="3660"/>
    <n v="4524"/>
    <n v="7185"/>
    <n v="7490"/>
    <n v="17312"/>
    <n v="721.33333333333337"/>
    <n v="18905"/>
    <n v="787.70833333333337"/>
    <n v="3104.6333333333337"/>
    <n v="3170.6083333333336"/>
  </r>
  <r>
    <x v="13"/>
    <s v="Sul Ross State University-Rio Grande College"/>
    <m/>
    <s v="228501B"/>
    <x v="4"/>
    <m/>
    <m/>
    <n v="0"/>
    <n v="0"/>
    <n v="5208"/>
    <n v="5467"/>
    <n v="2733"/>
    <n v="2736"/>
    <n v="5965"/>
    <n v="5411"/>
    <n v="13906"/>
    <n v="463.53333333333336"/>
    <n v="13614"/>
    <n v="453.8"/>
    <n v="0"/>
    <n v="0"/>
    <n v="13906"/>
    <n v="13614"/>
    <m/>
    <m/>
    <m/>
    <m/>
    <m/>
    <m/>
    <m/>
    <m/>
    <n v="0"/>
    <n v="0"/>
    <n v="0"/>
    <n v="0"/>
    <m/>
    <m/>
    <n v="0"/>
    <n v="0"/>
    <m/>
    <m/>
    <n v="744"/>
    <n v="585"/>
    <n v="555"/>
    <n v="354"/>
    <n v="666"/>
    <n v="573"/>
    <n v="1965"/>
    <n v="81.875"/>
    <n v="1512"/>
    <n v="63"/>
    <n v="545.4083333333333"/>
    <n v="516.79999999999995"/>
  </r>
  <r>
    <x v="13"/>
    <s v="Texas A&amp;M University at Galveston"/>
    <m/>
    <n v="228714"/>
    <x v="4"/>
    <m/>
    <m/>
    <n v="0"/>
    <n v="0"/>
    <n v="26382"/>
    <n v="24783"/>
    <n v="3631"/>
    <n v="3917"/>
    <n v="28194"/>
    <n v="25492"/>
    <n v="58207"/>
    <n v="1940.2333333333333"/>
    <n v="54192"/>
    <n v="1806.4"/>
    <n v="0"/>
    <n v="0"/>
    <n v="58207"/>
    <n v="54192"/>
    <m/>
    <m/>
    <m/>
    <m/>
    <m/>
    <m/>
    <m/>
    <m/>
    <n v="0"/>
    <n v="0"/>
    <n v="0"/>
    <n v="0"/>
    <m/>
    <m/>
    <n v="0"/>
    <n v="0"/>
    <m/>
    <m/>
    <n v="1053"/>
    <n v="1097"/>
    <n v="304"/>
    <n v="268"/>
    <n v="1069"/>
    <n v="1133"/>
    <n v="2426"/>
    <n v="101.08333333333333"/>
    <n v="2498"/>
    <n v="104.08333333333333"/>
    <n v="2041.3166666666666"/>
    <n v="1910.4833333333333"/>
  </r>
  <r>
    <x v="13"/>
    <s v="Texas A&amp;M University-San Antonio"/>
    <s v="Met the criteria for Four-Year 4 in 2018-19 and 2019-20."/>
    <n v="870501"/>
    <x v="4"/>
    <m/>
    <m/>
    <n v="0"/>
    <n v="0"/>
    <n v="54951"/>
    <n v="56439"/>
    <n v="14336"/>
    <n v="13473"/>
    <n v="59167"/>
    <n v="61123"/>
    <n v="128454"/>
    <n v="4281.8"/>
    <n v="131035"/>
    <n v="4367.833333333333"/>
    <n v="0"/>
    <n v="567"/>
    <n v="128454"/>
    <n v="131035"/>
    <m/>
    <m/>
    <m/>
    <m/>
    <m/>
    <m/>
    <m/>
    <m/>
    <n v="0"/>
    <n v="0"/>
    <n v="0"/>
    <n v="0"/>
    <m/>
    <m/>
    <n v="0"/>
    <n v="0"/>
    <m/>
    <m/>
    <n v="5871"/>
    <n v="5211"/>
    <n v="3720"/>
    <n v="2574"/>
    <n v="5018"/>
    <n v="3888"/>
    <n v="14609"/>
    <n v="608.70833333333337"/>
    <n v="11673"/>
    <n v="486.375"/>
    <n v="4890.5083333333332"/>
    <n v="4854.208333333333"/>
  </r>
  <r>
    <x v="13"/>
    <s v="University of Houston-Downtown"/>
    <s v="Reclassified: Met the criteria for Four-Year 4 in 2017-18 and 2018-19 and 2019-20."/>
    <n v="225432"/>
    <x v="3"/>
    <m/>
    <m/>
    <n v="0"/>
    <n v="0"/>
    <n v="108361"/>
    <n v="108080"/>
    <n v="32219"/>
    <n v="29669"/>
    <n v="115497"/>
    <n v="126358"/>
    <n v="256077"/>
    <n v="8535.9"/>
    <n v="264107"/>
    <n v="8803.5666666666675"/>
    <n v="24"/>
    <n v="3"/>
    <n v="256077"/>
    <n v="264107"/>
    <m/>
    <m/>
    <m/>
    <m/>
    <m/>
    <m/>
    <m/>
    <m/>
    <n v="0"/>
    <n v="0"/>
    <n v="0"/>
    <n v="0"/>
    <m/>
    <m/>
    <n v="0"/>
    <n v="0"/>
    <m/>
    <m/>
    <n v="10942"/>
    <n v="11154"/>
    <n v="10490"/>
    <n v="10284"/>
    <n v="6795"/>
    <n v="6624"/>
    <n v="28227"/>
    <n v="1176.125"/>
    <n v="28062"/>
    <n v="1169.25"/>
    <n v="9712.0249999999996"/>
    <n v="9972.8166666666675"/>
  </r>
  <r>
    <x v="13"/>
    <s v="Brazosport College "/>
    <m/>
    <n v="223506"/>
    <x v="12"/>
    <m/>
    <m/>
    <n v="30091"/>
    <n v="29043"/>
    <n v="11001"/>
    <n v="11286"/>
    <n v="3417"/>
    <n v="3169"/>
    <n v="31160"/>
    <n v="30298"/>
    <n v="75669"/>
    <n v="2522.3000000000002"/>
    <n v="73796"/>
    <n v="2459.8666666666668"/>
    <n v="10779"/>
    <n v="10466"/>
    <n v="75669"/>
    <n v="73796"/>
    <n v="5414"/>
    <n v="3958"/>
    <n v="7559"/>
    <n v="4688"/>
    <n v="5744"/>
    <n v="7316"/>
    <n v="2473"/>
    <n v="3476"/>
    <n v="21190"/>
    <n v="23.544444444444444"/>
    <n v="19438"/>
    <n v="21.597777777777779"/>
    <m/>
    <m/>
    <n v="0"/>
    <n v="0"/>
    <m/>
    <m/>
    <m/>
    <m/>
    <m/>
    <m/>
    <m/>
    <m/>
    <n v="0"/>
    <n v="0"/>
    <n v="0"/>
    <n v="0"/>
    <n v="2545.8444444444444"/>
    <n v="2481.4644444444448"/>
  </r>
  <r>
    <x v="13"/>
    <s v="Midland College "/>
    <m/>
    <n v="226806"/>
    <x v="12"/>
    <m/>
    <m/>
    <n v="42797"/>
    <n v="40161"/>
    <n v="13719"/>
    <n v="14542"/>
    <n v="0"/>
    <n v="0"/>
    <n v="40002"/>
    <n v="39025"/>
    <n v="96518"/>
    <n v="3217.2666666666669"/>
    <n v="93728"/>
    <n v="3124.2666666666669"/>
    <n v="16984"/>
    <n v="19308"/>
    <n v="96518"/>
    <n v="93728"/>
    <n v="44503"/>
    <n v="30196"/>
    <n v="35421"/>
    <n v="31994"/>
    <n v="22315"/>
    <n v="26943"/>
    <n v="43981"/>
    <n v="35554"/>
    <n v="146220"/>
    <n v="162.46666666666667"/>
    <n v="124687"/>
    <n v="138.54111111111112"/>
    <m/>
    <m/>
    <n v="0"/>
    <n v="0"/>
    <m/>
    <m/>
    <m/>
    <m/>
    <m/>
    <m/>
    <m/>
    <m/>
    <n v="0"/>
    <n v="0"/>
    <n v="0"/>
    <n v="0"/>
    <n v="3379.7333333333336"/>
    <n v="3262.807777777778"/>
  </r>
  <r>
    <x v="13"/>
    <s v="South Texas College"/>
    <m/>
    <n v="409315"/>
    <x v="12"/>
    <m/>
    <m/>
    <n v="260773"/>
    <n v="270182"/>
    <n v="64899"/>
    <n v="73142"/>
    <n v="40538"/>
    <n v="0"/>
    <n v="263858"/>
    <n v="301381"/>
    <n v="630068"/>
    <n v="21002.266666666666"/>
    <n v="644705"/>
    <n v="21490.166666666668"/>
    <n v="188960"/>
    <n v="212363"/>
    <n v="630068"/>
    <n v="644705"/>
    <n v="48467"/>
    <n v="75779"/>
    <n v="54004"/>
    <n v="50543"/>
    <n v="39774"/>
    <n v="39508"/>
    <n v="54755"/>
    <n v="56458"/>
    <n v="197000"/>
    <n v="218.88888888888889"/>
    <n v="222288"/>
    <n v="246.98666666666668"/>
    <m/>
    <m/>
    <n v="0"/>
    <n v="0"/>
    <m/>
    <m/>
    <m/>
    <m/>
    <m/>
    <m/>
    <m/>
    <m/>
    <n v="0"/>
    <n v="0"/>
    <n v="0"/>
    <n v="0"/>
    <n v="21221.155555555557"/>
    <n v="21737.153333333335"/>
  </r>
  <r>
    <x v="13"/>
    <s v="Amarillo College "/>
    <m/>
    <n v="222576"/>
    <x v="6"/>
    <m/>
    <m/>
    <n v="86906"/>
    <n v="70858"/>
    <n v="41407"/>
    <n v="17868"/>
    <n v="0"/>
    <n v="0"/>
    <n v="81182"/>
    <n v="81490"/>
    <n v="209495"/>
    <n v="6983.166666666667"/>
    <n v="170216"/>
    <n v="5673.8666666666668"/>
    <n v="36866"/>
    <n v="24019"/>
    <n v="209495"/>
    <n v="170216"/>
    <n v="81154"/>
    <n v="86561"/>
    <n v="93423"/>
    <n v="90675"/>
    <n v="66935"/>
    <n v="69167"/>
    <n v="96879"/>
    <n v="99203"/>
    <n v="338391"/>
    <n v="375.99"/>
    <n v="345606"/>
    <n v="384.00666666666666"/>
    <m/>
    <m/>
    <n v="0"/>
    <n v="0"/>
    <m/>
    <m/>
    <m/>
    <m/>
    <m/>
    <m/>
    <m/>
    <m/>
    <n v="0"/>
    <n v="0"/>
    <n v="0"/>
    <n v="0"/>
    <n v="7359.1566666666668"/>
    <n v="6057.873333333333"/>
  </r>
  <r>
    <x v="13"/>
    <s v="Austin Community College "/>
    <s v="Met the criteria for Two-Year with Bachelor's in 2019-20."/>
    <n v="222992"/>
    <x v="6"/>
    <m/>
    <m/>
    <n v="286370"/>
    <n v="287998"/>
    <n v="151045"/>
    <n v="150318"/>
    <n v="0"/>
    <n v="0"/>
    <n v="271868"/>
    <n v="273242"/>
    <n v="709283"/>
    <n v="23642.766666666666"/>
    <n v="711558"/>
    <n v="23718.6"/>
    <n v="90452"/>
    <n v="98636"/>
    <n v="709283"/>
    <n v="711558"/>
    <n v="148931"/>
    <n v="141019"/>
    <n v="113594"/>
    <n v="102843"/>
    <n v="220416"/>
    <n v="155536"/>
    <n v="123177"/>
    <n v="122477"/>
    <n v="606118"/>
    <n v="673.46444444444444"/>
    <n v="521875"/>
    <n v="579.86111111111109"/>
    <m/>
    <m/>
    <n v="0"/>
    <n v="0"/>
    <m/>
    <m/>
    <m/>
    <m/>
    <m/>
    <m/>
    <m/>
    <m/>
    <n v="0"/>
    <n v="0"/>
    <n v="0"/>
    <n v="0"/>
    <n v="24316.231111111112"/>
    <n v="24298.461111111108"/>
  </r>
  <r>
    <x v="13"/>
    <s v="Blinn College "/>
    <m/>
    <n v="223427"/>
    <x v="6"/>
    <m/>
    <m/>
    <n v="168343"/>
    <n v="171160"/>
    <n v="35714"/>
    <n v="36734"/>
    <n v="15620"/>
    <n v="17054"/>
    <n v="185278"/>
    <n v="188122"/>
    <n v="404955"/>
    <n v="13498.5"/>
    <n v="413070"/>
    <n v="13769"/>
    <n v="18770"/>
    <n v="18234"/>
    <n v="404955"/>
    <n v="413070"/>
    <n v="28913"/>
    <n v="26370"/>
    <n v="23204"/>
    <n v="16638"/>
    <n v="27744"/>
    <n v="24853"/>
    <n v="40048"/>
    <n v="25527"/>
    <n v="119909"/>
    <n v="133.23222222222222"/>
    <n v="93388"/>
    <n v="103.76444444444445"/>
    <m/>
    <m/>
    <n v="0"/>
    <n v="0"/>
    <m/>
    <m/>
    <m/>
    <m/>
    <m/>
    <m/>
    <m/>
    <m/>
    <n v="0"/>
    <n v="0"/>
    <n v="0"/>
    <n v="0"/>
    <n v="13631.732222222223"/>
    <n v="13872.764444444445"/>
  </r>
  <r>
    <x v="13"/>
    <s v="Brookhaven College (DCCCD)"/>
    <m/>
    <n v="223524"/>
    <x v="6"/>
    <m/>
    <m/>
    <n v="82151"/>
    <n v="76341"/>
    <n v="61257"/>
    <n v="57405"/>
    <n v="0"/>
    <n v="0"/>
    <n v="66067"/>
    <n v="68250"/>
    <n v="209475"/>
    <n v="6982.5"/>
    <n v="201996"/>
    <n v="6733.2"/>
    <n v="22174"/>
    <n v="23583"/>
    <n v="209475"/>
    <n v="201996"/>
    <n v="31852"/>
    <n v="36152"/>
    <n v="32343"/>
    <n v="33625"/>
    <n v="41671"/>
    <n v="41218"/>
    <n v="54983"/>
    <n v="47340"/>
    <n v="160849"/>
    <n v="178.7211111111111"/>
    <n v="158335"/>
    <n v="175.92777777777778"/>
    <m/>
    <m/>
    <n v="0"/>
    <n v="0"/>
    <m/>
    <m/>
    <m/>
    <m/>
    <m/>
    <m/>
    <m/>
    <m/>
    <n v="0"/>
    <n v="0"/>
    <n v="0"/>
    <n v="0"/>
    <n v="7161.221111111111"/>
    <n v="6909.1277777777777"/>
  </r>
  <r>
    <x v="13"/>
    <s v="Central Texas College "/>
    <m/>
    <n v="223816"/>
    <x v="6"/>
    <m/>
    <m/>
    <n v="91002"/>
    <n v="94173"/>
    <n v="53273"/>
    <n v="56277"/>
    <n v="5403"/>
    <n v="6032"/>
    <n v="79645"/>
    <n v="75952"/>
    <n v="229323"/>
    <n v="7644.1"/>
    <n v="232434"/>
    <n v="7747.8"/>
    <n v="24914"/>
    <n v="32773"/>
    <n v="229323"/>
    <n v="232434"/>
    <n v="53563"/>
    <n v="61325"/>
    <n v="75921"/>
    <n v="104884"/>
    <n v="76149"/>
    <n v="86144"/>
    <n v="77066"/>
    <n v="74243"/>
    <n v="282699"/>
    <n v="314.11"/>
    <n v="326596"/>
    <n v="362.88444444444445"/>
    <m/>
    <m/>
    <n v="0"/>
    <n v="0"/>
    <m/>
    <m/>
    <m/>
    <m/>
    <m/>
    <m/>
    <m/>
    <m/>
    <n v="0"/>
    <n v="0"/>
    <n v="0"/>
    <n v="0"/>
    <n v="7958.21"/>
    <n v="8110.684444444445"/>
  </r>
  <r>
    <x v="13"/>
    <s v="Collin County Community College District"/>
    <m/>
    <n v="247834"/>
    <x v="6"/>
    <m/>
    <m/>
    <n v="243636"/>
    <n v="262043"/>
    <n v="66690"/>
    <n v="67662"/>
    <n v="0"/>
    <n v="0"/>
    <n v="288022"/>
    <n v="295058"/>
    <n v="598348"/>
    <n v="19944.933333333334"/>
    <n v="624763"/>
    <n v="20825.433333333334"/>
    <n v="65343"/>
    <n v="83675"/>
    <n v="598348"/>
    <n v="624763"/>
    <n v="145433"/>
    <n v="147471"/>
    <n v="126949"/>
    <n v="144424"/>
    <n v="132252"/>
    <n v="113589"/>
    <n v="220249"/>
    <n v="222238"/>
    <n v="624883"/>
    <n v="694.31444444444446"/>
    <n v="627722"/>
    <n v="697.46888888888884"/>
    <m/>
    <m/>
    <n v="0"/>
    <n v="0"/>
    <m/>
    <m/>
    <m/>
    <m/>
    <m/>
    <m/>
    <m/>
    <m/>
    <n v="0"/>
    <n v="0"/>
    <n v="0"/>
    <n v="0"/>
    <n v="20639.247777777779"/>
    <n v="21522.902222222223"/>
  </r>
  <r>
    <x v="13"/>
    <s v="Del Mar College "/>
    <m/>
    <n v="224350"/>
    <x v="6"/>
    <m/>
    <m/>
    <n v="83963"/>
    <n v="84022"/>
    <n v="15964"/>
    <n v="15284"/>
    <n v="17620"/>
    <n v="16056"/>
    <n v="89977"/>
    <n v="91970"/>
    <n v="207524"/>
    <n v="6917.4666666666662"/>
    <n v="207332"/>
    <n v="6911.0666666666666"/>
    <n v="30094"/>
    <n v="32731"/>
    <n v="207524"/>
    <n v="207332"/>
    <n v="72166"/>
    <n v="185552"/>
    <n v="50489"/>
    <n v="92943"/>
    <n v="76090"/>
    <n v="97632"/>
    <n v="132904"/>
    <n v="212319"/>
    <n v="331649"/>
    <n v="368.49888888888887"/>
    <n v="588446"/>
    <n v="653.82888888888886"/>
    <m/>
    <m/>
    <n v="0"/>
    <n v="0"/>
    <m/>
    <m/>
    <m/>
    <m/>
    <m/>
    <m/>
    <m/>
    <m/>
    <n v="0"/>
    <n v="0"/>
    <n v="0"/>
    <n v="0"/>
    <n v="7285.9655555555555"/>
    <n v="7564.8955555555558"/>
  </r>
  <r>
    <x v="13"/>
    <s v="Eastfield College (DCCCD)"/>
    <m/>
    <n v="224572"/>
    <x v="6"/>
    <m/>
    <m/>
    <n v="120018"/>
    <n v="109621"/>
    <n v="67387"/>
    <n v="75260"/>
    <n v="0"/>
    <n v="0"/>
    <n v="81902"/>
    <n v="80052"/>
    <n v="269307"/>
    <n v="8976.9"/>
    <n v="264933"/>
    <n v="8831.1"/>
    <n v="62302"/>
    <n v="63812"/>
    <n v="269307"/>
    <n v="264933"/>
    <n v="36422"/>
    <n v="31308"/>
    <n v="42632"/>
    <n v="34626"/>
    <n v="41492"/>
    <n v="46440"/>
    <n v="63613"/>
    <n v="51570"/>
    <n v="184159"/>
    <n v="204.62111111111111"/>
    <n v="163944"/>
    <n v="182.16"/>
    <m/>
    <m/>
    <n v="0"/>
    <n v="0"/>
    <m/>
    <m/>
    <m/>
    <m/>
    <m/>
    <m/>
    <m/>
    <m/>
    <n v="0"/>
    <n v="0"/>
    <n v="0"/>
    <n v="0"/>
    <n v="9181.5211111111112"/>
    <n v="9013.26"/>
  </r>
  <r>
    <x v="13"/>
    <s v="El Centro College (DCCCD)"/>
    <m/>
    <n v="224615"/>
    <x v="6"/>
    <m/>
    <m/>
    <n v="74282"/>
    <n v="76431"/>
    <n v="31421"/>
    <n v="32522"/>
    <n v="0"/>
    <n v="0"/>
    <n v="63600"/>
    <n v="67189"/>
    <n v="169303"/>
    <n v="5643.4333333333334"/>
    <n v="176142"/>
    <n v="5871.4"/>
    <n v="32105"/>
    <n v="39103"/>
    <n v="169303"/>
    <n v="176142"/>
    <n v="71988"/>
    <n v="87409"/>
    <n v="119559"/>
    <n v="104706"/>
    <n v="82113"/>
    <n v="134576"/>
    <n v="79942"/>
    <n v="153645"/>
    <n v="353602"/>
    <n v="392.89111111111112"/>
    <n v="480336"/>
    <n v="533.70666666666671"/>
    <m/>
    <m/>
    <n v="0"/>
    <n v="0"/>
    <m/>
    <m/>
    <m/>
    <m/>
    <m/>
    <m/>
    <m/>
    <m/>
    <n v="0"/>
    <n v="0"/>
    <n v="0"/>
    <n v="0"/>
    <n v="6036.3244444444445"/>
    <n v="6405.1066666666666"/>
  </r>
  <r>
    <x v="13"/>
    <s v="El Paso County Community College District"/>
    <m/>
    <n v="224642"/>
    <x v="6"/>
    <m/>
    <m/>
    <n v="223381"/>
    <n v="213202"/>
    <n v="56208"/>
    <n v="53574"/>
    <n v="0"/>
    <n v="0"/>
    <n v="241306"/>
    <n v="238956"/>
    <n v="520895"/>
    <n v="17363.166666666668"/>
    <n v="505732"/>
    <n v="16857.733333333334"/>
    <n v="112330"/>
    <n v="111488"/>
    <n v="520895"/>
    <n v="505732"/>
    <n v="87833"/>
    <n v="87412"/>
    <n v="67691"/>
    <n v="69475"/>
    <n v="71043"/>
    <n v="67443"/>
    <n v="97250"/>
    <n v="85920"/>
    <n v="323817"/>
    <n v="359.79666666666668"/>
    <n v="310250"/>
    <n v="344.72222222222223"/>
    <m/>
    <m/>
    <n v="0"/>
    <n v="0"/>
    <m/>
    <m/>
    <m/>
    <m/>
    <m/>
    <m/>
    <m/>
    <m/>
    <n v="0"/>
    <n v="0"/>
    <n v="0"/>
    <n v="0"/>
    <n v="17722.963333333333"/>
    <n v="17202.455555555556"/>
  </r>
  <r>
    <x v="13"/>
    <s v="Houston Community College"/>
    <m/>
    <n v="225423"/>
    <x v="6"/>
    <m/>
    <m/>
    <n v="444796"/>
    <n v="450749"/>
    <n v="250964"/>
    <n v="232307"/>
    <n v="0"/>
    <n v="0"/>
    <n v="342783"/>
    <n v="336799"/>
    <n v="1038543"/>
    <n v="34618.1"/>
    <n v="1019855"/>
    <n v="33995.166666666664"/>
    <n v="102005"/>
    <n v="105757"/>
    <n v="1038543"/>
    <n v="1019855"/>
    <n v="472670"/>
    <n v="427303"/>
    <n v="389630"/>
    <n v="394718"/>
    <n v="478384"/>
    <n v="424225"/>
    <n v="596809"/>
    <n v="690814"/>
    <n v="1937493"/>
    <n v="2152.77"/>
    <n v="1937060"/>
    <n v="2152.2888888888888"/>
    <m/>
    <m/>
    <n v="0"/>
    <n v="0"/>
    <m/>
    <m/>
    <m/>
    <m/>
    <m/>
    <m/>
    <m/>
    <m/>
    <n v="0"/>
    <n v="0"/>
    <n v="0"/>
    <n v="0"/>
    <n v="36770.869999999995"/>
    <n v="36147.455555555556"/>
  </r>
  <r>
    <x v="13"/>
    <s v="Laredo Community College "/>
    <m/>
    <n v="226134"/>
    <x v="6"/>
    <m/>
    <m/>
    <n v="75309"/>
    <n v="70039"/>
    <n v="16857"/>
    <n v="14231"/>
    <n v="5603"/>
    <n v="5129"/>
    <n v="75905"/>
    <n v="77784"/>
    <n v="173674"/>
    <n v="5789.1333333333332"/>
    <n v="167183"/>
    <n v="5572.7666666666664"/>
    <n v="36837"/>
    <n v="38522"/>
    <n v="173674"/>
    <n v="167183"/>
    <n v="9320"/>
    <n v="9907"/>
    <n v="13439"/>
    <n v="22170"/>
    <n v="20870"/>
    <n v="21958"/>
    <n v="21627"/>
    <n v="30804"/>
    <n v="65256"/>
    <n v="72.506666666666661"/>
    <n v="84839"/>
    <n v="94.265555555555551"/>
    <m/>
    <m/>
    <n v="0"/>
    <n v="0"/>
    <m/>
    <m/>
    <m/>
    <m/>
    <m/>
    <m/>
    <m/>
    <m/>
    <n v="0"/>
    <n v="0"/>
    <n v="0"/>
    <n v="0"/>
    <n v="5861.6399999999994"/>
    <n v="5667.0322222222221"/>
  </r>
  <r>
    <x v="13"/>
    <s v="Lone Star College System District"/>
    <m/>
    <n v="227182"/>
    <x v="6"/>
    <m/>
    <m/>
    <n v="623892"/>
    <n v="534215"/>
    <n v="271052"/>
    <n v="262061"/>
    <n v="0"/>
    <n v="0"/>
    <n v="505376"/>
    <n v="511797"/>
    <n v="1400320"/>
    <n v="46677.333333333336"/>
    <n v="1308073"/>
    <n v="43602.433333333334"/>
    <n v="188396"/>
    <n v="204193"/>
    <n v="1400320"/>
    <n v="1308073"/>
    <n v="73735"/>
    <n v="63864"/>
    <n v="73597"/>
    <n v="62551"/>
    <n v="88885"/>
    <n v="60010"/>
    <n v="104805"/>
    <n v="89923"/>
    <n v="341022"/>
    <n v="378.91333333333336"/>
    <n v="276348"/>
    <n v="307.05333333333334"/>
    <m/>
    <m/>
    <n v="0"/>
    <n v="0"/>
    <m/>
    <m/>
    <m/>
    <m/>
    <m/>
    <m/>
    <m/>
    <m/>
    <n v="0"/>
    <n v="0"/>
    <n v="0"/>
    <n v="0"/>
    <n v="47056.246666666666"/>
    <n v="43909.486666666671"/>
  </r>
  <r>
    <x v="13"/>
    <s v="McLennan Community College "/>
    <m/>
    <n v="226578"/>
    <x v="6"/>
    <m/>
    <m/>
    <n v="74658"/>
    <n v="74502"/>
    <n v="18882"/>
    <n v="18486"/>
    <n v="10860"/>
    <n v="11407"/>
    <n v="76974"/>
    <n v="72581"/>
    <n v="181374"/>
    <n v="6045.8"/>
    <n v="176976"/>
    <n v="5899.2"/>
    <n v="21160"/>
    <n v="22068"/>
    <n v="181374"/>
    <n v="176976"/>
    <n v="33215"/>
    <n v="37337"/>
    <n v="20802"/>
    <n v="29247"/>
    <n v="55183"/>
    <n v="44206"/>
    <n v="42404"/>
    <n v="45704"/>
    <n v="151604"/>
    <n v="168.44888888888889"/>
    <n v="156494"/>
    <n v="173.88222222222223"/>
    <m/>
    <m/>
    <n v="0"/>
    <n v="0"/>
    <m/>
    <m/>
    <m/>
    <m/>
    <m/>
    <m/>
    <m/>
    <m/>
    <n v="0"/>
    <n v="0"/>
    <n v="0"/>
    <n v="0"/>
    <n v="6214.2488888888893"/>
    <n v="6073.0822222222223"/>
  </r>
  <r>
    <x v="13"/>
    <s v="Mountain View College (DCCCD)"/>
    <m/>
    <n v="226930"/>
    <x v="6"/>
    <m/>
    <m/>
    <n v="71246"/>
    <n v="72632"/>
    <n v="33584"/>
    <n v="34618"/>
    <n v="0"/>
    <n v="0"/>
    <n v="71459"/>
    <n v="76442"/>
    <n v="176289"/>
    <n v="5876.3"/>
    <n v="183692"/>
    <n v="6123.0666666666666"/>
    <n v="37228"/>
    <n v="40358"/>
    <n v="176289"/>
    <n v="183692"/>
    <n v="19922"/>
    <n v="30112"/>
    <n v="25916"/>
    <n v="33519"/>
    <n v="35403"/>
    <n v="39364"/>
    <n v="27279"/>
    <n v="36545"/>
    <n v="108520"/>
    <n v="120.57777777777778"/>
    <n v="139540"/>
    <n v="155.04444444444445"/>
    <m/>
    <m/>
    <n v="0"/>
    <n v="0"/>
    <m/>
    <m/>
    <m/>
    <m/>
    <m/>
    <m/>
    <m/>
    <m/>
    <n v="0"/>
    <n v="0"/>
    <n v="0"/>
    <n v="0"/>
    <n v="5996.8777777777777"/>
    <n v="6278.1111111111113"/>
  </r>
  <r>
    <x v="13"/>
    <s v="Navarro College "/>
    <m/>
    <n v="227146"/>
    <x v="6"/>
    <m/>
    <m/>
    <n v="77657"/>
    <n v="73051"/>
    <n v="12334"/>
    <n v="14379"/>
    <n v="10981"/>
    <n v="8637"/>
    <n v="76474"/>
    <n v="72821"/>
    <n v="177446"/>
    <n v="5914.8666666666668"/>
    <n v="168888"/>
    <n v="5629.6"/>
    <n v="39260"/>
    <n v="40886"/>
    <n v="177446"/>
    <n v="168888"/>
    <n v="53388"/>
    <n v="53442"/>
    <n v="38030"/>
    <n v="32959"/>
    <n v="64733"/>
    <n v="53490"/>
    <n v="46266"/>
    <n v="25050"/>
    <n v="202417"/>
    <n v="224.90777777777777"/>
    <n v="164941"/>
    <n v="183.26777777777778"/>
    <m/>
    <m/>
    <n v="0"/>
    <n v="0"/>
    <m/>
    <m/>
    <m/>
    <m/>
    <m/>
    <m/>
    <m/>
    <m/>
    <n v="0"/>
    <n v="0"/>
    <n v="0"/>
    <n v="0"/>
    <n v="6139.7744444444443"/>
    <n v="5812.8677777777784"/>
  </r>
  <r>
    <x v="13"/>
    <s v="North Central Texas Community College"/>
    <m/>
    <n v="224110"/>
    <x v="6"/>
    <m/>
    <m/>
    <n v="72892"/>
    <n v="77584"/>
    <n v="26541"/>
    <n v="27589"/>
    <n v="0"/>
    <n v="0"/>
    <n v="80559"/>
    <n v="72325"/>
    <n v="179992"/>
    <n v="5999.7333333333336"/>
    <n v="177498"/>
    <n v="5916.6"/>
    <n v="24383"/>
    <n v="26804"/>
    <n v="179992"/>
    <n v="177498"/>
    <n v="9579"/>
    <n v="9470"/>
    <n v="6810"/>
    <n v="5522"/>
    <n v="9232"/>
    <n v="5261"/>
    <n v="14528"/>
    <n v="11899"/>
    <n v="40149"/>
    <n v="44.61"/>
    <n v="32152"/>
    <n v="35.724444444444444"/>
    <m/>
    <m/>
    <n v="0"/>
    <n v="0"/>
    <m/>
    <m/>
    <m/>
    <m/>
    <m/>
    <m/>
    <m/>
    <m/>
    <n v="0"/>
    <n v="0"/>
    <n v="0"/>
    <n v="0"/>
    <n v="6044.3433333333332"/>
    <n v="5952.3244444444445"/>
  </r>
  <r>
    <x v="13"/>
    <s v="North Lake College (DCCCD)"/>
    <m/>
    <n v="227191"/>
    <x v="6"/>
    <m/>
    <m/>
    <n v="66268"/>
    <n v="64458"/>
    <n v="50904"/>
    <n v="47453"/>
    <n v="0"/>
    <n v="0"/>
    <n v="65553"/>
    <n v="55015"/>
    <n v="182725"/>
    <n v="6090.833333333333"/>
    <n v="166926"/>
    <n v="5564.2"/>
    <n v="18671"/>
    <n v="20395"/>
    <n v="182725"/>
    <n v="166926"/>
    <n v="166753"/>
    <n v="176016"/>
    <n v="119114"/>
    <n v="91267"/>
    <n v="96851"/>
    <n v="93231"/>
    <n v="221926"/>
    <n v="189515"/>
    <n v="604644"/>
    <n v="671.82666666666671"/>
    <n v="550029"/>
    <n v="611.14333333333332"/>
    <m/>
    <m/>
    <n v="0"/>
    <n v="0"/>
    <m/>
    <m/>
    <m/>
    <m/>
    <m/>
    <m/>
    <m/>
    <m/>
    <n v="0"/>
    <n v="0"/>
    <n v="0"/>
    <n v="0"/>
    <n v="6762.66"/>
    <n v="6175.3433333333332"/>
  </r>
  <r>
    <x v="13"/>
    <s v="Northwest Vista College (ACCD)"/>
    <m/>
    <n v="420398"/>
    <x v="6"/>
    <m/>
    <m/>
    <n v="126246"/>
    <n v="121783"/>
    <n v="43499"/>
    <n v="41892"/>
    <n v="0"/>
    <n v="0"/>
    <n v="124563"/>
    <n v="137401"/>
    <n v="294308"/>
    <n v="9810.2666666666664"/>
    <n v="301076"/>
    <n v="10035.866666666667"/>
    <n v="38869"/>
    <n v="39944"/>
    <n v="294308"/>
    <n v="301076"/>
    <n v="11992"/>
    <n v="12146"/>
    <n v="20718"/>
    <n v="15413"/>
    <n v="27124"/>
    <n v="15118"/>
    <n v="14070"/>
    <n v="19556"/>
    <n v="73904"/>
    <n v="82.115555555555559"/>
    <n v="62233"/>
    <n v="69.147777777777776"/>
    <m/>
    <m/>
    <n v="0"/>
    <n v="0"/>
    <m/>
    <m/>
    <m/>
    <m/>
    <m/>
    <m/>
    <m/>
    <m/>
    <n v="0"/>
    <n v="0"/>
    <n v="0"/>
    <n v="0"/>
    <n v="9892.3822222222225"/>
    <n v="10105.014444444445"/>
  </r>
  <r>
    <x v="13"/>
    <s v="Palo Alto College (ACCD)"/>
    <m/>
    <n v="246354"/>
    <x v="6"/>
    <m/>
    <m/>
    <n v="70929"/>
    <n v="68749"/>
    <n v="25982"/>
    <n v="23353"/>
    <n v="0"/>
    <n v="0"/>
    <n v="68064"/>
    <n v="75026"/>
    <n v="164975"/>
    <n v="5499.166666666667"/>
    <n v="167128"/>
    <n v="5570.9333333333334"/>
    <n v="35472"/>
    <n v="35169"/>
    <n v="164975"/>
    <n v="167128"/>
    <n v="12988"/>
    <n v="14004"/>
    <n v="12734"/>
    <n v="19569"/>
    <n v="23047"/>
    <n v="8306"/>
    <n v="36484"/>
    <n v="18096"/>
    <n v="85253"/>
    <n v="94.725555555555559"/>
    <n v="59975"/>
    <n v="66.638888888888886"/>
    <m/>
    <m/>
    <n v="0"/>
    <n v="0"/>
    <m/>
    <m/>
    <m/>
    <m/>
    <m/>
    <m/>
    <m/>
    <m/>
    <n v="0"/>
    <n v="0"/>
    <n v="0"/>
    <n v="0"/>
    <n v="5593.8922222222227"/>
    <n v="5637.5722222222221"/>
  </r>
  <r>
    <x v="13"/>
    <s v="Richland College (DCCCD)"/>
    <m/>
    <n v="227766"/>
    <x v="6"/>
    <m/>
    <m/>
    <n v="140370"/>
    <n v="138811"/>
    <n v="78055"/>
    <n v="72761"/>
    <n v="0"/>
    <n v="0"/>
    <n v="116474"/>
    <n v="121369"/>
    <n v="334899"/>
    <n v="11163.3"/>
    <n v="332941"/>
    <n v="11098.033333333333"/>
    <n v="51845"/>
    <n v="58238"/>
    <n v="334899"/>
    <n v="332941"/>
    <n v="62795"/>
    <n v="72987"/>
    <n v="86458"/>
    <n v="83631"/>
    <n v="76562"/>
    <n v="89957"/>
    <n v="118781"/>
    <n v="127154"/>
    <n v="344596"/>
    <n v="382.88444444444445"/>
    <n v="373729"/>
    <n v="415.25444444444446"/>
    <m/>
    <m/>
    <n v="0"/>
    <n v="0"/>
    <m/>
    <m/>
    <m/>
    <m/>
    <m/>
    <m/>
    <m/>
    <m/>
    <n v="0"/>
    <n v="0"/>
    <n v="0"/>
    <n v="0"/>
    <n v="11546.184444444443"/>
    <n v="11513.287777777778"/>
  </r>
  <r>
    <x v="13"/>
    <s v="San Antonio College (ACCD)"/>
    <m/>
    <n v="227924"/>
    <x v="6"/>
    <m/>
    <m/>
    <n v="148829"/>
    <n v="130631"/>
    <n v="58912"/>
    <n v="53043"/>
    <n v="0"/>
    <n v="0"/>
    <n v="121420"/>
    <n v="139993"/>
    <n v="329161"/>
    <n v="10972.033333333333"/>
    <n v="323667"/>
    <n v="10788.9"/>
    <n v="30594"/>
    <n v="26563"/>
    <n v="329161"/>
    <n v="323667"/>
    <n v="20472"/>
    <n v="8547"/>
    <n v="24062"/>
    <n v="9036"/>
    <n v="14019"/>
    <n v="6552"/>
    <n v="14839"/>
    <n v="8522"/>
    <n v="73392"/>
    <n v="81.546666666666667"/>
    <n v="32657"/>
    <n v="36.285555555555554"/>
    <m/>
    <m/>
    <n v="0"/>
    <n v="0"/>
    <m/>
    <m/>
    <m/>
    <m/>
    <m/>
    <m/>
    <m/>
    <m/>
    <n v="0"/>
    <n v="0"/>
    <n v="0"/>
    <n v="0"/>
    <n v="11053.58"/>
    <n v="10825.185555555556"/>
  </r>
  <r>
    <x v="13"/>
    <s v="San Jacinto College"/>
    <m/>
    <n v="227979"/>
    <x v="6"/>
    <m/>
    <m/>
    <n v="241794"/>
    <n v="258116"/>
    <n v="116176"/>
    <n v="87826"/>
    <n v="0"/>
    <n v="0"/>
    <n v="249625"/>
    <n v="267742"/>
    <n v="607595"/>
    <n v="20253.166666666668"/>
    <n v="613684"/>
    <n v="20456.133333333335"/>
    <n v="63508"/>
    <n v="75879"/>
    <n v="607595"/>
    <n v="613684"/>
    <n v="79537"/>
    <n v="75581"/>
    <n v="52855"/>
    <n v="39885"/>
    <n v="68394"/>
    <n v="47935"/>
    <n v="89362"/>
    <n v="69555"/>
    <n v="290148"/>
    <n v="322.38666666666666"/>
    <n v="232956"/>
    <n v="258.83999999999997"/>
    <m/>
    <m/>
    <n v="0"/>
    <n v="0"/>
    <m/>
    <m/>
    <m/>
    <m/>
    <m/>
    <m/>
    <m/>
    <m/>
    <n v="0"/>
    <n v="0"/>
    <n v="0"/>
    <n v="0"/>
    <n v="20575.553333333333"/>
    <n v="20714.973333333335"/>
  </r>
  <r>
    <x v="13"/>
    <s v="South Plains College "/>
    <m/>
    <n v="228158"/>
    <x v="6"/>
    <m/>
    <m/>
    <n v="81141"/>
    <n v="79435"/>
    <n v="13482"/>
    <n v="18397"/>
    <n v="6761"/>
    <n v="0"/>
    <n v="86395"/>
    <n v="85565"/>
    <n v="187779"/>
    <n v="6259.3"/>
    <n v="183397"/>
    <n v="6113.2333333333336"/>
    <n v="19702"/>
    <n v="23176"/>
    <n v="187779"/>
    <n v="183397"/>
    <n v="17145"/>
    <n v="13896"/>
    <n v="43838"/>
    <n v="12654"/>
    <n v="31831"/>
    <n v="14323"/>
    <n v="10861"/>
    <n v="15989"/>
    <n v="103675"/>
    <n v="115.19444444444444"/>
    <n v="56862"/>
    <n v="63.18"/>
    <m/>
    <m/>
    <n v="0"/>
    <n v="0"/>
    <m/>
    <m/>
    <m/>
    <m/>
    <m/>
    <m/>
    <m/>
    <m/>
    <n v="0"/>
    <n v="0"/>
    <n v="0"/>
    <n v="0"/>
    <n v="6374.4944444444445"/>
    <n v="6176.4133333333339"/>
  </r>
  <r>
    <x v="13"/>
    <s v="St. Philip's College (ACCD)"/>
    <m/>
    <n v="227854"/>
    <x v="6"/>
    <m/>
    <m/>
    <n v="87486"/>
    <n v="85933"/>
    <n v="33425"/>
    <n v="32095"/>
    <n v="0"/>
    <n v="0"/>
    <n v="72285"/>
    <n v="83369"/>
    <n v="193196"/>
    <n v="6439.8666666666668"/>
    <n v="201397"/>
    <n v="6713.2333333333336"/>
    <n v="45856"/>
    <n v="44470"/>
    <n v="193196"/>
    <n v="201397"/>
    <n v="24085"/>
    <n v="31830"/>
    <n v="25176"/>
    <n v="28785"/>
    <n v="35170"/>
    <n v="32729"/>
    <n v="43656"/>
    <n v="33033"/>
    <n v="128087"/>
    <n v="142.31888888888889"/>
    <n v="126377"/>
    <n v="140.41888888888889"/>
    <m/>
    <m/>
    <n v="0"/>
    <n v="0"/>
    <m/>
    <m/>
    <m/>
    <m/>
    <m/>
    <m/>
    <m/>
    <m/>
    <n v="0"/>
    <n v="0"/>
    <n v="0"/>
    <n v="0"/>
    <n v="6582.1855555555558"/>
    <n v="6853.6522222222229"/>
  </r>
  <r>
    <x v="13"/>
    <s v="Tarrant County College"/>
    <m/>
    <n v="228547"/>
    <x v="6"/>
    <m/>
    <m/>
    <n v="391548"/>
    <n v="359044"/>
    <n v="197301"/>
    <n v="189128"/>
    <n v="0"/>
    <n v="0"/>
    <n v="368581"/>
    <n v="346034"/>
    <n v="957430"/>
    <n v="31914.333333333332"/>
    <n v="894206"/>
    <n v="29806.866666666665"/>
    <n v="108127"/>
    <n v="115694"/>
    <n v="957430"/>
    <n v="894206"/>
    <n v="179295"/>
    <n v="165699"/>
    <n v="152099"/>
    <n v="172722"/>
    <n v="161617"/>
    <n v="130505"/>
    <n v="167690"/>
    <n v="145414"/>
    <n v="660701"/>
    <n v="734.11222222222227"/>
    <n v="614340"/>
    <n v="682.6"/>
    <m/>
    <m/>
    <n v="0"/>
    <n v="0"/>
    <m/>
    <m/>
    <m/>
    <m/>
    <m/>
    <m/>
    <m/>
    <m/>
    <n v="0"/>
    <n v="0"/>
    <n v="0"/>
    <n v="0"/>
    <n v="32648.445555555554"/>
    <n v="30489.466666666664"/>
  </r>
  <r>
    <x v="13"/>
    <s v="Trinity Valley Community College"/>
    <m/>
    <n v="225308"/>
    <x v="6"/>
    <m/>
    <m/>
    <n v="52652"/>
    <n v="54611"/>
    <n v="14181"/>
    <n v="12593"/>
    <n v="10539"/>
    <n v="8822"/>
    <n v="59180"/>
    <n v="55249"/>
    <n v="136552"/>
    <n v="4551.7333333333336"/>
    <n v="131275"/>
    <n v="4375.833333333333"/>
    <n v="31189"/>
    <n v="32626"/>
    <n v="136552"/>
    <n v="131275"/>
    <n v="88170"/>
    <n v="154804"/>
    <n v="129495"/>
    <n v="171591"/>
    <n v="58845"/>
    <n v="110745"/>
    <n v="208733"/>
    <n v="202166"/>
    <n v="485243"/>
    <n v="539.1588888888889"/>
    <n v="639306"/>
    <n v="710.34"/>
    <m/>
    <m/>
    <n v="0"/>
    <n v="0"/>
    <m/>
    <m/>
    <m/>
    <m/>
    <m/>
    <m/>
    <m/>
    <m/>
    <n v="0"/>
    <n v="0"/>
    <n v="0"/>
    <n v="0"/>
    <n v="5090.8922222222227"/>
    <n v="5086.1733333333332"/>
  </r>
  <r>
    <x v="13"/>
    <s v="Tyler Junior College "/>
    <s v="Met the criteria for Two-Year with Bachelor's in 2018-19 and 2019-20. "/>
    <n v="229355"/>
    <x v="6"/>
    <m/>
    <m/>
    <n v="105675"/>
    <n v="111328"/>
    <n v="32017"/>
    <n v="30475"/>
    <n v="6833"/>
    <n v="7278"/>
    <n v="101607"/>
    <n v="113617"/>
    <n v="246132"/>
    <n v="8204.4"/>
    <n v="262698"/>
    <n v="8756.6"/>
    <n v="29139"/>
    <n v="42383"/>
    <n v="246132"/>
    <n v="262698"/>
    <n v="31102"/>
    <n v="21022"/>
    <n v="29063"/>
    <n v="35753"/>
    <n v="15691"/>
    <n v="20396"/>
    <n v="47569"/>
    <n v="29702"/>
    <n v="123425"/>
    <n v="137.13888888888889"/>
    <n v="106873"/>
    <n v="118.74777777777778"/>
    <m/>
    <m/>
    <n v="0"/>
    <n v="0"/>
    <m/>
    <m/>
    <m/>
    <m/>
    <m/>
    <m/>
    <m/>
    <m/>
    <n v="0"/>
    <n v="0"/>
    <n v="0"/>
    <n v="0"/>
    <n v="8341.5388888888883"/>
    <n v="8875.3477777777789"/>
  </r>
  <r>
    <x v="13"/>
    <s v="Alvin Community College "/>
    <m/>
    <n v="222567"/>
    <x v="7"/>
    <m/>
    <m/>
    <n v="43066"/>
    <n v="43188"/>
    <n v="18880"/>
    <n v="18579"/>
    <n v="0"/>
    <n v="0"/>
    <n v="43240"/>
    <n v="45108"/>
    <n v="105186"/>
    <n v="3506.2"/>
    <n v="106875"/>
    <n v="3562.5"/>
    <n v="26168"/>
    <n v="29151"/>
    <n v="105186"/>
    <n v="106875"/>
    <n v="18814"/>
    <n v="19831"/>
    <n v="11096"/>
    <n v="9045"/>
    <n v="14208"/>
    <n v="15828"/>
    <n v="18492"/>
    <n v="24814"/>
    <n v="62610"/>
    <n v="69.566666666666663"/>
    <n v="69518"/>
    <n v="77.242222222222225"/>
    <m/>
    <m/>
    <n v="0"/>
    <n v="0"/>
    <m/>
    <m/>
    <m/>
    <m/>
    <m/>
    <m/>
    <m/>
    <m/>
    <n v="0"/>
    <n v="0"/>
    <n v="0"/>
    <n v="0"/>
    <n v="3575.7666666666664"/>
    <n v="3639.7422222222222"/>
  </r>
  <r>
    <x v="13"/>
    <s v="Angelina College "/>
    <m/>
    <n v="222822"/>
    <x v="7"/>
    <m/>
    <m/>
    <n v="37994"/>
    <n v="35984"/>
    <n v="7028"/>
    <n v="6219"/>
    <n v="3762"/>
    <n v="0"/>
    <n v="39010"/>
    <n v="40481"/>
    <n v="87794"/>
    <n v="2926.4666666666667"/>
    <n v="82684"/>
    <n v="2756.1333333333332"/>
    <n v="17232"/>
    <n v="16679"/>
    <n v="87794"/>
    <n v="82684"/>
    <n v="31413"/>
    <n v="67659"/>
    <n v="58663"/>
    <n v="15088"/>
    <n v="68440"/>
    <n v="47541"/>
    <n v="47572"/>
    <n v="30900"/>
    <n v="206088"/>
    <n v="228.98666666666668"/>
    <n v="161188"/>
    <n v="179.09777777777776"/>
    <m/>
    <m/>
    <n v="0"/>
    <n v="0"/>
    <m/>
    <m/>
    <m/>
    <m/>
    <m/>
    <m/>
    <m/>
    <m/>
    <n v="0"/>
    <n v="0"/>
    <n v="0"/>
    <n v="0"/>
    <n v="3155.4533333333334"/>
    <n v="2935.2311111111112"/>
  </r>
  <r>
    <x v="13"/>
    <s v="Cedar Valley College (DCCCD)"/>
    <m/>
    <n v="223773"/>
    <x v="7"/>
    <m/>
    <m/>
    <n v="51269"/>
    <n v="55167"/>
    <n v="33034"/>
    <n v="34177"/>
    <n v="0"/>
    <n v="0"/>
    <n v="42504"/>
    <n v="46970"/>
    <n v="126807"/>
    <n v="4226.8999999999996"/>
    <n v="136314"/>
    <n v="4543.8"/>
    <n v="22300"/>
    <n v="25347"/>
    <n v="126807"/>
    <n v="136314"/>
    <n v="48456"/>
    <n v="38445"/>
    <n v="100015"/>
    <n v="35226"/>
    <n v="151520"/>
    <n v="79272"/>
    <n v="47438"/>
    <n v="28540"/>
    <n v="347429"/>
    <n v="386.03222222222223"/>
    <n v="181483"/>
    <n v="201.64777777777778"/>
    <m/>
    <m/>
    <n v="0"/>
    <n v="0"/>
    <m/>
    <m/>
    <m/>
    <m/>
    <m/>
    <m/>
    <m/>
    <m/>
    <n v="0"/>
    <n v="0"/>
    <n v="0"/>
    <n v="0"/>
    <n v="4612.9322222222218"/>
    <n v="4745.4477777777784"/>
  </r>
  <r>
    <x v="13"/>
    <s v="Cisco Junior College"/>
    <m/>
    <n v="223898"/>
    <x v="7"/>
    <m/>
    <m/>
    <n v="29087"/>
    <n v="29132"/>
    <n v="6889"/>
    <n v="7205"/>
    <n v="2447"/>
    <n v="2759"/>
    <n v="30646"/>
    <n v="31306"/>
    <n v="69069"/>
    <n v="2302.3000000000002"/>
    <n v="70402"/>
    <n v="2346.7333333333331"/>
    <n v="9341"/>
    <n v="11425"/>
    <n v="69069"/>
    <n v="70402"/>
    <n v="1100"/>
    <n v="2440"/>
    <n v="1700"/>
    <n v="4100"/>
    <n v="2816"/>
    <n v="5644"/>
    <n v="3792"/>
    <n v="3576"/>
    <n v="9408"/>
    <n v="10.453333333333333"/>
    <n v="15760"/>
    <n v="17.511111111111113"/>
    <m/>
    <m/>
    <n v="0"/>
    <n v="0"/>
    <m/>
    <m/>
    <m/>
    <m/>
    <m/>
    <m/>
    <m/>
    <m/>
    <n v="0"/>
    <n v="0"/>
    <n v="0"/>
    <n v="0"/>
    <n v="2312.7533333333336"/>
    <n v="2364.2444444444441"/>
  </r>
  <r>
    <x v="13"/>
    <s v="Coastal Bend College"/>
    <m/>
    <n v="223320"/>
    <x v="7"/>
    <m/>
    <m/>
    <n v="34493"/>
    <n v="32249"/>
    <n v="8542"/>
    <n v="5501"/>
    <n v="2818"/>
    <n v="4472"/>
    <n v="33813"/>
    <n v="35495"/>
    <n v="79666"/>
    <n v="2655.5333333333333"/>
    <n v="77717"/>
    <n v="2590.5666666666666"/>
    <n v="19752"/>
    <n v="30911"/>
    <n v="79666"/>
    <n v="77717"/>
    <n v="10920"/>
    <n v="833"/>
    <n v="6514"/>
    <n v="4833"/>
    <n v="11450"/>
    <n v="3316"/>
    <n v="4940"/>
    <n v="7985"/>
    <n v="33824"/>
    <n v="37.582222222222221"/>
    <n v="16967"/>
    <n v="18.852222222222224"/>
    <m/>
    <m/>
    <n v="0"/>
    <n v="0"/>
    <m/>
    <m/>
    <m/>
    <m/>
    <m/>
    <m/>
    <m/>
    <m/>
    <n v="0"/>
    <n v="0"/>
    <n v="0"/>
    <n v="0"/>
    <n v="2693.1155555555556"/>
    <n v="2609.4188888888889"/>
  </r>
  <r>
    <x v="13"/>
    <s v="College of the Mainland"/>
    <m/>
    <n v="226408"/>
    <x v="7"/>
    <m/>
    <m/>
    <n v="33491"/>
    <n v="34846"/>
    <n v="9838"/>
    <n v="9804"/>
    <n v="0"/>
    <n v="0"/>
    <n v="40320"/>
    <n v="35499"/>
    <n v="83649"/>
    <n v="2788.3"/>
    <n v="80149"/>
    <n v="2671.6333333333332"/>
    <n v="18774"/>
    <n v="20845"/>
    <n v="83649"/>
    <n v="80149"/>
    <n v="51508"/>
    <n v="62428"/>
    <n v="15781"/>
    <n v="18192"/>
    <n v="27336"/>
    <n v="21742"/>
    <n v="20937"/>
    <n v="12985"/>
    <n v="115562"/>
    <n v="128.40222222222224"/>
    <n v="115347"/>
    <n v="128.16333333333333"/>
    <m/>
    <m/>
    <n v="0"/>
    <n v="0"/>
    <m/>
    <m/>
    <m/>
    <m/>
    <m/>
    <m/>
    <m/>
    <m/>
    <n v="0"/>
    <n v="0"/>
    <n v="0"/>
    <n v="0"/>
    <n v="2916.7022222222222"/>
    <n v="2799.7966666666666"/>
  </r>
  <r>
    <x v="13"/>
    <s v="Grayson County College "/>
    <m/>
    <n v="225070"/>
    <x v="7"/>
    <m/>
    <m/>
    <n v="34306"/>
    <n v="32945"/>
    <n v="7705"/>
    <n v="9225"/>
    <n v="0"/>
    <n v="0"/>
    <n v="40390"/>
    <n v="39104"/>
    <n v="82401"/>
    <n v="2746.7"/>
    <n v="81274"/>
    <n v="2709.1333333333332"/>
    <n v="12465"/>
    <n v="12344"/>
    <n v="82401"/>
    <n v="81274"/>
    <n v="14329"/>
    <n v="19002"/>
    <n v="10767"/>
    <n v="12055"/>
    <n v="18349"/>
    <n v="16365"/>
    <n v="17914"/>
    <n v="17687"/>
    <n v="61359"/>
    <n v="68.176666666666662"/>
    <n v="65109"/>
    <n v="72.343333333333334"/>
    <m/>
    <m/>
    <n v="0"/>
    <n v="0"/>
    <m/>
    <m/>
    <m/>
    <m/>
    <m/>
    <m/>
    <m/>
    <m/>
    <n v="0"/>
    <n v="0"/>
    <n v="0"/>
    <n v="0"/>
    <n v="2814.8766666666666"/>
    <n v="2781.4766666666665"/>
  </r>
  <r>
    <x v="13"/>
    <s v="Hill College"/>
    <m/>
    <n v="225371"/>
    <x v="7"/>
    <m/>
    <m/>
    <n v="34908"/>
    <n v="36210"/>
    <n v="10141"/>
    <n v="10205"/>
    <n v="3445"/>
    <n v="3361"/>
    <n v="36770"/>
    <n v="36221"/>
    <n v="85264"/>
    <n v="2842.1333333333332"/>
    <n v="85997"/>
    <n v="2866.5666666666666"/>
    <n v="13793"/>
    <n v="17013"/>
    <n v="85264"/>
    <n v="85997"/>
    <n v="19579"/>
    <n v="20870"/>
    <n v="24566"/>
    <n v="22290"/>
    <n v="27563"/>
    <n v="18012"/>
    <n v="22742"/>
    <n v="16688"/>
    <n v="94450"/>
    <n v="104.94444444444444"/>
    <n v="77860"/>
    <n v="86.511111111111106"/>
    <m/>
    <m/>
    <n v="0"/>
    <n v="0"/>
    <m/>
    <m/>
    <m/>
    <m/>
    <m/>
    <m/>
    <m/>
    <m/>
    <n v="0"/>
    <n v="0"/>
    <n v="0"/>
    <n v="0"/>
    <n v="2947.0777777777776"/>
    <n v="2953.0777777777776"/>
  </r>
  <r>
    <x v="13"/>
    <s v="Howard College (HCJCD)"/>
    <m/>
    <n v="225520"/>
    <x v="7"/>
    <m/>
    <m/>
    <n v="25996"/>
    <n v="26824"/>
    <n v="5217"/>
    <n v="4527"/>
    <n v="2074"/>
    <n v="1948"/>
    <n v="32920"/>
    <n v="31481"/>
    <n v="66207"/>
    <n v="2206.9"/>
    <n v="64780"/>
    <n v="2159.3333333333335"/>
    <n v="17371"/>
    <n v="18252"/>
    <n v="66207"/>
    <n v="64780"/>
    <n v="112699"/>
    <n v="118680"/>
    <n v="135796"/>
    <n v="152630"/>
    <n v="142645"/>
    <n v="96293"/>
    <n v="153367"/>
    <n v="128831"/>
    <n v="544507"/>
    <n v="605.00777777777773"/>
    <n v="496434"/>
    <n v="551.59333333333336"/>
    <m/>
    <m/>
    <n v="0"/>
    <n v="0"/>
    <m/>
    <m/>
    <m/>
    <m/>
    <m/>
    <m/>
    <m/>
    <m/>
    <n v="0"/>
    <n v="0"/>
    <n v="0"/>
    <n v="0"/>
    <n v="2811.9077777777779"/>
    <n v="2710.9266666666667"/>
  </r>
  <r>
    <x v="13"/>
    <s v="Kilgore College "/>
    <m/>
    <n v="226019"/>
    <x v="7"/>
    <m/>
    <m/>
    <n v="47274"/>
    <n v="44820"/>
    <n v="9164"/>
    <n v="9178"/>
    <n v="0"/>
    <n v="0"/>
    <n v="52094"/>
    <n v="38156"/>
    <n v="108532"/>
    <n v="3617.7333333333331"/>
    <n v="92154"/>
    <n v="3071.8"/>
    <n v="16777"/>
    <n v="17721"/>
    <n v="108532"/>
    <n v="92154"/>
    <n v="33584"/>
    <n v="113697"/>
    <n v="113124"/>
    <n v="72643"/>
    <n v="84101"/>
    <n v="139192"/>
    <n v="81957"/>
    <n v="101775"/>
    <n v="312766"/>
    <n v="347.51777777777778"/>
    <n v="427307"/>
    <n v="474.78555555555556"/>
    <m/>
    <m/>
    <n v="0"/>
    <n v="0"/>
    <m/>
    <m/>
    <m/>
    <m/>
    <m/>
    <m/>
    <m/>
    <m/>
    <n v="0"/>
    <n v="0"/>
    <n v="0"/>
    <n v="0"/>
    <n v="3965.2511111111107"/>
    <n v="3546.5855555555559"/>
  </r>
  <r>
    <x v="13"/>
    <s v="Lamar Institute of Technology"/>
    <m/>
    <n v="441760"/>
    <x v="7"/>
    <m/>
    <m/>
    <n v="25015"/>
    <n v="26426"/>
    <n v="4838"/>
    <n v="4355"/>
    <n v="0"/>
    <n v="0"/>
    <n v="31432"/>
    <n v="36543"/>
    <n v="61285"/>
    <n v="2042.8333333333333"/>
    <n v="67324"/>
    <n v="2244.1333333333332"/>
    <n v="4542"/>
    <n v="8770"/>
    <n v="61285"/>
    <n v="67324"/>
    <n v="46032"/>
    <n v="73761"/>
    <n v="55283"/>
    <n v="63497"/>
    <n v="67445"/>
    <n v="82543"/>
    <n v="83392"/>
    <n v="68305"/>
    <n v="252152"/>
    <n v="280.16888888888889"/>
    <n v="288106"/>
    <n v="320.1177777777778"/>
    <m/>
    <m/>
    <n v="0"/>
    <n v="0"/>
    <m/>
    <m/>
    <m/>
    <m/>
    <m/>
    <m/>
    <m/>
    <m/>
    <n v="0"/>
    <n v="0"/>
    <n v="0"/>
    <n v="0"/>
    <n v="2323.0022222222224"/>
    <n v="2564.2511111111112"/>
  </r>
  <r>
    <x v="13"/>
    <s v="Lee College "/>
    <m/>
    <n v="226204"/>
    <x v="7"/>
    <m/>
    <m/>
    <n v="59538"/>
    <n v="60295"/>
    <n v="25762"/>
    <n v="28308"/>
    <n v="2092"/>
    <n v="2929"/>
    <n v="58609"/>
    <n v="56105"/>
    <n v="146001"/>
    <n v="4866.7"/>
    <n v="147637"/>
    <n v="4921.2333333333336"/>
    <n v="18951"/>
    <n v="25021"/>
    <n v="146001"/>
    <n v="147637"/>
    <n v="16331"/>
    <n v="12680"/>
    <n v="15548"/>
    <n v="8758"/>
    <n v="24821"/>
    <n v="16125"/>
    <n v="24966"/>
    <n v="14706"/>
    <n v="81666"/>
    <n v="90.74"/>
    <n v="52269"/>
    <n v="58.076666666666668"/>
    <m/>
    <m/>
    <n v="0"/>
    <n v="0"/>
    <m/>
    <m/>
    <m/>
    <m/>
    <m/>
    <m/>
    <m/>
    <m/>
    <n v="0"/>
    <n v="0"/>
    <n v="0"/>
    <n v="0"/>
    <n v="4957.4399999999996"/>
    <n v="4979.3100000000004"/>
  </r>
  <r>
    <x v="13"/>
    <s v="Northeast Texas Community College "/>
    <m/>
    <n v="227225"/>
    <x v="7"/>
    <m/>
    <m/>
    <n v="25422"/>
    <n v="25735"/>
    <n v="9329"/>
    <n v="9279"/>
    <n v="0"/>
    <n v="0"/>
    <n v="28181"/>
    <n v="27985"/>
    <n v="62932"/>
    <n v="2097.7333333333331"/>
    <n v="62999"/>
    <n v="2099.9666666666667"/>
    <n v="10590"/>
    <n v="10764"/>
    <n v="62932"/>
    <n v="62999"/>
    <n v="4751"/>
    <n v="4935"/>
    <n v="4492"/>
    <n v="5567"/>
    <n v="6924"/>
    <n v="5127"/>
    <n v="9197"/>
    <n v="6596"/>
    <n v="25364"/>
    <n v="28.182222222222222"/>
    <n v="22225"/>
    <n v="24.694444444444443"/>
    <m/>
    <m/>
    <n v="0"/>
    <n v="0"/>
    <m/>
    <m/>
    <m/>
    <m/>
    <m/>
    <m/>
    <m/>
    <m/>
    <n v="0"/>
    <n v="0"/>
    <n v="0"/>
    <n v="0"/>
    <n v="2125.9155555555553"/>
    <n v="2124.661111111111"/>
  </r>
  <r>
    <x v="13"/>
    <s v="Odessa College "/>
    <m/>
    <n v="227304"/>
    <x v="7"/>
    <m/>
    <m/>
    <n v="33023"/>
    <n v="51729"/>
    <n v="23072"/>
    <n v="6737"/>
    <n v="8045"/>
    <n v="7102"/>
    <n v="56954"/>
    <n v="57274"/>
    <n v="121094"/>
    <n v="4036.4666666666667"/>
    <n v="122842"/>
    <n v="4094.7333333333331"/>
    <n v="27173"/>
    <n v="32652"/>
    <n v="121094"/>
    <n v="122842"/>
    <n v="22916"/>
    <n v="45590"/>
    <n v="28353"/>
    <n v="50305"/>
    <n v="37529"/>
    <n v="55771"/>
    <n v="54424"/>
    <n v="55054"/>
    <n v="143222"/>
    <n v="159.13555555555556"/>
    <n v="206720"/>
    <n v="229.6888888888889"/>
    <m/>
    <m/>
    <n v="0"/>
    <n v="0"/>
    <m/>
    <m/>
    <m/>
    <m/>
    <m/>
    <m/>
    <m/>
    <m/>
    <n v="0"/>
    <n v="0"/>
    <n v="0"/>
    <n v="0"/>
    <n v="4195.6022222222218"/>
    <n v="4324.4222222222224"/>
  </r>
  <r>
    <x v="13"/>
    <s v="Paris Junior College"/>
    <m/>
    <n v="227401"/>
    <x v="7"/>
    <m/>
    <m/>
    <n v="37800"/>
    <n v="40023"/>
    <n v="10389"/>
    <n v="11005"/>
    <n v="0"/>
    <n v="0"/>
    <n v="48879"/>
    <n v="46976"/>
    <n v="97068"/>
    <n v="3235.6"/>
    <n v="98004"/>
    <n v="3266.8"/>
    <n v="21510"/>
    <n v="23465"/>
    <n v="97068"/>
    <n v="98004"/>
    <n v="23521"/>
    <n v="35342"/>
    <n v="31352"/>
    <n v="9765"/>
    <n v="11757"/>
    <n v="9049"/>
    <n v="12516"/>
    <n v="32400"/>
    <n v="79146"/>
    <n v="87.94"/>
    <n v="86556"/>
    <n v="96.173333333333332"/>
    <m/>
    <m/>
    <n v="0"/>
    <n v="0"/>
    <m/>
    <m/>
    <m/>
    <m/>
    <m/>
    <m/>
    <m/>
    <m/>
    <n v="0"/>
    <n v="0"/>
    <n v="0"/>
    <n v="0"/>
    <n v="3323.54"/>
    <n v="3362.9733333333334"/>
  </r>
  <r>
    <x v="13"/>
    <s v="Southwest Texas Junior College "/>
    <m/>
    <n v="228316"/>
    <x v="7"/>
    <m/>
    <m/>
    <n v="50323"/>
    <n v="53171"/>
    <n v="9817"/>
    <n v="10327"/>
    <n v="4229"/>
    <n v="5017"/>
    <n v="53064"/>
    <n v="53079"/>
    <n v="117433"/>
    <n v="3914.4333333333334"/>
    <n v="121594"/>
    <n v="4053.1333333333332"/>
    <n v="32306"/>
    <n v="40441"/>
    <n v="117433"/>
    <n v="121594"/>
    <n v="11255"/>
    <n v="5653"/>
    <n v="14662"/>
    <n v="20614"/>
    <n v="10622"/>
    <n v="21750"/>
    <n v="11235"/>
    <n v="18918"/>
    <n v="47774"/>
    <n v="53.082222222222221"/>
    <n v="66935"/>
    <n v="74.37222222222222"/>
    <m/>
    <m/>
    <n v="0"/>
    <n v="0"/>
    <m/>
    <m/>
    <m/>
    <m/>
    <m/>
    <m/>
    <m/>
    <m/>
    <n v="0"/>
    <n v="0"/>
    <n v="0"/>
    <n v="0"/>
    <n v="3967.5155555555557"/>
    <n v="4127.5055555555555"/>
  </r>
  <r>
    <x v="13"/>
    <s v="Temple College "/>
    <m/>
    <n v="228608"/>
    <x v="7"/>
    <m/>
    <m/>
    <n v="40920"/>
    <n v="39943"/>
    <n v="11147"/>
    <n v="10751"/>
    <n v="0"/>
    <n v="0"/>
    <n v="44783"/>
    <n v="43358"/>
    <n v="96850"/>
    <n v="3228.3333333333335"/>
    <n v="94052"/>
    <n v="3135.0666666666666"/>
    <n v="15952"/>
    <n v="16212"/>
    <n v="96850"/>
    <n v="94052"/>
    <n v="10932"/>
    <n v="4792"/>
    <n v="15624"/>
    <n v="25696"/>
    <n v="18981"/>
    <n v="9753"/>
    <n v="14582"/>
    <n v="21508"/>
    <n v="60119"/>
    <n v="66.798888888888882"/>
    <n v="61749"/>
    <n v="68.61"/>
    <m/>
    <m/>
    <n v="0"/>
    <n v="0"/>
    <m/>
    <m/>
    <m/>
    <m/>
    <m/>
    <m/>
    <m/>
    <m/>
    <n v="0"/>
    <n v="0"/>
    <n v="0"/>
    <n v="0"/>
    <n v="3295.1322222222225"/>
    <n v="3203.6766666666667"/>
  </r>
  <r>
    <x v="13"/>
    <s v="Texarkana College "/>
    <m/>
    <n v="228699"/>
    <x v="7"/>
    <m/>
    <m/>
    <n v="30933"/>
    <n v="31833"/>
    <n v="7457"/>
    <n v="7643"/>
    <n v="0"/>
    <n v="0"/>
    <n v="38916"/>
    <n v="36211"/>
    <n v="77306"/>
    <n v="2576.8666666666668"/>
    <n v="75687"/>
    <n v="2522.9"/>
    <n v="18312"/>
    <n v="18185"/>
    <n v="77306"/>
    <n v="75687"/>
    <n v="76268"/>
    <n v="67434"/>
    <n v="69339"/>
    <n v="79616"/>
    <n v="73125"/>
    <n v="81877"/>
    <n v="67498"/>
    <n v="76663"/>
    <n v="286230"/>
    <n v="318.03333333333336"/>
    <n v="305590"/>
    <n v="339.54444444444442"/>
    <m/>
    <m/>
    <n v="0"/>
    <n v="0"/>
    <m/>
    <m/>
    <m/>
    <m/>
    <m/>
    <m/>
    <m/>
    <m/>
    <n v="0"/>
    <n v="0"/>
    <n v="0"/>
    <n v="0"/>
    <n v="2894.9"/>
    <n v="2862.4444444444443"/>
  </r>
  <r>
    <x v="13"/>
    <s v="Texas Southmost College "/>
    <m/>
    <n v="229072"/>
    <x v="7"/>
    <m/>
    <m/>
    <n v="48202"/>
    <n v="52338"/>
    <n v="4269"/>
    <n v="6854"/>
    <n v="4628"/>
    <n v="4357"/>
    <n v="50474"/>
    <n v="59826"/>
    <n v="107573"/>
    <n v="3585.7666666666669"/>
    <n v="123375"/>
    <n v="4112.5"/>
    <n v="32019"/>
    <n v="42299"/>
    <n v="107573"/>
    <n v="123375"/>
    <n v="6400"/>
    <n v="12996"/>
    <n v="10338"/>
    <n v="20040"/>
    <n v="12334"/>
    <n v="13752"/>
    <n v="18763"/>
    <n v="19600"/>
    <n v="47835"/>
    <n v="53.15"/>
    <n v="66388"/>
    <n v="73.76444444444445"/>
    <m/>
    <m/>
    <n v="0"/>
    <n v="0"/>
    <m/>
    <m/>
    <m/>
    <m/>
    <m/>
    <m/>
    <m/>
    <m/>
    <n v="0"/>
    <n v="0"/>
    <n v="0"/>
    <n v="0"/>
    <n v="3638.916666666667"/>
    <n v="4186.2644444444441"/>
  </r>
  <r>
    <x v="13"/>
    <s v="Texas State Technical College-Harlingen "/>
    <m/>
    <n v="229319"/>
    <x v="7"/>
    <m/>
    <m/>
    <n v="38004"/>
    <n v="32358"/>
    <n v="20102"/>
    <n v="17073"/>
    <n v="0"/>
    <n v="0"/>
    <n v="39305"/>
    <n v="36768"/>
    <n v="97411"/>
    <n v="3247.0333333333333"/>
    <n v="86199"/>
    <n v="2873.3"/>
    <n v="4406"/>
    <n v="1524"/>
    <n v="97411"/>
    <n v="86199"/>
    <n v="9598"/>
    <n v="12508"/>
    <n v="11299"/>
    <n v="13042"/>
    <n v="14799"/>
    <n v="12096"/>
    <n v="11954"/>
    <n v="11488"/>
    <n v="47650"/>
    <n v="52.944444444444443"/>
    <n v="49134"/>
    <n v="54.593333333333334"/>
    <m/>
    <m/>
    <n v="0"/>
    <n v="0"/>
    <m/>
    <m/>
    <m/>
    <m/>
    <m/>
    <m/>
    <m/>
    <m/>
    <n v="0"/>
    <n v="0"/>
    <n v="0"/>
    <n v="0"/>
    <n v="3299.9777777777776"/>
    <n v="2927.8933333333334"/>
  </r>
  <r>
    <x v="13"/>
    <s v="Texas State Technical College-Waco"/>
    <m/>
    <n v="228680"/>
    <x v="7"/>
    <m/>
    <m/>
    <n v="37581"/>
    <n v="34558"/>
    <n v="25906"/>
    <n v="26126"/>
    <n v="0"/>
    <n v="0"/>
    <n v="42391"/>
    <n v="41390"/>
    <n v="105878"/>
    <n v="3529.2666666666669"/>
    <n v="102074"/>
    <n v="3402.4666666666667"/>
    <n v="2019"/>
    <n v="1920"/>
    <n v="105878"/>
    <n v="102074"/>
    <m/>
    <n v="384"/>
    <m/>
    <n v="1920"/>
    <m/>
    <n v="1344"/>
    <m/>
    <n v="0"/>
    <n v="0"/>
    <n v="0"/>
    <n v="3648"/>
    <n v="4.0533333333333337"/>
    <m/>
    <m/>
    <n v="0"/>
    <n v="0"/>
    <m/>
    <m/>
    <m/>
    <m/>
    <m/>
    <m/>
    <m/>
    <m/>
    <n v="0"/>
    <n v="0"/>
    <n v="0"/>
    <n v="0"/>
    <n v="3529.2666666666669"/>
    <n v="3406.52"/>
  </r>
  <r>
    <x v="13"/>
    <s v="Vernon College "/>
    <m/>
    <n v="229504"/>
    <x v="7"/>
    <m/>
    <m/>
    <n v="24558"/>
    <n v="22882"/>
    <n v="2875"/>
    <n v="2567"/>
    <n v="4039"/>
    <n v="3613"/>
    <n v="26057"/>
    <n v="25219"/>
    <n v="57529"/>
    <n v="1917.6333333333334"/>
    <n v="54281"/>
    <n v="1809.3666666666666"/>
    <n v="7576"/>
    <n v="8235"/>
    <n v="57529"/>
    <n v="54281"/>
    <n v="85541"/>
    <n v="58227"/>
    <n v="53706"/>
    <n v="58552"/>
    <n v="28411"/>
    <n v="28434"/>
    <n v="81217"/>
    <n v="66305"/>
    <n v="248875"/>
    <n v="276.52777777777777"/>
    <n v="211518"/>
    <n v="235.02"/>
    <m/>
    <m/>
    <n v="0"/>
    <n v="0"/>
    <m/>
    <m/>
    <m/>
    <m/>
    <m/>
    <m/>
    <m/>
    <m/>
    <n v="0"/>
    <n v="0"/>
    <n v="0"/>
    <n v="0"/>
    <n v="2194.161111111111"/>
    <n v="2044.3866666666665"/>
  </r>
  <r>
    <x v="13"/>
    <s v="Victoria College "/>
    <m/>
    <n v="229540"/>
    <x v="7"/>
    <m/>
    <m/>
    <n v="29151"/>
    <n v="26008"/>
    <n v="7931"/>
    <n v="7204"/>
    <n v="0"/>
    <n v="0"/>
    <n v="29926"/>
    <n v="28637"/>
    <n v="67008"/>
    <n v="2233.6"/>
    <n v="61849"/>
    <n v="2061.6333333333332"/>
    <n v="6802"/>
    <n v="6811"/>
    <n v="67008"/>
    <n v="61849"/>
    <n v="25198"/>
    <n v="35154"/>
    <n v="20231"/>
    <n v="18716"/>
    <n v="29734"/>
    <n v="21181"/>
    <n v="38044"/>
    <n v="31852"/>
    <n v="113207"/>
    <n v="125.78555555555556"/>
    <n v="106903"/>
    <n v="118.78111111111112"/>
    <m/>
    <m/>
    <n v="0"/>
    <n v="0"/>
    <m/>
    <m/>
    <m/>
    <m/>
    <m/>
    <m/>
    <m/>
    <m/>
    <n v="0"/>
    <n v="0"/>
    <n v="0"/>
    <n v="0"/>
    <n v="2359.3855555555556"/>
    <n v="2180.4144444444441"/>
  </r>
  <r>
    <x v="13"/>
    <s v="Weatherford College "/>
    <m/>
    <n v="229799"/>
    <x v="7"/>
    <m/>
    <m/>
    <n v="49180"/>
    <n v="47389"/>
    <n v="7530"/>
    <n v="7445"/>
    <n v="4796"/>
    <n v="5527"/>
    <n v="52829"/>
    <n v="48948"/>
    <n v="114335"/>
    <n v="3811.1666666666665"/>
    <n v="109309"/>
    <n v="3643.6333333333332"/>
    <n v="18680"/>
    <n v="18993"/>
    <n v="114335"/>
    <n v="109309"/>
    <n v="31961"/>
    <n v="31841"/>
    <n v="31171"/>
    <n v="36919"/>
    <n v="26631"/>
    <n v="22382"/>
    <n v="37330"/>
    <n v="29692"/>
    <n v="127093"/>
    <n v="141.21444444444444"/>
    <n v="120834"/>
    <n v="134.26"/>
    <m/>
    <m/>
    <n v="0"/>
    <n v="0"/>
    <m/>
    <m/>
    <m/>
    <m/>
    <m/>
    <m/>
    <m/>
    <m/>
    <n v="0"/>
    <n v="0"/>
    <n v="0"/>
    <n v="0"/>
    <n v="3952.3811111111108"/>
    <n v="3777.8933333333334"/>
  </r>
  <r>
    <x v="13"/>
    <s v="Wharton County Junior College "/>
    <m/>
    <n v="229841"/>
    <x v="7"/>
    <m/>
    <m/>
    <n v="58477"/>
    <n v="60208"/>
    <n v="10260"/>
    <n v="10674"/>
    <n v="5588"/>
    <n v="5552"/>
    <n v="64784"/>
    <n v="66772"/>
    <n v="139109"/>
    <n v="4636.9666666666662"/>
    <n v="143206"/>
    <n v="4773.5333333333338"/>
    <n v="6822"/>
    <n v="6588"/>
    <n v="139109"/>
    <n v="143206"/>
    <n v="7578"/>
    <n v="6457"/>
    <n v="10156"/>
    <n v="8028"/>
    <n v="8881"/>
    <n v="10972"/>
    <n v="10266"/>
    <n v="9537"/>
    <n v="36881"/>
    <n v="40.978888888888889"/>
    <n v="34994"/>
    <n v="38.882222222222225"/>
    <m/>
    <m/>
    <n v="0"/>
    <n v="0"/>
    <m/>
    <m/>
    <m/>
    <m/>
    <m/>
    <m/>
    <m/>
    <m/>
    <n v="0"/>
    <n v="0"/>
    <n v="0"/>
    <n v="0"/>
    <n v="4677.9455555555551"/>
    <n v="4812.4155555555562"/>
  </r>
  <r>
    <x v="13"/>
    <s v="Clarendon College "/>
    <m/>
    <n v="223922"/>
    <x v="8"/>
    <m/>
    <m/>
    <n v="13260"/>
    <n v="12969"/>
    <n v="3184"/>
    <n v="1053"/>
    <n v="705"/>
    <n v="2422"/>
    <n v="14474"/>
    <n v="13868"/>
    <n v="31623"/>
    <n v="1054.0999999999999"/>
    <n v="30312"/>
    <n v="1010.4"/>
    <n v="7376"/>
    <n v="7976"/>
    <n v="31623"/>
    <n v="30312"/>
    <n v="6932"/>
    <n v="2020"/>
    <n v="5144"/>
    <n v="2760"/>
    <n v="3968"/>
    <n v="1488"/>
    <n v="7072"/>
    <n v="992"/>
    <n v="23116"/>
    <n v="25.684444444444445"/>
    <n v="7260"/>
    <n v="8.0666666666666664"/>
    <m/>
    <m/>
    <n v="0"/>
    <n v="0"/>
    <m/>
    <m/>
    <m/>
    <m/>
    <m/>
    <m/>
    <m/>
    <m/>
    <n v="0"/>
    <n v="0"/>
    <n v="0"/>
    <n v="0"/>
    <n v="1079.7844444444443"/>
    <n v="1018.4666666666667"/>
  </r>
  <r>
    <x v="13"/>
    <s v="Frank Phillips College "/>
    <m/>
    <n v="224891"/>
    <x v="8"/>
    <m/>
    <m/>
    <n v="11397"/>
    <n v="12074"/>
    <n v="1541"/>
    <n v="1341"/>
    <n v="719"/>
    <n v="824"/>
    <n v="12131"/>
    <n v="13283"/>
    <n v="25788"/>
    <n v="859.6"/>
    <n v="27522"/>
    <n v="917.4"/>
    <n v="9935"/>
    <n v="10288"/>
    <n v="25788"/>
    <n v="27522"/>
    <n v="26198"/>
    <n v="11400"/>
    <n v="14538"/>
    <n v="7239"/>
    <n v="15723"/>
    <n v="11281"/>
    <n v="16650"/>
    <n v="18152"/>
    <n v="73109"/>
    <n v="81.232222222222219"/>
    <n v="48072"/>
    <n v="53.413333333333334"/>
    <m/>
    <m/>
    <n v="0"/>
    <n v="0"/>
    <m/>
    <m/>
    <m/>
    <m/>
    <m/>
    <m/>
    <m/>
    <m/>
    <n v="0"/>
    <n v="0"/>
    <n v="0"/>
    <n v="0"/>
    <n v="940.8322222222223"/>
    <n v="970.81333333333328"/>
  </r>
  <r>
    <x v="13"/>
    <s v="Galveston College "/>
    <m/>
    <n v="224961"/>
    <x v="8"/>
    <m/>
    <m/>
    <n v="17461"/>
    <n v="18693"/>
    <n v="3830"/>
    <n v="4078"/>
    <n v="3660"/>
    <n v="3643"/>
    <n v="20041"/>
    <n v="19847"/>
    <n v="44992"/>
    <n v="1499.7333333333333"/>
    <n v="46261"/>
    <n v="1542.0333333333333"/>
    <n v="4764"/>
    <n v="6212"/>
    <n v="44992"/>
    <n v="46261"/>
    <n v="18266"/>
    <n v="17406"/>
    <n v="4408"/>
    <n v="8028"/>
    <n v="8137"/>
    <n v="8069"/>
    <n v="19459"/>
    <n v="27676"/>
    <n v="50270"/>
    <n v="55.855555555555554"/>
    <n v="61179"/>
    <n v="67.976666666666674"/>
    <m/>
    <m/>
    <n v="0"/>
    <n v="0"/>
    <m/>
    <m/>
    <m/>
    <m/>
    <m/>
    <m/>
    <m/>
    <m/>
    <n v="0"/>
    <n v="0"/>
    <n v="0"/>
    <n v="0"/>
    <n v="1555.588888888889"/>
    <n v="1610.01"/>
  </r>
  <r>
    <x v="13"/>
    <s v="Lamar State College-Orange"/>
    <m/>
    <n v="226107"/>
    <x v="8"/>
    <m/>
    <m/>
    <n v="17767"/>
    <n v="17896"/>
    <n v="5719"/>
    <n v="4696"/>
    <n v="0"/>
    <n v="0"/>
    <n v="20159"/>
    <n v="21186"/>
    <n v="43645"/>
    <n v="1454.8333333333333"/>
    <n v="43778"/>
    <n v="1459.2666666666667"/>
    <n v="5917"/>
    <n v="5942"/>
    <n v="43645"/>
    <n v="43778"/>
    <n v="3794"/>
    <n v="2534"/>
    <n v="4281"/>
    <n v="2009"/>
    <n v="5340"/>
    <n v="13824"/>
    <n v="3547"/>
    <n v="3025"/>
    <n v="16962"/>
    <n v="18.846666666666668"/>
    <n v="21392"/>
    <n v="23.768888888888888"/>
    <m/>
    <m/>
    <n v="0"/>
    <n v="0"/>
    <m/>
    <m/>
    <m/>
    <m/>
    <m/>
    <m/>
    <m/>
    <m/>
    <n v="0"/>
    <n v="0"/>
    <n v="0"/>
    <n v="0"/>
    <n v="1473.6799999999998"/>
    <n v="1483.0355555555554"/>
  </r>
  <r>
    <x v="13"/>
    <s v="Lamar State College-Port Arthur"/>
    <s v="Met the criteria for Two-Year 2 in 2019-20."/>
    <n v="226116"/>
    <x v="8"/>
    <m/>
    <m/>
    <n v="17970"/>
    <n v="21746"/>
    <n v="5962"/>
    <n v="5965"/>
    <n v="623"/>
    <n v="0"/>
    <n v="21947"/>
    <n v="24476"/>
    <n v="46502"/>
    <n v="1550.0666666666666"/>
    <n v="52187"/>
    <n v="1739.5666666666666"/>
    <n v="6636"/>
    <n v="8297"/>
    <n v="46502"/>
    <n v="52187"/>
    <n v="13241"/>
    <n v="68131"/>
    <n v="100280"/>
    <n v="62540"/>
    <n v="60687"/>
    <n v="55664"/>
    <n v="108518"/>
    <n v="66608"/>
    <n v="282726"/>
    <n v="314.14"/>
    <n v="252943"/>
    <n v="281.04777777777775"/>
    <m/>
    <m/>
    <n v="0"/>
    <n v="0"/>
    <m/>
    <m/>
    <m/>
    <m/>
    <m/>
    <m/>
    <m/>
    <m/>
    <n v="0"/>
    <n v="0"/>
    <n v="0"/>
    <n v="0"/>
    <n v="1864.2066666666665"/>
    <n v="2020.6144444444444"/>
  </r>
  <r>
    <x v="13"/>
    <s v="Northeast Lakeview College (ACCD)"/>
    <s v="Met the criteria for Two-Year 2 in 2018-19 and 2019-20."/>
    <n v="488730"/>
    <x v="8"/>
    <m/>
    <m/>
    <n v="23685"/>
    <n v="42436"/>
    <n v="8765"/>
    <n v="11929"/>
    <n v="0"/>
    <n v="0"/>
    <n v="40998"/>
    <n v="51705"/>
    <n v="73448"/>
    <n v="2448.2666666666669"/>
    <n v="106070"/>
    <n v="3535.6666666666665"/>
    <n v="4983"/>
    <n v="11300"/>
    <n v="73448"/>
    <n v="106070"/>
    <n v="4504"/>
    <n v="5504"/>
    <n v="4096"/>
    <n v="9140"/>
    <n v="8516"/>
    <n v="7072"/>
    <n v="7712"/>
    <n v="4168"/>
    <n v="24828"/>
    <n v="27.586666666666666"/>
    <n v="25884"/>
    <n v="28.76"/>
    <m/>
    <m/>
    <n v="0"/>
    <n v="0"/>
    <m/>
    <m/>
    <m/>
    <m/>
    <m/>
    <m/>
    <m/>
    <m/>
    <n v="0"/>
    <n v="0"/>
    <n v="0"/>
    <n v="0"/>
    <n v="2475.8533333333335"/>
    <n v="3564.4266666666667"/>
  </r>
  <r>
    <x v="13"/>
    <s v="Panola College"/>
    <m/>
    <n v="227386"/>
    <x v="8"/>
    <m/>
    <m/>
    <n v="24270"/>
    <n v="22498"/>
    <n v="3414"/>
    <n v="3321"/>
    <n v="2396"/>
    <n v="2457"/>
    <n v="25721"/>
    <n v="23667"/>
    <n v="55801"/>
    <n v="1860.0333333333333"/>
    <n v="51943"/>
    <n v="1731.4333333333334"/>
    <n v="8455"/>
    <n v="10417"/>
    <n v="55801"/>
    <n v="51943"/>
    <n v="15720"/>
    <n v="14463"/>
    <n v="13310"/>
    <n v="8466"/>
    <n v="15618"/>
    <n v="11658"/>
    <n v="14632"/>
    <n v="18428"/>
    <n v="59280"/>
    <n v="65.86666666666666"/>
    <n v="53015"/>
    <n v="58.905555555555559"/>
    <m/>
    <m/>
    <n v="0"/>
    <n v="0"/>
    <m/>
    <m/>
    <m/>
    <m/>
    <m/>
    <m/>
    <m/>
    <m/>
    <n v="0"/>
    <n v="0"/>
    <n v="0"/>
    <n v="0"/>
    <n v="1925.8999999999999"/>
    <n v="1790.338888888889"/>
  </r>
  <r>
    <x v="13"/>
    <s v="Ranger College "/>
    <m/>
    <n v="227687"/>
    <x v="8"/>
    <m/>
    <m/>
    <n v="19553"/>
    <n v="19787"/>
    <n v="3568"/>
    <n v="3306"/>
    <n v="1088"/>
    <n v="1189"/>
    <n v="22255"/>
    <n v="21772"/>
    <n v="46464"/>
    <n v="1548.8"/>
    <n v="46054"/>
    <n v="1535.1333333333334"/>
    <n v="13430"/>
    <n v="13702"/>
    <n v="46464"/>
    <n v="46054"/>
    <n v="29072"/>
    <n v="21228"/>
    <n v="12428"/>
    <n v="8400"/>
    <n v="10878"/>
    <n v="15112"/>
    <n v="9044"/>
    <n v="6200"/>
    <n v="61422"/>
    <n v="68.24666666666667"/>
    <n v="50940"/>
    <n v="56.6"/>
    <m/>
    <m/>
    <n v="0"/>
    <n v="0"/>
    <m/>
    <m/>
    <m/>
    <m/>
    <m/>
    <m/>
    <m/>
    <m/>
    <n v="0"/>
    <n v="0"/>
    <n v="0"/>
    <n v="0"/>
    <n v="1617.0466666666666"/>
    <n v="1591.7333333333333"/>
  </r>
  <r>
    <x v="13"/>
    <s v="Southwest Collegiate Institute for the Deaf (HCJCD)"/>
    <m/>
    <n v="382911"/>
    <x v="8"/>
    <m/>
    <m/>
    <n v="988"/>
    <n v="867"/>
    <n v="12"/>
    <n v="9"/>
    <n v="0"/>
    <n v="0"/>
    <n v="975"/>
    <n v="667"/>
    <n v="1975"/>
    <n v="65.833333333333329"/>
    <n v="1543"/>
    <n v="51.43333333333333"/>
    <n v="0"/>
    <n v="0"/>
    <n v="1975"/>
    <n v="1543"/>
    <m/>
    <m/>
    <m/>
    <m/>
    <m/>
    <m/>
    <m/>
    <m/>
    <n v="0"/>
    <n v="0"/>
    <n v="0"/>
    <n v="0"/>
    <m/>
    <m/>
    <n v="0"/>
    <n v="0"/>
    <m/>
    <m/>
    <m/>
    <m/>
    <m/>
    <m/>
    <m/>
    <m/>
    <n v="0"/>
    <n v="0"/>
    <n v="0"/>
    <n v="0"/>
    <n v="65.833333333333329"/>
    <n v="51.43333333333333"/>
  </r>
  <r>
    <x v="13"/>
    <s v="Texas State Technical College-Fort Bend"/>
    <m/>
    <s v="N/A"/>
    <x v="8"/>
    <m/>
    <m/>
    <n v="3479"/>
    <n v="3766"/>
    <n v="2218"/>
    <n v="2494"/>
    <n v="0"/>
    <n v="0"/>
    <n v="4894"/>
    <n v="5387"/>
    <n v="10591"/>
    <n v="353.03333333333336"/>
    <n v="11647"/>
    <n v="388.23333333333335"/>
    <n v="60"/>
    <n v="187"/>
    <n v="10591"/>
    <n v="11647"/>
    <m/>
    <m/>
    <m/>
    <m/>
    <m/>
    <m/>
    <m/>
    <m/>
    <n v="0"/>
    <n v="0"/>
    <n v="0"/>
    <n v="0"/>
    <m/>
    <m/>
    <n v="0"/>
    <n v="0"/>
    <m/>
    <m/>
    <m/>
    <m/>
    <m/>
    <m/>
    <m/>
    <m/>
    <n v="0"/>
    <n v="0"/>
    <n v="0"/>
    <n v="0"/>
    <n v="353.03333333333336"/>
    <n v="388.23333333333335"/>
  </r>
  <r>
    <x v="13"/>
    <s v="Texas State Technical College-Marshall"/>
    <m/>
    <n v="408394"/>
    <x v="8"/>
    <m/>
    <m/>
    <n v="5174"/>
    <n v="4510"/>
    <n v="3247"/>
    <n v="2502"/>
    <n v="0"/>
    <n v="0"/>
    <n v="5381"/>
    <n v="5769"/>
    <n v="13802"/>
    <n v="460.06666666666666"/>
    <n v="12781"/>
    <n v="426.03333333333336"/>
    <n v="334"/>
    <n v="304"/>
    <n v="13802"/>
    <n v="12781"/>
    <m/>
    <m/>
    <m/>
    <m/>
    <m/>
    <m/>
    <m/>
    <m/>
    <n v="0"/>
    <n v="0"/>
    <n v="0"/>
    <n v="0"/>
    <m/>
    <m/>
    <n v="0"/>
    <n v="0"/>
    <m/>
    <m/>
    <m/>
    <m/>
    <m/>
    <m/>
    <m/>
    <m/>
    <n v="0"/>
    <n v="0"/>
    <n v="0"/>
    <n v="0"/>
    <n v="460.06666666666666"/>
    <n v="426.03333333333336"/>
  </r>
  <r>
    <x v="13"/>
    <s v="Texas State Technical College-North Texas"/>
    <m/>
    <s v="N/A"/>
    <x v="8"/>
    <m/>
    <m/>
    <n v="2293"/>
    <n v="1980"/>
    <n v="1632"/>
    <n v="1135"/>
    <n v="0"/>
    <n v="0"/>
    <n v="2737"/>
    <n v="2161"/>
    <n v="6662"/>
    <n v="222.06666666666666"/>
    <n v="5276"/>
    <n v="175.86666666666667"/>
    <n v="149"/>
    <n v="240"/>
    <n v="6662"/>
    <n v="5276"/>
    <m/>
    <m/>
    <m/>
    <m/>
    <m/>
    <m/>
    <m/>
    <m/>
    <n v="0"/>
    <n v="0"/>
    <n v="0"/>
    <n v="0"/>
    <m/>
    <m/>
    <n v="0"/>
    <n v="0"/>
    <m/>
    <m/>
    <m/>
    <m/>
    <m/>
    <m/>
    <m/>
    <m/>
    <n v="0"/>
    <n v="0"/>
    <n v="0"/>
    <n v="0"/>
    <n v="222.06666666666666"/>
    <n v="175.86666666666667"/>
  </r>
  <r>
    <x v="13"/>
    <s v="Texas State Technical College-West Texas"/>
    <m/>
    <n v="229328"/>
    <x v="8"/>
    <m/>
    <m/>
    <n v="9898"/>
    <n v="11349"/>
    <n v="7634"/>
    <n v="8379"/>
    <n v="0"/>
    <n v="0"/>
    <n v="13569"/>
    <n v="13630"/>
    <n v="31101"/>
    <n v="1036.7"/>
    <n v="33358"/>
    <n v="1111.9333333333334"/>
    <n v="2242"/>
    <m/>
    <n v="31101"/>
    <n v="33358"/>
    <n v="2380"/>
    <n v="420"/>
    <n v="1080"/>
    <n v="0"/>
    <n v="680"/>
    <n v="1060"/>
    <n v="600"/>
    <n v="1512"/>
    <n v="4740"/>
    <n v="5.2666666666666666"/>
    <n v="2992"/>
    <n v="3.3244444444444445"/>
    <m/>
    <m/>
    <n v="0"/>
    <n v="0"/>
    <m/>
    <m/>
    <m/>
    <m/>
    <m/>
    <m/>
    <m/>
    <m/>
    <n v="0"/>
    <n v="0"/>
    <n v="0"/>
    <n v="0"/>
    <n v="1041.9666666666667"/>
    <n v="1115.2577777777778"/>
  </r>
  <r>
    <x v="13"/>
    <s v="Western Texas College "/>
    <m/>
    <n v="229832"/>
    <x v="8"/>
    <m/>
    <m/>
    <n v="17510"/>
    <n v="16308"/>
    <n v="8240"/>
    <n v="7242"/>
    <n v="4365"/>
    <n v="3672"/>
    <n v="16456"/>
    <n v="15574"/>
    <n v="46571"/>
    <n v="1552.3666666666666"/>
    <n v="42796"/>
    <n v="1426.5333333333333"/>
    <n v="8983"/>
    <m/>
    <n v="46571"/>
    <n v="42796"/>
    <n v="24108"/>
    <n v="41850"/>
    <n v="24293"/>
    <n v="31427"/>
    <n v="4903"/>
    <n v="15782"/>
    <n v="25630"/>
    <n v="36778"/>
    <n v="78934"/>
    <n v="87.704444444444448"/>
    <n v="125837"/>
    <n v="139.81888888888889"/>
    <m/>
    <m/>
    <n v="0"/>
    <n v="0"/>
    <m/>
    <m/>
    <m/>
    <m/>
    <m/>
    <m/>
    <m/>
    <m/>
    <n v="0"/>
    <n v="0"/>
    <n v="0"/>
    <n v="0"/>
    <n v="1640.0711111111109"/>
    <n v="1566.3522222222223"/>
  </r>
  <r>
    <x v="13"/>
    <s v="Alamo Community College District (ACCD)"/>
    <m/>
    <m/>
    <x v="14"/>
    <m/>
    <m/>
    <n v="346004"/>
    <n v="294850"/>
    <n v="128393"/>
    <n v="106864"/>
    <n v="0"/>
    <n v="0"/>
    <n v="314047"/>
    <n v="329099"/>
    <n v="788444"/>
    <n v="26281.466666666667"/>
    <n v="730813"/>
    <n v="24360.433333333334"/>
    <n v="104935"/>
    <n v="77807"/>
    <n v="788444"/>
    <n v="730813"/>
    <n v="45452"/>
    <n v="26197"/>
    <n v="57514"/>
    <n v="33589"/>
    <n v="64190"/>
    <n v="28742"/>
    <n v="65393"/>
    <n v="32246"/>
    <n v="232549"/>
    <n v="258.38777777777779"/>
    <n v="120774"/>
    <n v="134.19333333333333"/>
    <m/>
    <m/>
    <n v="0"/>
    <n v="0"/>
    <m/>
    <m/>
    <m/>
    <m/>
    <m/>
    <m/>
    <m/>
    <m/>
    <n v="0"/>
    <n v="0"/>
    <n v="0"/>
    <n v="0"/>
    <n v="26539.854444444445"/>
    <n v="24494.626666666667"/>
  </r>
  <r>
    <x v="13"/>
    <s v="Dallas County Community College District (DCCCD)"/>
    <m/>
    <m/>
    <x v="14"/>
    <m/>
    <m/>
    <n v="483089"/>
    <n v="593461"/>
    <n v="289024"/>
    <n v="354196"/>
    <n v="0"/>
    <n v="0"/>
    <n v="393596"/>
    <n v="515287"/>
    <n v="1165709"/>
    <n v="38856.966666666667"/>
    <n v="1462944"/>
    <n v="48764.800000000003"/>
    <n v="187097"/>
    <n v="270836"/>
    <n v="1165709"/>
    <n v="1462944"/>
    <n v="369810"/>
    <n v="472429"/>
    <n v="400106"/>
    <n v="416600"/>
    <n v="338689"/>
    <n v="524058"/>
    <n v="539245"/>
    <n v="634309"/>
    <n v="1647850"/>
    <n v="1830.9444444444443"/>
    <n v="2047396"/>
    <n v="2274.8844444444444"/>
    <m/>
    <m/>
    <n v="0"/>
    <n v="0"/>
    <m/>
    <m/>
    <m/>
    <m/>
    <m/>
    <m/>
    <m/>
    <m/>
    <n v="0"/>
    <n v="0"/>
    <n v="0"/>
    <n v="0"/>
    <n v="40687.911111111112"/>
    <n v="51039.68444444445"/>
  </r>
  <r>
    <x v="13"/>
    <s v="Howard County Community/Junior College District (HCJCD)"/>
    <m/>
    <m/>
    <x v="14"/>
    <m/>
    <m/>
    <n v="25996"/>
    <n v="27691"/>
    <n v="5217"/>
    <n v="4536"/>
    <n v="2074"/>
    <n v="1948"/>
    <n v="32920"/>
    <n v="32148"/>
    <n v="66207"/>
    <n v="2206.9"/>
    <n v="66323"/>
    <n v="2210.7666666666669"/>
    <n v="17371"/>
    <n v="18252"/>
    <n v="66207"/>
    <n v="66323"/>
    <n v="112699"/>
    <n v="118680"/>
    <n v="135796"/>
    <n v="152630"/>
    <n v="142645"/>
    <n v="96293"/>
    <n v="153367"/>
    <n v="128831"/>
    <n v="544507"/>
    <n v="605.00777777777773"/>
    <n v="496434"/>
    <n v="551.59333333333336"/>
    <m/>
    <m/>
    <n v="0"/>
    <n v="0"/>
    <m/>
    <m/>
    <m/>
    <m/>
    <m/>
    <m/>
    <m/>
    <m/>
    <n v="0"/>
    <n v="0"/>
    <n v="0"/>
    <n v="0"/>
    <n v="2811.9077777777779"/>
    <n v="2762.36"/>
  </r>
  <r>
    <x v="13"/>
    <s v="University of North Texas at Dallas"/>
    <m/>
    <n v="443711"/>
    <x v="13"/>
    <m/>
    <m/>
    <n v="0"/>
    <n v="0"/>
    <n v="28533"/>
    <n v="30606"/>
    <n v="7679"/>
    <n v="7757"/>
    <n v="33061"/>
    <n v="35236"/>
    <n v="69273"/>
    <n v="2309.1"/>
    <n v="73599"/>
    <n v="2453.3000000000002"/>
    <n v="0"/>
    <m/>
    <n v="69273"/>
    <n v="73599"/>
    <m/>
    <m/>
    <m/>
    <m/>
    <m/>
    <m/>
    <m/>
    <m/>
    <n v="0"/>
    <n v="0"/>
    <n v="0"/>
    <n v="0"/>
    <m/>
    <m/>
    <n v="0"/>
    <n v="0"/>
    <m/>
    <m/>
    <n v="6515"/>
    <n v="7021"/>
    <n v="2733"/>
    <n v="3016"/>
    <n v="6968"/>
    <n v="7243"/>
    <n v="16216"/>
    <n v="675.66666666666663"/>
    <n v="17280"/>
    <n v="720"/>
    <n v="2984.7666666666664"/>
    <n v="3173.3"/>
  </r>
  <r>
    <x v="13"/>
    <s v="Alamo Community College District (ACCD)"/>
    <m/>
    <m/>
    <x v="15"/>
    <m/>
    <m/>
    <n v="23685"/>
    <n v="252414"/>
    <n v="8765"/>
    <n v="94935"/>
    <n v="0"/>
    <n v="0"/>
    <n v="40998"/>
    <n v="277394"/>
    <n v="73448"/>
    <n v="2448.2666666666669"/>
    <n v="624743"/>
    <n v="20824.766666666666"/>
    <n v="4983"/>
    <n v="66507"/>
    <n v="73448"/>
    <n v="624743"/>
    <n v="4504"/>
    <n v="20693"/>
    <n v="4096"/>
    <n v="24449"/>
    <n v="8516"/>
    <n v="21670"/>
    <n v="7712"/>
    <n v="28078"/>
    <n v="24828"/>
    <n v="27.586666666666666"/>
    <n v="94890"/>
    <n v="105.43333333333334"/>
    <m/>
    <m/>
    <n v="0"/>
    <n v="0"/>
    <m/>
    <m/>
    <m/>
    <m/>
    <m/>
    <m/>
    <m/>
    <m/>
    <n v="0"/>
    <n v="0"/>
    <n v="0"/>
    <n v="0"/>
    <n v="2475.8533333333335"/>
    <n v="20930.2"/>
  </r>
  <r>
    <x v="13"/>
    <s v="Dallas County Community College District (DCCCD)"/>
    <m/>
    <m/>
    <x v="15"/>
    <m/>
    <m/>
    <n v="122515"/>
    <n v="538294"/>
    <n v="66618"/>
    <n v="320019"/>
    <n v="0"/>
    <n v="0"/>
    <n v="113963"/>
    <n v="468317"/>
    <n v="303096"/>
    <n v="10103.200000000001"/>
    <n v="1326630"/>
    <n v="44221"/>
    <n v="59528"/>
    <n v="245489"/>
    <n v="303096"/>
    <n v="1326630"/>
    <n v="68378"/>
    <n v="433984"/>
    <n v="125931"/>
    <n v="381374"/>
    <n v="186923"/>
    <n v="444786"/>
    <n v="74717"/>
    <n v="605769"/>
    <n v="455949"/>
    <n v="506.61"/>
    <n v="1865913"/>
    <n v="2073.2366666666667"/>
    <m/>
    <m/>
    <n v="0"/>
    <n v="0"/>
    <m/>
    <m/>
    <m/>
    <m/>
    <m/>
    <m/>
    <m/>
    <m/>
    <n v="0"/>
    <n v="0"/>
    <n v="0"/>
    <n v="0"/>
    <n v="10609.810000000001"/>
    <n v="46294.236666666664"/>
  </r>
  <r>
    <x v="13"/>
    <s v="Dallas County Community College District (DCCCD)"/>
    <m/>
    <m/>
    <x v="16"/>
    <m/>
    <m/>
    <n v="605604"/>
    <n v="55167"/>
    <n v="355642"/>
    <n v="34177"/>
    <n v="0"/>
    <n v="0"/>
    <n v="507559"/>
    <n v="46970"/>
    <n v="1468805"/>
    <n v="48960.166666666664"/>
    <n v="136314"/>
    <n v="4543.8"/>
    <n v="246625"/>
    <n v="25347"/>
    <n v="1468805"/>
    <n v="136314"/>
    <n v="438188"/>
    <n v="38445"/>
    <n v="526037"/>
    <n v="35226"/>
    <n v="525612"/>
    <n v="79272"/>
    <n v="613962"/>
    <n v="28540"/>
    <n v="2103799"/>
    <n v="2337.5544444444445"/>
    <n v="181483"/>
    <n v="201.64777777777778"/>
    <m/>
    <m/>
    <n v="0"/>
    <n v="0"/>
    <m/>
    <m/>
    <m/>
    <m/>
    <m/>
    <m/>
    <m/>
    <m/>
    <n v="0"/>
    <n v="0"/>
    <n v="0"/>
    <n v="0"/>
    <n v="51297.72111111111"/>
    <n v="4745.4477777777784"/>
  </r>
  <r>
    <x v="13"/>
    <s v="Howard County Community/Junior College District (HCJCD)"/>
    <m/>
    <m/>
    <x v="16"/>
    <m/>
    <m/>
    <n v="988"/>
    <n v="26824"/>
    <n v="12"/>
    <n v="4527"/>
    <n v="0"/>
    <n v="1948"/>
    <n v="975"/>
    <n v="31481"/>
    <n v="1975"/>
    <n v="65.833333333333329"/>
    <n v="64780"/>
    <n v="2159.3333333333335"/>
    <n v="0"/>
    <n v="18252"/>
    <n v="1975"/>
    <n v="64780"/>
    <n v="0"/>
    <n v="118680"/>
    <n v="0"/>
    <n v="152630"/>
    <n v="0"/>
    <n v="96293"/>
    <n v="0"/>
    <n v="128831"/>
    <n v="0"/>
    <n v="0"/>
    <n v="496434"/>
    <n v="551.59333333333336"/>
    <m/>
    <m/>
    <n v="0"/>
    <n v="0"/>
    <m/>
    <m/>
    <m/>
    <m/>
    <m/>
    <m/>
    <m/>
    <m/>
    <n v="0"/>
    <n v="0"/>
    <n v="0"/>
    <n v="0"/>
    <n v="65.833333333333329"/>
    <n v="2710.9266666666667"/>
  </r>
  <r>
    <x v="13"/>
    <s v="Alamo Community College District (ACCD)"/>
    <m/>
    <m/>
    <x v="17"/>
    <m/>
    <m/>
    <n v="369689"/>
    <n v="42436"/>
    <n v="137158"/>
    <n v="11929"/>
    <n v="0"/>
    <n v="0"/>
    <n v="355045"/>
    <n v="51705"/>
    <n v="861892"/>
    <n v="28729.733333333334"/>
    <n v="106070"/>
    <n v="3535.6666666666665"/>
    <n v="109918"/>
    <n v="11300"/>
    <n v="861892"/>
    <n v="106070"/>
    <n v="49956"/>
    <n v="5504"/>
    <n v="61610"/>
    <n v="9140"/>
    <n v="72706"/>
    <n v="7072"/>
    <n v="73105"/>
    <n v="4168"/>
    <n v="257377"/>
    <n v="285.97444444444443"/>
    <n v="25884"/>
    <n v="28.76"/>
    <m/>
    <m/>
    <n v="0"/>
    <n v="0"/>
    <m/>
    <m/>
    <m/>
    <m/>
    <m/>
    <m/>
    <m/>
    <m/>
    <n v="0"/>
    <n v="0"/>
    <n v="0"/>
    <n v="0"/>
    <n v="29015.707777777778"/>
    <n v="3564.4266666666667"/>
  </r>
  <r>
    <x v="13"/>
    <s v="Howard County Community/Junior College District (HCJCD)"/>
    <m/>
    <m/>
    <x v="17"/>
    <m/>
    <m/>
    <n v="26984"/>
    <n v="867"/>
    <n v="5229"/>
    <n v="9"/>
    <n v="2074"/>
    <n v="0"/>
    <n v="33895"/>
    <n v="667"/>
    <n v="68182"/>
    <n v="2272.7333333333331"/>
    <n v="1543"/>
    <n v="51.43333333333333"/>
    <n v="17371"/>
    <n v="0"/>
    <n v="68182"/>
    <n v="1543"/>
    <n v="112699"/>
    <n v="0"/>
    <n v="135796"/>
    <n v="0"/>
    <n v="142645"/>
    <n v="0"/>
    <n v="153367"/>
    <n v="0"/>
    <n v="544507"/>
    <n v="605.00777777777773"/>
    <n v="0"/>
    <n v="0"/>
    <m/>
    <m/>
    <n v="0"/>
    <n v="0"/>
    <m/>
    <m/>
    <m/>
    <m/>
    <m/>
    <m/>
    <m/>
    <m/>
    <n v="0"/>
    <n v="0"/>
    <n v="0"/>
    <n v="0"/>
    <n v="2877.741111111111"/>
    <n v="51.43333333333333"/>
  </r>
  <r>
    <x v="14"/>
    <s v="George Mason University "/>
    <m/>
    <n v="232186"/>
    <x v="0"/>
    <m/>
    <m/>
    <m/>
    <m/>
    <n v="319281"/>
    <n v="331742"/>
    <n v="58134"/>
    <n v="60579"/>
    <n v="348307.5"/>
    <n v="354280.5"/>
    <n v="725722.5"/>
    <n v="24190.75"/>
    <n v="746601.5"/>
    <n v="24886.716666666667"/>
    <n v="17469"/>
    <n v="19071"/>
    <n v="725722.5"/>
    <n v="746601.5"/>
    <m/>
    <m/>
    <m/>
    <m/>
    <m/>
    <m/>
    <m/>
    <m/>
    <n v="0"/>
    <n v="0"/>
    <n v="0"/>
    <n v="0"/>
    <m/>
    <m/>
    <n v="0"/>
    <n v="0"/>
    <m/>
    <m/>
    <n v="74728"/>
    <n v="74542.5"/>
    <n v="16787"/>
    <n v="19111"/>
    <n v="76855.5"/>
    <n v="76641.5"/>
    <n v="168370.5"/>
    <n v="7015.4375"/>
    <n v="170295"/>
    <n v="7095.625"/>
    <n v="31206.1875"/>
    <n v="31982.341666666667"/>
  </r>
  <r>
    <x v="14"/>
    <s v="Old Dominion University "/>
    <m/>
    <n v="232982"/>
    <x v="0"/>
    <m/>
    <m/>
    <m/>
    <m/>
    <n v="216681"/>
    <n v="214868"/>
    <n v="51723"/>
    <n v="50618"/>
    <n v="238159"/>
    <n v="235382"/>
    <n v="506563"/>
    <n v="16885.433333333334"/>
    <n v="500868"/>
    <n v="16695.599999999999"/>
    <n v="98"/>
    <n v="57"/>
    <n v="506563"/>
    <n v="500868"/>
    <m/>
    <m/>
    <m/>
    <m/>
    <m/>
    <m/>
    <m/>
    <m/>
    <n v="0"/>
    <n v="0"/>
    <n v="0"/>
    <n v="0"/>
    <m/>
    <m/>
    <n v="0"/>
    <n v="0"/>
    <m/>
    <m/>
    <n v="26691"/>
    <n v="25832"/>
    <n v="13980"/>
    <n v="13674"/>
    <n v="27716"/>
    <n v="26891"/>
    <n v="68387"/>
    <n v="2849.4583333333335"/>
    <n v="66397"/>
    <n v="2766.5416666666665"/>
    <n v="19734.891666666666"/>
    <n v="19462.141666666666"/>
  </r>
  <r>
    <x v="14"/>
    <s v="University of Virginia"/>
    <m/>
    <n v="234076"/>
    <x v="0"/>
    <m/>
    <m/>
    <m/>
    <m/>
    <n v="235505"/>
    <n v="238170.5"/>
    <n v="16538.5"/>
    <n v="18999"/>
    <n v="245340.5"/>
    <n v="250197"/>
    <n v="497384"/>
    <n v="16579.466666666667"/>
    <n v="507366.5"/>
    <n v="16912.216666666667"/>
    <n v="0"/>
    <n v="0"/>
    <n v="497384"/>
    <n v="507366.5"/>
    <m/>
    <m/>
    <m/>
    <m/>
    <m/>
    <m/>
    <m/>
    <m/>
    <n v="0"/>
    <n v="0"/>
    <n v="0"/>
    <n v="0"/>
    <m/>
    <m/>
    <n v="0"/>
    <n v="0"/>
    <m/>
    <m/>
    <n v="88271.5"/>
    <n v="90742.5"/>
    <n v="15622"/>
    <n v="16369.5"/>
    <n v="90882.5"/>
    <n v="92840"/>
    <n v="194776"/>
    <n v="8115.666666666667"/>
    <n v="199952"/>
    <n v="8331.3333333333339"/>
    <n v="24695.133333333335"/>
    <n v="25243.550000000003"/>
  </r>
  <r>
    <x v="14"/>
    <s v="Virginia Commonwealth University"/>
    <m/>
    <n v="234030"/>
    <x v="0"/>
    <m/>
    <m/>
    <m/>
    <m/>
    <n v="290194"/>
    <n v="287895.5"/>
    <n v="36343.5"/>
    <n v="33632.5"/>
    <n v="318408"/>
    <n v="310358"/>
    <n v="644945.5"/>
    <n v="21498.183333333334"/>
    <n v="631886"/>
    <n v="21062.866666666665"/>
    <n v="8116"/>
    <n v="7937"/>
    <n v="644945.5"/>
    <n v="631886"/>
    <m/>
    <m/>
    <m/>
    <m/>
    <m/>
    <m/>
    <m/>
    <m/>
    <n v="0"/>
    <n v="0"/>
    <n v="0"/>
    <n v="0"/>
    <m/>
    <m/>
    <n v="0"/>
    <n v="0"/>
    <m/>
    <m/>
    <n v="58845"/>
    <n v="59799"/>
    <n v="12641"/>
    <n v="12727"/>
    <n v="61559.5"/>
    <n v="59779"/>
    <n v="133045.5"/>
    <n v="5543.5625"/>
    <n v="132305"/>
    <n v="5512.708333333333"/>
    <n v="27041.745833333334"/>
    <n v="26575.574999999997"/>
  </r>
  <r>
    <x v="14"/>
    <s v="Virginia Tech "/>
    <m/>
    <n v="233921"/>
    <x v="0"/>
    <m/>
    <m/>
    <m/>
    <m/>
    <n v="401436"/>
    <n v="411483"/>
    <n v="27237"/>
    <n v="28196"/>
    <n v="426031"/>
    <n v="448243"/>
    <n v="854704"/>
    <n v="28490.133333333335"/>
    <n v="887922"/>
    <n v="29597.4"/>
    <n v="0"/>
    <n v="0"/>
    <n v="854704"/>
    <n v="887922"/>
    <m/>
    <m/>
    <m/>
    <m/>
    <m/>
    <m/>
    <m/>
    <m/>
    <n v="0"/>
    <n v="0"/>
    <n v="0"/>
    <n v="0"/>
    <m/>
    <m/>
    <n v="0"/>
    <n v="0"/>
    <m/>
    <m/>
    <n v="67236"/>
    <n v="66086"/>
    <n v="6896"/>
    <n v="7015"/>
    <n v="68286"/>
    <n v="69569"/>
    <n v="142418"/>
    <n v="5934.083333333333"/>
    <n v="142670"/>
    <n v="5944.583333333333"/>
    <n v="34424.216666666667"/>
    <n v="35541.983333333337"/>
  </r>
  <r>
    <x v="14"/>
    <s v="College of William &amp; Mary"/>
    <m/>
    <n v="231624"/>
    <x v="1"/>
    <m/>
    <m/>
    <m/>
    <m/>
    <n v="86380"/>
    <n v="86129.5"/>
    <n v="8915"/>
    <n v="8416"/>
    <n v="91145.5"/>
    <n v="89598"/>
    <n v="186440.5"/>
    <n v="6214.6833333333334"/>
    <n v="184143.5"/>
    <n v="6138.1166666666668"/>
    <n v="0"/>
    <n v="0"/>
    <n v="186440.5"/>
    <n v="184143.5"/>
    <m/>
    <m/>
    <m/>
    <m/>
    <m/>
    <m/>
    <m/>
    <m/>
    <n v="0"/>
    <n v="0"/>
    <n v="0"/>
    <n v="0"/>
    <m/>
    <m/>
    <n v="0"/>
    <n v="0"/>
    <m/>
    <m/>
    <n v="27683"/>
    <n v="26382"/>
    <n v="6164.5"/>
    <n v="5930.5"/>
    <n v="27465"/>
    <n v="27570.5"/>
    <n v="61312.5"/>
    <n v="2554.6875"/>
    <n v="59883"/>
    <n v="2495.125"/>
    <n v="8769.3708333333343"/>
    <n v="8633.2416666666668"/>
  </r>
  <r>
    <x v="14"/>
    <s v="James Madison University"/>
    <m/>
    <n v="232423"/>
    <x v="2"/>
    <m/>
    <m/>
    <m/>
    <m/>
    <n v="270828"/>
    <n v="270251"/>
    <n v="31525"/>
    <n v="31946"/>
    <n v="290183"/>
    <n v="289383"/>
    <n v="592536"/>
    <n v="19751.2"/>
    <n v="591580"/>
    <n v="19719.333333333332"/>
    <n v="4949"/>
    <n v="4797"/>
    <n v="592536"/>
    <n v="591580"/>
    <m/>
    <m/>
    <m/>
    <m/>
    <m/>
    <m/>
    <m/>
    <m/>
    <n v="0"/>
    <n v="0"/>
    <n v="0"/>
    <n v="0"/>
    <m/>
    <m/>
    <n v="0"/>
    <n v="0"/>
    <m/>
    <m/>
    <n v="13532"/>
    <n v="13513"/>
    <n v="7348"/>
    <n v="7215"/>
    <n v="14953"/>
    <n v="14933"/>
    <n v="35833"/>
    <n v="1493.0416666666667"/>
    <n v="35661"/>
    <n v="1485.875"/>
    <n v="21244.241666666669"/>
    <n v="21205.208333333332"/>
  </r>
  <r>
    <x v="14"/>
    <s v="Longwood University "/>
    <s v="Met the criteria for Four-Year 5 in 2018-19 and 2019-20."/>
    <n v="232566"/>
    <x v="2"/>
    <m/>
    <m/>
    <m/>
    <m/>
    <n v="57425"/>
    <n v="54426"/>
    <n v="9097"/>
    <n v="8436"/>
    <n v="57618"/>
    <n v="52396"/>
    <n v="124140"/>
    <n v="4138"/>
    <n v="115258"/>
    <n v="3841.9333333333334"/>
    <n v="2785"/>
    <n v="3692"/>
    <n v="124140"/>
    <n v="115258"/>
    <m/>
    <m/>
    <m/>
    <m/>
    <m/>
    <m/>
    <m/>
    <m/>
    <n v="0"/>
    <n v="0"/>
    <n v="0"/>
    <n v="0"/>
    <m/>
    <m/>
    <n v="0"/>
    <n v="0"/>
    <m/>
    <m/>
    <n v="3571"/>
    <n v="3590"/>
    <n v="3504"/>
    <n v="3466"/>
    <n v="3592"/>
    <n v="3938"/>
    <n v="10667"/>
    <n v="444.45833333333331"/>
    <n v="10994"/>
    <n v="458.08333333333331"/>
    <n v="4582.458333333333"/>
    <n v="4300.0166666666664"/>
  </r>
  <r>
    <x v="14"/>
    <s v="Norfolk State University "/>
    <s v="Met the criteria for Four-Year 4 in 2018-19 and 2019-20."/>
    <n v="232937"/>
    <x v="2"/>
    <m/>
    <m/>
    <m/>
    <m/>
    <n v="57119"/>
    <n v="59619"/>
    <n v="5505"/>
    <n v="5296"/>
    <n v="65258"/>
    <n v="72583"/>
    <n v="127882"/>
    <n v="4262.7333333333336"/>
    <n v="137498"/>
    <n v="4583.2666666666664"/>
    <n v="48"/>
    <n v="114"/>
    <n v="127882"/>
    <n v="137498"/>
    <m/>
    <m/>
    <m/>
    <m/>
    <m/>
    <m/>
    <m/>
    <m/>
    <n v="0"/>
    <n v="0"/>
    <n v="0"/>
    <n v="0"/>
    <m/>
    <m/>
    <n v="0"/>
    <n v="0"/>
    <m/>
    <m/>
    <n v="5243"/>
    <n v="4590"/>
    <n v="609"/>
    <n v="391"/>
    <n v="5031"/>
    <n v="4563"/>
    <n v="10883"/>
    <n v="453.45833333333331"/>
    <n v="9544"/>
    <n v="397.66666666666669"/>
    <n v="4716.1916666666666"/>
    <n v="4980.9333333333334"/>
  </r>
  <r>
    <x v="14"/>
    <s v="Radford University"/>
    <m/>
    <n v="233277"/>
    <x v="2"/>
    <m/>
    <m/>
    <m/>
    <m/>
    <n v="111758"/>
    <n v="107405.7"/>
    <n v="8908"/>
    <n v="8244"/>
    <n v="117088.7"/>
    <n v="117039"/>
    <n v="237754.7"/>
    <n v="7925.1566666666668"/>
    <n v="232688.7"/>
    <n v="7756.29"/>
    <n v="0"/>
    <n v="190"/>
    <n v="237754.7"/>
    <n v="232688.7"/>
    <m/>
    <m/>
    <m/>
    <m/>
    <m/>
    <m/>
    <m/>
    <m/>
    <n v="0"/>
    <n v="0"/>
    <n v="0"/>
    <n v="0"/>
    <m/>
    <m/>
    <n v="0"/>
    <n v="0"/>
    <m/>
    <m/>
    <n v="8215"/>
    <n v="8939"/>
    <n v="4674"/>
    <n v="5838"/>
    <n v="8882"/>
    <n v="15400"/>
    <n v="21771"/>
    <n v="907.125"/>
    <n v="30177"/>
    <n v="1257.375"/>
    <n v="8832.2816666666658"/>
    <n v="9013.6650000000009"/>
  </r>
  <r>
    <x v="14"/>
    <s v="University of Mary Washington "/>
    <s v="Met the criteria for Four-Year 5 in 2018-19 and 2019-20."/>
    <n v="232681"/>
    <x v="2"/>
    <m/>
    <m/>
    <m/>
    <m/>
    <n v="56838"/>
    <n v="55598"/>
    <n v="5056"/>
    <n v="4385.2"/>
    <n v="60948"/>
    <n v="57520"/>
    <n v="122842"/>
    <n v="4094.7333333333331"/>
    <n v="117503.2"/>
    <n v="3916.7733333333331"/>
    <n v="36"/>
    <n v="41"/>
    <n v="122842"/>
    <n v="117503.2"/>
    <m/>
    <m/>
    <m/>
    <m/>
    <m/>
    <m/>
    <m/>
    <m/>
    <n v="0"/>
    <n v="0"/>
    <n v="0"/>
    <n v="0"/>
    <m/>
    <m/>
    <n v="0"/>
    <n v="0"/>
    <m/>
    <m/>
    <n v="2239.4"/>
    <n v="1970"/>
    <n v="806"/>
    <n v="775"/>
    <n v="2377"/>
    <n v="2408"/>
    <n v="5422.4"/>
    <n v="225.93333333333331"/>
    <n v="5153"/>
    <n v="214.70833333333334"/>
    <n v="4320.6666666666661"/>
    <n v="4131.4816666666666"/>
  </r>
  <r>
    <x v="14"/>
    <s v="Virginia State University "/>
    <m/>
    <n v="234155"/>
    <x v="2"/>
    <m/>
    <m/>
    <m/>
    <m/>
    <n v="57910"/>
    <n v="55400"/>
    <n v="4317"/>
    <n v="3597"/>
    <n v="60484"/>
    <n v="61113"/>
    <n v="122711"/>
    <n v="4090.3666666666668"/>
    <n v="120110"/>
    <n v="4003.6666666666665"/>
    <n v="0"/>
    <n v="0"/>
    <n v="122711"/>
    <n v="120110"/>
    <m/>
    <m/>
    <m/>
    <m/>
    <m/>
    <m/>
    <m/>
    <m/>
    <n v="0"/>
    <n v="0"/>
    <n v="0"/>
    <n v="0"/>
    <m/>
    <m/>
    <n v="0"/>
    <n v="0"/>
    <m/>
    <m/>
    <n v="2753"/>
    <n v="2738"/>
    <n v="343"/>
    <n v="300"/>
    <n v="3027"/>
    <n v="2802"/>
    <n v="6123"/>
    <n v="255.125"/>
    <n v="5840"/>
    <n v="243.33333333333334"/>
    <n v="4345.4916666666668"/>
    <n v="4247"/>
  </r>
  <r>
    <x v="14"/>
    <s v="Christopher Newport University"/>
    <m/>
    <n v="231712"/>
    <x v="4"/>
    <m/>
    <m/>
    <m/>
    <m/>
    <n v="68365"/>
    <n v="67359"/>
    <n v="1107"/>
    <n v="1199"/>
    <n v="72181"/>
    <n v="71353"/>
    <n v="141653"/>
    <n v="4721.7666666666664"/>
    <n v="139911"/>
    <n v="4663.7"/>
    <n v="135"/>
    <n v="69"/>
    <n v="141653"/>
    <n v="139911"/>
    <m/>
    <m/>
    <m/>
    <m/>
    <m/>
    <m/>
    <m/>
    <m/>
    <n v="0"/>
    <n v="0"/>
    <n v="0"/>
    <n v="0"/>
    <m/>
    <m/>
    <n v="0"/>
    <n v="0"/>
    <m/>
    <m/>
    <n v="1279"/>
    <n v="1052"/>
    <n v="611"/>
    <n v="487"/>
    <n v="1132"/>
    <n v="1052"/>
    <n v="3022"/>
    <n v="125.91666666666667"/>
    <n v="2591"/>
    <n v="107.95833333333333"/>
    <n v="4847.6833333333334"/>
    <n v="4771.6583333333328"/>
  </r>
  <r>
    <x v="14"/>
    <s v="University of Virginia's College at Wise "/>
    <m/>
    <n v="233897"/>
    <x v="5"/>
    <m/>
    <m/>
    <m/>
    <m/>
    <n v="20214"/>
    <n v="19984"/>
    <n v="5297"/>
    <n v="5739"/>
    <n v="20826"/>
    <n v="20107"/>
    <n v="46337"/>
    <n v="1544.5666666666666"/>
    <n v="45830"/>
    <n v="1527.6666666666667"/>
    <n v="541"/>
    <n v="210"/>
    <n v="46337"/>
    <n v="45830"/>
    <m/>
    <m/>
    <m/>
    <m/>
    <m/>
    <m/>
    <m/>
    <m/>
    <n v="0"/>
    <n v="0"/>
    <n v="0"/>
    <n v="0"/>
    <m/>
    <m/>
    <n v="0"/>
    <n v="0"/>
    <m/>
    <m/>
    <m/>
    <m/>
    <m/>
    <m/>
    <m/>
    <m/>
    <n v="0"/>
    <n v="0"/>
    <n v="0"/>
    <n v="0"/>
    <n v="1544.5666666666666"/>
    <n v="1527.6666666666667"/>
  </r>
  <r>
    <x v="14"/>
    <s v="J.S. Reynolds Community College"/>
    <m/>
    <n v="232414"/>
    <x v="6"/>
    <m/>
    <m/>
    <m/>
    <m/>
    <n v="69598"/>
    <n v="65842"/>
    <n v="26295"/>
    <n v="24828"/>
    <n v="72889"/>
    <n v="73376"/>
    <n v="168782"/>
    <n v="5626.0666666666666"/>
    <n v="164046"/>
    <n v="5468.2"/>
    <n v="35488"/>
    <n v="37438"/>
    <n v="168782"/>
    <n v="164046"/>
    <m/>
    <m/>
    <m/>
    <m/>
    <m/>
    <m/>
    <m/>
    <m/>
    <n v="0"/>
    <n v="0"/>
    <n v="0"/>
    <n v="0"/>
    <m/>
    <m/>
    <n v="0"/>
    <n v="0"/>
    <m/>
    <m/>
    <m/>
    <m/>
    <m/>
    <m/>
    <m/>
    <m/>
    <n v="0"/>
    <n v="0"/>
    <n v="0"/>
    <n v="0"/>
    <n v="5626.0666666666666"/>
    <n v="5468.2"/>
  </r>
  <r>
    <x v="14"/>
    <s v="John Tyler Community College"/>
    <m/>
    <n v="232450"/>
    <x v="6"/>
    <m/>
    <m/>
    <m/>
    <m/>
    <n v="70376"/>
    <n v="67858"/>
    <n v="18277"/>
    <n v="19524"/>
    <n v="75500"/>
    <n v="77954"/>
    <n v="164153"/>
    <n v="5471.7666666666664"/>
    <n v="165336"/>
    <n v="5511.2"/>
    <n v="57749"/>
    <n v="56531"/>
    <n v="164153"/>
    <n v="165336"/>
    <m/>
    <m/>
    <m/>
    <m/>
    <m/>
    <m/>
    <m/>
    <m/>
    <n v="0"/>
    <n v="0"/>
    <n v="0"/>
    <n v="0"/>
    <m/>
    <m/>
    <n v="0"/>
    <n v="0"/>
    <m/>
    <m/>
    <m/>
    <m/>
    <m/>
    <m/>
    <m/>
    <m/>
    <n v="0"/>
    <n v="0"/>
    <n v="0"/>
    <n v="0"/>
    <n v="5471.7666666666664"/>
    <n v="5511.2"/>
  </r>
  <r>
    <x v="14"/>
    <s v="Northern Virginia Community College "/>
    <m/>
    <n v="232946"/>
    <x v="6"/>
    <m/>
    <m/>
    <m/>
    <m/>
    <n v="398953"/>
    <n v="396630"/>
    <n v="126222"/>
    <n v="128474"/>
    <n v="426084"/>
    <n v="417201"/>
    <n v="951259"/>
    <n v="31708.633333333335"/>
    <n v="942305"/>
    <n v="31410.166666666668"/>
    <n v="144816"/>
    <n v="169234"/>
    <n v="951259"/>
    <n v="942305"/>
    <m/>
    <m/>
    <m/>
    <m/>
    <m/>
    <m/>
    <m/>
    <m/>
    <n v="0"/>
    <n v="0"/>
    <n v="0"/>
    <n v="0"/>
    <m/>
    <m/>
    <n v="0"/>
    <n v="0"/>
    <m/>
    <m/>
    <m/>
    <m/>
    <m/>
    <m/>
    <m/>
    <m/>
    <n v="0"/>
    <n v="0"/>
    <n v="0"/>
    <n v="0"/>
    <n v="31708.633333333335"/>
    <n v="31410.166666666668"/>
  </r>
  <r>
    <x v="14"/>
    <s v="Thomas Nelson Community College "/>
    <s v="Met the criteria for Two-Year 2 in 2019-20."/>
    <n v="233754"/>
    <x v="6"/>
    <m/>
    <m/>
    <m/>
    <m/>
    <n v="66078"/>
    <n v="63001"/>
    <n v="18698"/>
    <n v="19816"/>
    <n v="66038"/>
    <n v="62124"/>
    <n v="150814"/>
    <n v="5027.1333333333332"/>
    <n v="144941"/>
    <n v="4831.3666666666668"/>
    <n v="32269"/>
    <n v="34797"/>
    <n v="150814"/>
    <n v="144941"/>
    <m/>
    <m/>
    <m/>
    <m/>
    <m/>
    <m/>
    <m/>
    <m/>
    <n v="0"/>
    <n v="0"/>
    <n v="0"/>
    <n v="0"/>
    <m/>
    <m/>
    <n v="0"/>
    <n v="0"/>
    <m/>
    <m/>
    <m/>
    <m/>
    <m/>
    <m/>
    <m/>
    <m/>
    <n v="0"/>
    <n v="0"/>
    <n v="0"/>
    <n v="0"/>
    <n v="5027.1333333333332"/>
    <n v="4831.3666666666668"/>
  </r>
  <r>
    <x v="14"/>
    <s v="Tidewater Community College "/>
    <m/>
    <n v="233772"/>
    <x v="6"/>
    <m/>
    <m/>
    <m/>
    <m/>
    <n v="182023"/>
    <n v="168901"/>
    <n v="65586"/>
    <n v="67336"/>
    <n v="183173"/>
    <n v="167084"/>
    <n v="430782"/>
    <n v="14359.4"/>
    <n v="403321"/>
    <n v="13444.033333333333"/>
    <n v="36824"/>
    <n v="39929"/>
    <n v="430782"/>
    <n v="403321"/>
    <m/>
    <m/>
    <m/>
    <m/>
    <m/>
    <m/>
    <m/>
    <m/>
    <n v="0"/>
    <n v="0"/>
    <n v="0"/>
    <n v="0"/>
    <m/>
    <m/>
    <n v="0"/>
    <n v="0"/>
    <m/>
    <m/>
    <m/>
    <m/>
    <m/>
    <m/>
    <m/>
    <m/>
    <n v="0"/>
    <n v="0"/>
    <n v="0"/>
    <n v="0"/>
    <n v="14359.4"/>
    <n v="13444.033333333333"/>
  </r>
  <r>
    <x v="14"/>
    <s v="Blue Ridge Community College "/>
    <m/>
    <n v="231536"/>
    <x v="7"/>
    <m/>
    <m/>
    <m/>
    <m/>
    <n v="29972"/>
    <n v="28432"/>
    <n v="7754"/>
    <n v="8066"/>
    <n v="34112"/>
    <n v="32435"/>
    <n v="71838"/>
    <n v="2394.6"/>
    <n v="68933"/>
    <n v="2297.7666666666669"/>
    <n v="18819"/>
    <n v="18672"/>
    <n v="71838"/>
    <n v="68933"/>
    <m/>
    <m/>
    <m/>
    <m/>
    <m/>
    <m/>
    <m/>
    <m/>
    <n v="0"/>
    <n v="0"/>
    <n v="0"/>
    <n v="0"/>
    <m/>
    <m/>
    <n v="0"/>
    <n v="0"/>
    <m/>
    <m/>
    <m/>
    <m/>
    <m/>
    <m/>
    <m/>
    <m/>
    <n v="0"/>
    <n v="0"/>
    <n v="0"/>
    <n v="0"/>
    <n v="2394.6"/>
    <n v="2297.7666666666669"/>
  </r>
  <r>
    <x v="14"/>
    <s v="Central Virginia Community College "/>
    <m/>
    <n v="231697"/>
    <x v="7"/>
    <m/>
    <m/>
    <m/>
    <m/>
    <n v="30922"/>
    <n v="29471"/>
    <n v="7351"/>
    <n v="7445"/>
    <n v="33917"/>
    <n v="32368"/>
    <n v="72190"/>
    <n v="2406.3333333333335"/>
    <n v="69284"/>
    <n v="2309.4666666666667"/>
    <n v="40769"/>
    <n v="41942"/>
    <n v="72190"/>
    <n v="69284"/>
    <m/>
    <m/>
    <m/>
    <m/>
    <m/>
    <m/>
    <m/>
    <m/>
    <n v="0"/>
    <n v="0"/>
    <n v="0"/>
    <n v="0"/>
    <m/>
    <m/>
    <n v="0"/>
    <n v="0"/>
    <m/>
    <m/>
    <m/>
    <m/>
    <m/>
    <m/>
    <m/>
    <m/>
    <n v="0"/>
    <n v="0"/>
    <n v="0"/>
    <n v="0"/>
    <n v="2406.3333333333335"/>
    <n v="2309.4666666666667"/>
  </r>
  <r>
    <x v="14"/>
    <s v="Germanna Community College"/>
    <m/>
    <n v="232195"/>
    <x v="7"/>
    <m/>
    <m/>
    <m/>
    <m/>
    <n v="51222"/>
    <n v="54169"/>
    <n v="15287"/>
    <n v="16690"/>
    <n v="59442"/>
    <n v="60281"/>
    <n v="125951"/>
    <n v="4198.3666666666668"/>
    <n v="131140"/>
    <n v="4371.333333333333"/>
    <n v="28057"/>
    <n v="30489"/>
    <n v="125951"/>
    <n v="131140"/>
    <m/>
    <m/>
    <m/>
    <m/>
    <m/>
    <m/>
    <m/>
    <m/>
    <n v="0"/>
    <n v="0"/>
    <n v="0"/>
    <n v="0"/>
    <m/>
    <m/>
    <n v="0"/>
    <n v="0"/>
    <m/>
    <m/>
    <m/>
    <m/>
    <m/>
    <m/>
    <m/>
    <m/>
    <n v="0"/>
    <n v="0"/>
    <n v="0"/>
    <n v="0"/>
    <n v="4198.3666666666668"/>
    <n v="4371.333333333333"/>
  </r>
  <r>
    <x v="14"/>
    <s v="Lord Fairfax Community College"/>
    <m/>
    <n v="232575"/>
    <x v="7"/>
    <m/>
    <m/>
    <m/>
    <m/>
    <n v="50307"/>
    <n v="49530"/>
    <n v="11576"/>
    <n v="11344"/>
    <n v="57801"/>
    <n v="57466"/>
    <n v="119684"/>
    <n v="3989.4666666666667"/>
    <n v="118340"/>
    <n v="3944.6666666666665"/>
    <n v="71786"/>
    <n v="72475"/>
    <n v="119684"/>
    <n v="118340"/>
    <m/>
    <m/>
    <m/>
    <m/>
    <m/>
    <m/>
    <m/>
    <m/>
    <n v="0"/>
    <n v="0"/>
    <n v="0"/>
    <n v="0"/>
    <m/>
    <m/>
    <n v="0"/>
    <n v="0"/>
    <m/>
    <m/>
    <m/>
    <m/>
    <m/>
    <m/>
    <m/>
    <m/>
    <n v="0"/>
    <n v="0"/>
    <n v="0"/>
    <n v="0"/>
    <n v="3989.4666666666667"/>
    <n v="3944.6666666666665"/>
  </r>
  <r>
    <x v="14"/>
    <s v="New River Community College "/>
    <m/>
    <n v="232867"/>
    <x v="7"/>
    <m/>
    <m/>
    <m/>
    <m/>
    <n v="35915"/>
    <n v="32807"/>
    <n v="6412"/>
    <n v="6985"/>
    <n v="40127"/>
    <n v="39084"/>
    <n v="82454"/>
    <n v="2748.4666666666667"/>
    <n v="78876"/>
    <n v="2629.2"/>
    <n v="41196"/>
    <n v="39008"/>
    <n v="82454"/>
    <n v="78876"/>
    <m/>
    <m/>
    <m/>
    <m/>
    <m/>
    <m/>
    <m/>
    <m/>
    <n v="0"/>
    <n v="0"/>
    <n v="0"/>
    <n v="0"/>
    <m/>
    <m/>
    <n v="0"/>
    <n v="0"/>
    <m/>
    <m/>
    <m/>
    <m/>
    <m/>
    <m/>
    <m/>
    <m/>
    <n v="0"/>
    <n v="0"/>
    <n v="0"/>
    <n v="0"/>
    <n v="2748.4666666666667"/>
    <n v="2629.2"/>
  </r>
  <r>
    <x v="14"/>
    <s v="Piedmont Virginia Community College "/>
    <m/>
    <n v="233116"/>
    <x v="7"/>
    <m/>
    <m/>
    <m/>
    <m/>
    <n v="36696"/>
    <n v="33778"/>
    <n v="9617"/>
    <n v="9201"/>
    <n v="40917"/>
    <n v="40488"/>
    <n v="87230"/>
    <n v="2907.6666666666665"/>
    <n v="83467"/>
    <n v="2782.2333333333331"/>
    <n v="38851"/>
    <n v="38908"/>
    <n v="87230"/>
    <n v="83467"/>
    <m/>
    <m/>
    <m/>
    <m/>
    <m/>
    <m/>
    <m/>
    <m/>
    <n v="0"/>
    <n v="0"/>
    <n v="0"/>
    <n v="0"/>
    <m/>
    <m/>
    <n v="0"/>
    <n v="0"/>
    <m/>
    <m/>
    <m/>
    <m/>
    <m/>
    <m/>
    <m/>
    <m/>
    <n v="0"/>
    <n v="0"/>
    <n v="0"/>
    <n v="0"/>
    <n v="2907.6666666666665"/>
    <n v="2782.2333333333331"/>
  </r>
  <r>
    <x v="14"/>
    <s v="Southside Virginia Community College"/>
    <s v="Met the criteria for Two-Year 3 in 2019-20."/>
    <n v="233639"/>
    <x v="7"/>
    <m/>
    <m/>
    <m/>
    <m/>
    <n v="27740"/>
    <n v="25964"/>
    <n v="4657"/>
    <n v="4636"/>
    <n v="30377"/>
    <n v="28741"/>
    <n v="62774"/>
    <n v="2092.4666666666667"/>
    <n v="59341"/>
    <n v="1978.0333333333333"/>
    <n v="56880"/>
    <n v="52695"/>
    <n v="62774"/>
    <n v="59341"/>
    <m/>
    <m/>
    <m/>
    <m/>
    <m/>
    <m/>
    <m/>
    <m/>
    <n v="0"/>
    <n v="0"/>
    <n v="0"/>
    <n v="0"/>
    <m/>
    <m/>
    <n v="0"/>
    <n v="0"/>
    <m/>
    <m/>
    <m/>
    <m/>
    <m/>
    <m/>
    <m/>
    <m/>
    <n v="0"/>
    <n v="0"/>
    <n v="0"/>
    <n v="0"/>
    <n v="2092.4666666666667"/>
    <n v="1978.0333333333333"/>
  </r>
  <r>
    <x v="14"/>
    <s v="Virginia Western Community College "/>
    <m/>
    <n v="233949"/>
    <x v="7"/>
    <m/>
    <m/>
    <m/>
    <m/>
    <n v="48451"/>
    <n v="45483"/>
    <n v="12107"/>
    <n v="11786"/>
    <n v="54059"/>
    <n v="51394"/>
    <n v="114617"/>
    <n v="3820.5666666666666"/>
    <n v="108663"/>
    <n v="3622.1"/>
    <n v="47228"/>
    <n v="42365"/>
    <n v="114617"/>
    <n v="108663"/>
    <m/>
    <m/>
    <m/>
    <m/>
    <m/>
    <m/>
    <m/>
    <m/>
    <n v="0"/>
    <n v="0"/>
    <n v="0"/>
    <n v="0"/>
    <m/>
    <m/>
    <n v="0"/>
    <n v="0"/>
    <m/>
    <m/>
    <m/>
    <m/>
    <m/>
    <m/>
    <m/>
    <m/>
    <n v="0"/>
    <n v="0"/>
    <n v="0"/>
    <n v="0"/>
    <n v="3820.5666666666666"/>
    <n v="3622.1"/>
  </r>
  <r>
    <x v="14"/>
    <s v="D.S. Lancaster Community College "/>
    <m/>
    <n v="231873"/>
    <x v="8"/>
    <m/>
    <m/>
    <m/>
    <m/>
    <n v="8514"/>
    <n v="7634"/>
    <n v="1709"/>
    <n v="1364"/>
    <n v="9076"/>
    <n v="8844"/>
    <n v="19299"/>
    <n v="643.29999999999995"/>
    <n v="17842"/>
    <n v="594.73333333333335"/>
    <n v="9405"/>
    <n v="9159"/>
    <n v="19299"/>
    <n v="17842"/>
    <m/>
    <m/>
    <m/>
    <m/>
    <m/>
    <m/>
    <m/>
    <m/>
    <n v="0"/>
    <n v="0"/>
    <n v="0"/>
    <n v="0"/>
    <m/>
    <m/>
    <n v="0"/>
    <n v="0"/>
    <m/>
    <m/>
    <m/>
    <m/>
    <m/>
    <m/>
    <m/>
    <m/>
    <n v="0"/>
    <n v="0"/>
    <n v="0"/>
    <n v="0"/>
    <n v="643.29999999999995"/>
    <n v="594.73333333333335"/>
  </r>
  <r>
    <x v="14"/>
    <s v="Danville Community College "/>
    <m/>
    <n v="231882"/>
    <x v="8"/>
    <m/>
    <m/>
    <m/>
    <m/>
    <n v="23036"/>
    <n v="22528"/>
    <n v="5343"/>
    <n v="5711"/>
    <n v="24465"/>
    <n v="25680"/>
    <n v="52844"/>
    <n v="1761.4666666666667"/>
    <n v="53919"/>
    <n v="1797.3"/>
    <n v="27884"/>
    <n v="26334"/>
    <n v="52844"/>
    <n v="53919"/>
    <m/>
    <m/>
    <m/>
    <m/>
    <m/>
    <m/>
    <m/>
    <m/>
    <n v="0"/>
    <n v="0"/>
    <n v="0"/>
    <n v="0"/>
    <m/>
    <m/>
    <n v="0"/>
    <n v="0"/>
    <m/>
    <m/>
    <m/>
    <m/>
    <m/>
    <m/>
    <m/>
    <m/>
    <n v="0"/>
    <n v="0"/>
    <n v="0"/>
    <n v="0"/>
    <n v="1761.4666666666667"/>
    <n v="1797.3"/>
  </r>
  <r>
    <x v="14"/>
    <s v="Eastern Shore Community College"/>
    <m/>
    <n v="232052"/>
    <x v="8"/>
    <m/>
    <m/>
    <m/>
    <m/>
    <n v="4980"/>
    <n v="4613"/>
    <n v="707"/>
    <n v="814"/>
    <n v="5181"/>
    <n v="4972"/>
    <n v="10868"/>
    <n v="362.26666666666665"/>
    <n v="10399"/>
    <n v="346.63333333333333"/>
    <n v="5820"/>
    <n v="6051"/>
    <n v="10868"/>
    <n v="10399"/>
    <m/>
    <m/>
    <m/>
    <m/>
    <m/>
    <m/>
    <m/>
    <m/>
    <n v="0"/>
    <n v="0"/>
    <n v="0"/>
    <n v="0"/>
    <m/>
    <m/>
    <n v="0"/>
    <n v="0"/>
    <m/>
    <m/>
    <m/>
    <m/>
    <m/>
    <m/>
    <m/>
    <m/>
    <n v="0"/>
    <n v="0"/>
    <n v="0"/>
    <n v="0"/>
    <n v="362.26666666666665"/>
    <n v="346.63333333333333"/>
  </r>
  <r>
    <x v="14"/>
    <s v="Mountain Empire Community College"/>
    <m/>
    <n v="232788"/>
    <x v="8"/>
    <m/>
    <m/>
    <m/>
    <m/>
    <n v="19795"/>
    <n v="19771"/>
    <n v="4956"/>
    <n v="5223"/>
    <n v="21901"/>
    <n v="21954"/>
    <n v="46652"/>
    <n v="1555.0666666666666"/>
    <n v="46948"/>
    <n v="1564.9333333333334"/>
    <n v="26078"/>
    <n v="25482"/>
    <n v="46652"/>
    <n v="46948"/>
    <m/>
    <m/>
    <m/>
    <m/>
    <m/>
    <m/>
    <m/>
    <m/>
    <n v="0"/>
    <n v="0"/>
    <n v="0"/>
    <n v="0"/>
    <m/>
    <m/>
    <n v="0"/>
    <n v="0"/>
    <m/>
    <m/>
    <m/>
    <m/>
    <m/>
    <m/>
    <m/>
    <m/>
    <n v="0"/>
    <n v="0"/>
    <n v="0"/>
    <n v="0"/>
    <n v="1555.0666666666666"/>
    <n v="1564.9333333333334"/>
  </r>
  <r>
    <x v="14"/>
    <s v="Patrick Henry Community College "/>
    <m/>
    <n v="233019"/>
    <x v="8"/>
    <m/>
    <m/>
    <m/>
    <m/>
    <n v="21047"/>
    <n v="21431"/>
    <n v="3705"/>
    <n v="4562"/>
    <n v="25031"/>
    <n v="24493"/>
    <n v="49783"/>
    <n v="1659.4333333333334"/>
    <n v="50486"/>
    <n v="1682.8666666666666"/>
    <n v="27940"/>
    <n v="26448"/>
    <n v="49783"/>
    <n v="50486"/>
    <m/>
    <m/>
    <m/>
    <m/>
    <m/>
    <m/>
    <m/>
    <m/>
    <n v="0"/>
    <n v="0"/>
    <n v="0"/>
    <n v="0"/>
    <m/>
    <m/>
    <n v="0"/>
    <n v="0"/>
    <m/>
    <m/>
    <m/>
    <m/>
    <m/>
    <m/>
    <m/>
    <m/>
    <n v="0"/>
    <n v="0"/>
    <n v="0"/>
    <n v="0"/>
    <n v="1659.4333333333334"/>
    <n v="1682.8666666666666"/>
  </r>
  <r>
    <x v="14"/>
    <s v="Paul D. Camp Community College"/>
    <m/>
    <n v="233037"/>
    <x v="8"/>
    <m/>
    <m/>
    <m/>
    <m/>
    <n v="9696"/>
    <n v="9888"/>
    <n v="2844"/>
    <n v="3168"/>
    <n v="10880"/>
    <n v="10347"/>
    <n v="23420"/>
    <n v="780.66666666666663"/>
    <n v="23403"/>
    <n v="780.1"/>
    <n v="15053"/>
    <n v="15017"/>
    <n v="23420"/>
    <n v="23403"/>
    <m/>
    <m/>
    <m/>
    <m/>
    <m/>
    <m/>
    <m/>
    <m/>
    <n v="0"/>
    <n v="0"/>
    <n v="0"/>
    <n v="0"/>
    <m/>
    <m/>
    <n v="0"/>
    <n v="0"/>
    <m/>
    <m/>
    <m/>
    <m/>
    <m/>
    <m/>
    <m/>
    <m/>
    <n v="0"/>
    <n v="0"/>
    <n v="0"/>
    <n v="0"/>
    <n v="780.66666666666663"/>
    <n v="780.1"/>
  </r>
  <r>
    <x v="14"/>
    <s v="Rappahannock Community College"/>
    <m/>
    <n v="233310"/>
    <x v="8"/>
    <m/>
    <m/>
    <m/>
    <m/>
    <n v="22862"/>
    <n v="20918"/>
    <n v="5797"/>
    <n v="5806"/>
    <n v="25180"/>
    <n v="24082"/>
    <n v="53839"/>
    <n v="1794.6333333333334"/>
    <n v="50806"/>
    <n v="1693.5333333333333"/>
    <n v="44315"/>
    <n v="40765"/>
    <n v="53839"/>
    <n v="50806"/>
    <m/>
    <m/>
    <m/>
    <m/>
    <m/>
    <m/>
    <m/>
    <m/>
    <n v="0"/>
    <n v="0"/>
    <n v="0"/>
    <n v="0"/>
    <m/>
    <m/>
    <n v="0"/>
    <n v="0"/>
    <m/>
    <m/>
    <m/>
    <m/>
    <m/>
    <m/>
    <m/>
    <m/>
    <n v="0"/>
    <n v="0"/>
    <n v="0"/>
    <n v="0"/>
    <n v="1794.6333333333334"/>
    <n v="1693.5333333333333"/>
  </r>
  <r>
    <x v="14"/>
    <s v="Richard Bland College "/>
    <m/>
    <n v="233338"/>
    <x v="8"/>
    <m/>
    <m/>
    <m/>
    <m/>
    <n v="16772"/>
    <n v="16910"/>
    <n v="1166"/>
    <n v="1586"/>
    <n v="20013"/>
    <n v="19383"/>
    <n v="37951"/>
    <n v="1265.0333333333333"/>
    <n v="37879"/>
    <n v="1262.6333333333334"/>
    <n v="27380"/>
    <n v="27079"/>
    <n v="37951"/>
    <n v="37879"/>
    <m/>
    <m/>
    <m/>
    <m/>
    <m/>
    <m/>
    <m/>
    <m/>
    <n v="0"/>
    <n v="0"/>
    <n v="0"/>
    <n v="0"/>
    <m/>
    <m/>
    <n v="0"/>
    <n v="0"/>
    <m/>
    <m/>
    <m/>
    <m/>
    <m/>
    <m/>
    <m/>
    <m/>
    <n v="0"/>
    <n v="0"/>
    <n v="0"/>
    <n v="0"/>
    <n v="1265.0333333333333"/>
    <n v="1262.6333333333334"/>
  </r>
  <r>
    <x v="14"/>
    <s v="Southwest Virginia Community College "/>
    <m/>
    <n v="233648"/>
    <x v="8"/>
    <m/>
    <m/>
    <m/>
    <m/>
    <n v="18881"/>
    <n v="19005"/>
    <n v="6772"/>
    <n v="5520"/>
    <n v="22714"/>
    <n v="23028"/>
    <n v="48367"/>
    <n v="1612.2333333333333"/>
    <n v="47553"/>
    <n v="1585.1"/>
    <n v="17095"/>
    <n v="17717"/>
    <n v="48367"/>
    <n v="47553"/>
    <m/>
    <m/>
    <m/>
    <m/>
    <m/>
    <m/>
    <m/>
    <m/>
    <n v="0"/>
    <n v="0"/>
    <n v="0"/>
    <n v="0"/>
    <m/>
    <m/>
    <n v="0"/>
    <n v="0"/>
    <m/>
    <m/>
    <m/>
    <m/>
    <m/>
    <m/>
    <m/>
    <m/>
    <n v="0"/>
    <n v="0"/>
    <n v="0"/>
    <n v="0"/>
    <n v="1612.2333333333333"/>
    <n v="1585.1"/>
  </r>
  <r>
    <x v="14"/>
    <s v="Virginia Highlands Community College "/>
    <m/>
    <n v="233903"/>
    <x v="8"/>
    <m/>
    <m/>
    <m/>
    <m/>
    <n v="18616"/>
    <n v="18809"/>
    <n v="3667"/>
    <n v="3759"/>
    <n v="21502"/>
    <n v="21325"/>
    <n v="43785"/>
    <n v="1459.5"/>
    <n v="43893"/>
    <n v="1463.1"/>
    <n v="21131"/>
    <n v="20603"/>
    <n v="43785"/>
    <n v="43893"/>
    <m/>
    <m/>
    <m/>
    <m/>
    <m/>
    <m/>
    <m/>
    <m/>
    <n v="0"/>
    <n v="0"/>
    <n v="0"/>
    <n v="0"/>
    <m/>
    <m/>
    <n v="0"/>
    <n v="0"/>
    <m/>
    <m/>
    <m/>
    <m/>
    <m/>
    <m/>
    <m/>
    <m/>
    <n v="0"/>
    <n v="0"/>
    <n v="0"/>
    <n v="0"/>
    <n v="1459.5"/>
    <n v="1463.1"/>
  </r>
  <r>
    <x v="14"/>
    <s v="Wytheville Community College "/>
    <m/>
    <n v="234377"/>
    <x v="8"/>
    <m/>
    <m/>
    <m/>
    <m/>
    <n v="21216"/>
    <n v="20070"/>
    <n v="4911"/>
    <n v="4658"/>
    <n v="22057"/>
    <n v="21986"/>
    <n v="48184"/>
    <n v="1606.1333333333334"/>
    <n v="46714"/>
    <n v="1557.1333333333334"/>
    <n v="29655"/>
    <n v="27982"/>
    <n v="48184"/>
    <n v="46714"/>
    <m/>
    <m/>
    <m/>
    <m/>
    <m/>
    <m/>
    <m/>
    <m/>
    <n v="0"/>
    <n v="0"/>
    <n v="0"/>
    <n v="0"/>
    <m/>
    <m/>
    <n v="0"/>
    <n v="0"/>
    <m/>
    <m/>
    <m/>
    <m/>
    <m/>
    <m/>
    <m/>
    <m/>
    <n v="0"/>
    <n v="0"/>
    <n v="0"/>
    <n v="0"/>
    <n v="1606.1333333333334"/>
    <n v="1557.1333333333334"/>
  </r>
  <r>
    <x v="14"/>
    <s v="All Community Colleges except R. Bland"/>
    <m/>
    <s v="All CC - Bland"/>
    <x v="14"/>
    <m/>
    <m/>
    <m/>
    <m/>
    <n v="1245680"/>
    <n v="1226533"/>
    <n v="365339"/>
    <n v="376716"/>
    <n v="1340366"/>
    <n v="1326707"/>
    <n v="2951385"/>
    <n v="98379.5"/>
    <n v="2929956"/>
    <n v="97665.2"/>
    <n v="845453"/>
    <n v="890041"/>
    <n v="2951385"/>
    <n v="2929956"/>
    <m/>
    <m/>
    <m/>
    <m/>
    <m/>
    <m/>
    <m/>
    <m/>
    <n v="0"/>
    <n v="0"/>
    <n v="0"/>
    <n v="0"/>
    <m/>
    <m/>
    <n v="0"/>
    <n v="0"/>
    <m/>
    <m/>
    <m/>
    <m/>
    <m/>
    <m/>
    <m/>
    <m/>
    <n v="0"/>
    <n v="0"/>
    <n v="0"/>
    <n v="0"/>
    <n v="98379.5"/>
    <n v="97665.2"/>
  </r>
  <r>
    <x v="14"/>
    <m/>
    <s v="all 8's"/>
    <m/>
    <x v="15"/>
    <m/>
    <m/>
    <m/>
    <m/>
    <n v="787028"/>
    <n v="762232"/>
    <n v="255078"/>
    <n v="259978"/>
    <n v="823684"/>
    <n v="797739"/>
    <n v="1865790"/>
    <n v="62193"/>
    <n v="1819949"/>
    <n v="60664.966666666667"/>
    <n v="307146"/>
    <n v="337929"/>
    <n v="1865790"/>
    <n v="1819949"/>
    <m/>
    <m/>
    <m/>
    <m/>
    <m/>
    <m/>
    <m/>
    <m/>
    <n v="0"/>
    <n v="0"/>
    <n v="0"/>
    <n v="0"/>
    <m/>
    <m/>
    <n v="0"/>
    <n v="0"/>
    <m/>
    <m/>
    <m/>
    <m/>
    <m/>
    <m/>
    <m/>
    <m/>
    <n v="0"/>
    <n v="0"/>
    <n v="0"/>
    <n v="0"/>
    <n v="62193"/>
    <n v="60664.966666666667"/>
  </r>
  <r>
    <x v="14"/>
    <m/>
    <s v="all 9's"/>
    <m/>
    <x v="16"/>
    <m/>
    <m/>
    <m/>
    <m/>
    <n v="334261"/>
    <n v="299634"/>
    <n v="80104"/>
    <n v="76153"/>
    <n v="375217"/>
    <n v="342257"/>
    <n v="789582"/>
    <n v="26319.4"/>
    <n v="718044"/>
    <n v="23934.799999999999"/>
    <n v="371470"/>
    <n v="336554"/>
    <n v="789582"/>
    <n v="718044"/>
    <m/>
    <m/>
    <m/>
    <m/>
    <m/>
    <m/>
    <m/>
    <m/>
    <n v="0"/>
    <n v="0"/>
    <n v="0"/>
    <n v="0"/>
    <m/>
    <m/>
    <n v="0"/>
    <n v="0"/>
    <m/>
    <m/>
    <m/>
    <m/>
    <m/>
    <m/>
    <m/>
    <m/>
    <n v="0"/>
    <n v="0"/>
    <n v="0"/>
    <n v="0"/>
    <n v="26319.4"/>
    <n v="23934.799999999999"/>
  </r>
  <r>
    <x v="14"/>
    <s v="Richard Bland College B"/>
    <m/>
    <s v="233338"/>
    <x v="17"/>
    <m/>
    <m/>
    <m/>
    <m/>
    <n v="16772"/>
    <n v="16910"/>
    <n v="1166"/>
    <n v="1586"/>
    <n v="20013"/>
    <n v="19383"/>
    <n v="37951"/>
    <n v="1265.0333333333333"/>
    <n v="37879"/>
    <n v="1262.6333333333334"/>
    <n v="27380"/>
    <n v="27079"/>
    <n v="37951"/>
    <n v="37879"/>
    <m/>
    <m/>
    <m/>
    <m/>
    <m/>
    <m/>
    <m/>
    <m/>
    <n v="0"/>
    <n v="0"/>
    <n v="0"/>
    <n v="0"/>
    <m/>
    <m/>
    <n v="0"/>
    <n v="0"/>
    <m/>
    <m/>
    <m/>
    <m/>
    <m/>
    <m/>
    <m/>
    <m/>
    <n v="0"/>
    <n v="0"/>
    <n v="0"/>
    <n v="0"/>
    <n v="1265.0333333333333"/>
    <n v="1262.6333333333334"/>
  </r>
  <r>
    <x v="14"/>
    <m/>
    <s v="All'10's except R.B."/>
    <m/>
    <x v="17"/>
    <m/>
    <m/>
    <m/>
    <m/>
    <n v="145607"/>
    <n v="164667"/>
    <n v="35068"/>
    <n v="40585"/>
    <n v="163522"/>
    <n v="186711"/>
    <n v="344197"/>
    <n v="11473.233333333334"/>
    <n v="391963"/>
    <n v="13065.433333333332"/>
    <n v="196492"/>
    <n v="215558"/>
    <n v="344197"/>
    <n v="391963"/>
    <m/>
    <m/>
    <m/>
    <m/>
    <m/>
    <m/>
    <m/>
    <m/>
    <n v="0"/>
    <n v="0"/>
    <n v="0"/>
    <n v="0"/>
    <m/>
    <m/>
    <n v="0"/>
    <n v="0"/>
    <m/>
    <m/>
    <m/>
    <m/>
    <m/>
    <m/>
    <m/>
    <m/>
    <n v="0"/>
    <n v="0"/>
    <n v="0"/>
    <n v="0"/>
    <n v="11473.233333333334"/>
    <n v="13065.433333333332"/>
  </r>
  <r>
    <x v="15"/>
    <s v="West Virginia University"/>
    <m/>
    <n v="238032"/>
    <x v="0"/>
    <s v="sem"/>
    <s v="sem"/>
    <m/>
    <m/>
    <n v="283827"/>
    <n v="272304"/>
    <n v="45005"/>
    <n v="39413"/>
    <n v="293368"/>
    <n v="295898.5"/>
    <n v="622200"/>
    <n v="20740"/>
    <n v="607615.5"/>
    <n v="20253.849999999999"/>
    <n v="4945"/>
    <n v="5494"/>
    <n v="622200"/>
    <n v="607615.5"/>
    <m/>
    <m/>
    <m/>
    <m/>
    <m/>
    <m/>
    <m/>
    <m/>
    <n v="0"/>
    <n v="0"/>
    <n v="0"/>
    <n v="0"/>
    <m/>
    <m/>
    <n v="0"/>
    <n v="0"/>
    <m/>
    <m/>
    <n v="39093"/>
    <n v="38457"/>
    <n v="11221"/>
    <n v="10844"/>
    <n v="39421"/>
    <n v="39707"/>
    <n v="89735"/>
    <n v="3738.9583333333335"/>
    <n v="89008"/>
    <n v="3708.6666666666665"/>
    <n v="24478.958333333332"/>
    <n v="23962.516666666666"/>
  </r>
  <r>
    <x v="15"/>
    <s v="Marshall University "/>
    <m/>
    <n v="237525"/>
    <x v="2"/>
    <s v="sem"/>
    <s v="sem"/>
    <m/>
    <m/>
    <n v="117767"/>
    <n v="112777"/>
    <n v="11542"/>
    <n v="10949"/>
    <n v="125285"/>
    <n v="120831"/>
    <n v="254594"/>
    <n v="8486.4666666666672"/>
    <n v="244557"/>
    <n v="8151.9"/>
    <n v="13374"/>
    <n v="15505"/>
    <n v="254594"/>
    <n v="244557"/>
    <m/>
    <m/>
    <m/>
    <m/>
    <m/>
    <m/>
    <m/>
    <m/>
    <n v="0"/>
    <n v="0"/>
    <n v="0"/>
    <n v="0"/>
    <m/>
    <m/>
    <n v="0"/>
    <n v="0"/>
    <m/>
    <m/>
    <n v="29578"/>
    <n v="28006"/>
    <n v="11837"/>
    <n v="11733"/>
    <n v="28340"/>
    <n v="26699"/>
    <n v="69755"/>
    <n v="2906.4583333333335"/>
    <n v="66438"/>
    <n v="2768.25"/>
    <n v="11392.925000000001"/>
    <n v="10920.15"/>
  </r>
  <r>
    <x v="15"/>
    <s v="Concord University "/>
    <m/>
    <n v="237330"/>
    <x v="4"/>
    <s v="sem"/>
    <s v="sem"/>
    <m/>
    <m/>
    <n v="23734"/>
    <n v="21786"/>
    <n v="2553"/>
    <n v="1814"/>
    <n v="24911"/>
    <n v="22807"/>
    <n v="51198"/>
    <n v="1706.6"/>
    <n v="46407"/>
    <n v="1546.9"/>
    <n v="585"/>
    <n v="419"/>
    <n v="51198"/>
    <n v="46407"/>
    <m/>
    <m/>
    <m/>
    <m/>
    <m/>
    <m/>
    <m/>
    <m/>
    <n v="0"/>
    <n v="0"/>
    <n v="0"/>
    <n v="0"/>
    <m/>
    <m/>
    <n v="0"/>
    <n v="0"/>
    <m/>
    <m/>
    <n v="2211"/>
    <n v="2373"/>
    <n v="1914"/>
    <n v="2100"/>
    <n v="2001"/>
    <n v="2135"/>
    <n v="6126"/>
    <n v="255.25"/>
    <n v="6608"/>
    <n v="275.33333333333331"/>
    <n v="1961.85"/>
    <n v="1822.2333333333333"/>
  </r>
  <r>
    <x v="15"/>
    <s v="Fairmont State University"/>
    <m/>
    <n v="237367"/>
    <x v="4"/>
    <s v="sem"/>
    <s v="sem"/>
    <m/>
    <m/>
    <n v="45385"/>
    <n v="44948"/>
    <n v="4210"/>
    <n v="3862"/>
    <n v="50233"/>
    <n v="47863"/>
    <n v="99828"/>
    <n v="3327.6"/>
    <n v="96673"/>
    <n v="3222.4333333333334"/>
    <n v="582"/>
    <n v="1138"/>
    <n v="99828"/>
    <n v="96673"/>
    <m/>
    <m/>
    <m/>
    <m/>
    <m/>
    <m/>
    <m/>
    <m/>
    <n v="0"/>
    <n v="0"/>
    <n v="0"/>
    <n v="0"/>
    <m/>
    <m/>
    <n v="0"/>
    <n v="0"/>
    <m/>
    <m/>
    <n v="1649"/>
    <n v="1436"/>
    <n v="823"/>
    <n v="664"/>
    <n v="1828"/>
    <n v="1664"/>
    <n v="4300"/>
    <n v="179.16666666666666"/>
    <n v="3764"/>
    <n v="156.83333333333334"/>
    <n v="3506.7666666666664"/>
    <n v="3379.2666666666669"/>
  </r>
  <r>
    <x v="15"/>
    <s v="Shepherd University "/>
    <m/>
    <n v="237792"/>
    <x v="4"/>
    <s v="sem"/>
    <s v="sem"/>
    <m/>
    <m/>
    <n v="38718.5"/>
    <n v="37523"/>
    <n v="3222"/>
    <n v="3764"/>
    <n v="42229"/>
    <n v="39624.5"/>
    <n v="84169.5"/>
    <n v="2805.65"/>
    <n v="80911.5"/>
    <n v="2697.05"/>
    <n v="629.5"/>
    <n v="1256"/>
    <n v="84169.5"/>
    <n v="80911.5"/>
    <m/>
    <m/>
    <m/>
    <m/>
    <m/>
    <m/>
    <m/>
    <m/>
    <n v="0"/>
    <n v="0"/>
    <n v="0"/>
    <n v="0"/>
    <m/>
    <m/>
    <n v="0"/>
    <n v="0"/>
    <m/>
    <m/>
    <n v="2259"/>
    <n v="2188"/>
    <n v="2068"/>
    <n v="1829"/>
    <n v="1892"/>
    <n v="2707"/>
    <n v="6219"/>
    <n v="259.125"/>
    <n v="6724"/>
    <n v="280.16666666666669"/>
    <n v="3064.7750000000001"/>
    <n v="2977.2166666666667"/>
  </r>
  <r>
    <x v="15"/>
    <s v="West Liberty University"/>
    <s v="Met the criteria for Four-Year 4 in 2019-20."/>
    <n v="237932"/>
    <x v="4"/>
    <s v="sem"/>
    <s v="sem"/>
    <m/>
    <m/>
    <n v="28467"/>
    <n v="28073"/>
    <n v="1340"/>
    <n v="1959"/>
    <n v="32011"/>
    <n v="31312"/>
    <n v="61818"/>
    <n v="2060.6"/>
    <n v="61344"/>
    <n v="2044.8"/>
    <n v="1593"/>
    <n v="1637"/>
    <n v="61818"/>
    <n v="61344"/>
    <m/>
    <m/>
    <m/>
    <m/>
    <m/>
    <m/>
    <m/>
    <m/>
    <n v="0"/>
    <n v="0"/>
    <n v="0"/>
    <n v="0"/>
    <m/>
    <m/>
    <n v="0"/>
    <n v="0"/>
    <m/>
    <m/>
    <n v="2215"/>
    <n v="2338"/>
    <n v="1230"/>
    <n v="1301"/>
    <n v="2342"/>
    <n v="2494"/>
    <n v="5787"/>
    <n v="241.125"/>
    <n v="6133"/>
    <n v="255.54166666666666"/>
    <n v="2301.7249999999999"/>
    <n v="2300.3416666666667"/>
  </r>
  <r>
    <x v="15"/>
    <s v="Bluefield State College "/>
    <m/>
    <n v="237215"/>
    <x v="5"/>
    <s v="sem"/>
    <s v="sem"/>
    <m/>
    <m/>
    <n v="16431"/>
    <n v="15388"/>
    <n v="1443"/>
    <n v="1266"/>
    <n v="16441"/>
    <n v="16030"/>
    <n v="34315"/>
    <n v="1143.8333333333333"/>
    <n v="32684"/>
    <n v="1089.4666666666667"/>
    <n v="329"/>
    <n v="569"/>
    <n v="34315"/>
    <n v="32684"/>
    <m/>
    <m/>
    <m/>
    <m/>
    <m/>
    <m/>
    <m/>
    <m/>
    <n v="0"/>
    <n v="0"/>
    <n v="0"/>
    <n v="0"/>
    <m/>
    <m/>
    <n v="0"/>
    <n v="0"/>
    <m/>
    <m/>
    <m/>
    <m/>
    <m/>
    <m/>
    <m/>
    <m/>
    <n v="0"/>
    <n v="0"/>
    <n v="0"/>
    <n v="0"/>
    <n v="1143.8333333333333"/>
    <n v="1089.4666666666667"/>
  </r>
  <r>
    <x v="15"/>
    <s v="Glenville State College "/>
    <m/>
    <n v="237385"/>
    <x v="5"/>
    <s v="sem"/>
    <s v="sem"/>
    <m/>
    <m/>
    <n v="15719.5"/>
    <n v="14895"/>
    <n v="1533.6"/>
    <n v="1887"/>
    <n v="17621"/>
    <n v="18286"/>
    <n v="34874.1"/>
    <n v="1162.47"/>
    <n v="35068"/>
    <n v="1168.9333333333334"/>
    <n v="2033"/>
    <n v="3467"/>
    <n v="34874.1"/>
    <n v="35068"/>
    <m/>
    <m/>
    <m/>
    <m/>
    <m/>
    <m/>
    <m/>
    <m/>
    <n v="0"/>
    <n v="0"/>
    <n v="0"/>
    <n v="0"/>
    <m/>
    <m/>
    <n v="0"/>
    <n v="0"/>
    <m/>
    <m/>
    <m/>
    <m/>
    <m/>
    <m/>
    <m/>
    <m/>
    <n v="0"/>
    <n v="0"/>
    <n v="0"/>
    <n v="0"/>
    <n v="1162.47"/>
    <n v="1168.9333333333334"/>
  </r>
  <r>
    <x v="15"/>
    <s v="West Virginia State University "/>
    <s v="Met the criteria for Four-Year 4 in 2019-20."/>
    <n v="237899"/>
    <x v="5"/>
    <s v="sem"/>
    <s v="sem"/>
    <m/>
    <m/>
    <n v="31779"/>
    <n v="30661"/>
    <n v="1874"/>
    <n v="1940"/>
    <n v="35137"/>
    <n v="36943"/>
    <n v="68790"/>
    <n v="2293"/>
    <n v="69544"/>
    <n v="2318.1333333333332"/>
    <n v="16011"/>
    <n v="18900"/>
    <n v="68790"/>
    <n v="69544"/>
    <m/>
    <m/>
    <m/>
    <m/>
    <m/>
    <m/>
    <m/>
    <m/>
    <n v="0"/>
    <n v="0"/>
    <n v="0"/>
    <n v="0"/>
    <m/>
    <m/>
    <n v="0"/>
    <n v="0"/>
    <m/>
    <m/>
    <n v="919"/>
    <n v="1001"/>
    <n v="480"/>
    <n v="585"/>
    <n v="929"/>
    <n v="851"/>
    <n v="2328"/>
    <n v="97"/>
    <n v="2437"/>
    <n v="101.54166666666667"/>
    <n v="2390"/>
    <n v="2419.6749999999997"/>
  </r>
  <r>
    <x v="15"/>
    <s v="West Virginia University Institute of Technology"/>
    <m/>
    <n v="237950"/>
    <x v="5"/>
    <s v="sem"/>
    <s v="sem"/>
    <m/>
    <m/>
    <n v="17847"/>
    <n v="19102"/>
    <n v="1201"/>
    <n v="1112"/>
    <n v="20443"/>
    <n v="20198"/>
    <n v="39491"/>
    <n v="1316.3666666666666"/>
    <n v="40412"/>
    <n v="1347.0666666666666"/>
    <n v="3190"/>
    <n v="3842"/>
    <n v="39491"/>
    <n v="40412"/>
    <m/>
    <m/>
    <m/>
    <m/>
    <m/>
    <m/>
    <m/>
    <m/>
    <n v="0"/>
    <n v="0"/>
    <n v="0"/>
    <n v="0"/>
    <m/>
    <m/>
    <n v="0"/>
    <n v="0"/>
    <m/>
    <m/>
    <m/>
    <m/>
    <m/>
    <m/>
    <m/>
    <m/>
    <n v="0"/>
    <n v="0"/>
    <n v="0"/>
    <n v="0"/>
    <n v="1316.3666666666666"/>
    <n v="1347.0666666666666"/>
  </r>
  <r>
    <x v="15"/>
    <s v="Potomac State College of West Virginia University"/>
    <m/>
    <n v="237701"/>
    <x v="12"/>
    <s v="sem"/>
    <s v="sem"/>
    <m/>
    <m/>
    <n v="15052"/>
    <n v="15097"/>
    <n v="1123"/>
    <n v="955"/>
    <n v="17119"/>
    <n v="16496"/>
    <n v="33294"/>
    <n v="1109.8"/>
    <n v="32548"/>
    <n v="1084.9333333333334"/>
    <n v="2321"/>
    <n v="2437"/>
    <n v="33294"/>
    <n v="32548"/>
    <m/>
    <m/>
    <m/>
    <m/>
    <m/>
    <m/>
    <m/>
    <m/>
    <n v="0"/>
    <n v="0"/>
    <n v="0"/>
    <n v="0"/>
    <m/>
    <m/>
    <n v="0"/>
    <n v="0"/>
    <m/>
    <m/>
    <m/>
    <m/>
    <m/>
    <m/>
    <m/>
    <m/>
    <n v="0"/>
    <n v="0"/>
    <n v="0"/>
    <n v="0"/>
    <n v="1109.8"/>
    <n v="1084.9333333333334"/>
  </r>
  <r>
    <x v="15"/>
    <s v="West Virginia University at Parkersburg"/>
    <m/>
    <n v="237686"/>
    <x v="12"/>
    <s v="sem"/>
    <s v="sem"/>
    <m/>
    <m/>
    <n v="24030"/>
    <n v="23587"/>
    <n v="4215"/>
    <n v="3804"/>
    <n v="25597"/>
    <n v="26533"/>
    <n v="53842"/>
    <n v="1794.7333333333333"/>
    <n v="53924"/>
    <n v="1797.4666666666667"/>
    <n v="3721"/>
    <n v="7898"/>
    <n v="53842"/>
    <n v="53924"/>
    <m/>
    <m/>
    <m/>
    <m/>
    <m/>
    <m/>
    <m/>
    <m/>
    <n v="0"/>
    <n v="0"/>
    <n v="0"/>
    <n v="0"/>
    <m/>
    <m/>
    <n v="0"/>
    <n v="0"/>
    <m/>
    <m/>
    <m/>
    <m/>
    <m/>
    <m/>
    <m/>
    <m/>
    <n v="0"/>
    <n v="0"/>
    <n v="0"/>
    <n v="0"/>
    <n v="1794.7333333333333"/>
    <n v="1797.4666666666667"/>
  </r>
  <r>
    <x v="15"/>
    <s v="Blue Ridge Community &amp; Technical College"/>
    <s v="Reclassified: Met the criteria for Two-Year 2 in 2017-18, 2018-19, and 2019-20. "/>
    <n v="446774"/>
    <x v="7"/>
    <s v="sem"/>
    <s v="sem"/>
    <m/>
    <m/>
    <n v="27320.3"/>
    <n v="28981"/>
    <n v="3266"/>
    <n v="2760"/>
    <n v="34937.800000000003"/>
    <n v="33613.699999999997"/>
    <n v="65524.100000000006"/>
    <n v="2184.1366666666668"/>
    <n v="65354.7"/>
    <n v="2178.4899999999998"/>
    <n v="7318"/>
    <n v="8314"/>
    <n v="65524.100000000006"/>
    <n v="65354.7"/>
    <m/>
    <m/>
    <m/>
    <m/>
    <m/>
    <m/>
    <m/>
    <m/>
    <n v="0"/>
    <n v="0"/>
    <n v="0"/>
    <n v="0"/>
    <m/>
    <m/>
    <n v="0"/>
    <n v="0"/>
    <m/>
    <m/>
    <m/>
    <m/>
    <m/>
    <m/>
    <m/>
    <m/>
    <n v="0"/>
    <n v="0"/>
    <n v="0"/>
    <n v="0"/>
    <n v="2184.1366666666668"/>
    <n v="2178.4899999999998"/>
  </r>
  <r>
    <x v="15"/>
    <s v="BridgeValley Community &amp; Technical College"/>
    <m/>
    <n v="484932"/>
    <x v="8"/>
    <s v="sem"/>
    <s v="sem"/>
    <m/>
    <m/>
    <n v="17736"/>
    <n v="16609"/>
    <n v="1810"/>
    <n v="1302"/>
    <n v="18833"/>
    <n v="19840"/>
    <n v="38379"/>
    <n v="1279.3"/>
    <n v="37751"/>
    <n v="1258.3666666666666"/>
    <n v="284"/>
    <n v="58"/>
    <n v="38379"/>
    <n v="37751"/>
    <m/>
    <m/>
    <m/>
    <m/>
    <m/>
    <m/>
    <m/>
    <m/>
    <n v="0"/>
    <n v="0"/>
    <n v="0"/>
    <n v="0"/>
    <m/>
    <m/>
    <n v="0"/>
    <n v="0"/>
    <m/>
    <m/>
    <m/>
    <m/>
    <m/>
    <m/>
    <m/>
    <m/>
    <n v="0"/>
    <n v="0"/>
    <n v="0"/>
    <n v="0"/>
    <n v="1279.3"/>
    <n v="1258.3666666666666"/>
  </r>
  <r>
    <x v="15"/>
    <s v="Eastern West Virginia Community &amp; Technical College"/>
    <m/>
    <n v="438708"/>
    <x v="8"/>
    <s v="sem"/>
    <s v="sem"/>
    <m/>
    <m/>
    <n v="3703"/>
    <n v="3217"/>
    <n v="477"/>
    <n v="330"/>
    <n v="3678"/>
    <n v="4060"/>
    <n v="7858"/>
    <n v="261.93333333333334"/>
    <n v="7607"/>
    <n v="253.56666666666666"/>
    <n v="1560"/>
    <n v="1478"/>
    <n v="7858"/>
    <n v="7607"/>
    <m/>
    <m/>
    <m/>
    <m/>
    <m/>
    <m/>
    <m/>
    <m/>
    <n v="0"/>
    <n v="0"/>
    <n v="0"/>
    <n v="0"/>
    <m/>
    <m/>
    <n v="0"/>
    <n v="0"/>
    <m/>
    <m/>
    <m/>
    <m/>
    <m/>
    <m/>
    <m/>
    <m/>
    <n v="0"/>
    <n v="0"/>
    <n v="0"/>
    <n v="0"/>
    <n v="261.93333333333334"/>
    <n v="253.56666666666666"/>
  </r>
  <r>
    <x v="15"/>
    <s v="Mountwest Community &amp; Technical College"/>
    <m/>
    <n v="444954"/>
    <x v="8"/>
    <s v="sem"/>
    <s v="sem"/>
    <m/>
    <m/>
    <n v="17422"/>
    <n v="17701"/>
    <n v="3572"/>
    <n v="4217"/>
    <n v="19384"/>
    <n v="19143"/>
    <n v="40378"/>
    <n v="1345.9333333333334"/>
    <n v="41061"/>
    <n v="1368.7"/>
    <n v="2378"/>
    <n v="3136"/>
    <n v="40378"/>
    <n v="41061"/>
    <m/>
    <m/>
    <m/>
    <m/>
    <m/>
    <m/>
    <m/>
    <m/>
    <n v="0"/>
    <n v="0"/>
    <n v="0"/>
    <n v="0"/>
    <m/>
    <m/>
    <n v="0"/>
    <n v="0"/>
    <m/>
    <m/>
    <m/>
    <m/>
    <m/>
    <m/>
    <m/>
    <m/>
    <n v="0"/>
    <n v="0"/>
    <n v="0"/>
    <n v="0"/>
    <n v="1345.9333333333334"/>
    <n v="1368.7"/>
  </r>
  <r>
    <x v="15"/>
    <s v="New River Community &amp; Technical College"/>
    <m/>
    <n v="447582"/>
    <x v="8"/>
    <s v="sem"/>
    <s v="sem"/>
    <m/>
    <m/>
    <n v="11545"/>
    <n v="10659"/>
    <n v="2492"/>
    <n v="2595"/>
    <n v="12325"/>
    <n v="12437"/>
    <n v="26362"/>
    <n v="878.73333333333335"/>
    <n v="25691"/>
    <n v="856.36666666666667"/>
    <n v="1874"/>
    <n v="2447"/>
    <n v="26362"/>
    <n v="25691"/>
    <m/>
    <m/>
    <m/>
    <m/>
    <m/>
    <m/>
    <m/>
    <m/>
    <n v="0"/>
    <n v="0"/>
    <n v="0"/>
    <n v="0"/>
    <m/>
    <m/>
    <n v="0"/>
    <n v="0"/>
    <m/>
    <m/>
    <m/>
    <m/>
    <m/>
    <m/>
    <m/>
    <m/>
    <n v="0"/>
    <n v="0"/>
    <n v="0"/>
    <n v="0"/>
    <n v="878.73333333333335"/>
    <n v="856.36666666666667"/>
  </r>
  <r>
    <x v="15"/>
    <s v="Pierpont Community &amp; Technical College"/>
    <m/>
    <n v="443492"/>
    <x v="8"/>
    <s v="sem"/>
    <s v="sem"/>
    <m/>
    <m/>
    <n v="16601"/>
    <n v="16003"/>
    <n v="1519"/>
    <n v="1807"/>
    <n v="19418"/>
    <n v="20230"/>
    <n v="37538"/>
    <n v="1251.2666666666667"/>
    <n v="38040"/>
    <n v="1268"/>
    <n v="4462"/>
    <n v="4262"/>
    <n v="37538"/>
    <n v="38040"/>
    <m/>
    <m/>
    <m/>
    <m/>
    <m/>
    <m/>
    <m/>
    <m/>
    <n v="0"/>
    <n v="0"/>
    <n v="0"/>
    <n v="0"/>
    <m/>
    <m/>
    <n v="0"/>
    <n v="0"/>
    <m/>
    <m/>
    <m/>
    <m/>
    <m/>
    <m/>
    <m/>
    <m/>
    <n v="0"/>
    <n v="0"/>
    <n v="0"/>
    <n v="0"/>
    <n v="1251.2666666666667"/>
    <n v="1268"/>
  </r>
  <r>
    <x v="15"/>
    <s v="Southern West Virginia Community &amp; Technical College "/>
    <m/>
    <n v="237817"/>
    <x v="8"/>
    <s v="sem"/>
    <s v="sem"/>
    <m/>
    <m/>
    <n v="16446"/>
    <n v="14689"/>
    <n v="965"/>
    <n v="1047"/>
    <n v="16865"/>
    <n v="16756"/>
    <n v="34276"/>
    <n v="1142.5333333333333"/>
    <n v="32492"/>
    <n v="1083.0666666666666"/>
    <n v="865"/>
    <n v="1232"/>
    <n v="34276"/>
    <n v="32492"/>
    <m/>
    <m/>
    <m/>
    <m/>
    <m/>
    <m/>
    <m/>
    <m/>
    <n v="0"/>
    <n v="0"/>
    <n v="0"/>
    <n v="0"/>
    <m/>
    <m/>
    <n v="0"/>
    <n v="0"/>
    <m/>
    <m/>
    <m/>
    <m/>
    <m/>
    <m/>
    <m/>
    <m/>
    <n v="0"/>
    <n v="0"/>
    <n v="0"/>
    <n v="0"/>
    <n v="1142.5333333333333"/>
    <n v="1083.0666666666666"/>
  </r>
  <r>
    <x v="15"/>
    <s v="West Virginia Northern Community College"/>
    <m/>
    <n v="238014"/>
    <x v="8"/>
    <s v="sem"/>
    <s v="sem"/>
    <m/>
    <m/>
    <n v="14000.6"/>
    <n v="13346.4"/>
    <n v="3405"/>
    <n v="2648"/>
    <n v="14740"/>
    <n v="14318.2"/>
    <n v="32145.599999999999"/>
    <n v="1071.52"/>
    <n v="30312.6"/>
    <n v="1010.42"/>
    <n v="4545"/>
    <n v="4139"/>
    <n v="32145.599999999999"/>
    <n v="30312.6"/>
    <m/>
    <m/>
    <m/>
    <m/>
    <m/>
    <m/>
    <m/>
    <m/>
    <n v="0"/>
    <n v="0"/>
    <n v="0"/>
    <n v="0"/>
    <m/>
    <m/>
    <n v="0"/>
    <n v="0"/>
    <m/>
    <m/>
    <m/>
    <m/>
    <m/>
    <m/>
    <m/>
    <m/>
    <n v="0"/>
    <n v="0"/>
    <n v="0"/>
    <n v="0"/>
    <n v="1071.52"/>
    <n v="1010.42"/>
  </r>
  <r>
    <x v="15"/>
    <m/>
    <m/>
    <m/>
    <x v="11"/>
    <m/>
    <m/>
    <m/>
    <m/>
    <m/>
    <m/>
    <m/>
    <m/>
    <m/>
    <m/>
    <m/>
    <m/>
    <m/>
    <m/>
    <m/>
    <m/>
    <m/>
    <m/>
    <m/>
    <m/>
    <m/>
    <m/>
    <m/>
    <m/>
    <m/>
    <m/>
    <m/>
    <m/>
    <m/>
    <m/>
    <m/>
    <m/>
    <m/>
    <m/>
    <m/>
    <m/>
    <m/>
    <m/>
    <m/>
    <m/>
    <m/>
    <m/>
    <n v="0"/>
    <n v="0"/>
    <n v="0"/>
    <n v="0"/>
    <n v="0"/>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6">
  <r>
    <x v="0"/>
    <s v="Auburn University"/>
    <m/>
    <n v="100858"/>
    <x v="0"/>
    <m/>
    <m/>
    <m/>
    <m/>
    <n v="316030"/>
    <n v="323849"/>
    <n v="63796"/>
    <n v="60899"/>
    <n v="346160"/>
    <n v="349196"/>
    <n v="725986"/>
    <n v="24199.533333333333"/>
    <n v="733944"/>
    <n v="24464.799999999999"/>
    <n v="109"/>
    <n v="1584"/>
    <n v="725986"/>
    <n v="733944"/>
    <m/>
    <m/>
    <m/>
    <m/>
    <m/>
    <m/>
    <m/>
    <m/>
    <n v="0"/>
    <n v="0"/>
    <n v="0"/>
    <n v="0"/>
    <m/>
    <m/>
    <n v="0"/>
    <n v="0"/>
  </r>
  <r>
    <x v="0"/>
    <s v="University of Alabama "/>
    <m/>
    <n v="100751"/>
    <x v="0"/>
    <m/>
    <m/>
    <m/>
    <m/>
    <n v="421165"/>
    <n v="413606"/>
    <n v="64931"/>
    <n v="65592"/>
    <n v="449053"/>
    <n v="441293"/>
    <n v="935149"/>
    <n v="31171.633333333335"/>
    <n v="920491"/>
    <n v="30683.033333333333"/>
    <n v="6158"/>
    <n v="7528"/>
    <n v="935149"/>
    <n v="920491"/>
    <m/>
    <m/>
    <m/>
    <m/>
    <m/>
    <m/>
    <m/>
    <m/>
    <n v="0"/>
    <n v="0"/>
    <n v="0"/>
    <n v="0"/>
    <m/>
    <m/>
    <n v="0"/>
    <n v="0"/>
  </r>
  <r>
    <x v="0"/>
    <s v="University of Alabama at Birmingham"/>
    <m/>
    <n v="100663"/>
    <x v="0"/>
    <m/>
    <m/>
    <m/>
    <m/>
    <n v="133490"/>
    <n v="134602"/>
    <n v="33478"/>
    <n v="34186"/>
    <n v="148941"/>
    <n v="150218"/>
    <n v="315909"/>
    <n v="10530.3"/>
    <n v="319006"/>
    <n v="10633.533333333333"/>
    <n v="2561"/>
    <n v="2230"/>
    <n v="315909"/>
    <n v="319006"/>
    <m/>
    <m/>
    <m/>
    <m/>
    <m/>
    <m/>
    <m/>
    <m/>
    <n v="0"/>
    <n v="0"/>
    <n v="0"/>
    <n v="0"/>
    <m/>
    <m/>
    <n v="0"/>
    <n v="0"/>
  </r>
  <r>
    <x v="0"/>
    <s v="University of Alabama in Huntsville"/>
    <s v="Met the criteria for Four-Year 3 in 2018-19 and 2019-20."/>
    <n v="100706"/>
    <x v="1"/>
    <m/>
    <m/>
    <m/>
    <m/>
    <n v="86327"/>
    <n v="94761"/>
    <n v="14806"/>
    <n v="15562"/>
    <n v="101080"/>
    <n v="106168"/>
    <n v="202213"/>
    <n v="6740.4333333333334"/>
    <n v="216491"/>
    <n v="7216.3666666666668"/>
    <n v="1284"/>
    <n v="1631"/>
    <n v="202213"/>
    <n v="216491"/>
    <m/>
    <m/>
    <m/>
    <m/>
    <m/>
    <m/>
    <m/>
    <m/>
    <n v="0"/>
    <n v="0"/>
    <n v="0"/>
    <n v="0"/>
    <m/>
    <m/>
    <n v="0"/>
    <n v="0"/>
  </r>
  <r>
    <x v="0"/>
    <s v="University of South Alabama"/>
    <m/>
    <n v="102094"/>
    <x v="1"/>
    <m/>
    <m/>
    <m/>
    <m/>
    <n v="116965"/>
    <n v="111754"/>
    <n v="22860"/>
    <n v="21011"/>
    <n v="124921"/>
    <n v="115544"/>
    <n v="264746"/>
    <n v="8824.8666666666668"/>
    <n v="248309"/>
    <n v="8276.9666666666672"/>
    <n v="398"/>
    <n v="434"/>
    <n v="264746"/>
    <n v="248309"/>
    <m/>
    <m/>
    <m/>
    <m/>
    <m/>
    <m/>
    <m/>
    <m/>
    <n v="0"/>
    <n v="0"/>
    <n v="0"/>
    <n v="0"/>
    <m/>
    <m/>
    <n v="0"/>
    <n v="0"/>
  </r>
  <r>
    <x v="0"/>
    <s v="Alabama Agricultural &amp; Mechanical University"/>
    <m/>
    <n v="100654"/>
    <x v="2"/>
    <m/>
    <m/>
    <m/>
    <m/>
    <n v="65976"/>
    <n v="68607"/>
    <n v="6456"/>
    <n v="7195"/>
    <n v="79086"/>
    <n v="88642"/>
    <n v="151518"/>
    <n v="5050.6000000000004"/>
    <n v="164444"/>
    <n v="5481.4666666666662"/>
    <n v="0"/>
    <n v="0"/>
    <n v="151518"/>
    <n v="164444"/>
    <m/>
    <m/>
    <m/>
    <m/>
    <m/>
    <m/>
    <m/>
    <m/>
    <n v="0"/>
    <n v="0"/>
    <n v="0"/>
    <n v="0"/>
    <m/>
    <m/>
    <n v="0"/>
    <n v="0"/>
  </r>
  <r>
    <x v="0"/>
    <s v="Jacksonville State University "/>
    <m/>
    <n v="101480"/>
    <x v="2"/>
    <m/>
    <m/>
    <m/>
    <m/>
    <n v="80884"/>
    <n v="80815"/>
    <n v="18071"/>
    <n v="21281"/>
    <n v="88974"/>
    <n v="96239"/>
    <n v="187929"/>
    <n v="6264.3"/>
    <n v="198335"/>
    <n v="6611.166666666667"/>
    <n v="5387"/>
    <n v="5627"/>
    <n v="187929"/>
    <n v="198335"/>
    <m/>
    <m/>
    <m/>
    <m/>
    <m/>
    <m/>
    <m/>
    <m/>
    <n v="0"/>
    <n v="0"/>
    <n v="0"/>
    <n v="0"/>
    <m/>
    <m/>
    <n v="0"/>
    <n v="0"/>
  </r>
  <r>
    <x v="0"/>
    <s v="Troy University"/>
    <m/>
    <n v="102368"/>
    <x v="2"/>
    <m/>
    <m/>
    <m/>
    <m/>
    <n v="125685"/>
    <n v="119446"/>
    <n v="20453"/>
    <n v="21272"/>
    <n v="133323"/>
    <n v="147936"/>
    <n v="279461"/>
    <n v="9315.3666666666668"/>
    <n v="288654"/>
    <n v="9621.7999999999993"/>
    <n v="1836"/>
    <n v="2308"/>
    <n v="279461"/>
    <n v="288654"/>
    <m/>
    <m/>
    <m/>
    <m/>
    <m/>
    <m/>
    <m/>
    <m/>
    <n v="0"/>
    <n v="0"/>
    <n v="0"/>
    <n v="0"/>
    <m/>
    <m/>
    <n v="0"/>
    <n v="0"/>
  </r>
  <r>
    <x v="0"/>
    <s v="University of North Alabama"/>
    <m/>
    <n v="101879"/>
    <x v="2"/>
    <m/>
    <m/>
    <m/>
    <m/>
    <n v="70298"/>
    <n v="71601"/>
    <n v="12976"/>
    <n v="12740"/>
    <n v="78059"/>
    <n v="77767"/>
    <n v="161333"/>
    <n v="5377.7666666666664"/>
    <n v="162108"/>
    <n v="5403.6"/>
    <n v="1075"/>
    <n v="1291"/>
    <n v="161333"/>
    <n v="162108"/>
    <m/>
    <m/>
    <m/>
    <m/>
    <m/>
    <m/>
    <m/>
    <m/>
    <n v="0"/>
    <n v="0"/>
    <n v="0"/>
    <n v="0"/>
    <m/>
    <m/>
    <n v="0"/>
    <n v="0"/>
  </r>
  <r>
    <x v="0"/>
    <s v="Alabama State University "/>
    <m/>
    <n v="100724"/>
    <x v="3"/>
    <m/>
    <m/>
    <m/>
    <m/>
    <n v="53283"/>
    <n v="49742"/>
    <n v="8799"/>
    <n v="7390"/>
    <n v="59153"/>
    <n v="55146"/>
    <n v="121235"/>
    <n v="4041.1666666666665"/>
    <n v="112278"/>
    <n v="3742.6"/>
    <n v="79"/>
    <n v="21"/>
    <n v="121235"/>
    <n v="112278"/>
    <m/>
    <m/>
    <m/>
    <m/>
    <m/>
    <m/>
    <m/>
    <m/>
    <n v="0"/>
    <n v="0"/>
    <n v="0"/>
    <n v="0"/>
    <m/>
    <m/>
    <n v="0"/>
    <n v="0"/>
  </r>
  <r>
    <x v="0"/>
    <s v="Auburn University at Montgomery"/>
    <s v="Met the criteria for Four-Year 3 in 2018-19 and 2019-20."/>
    <n v="100830"/>
    <x v="3"/>
    <m/>
    <m/>
    <m/>
    <m/>
    <n v="47951"/>
    <n v="50061"/>
    <n v="12898"/>
    <n v="12963"/>
    <n v="55346"/>
    <n v="54646"/>
    <n v="116195"/>
    <n v="3873.1666666666665"/>
    <n v="117670"/>
    <n v="3922.3333333333335"/>
    <n v="392"/>
    <n v="337"/>
    <n v="116195"/>
    <n v="117670"/>
    <m/>
    <m/>
    <m/>
    <m/>
    <m/>
    <m/>
    <m/>
    <m/>
    <n v="0"/>
    <n v="0"/>
    <n v="0"/>
    <n v="0"/>
    <m/>
    <m/>
    <n v="0"/>
    <n v="0"/>
  </r>
  <r>
    <x v="0"/>
    <s v="University of Montevallo"/>
    <m/>
    <n v="101709"/>
    <x v="4"/>
    <m/>
    <m/>
    <m/>
    <m/>
    <n v="28796"/>
    <n v="27607"/>
    <n v="4263"/>
    <n v="3882"/>
    <n v="31207"/>
    <n v="30446"/>
    <n v="64266"/>
    <n v="2142.1999999999998"/>
    <n v="61935"/>
    <n v="2064.5"/>
    <n v="186"/>
    <n v="207"/>
    <n v="64266"/>
    <n v="61935"/>
    <m/>
    <m/>
    <m/>
    <m/>
    <m/>
    <m/>
    <m/>
    <m/>
    <n v="0"/>
    <n v="0"/>
    <n v="0"/>
    <n v="0"/>
    <m/>
    <m/>
    <n v="0"/>
    <n v="0"/>
  </r>
  <r>
    <x v="0"/>
    <s v="University of West Alabama"/>
    <s v="Met the criteria for Four-Year 4 in 2018-19 and 2019-20."/>
    <n v="101587"/>
    <x v="4"/>
    <m/>
    <m/>
    <m/>
    <m/>
    <n v="26568"/>
    <n v="27203"/>
    <n v="4740"/>
    <n v="6972"/>
    <n v="29338"/>
    <n v="29281"/>
    <n v="60646"/>
    <n v="2021.5333333333333"/>
    <n v="63456"/>
    <n v="2115.1999999999998"/>
    <n v="400"/>
    <n v="243"/>
    <n v="60646"/>
    <n v="63456"/>
    <m/>
    <m/>
    <m/>
    <m/>
    <m/>
    <m/>
    <m/>
    <m/>
    <n v="0"/>
    <n v="0"/>
    <n v="0"/>
    <n v="0"/>
    <m/>
    <m/>
    <n v="0"/>
    <n v="0"/>
  </r>
  <r>
    <x v="0"/>
    <s v="Athens State University"/>
    <s v="Met the criteria for Four-Year 5 in 2019-20."/>
    <s v="100812"/>
    <x v="5"/>
    <m/>
    <m/>
    <m/>
    <m/>
    <n v="25556"/>
    <n v="25034"/>
    <n v="12628"/>
    <n v="12332"/>
    <n v="27302"/>
    <n v="26727"/>
    <n v="65486"/>
    <n v="2182.8666666666668"/>
    <n v="64093"/>
    <n v="2136.4333333333334"/>
    <n v="0"/>
    <n v="0"/>
    <n v="65486"/>
    <n v="64093"/>
    <m/>
    <m/>
    <m/>
    <m/>
    <m/>
    <m/>
    <m/>
    <m/>
    <n v="0"/>
    <n v="0"/>
    <n v="0"/>
    <n v="0"/>
    <m/>
    <m/>
    <n v="0"/>
    <n v="0"/>
  </r>
  <r>
    <x v="0"/>
    <s v="Jefferson State Community College"/>
    <m/>
    <n v="101505"/>
    <x v="6"/>
    <m/>
    <m/>
    <m/>
    <m/>
    <n v="63152"/>
    <n v="64020"/>
    <n v="34390"/>
    <n v="32543"/>
    <n v="73411"/>
    <n v="69773"/>
    <n v="170953"/>
    <n v="5698.4333333333334"/>
    <n v="166336"/>
    <n v="5544.5333333333338"/>
    <n v="14148"/>
    <n v="15108"/>
    <n v="170953"/>
    <n v="166336"/>
    <m/>
    <m/>
    <m/>
    <m/>
    <m/>
    <m/>
    <m/>
    <m/>
    <n v="0"/>
    <n v="0"/>
    <n v="0"/>
    <n v="0"/>
    <m/>
    <m/>
    <n v="0"/>
    <n v="0"/>
  </r>
  <r>
    <x v="0"/>
    <s v="John C. Calhoun Community College "/>
    <m/>
    <n v="101514"/>
    <x v="6"/>
    <m/>
    <m/>
    <m/>
    <m/>
    <n v="76211"/>
    <n v="77456"/>
    <n v="35383"/>
    <n v="36047"/>
    <n v="84211"/>
    <n v="81361"/>
    <n v="195805"/>
    <n v="6526.833333333333"/>
    <n v="194864"/>
    <n v="6495.4666666666662"/>
    <n v="10393"/>
    <n v="12880"/>
    <n v="195805"/>
    <n v="194864"/>
    <m/>
    <m/>
    <m/>
    <m/>
    <m/>
    <m/>
    <m/>
    <m/>
    <n v="0"/>
    <n v="0"/>
    <n v="0"/>
    <n v="0"/>
    <m/>
    <m/>
    <n v="0"/>
    <n v="0"/>
  </r>
  <r>
    <x v="0"/>
    <s v="Bevill State Community College"/>
    <m/>
    <n v="102429"/>
    <x v="7"/>
    <m/>
    <m/>
    <m/>
    <m/>
    <n v="32523"/>
    <n v="29948"/>
    <n v="17481"/>
    <n v="17113"/>
    <n v="34078"/>
    <n v="33374"/>
    <n v="84082"/>
    <n v="2802.7333333333331"/>
    <n v="80435"/>
    <n v="2681.1666666666665"/>
    <n v="8513"/>
    <n v="9813"/>
    <n v="84082"/>
    <n v="80435"/>
    <m/>
    <m/>
    <m/>
    <m/>
    <m/>
    <m/>
    <m/>
    <m/>
    <n v="0"/>
    <n v="0"/>
    <n v="0"/>
    <n v="0"/>
    <m/>
    <m/>
    <n v="0"/>
    <n v="0"/>
  </r>
  <r>
    <x v="0"/>
    <s v="Bishop State Community College"/>
    <m/>
    <n v="102030"/>
    <x v="7"/>
    <m/>
    <m/>
    <m/>
    <m/>
    <n v="27114"/>
    <n v="26212"/>
    <n v="11456"/>
    <n v="11356"/>
    <n v="28593"/>
    <n v="27590"/>
    <n v="67163"/>
    <n v="2238.7666666666669"/>
    <n v="65158"/>
    <n v="2171.9333333333334"/>
    <n v="3240"/>
    <n v="3584"/>
    <n v="67163"/>
    <n v="65158"/>
    <m/>
    <m/>
    <m/>
    <m/>
    <m/>
    <m/>
    <m/>
    <m/>
    <n v="0"/>
    <n v="0"/>
    <n v="0"/>
    <n v="0"/>
    <m/>
    <m/>
    <n v="0"/>
    <n v="0"/>
  </r>
  <r>
    <x v="0"/>
    <s v="Coastal Alabama Community College"/>
    <s v="Met the criteria for Two-Year 1 in 2018-19 and 2019-20."/>
    <n v="101161"/>
    <x v="7"/>
    <m/>
    <m/>
    <m/>
    <m/>
    <n v="65685"/>
    <n v="65242"/>
    <n v="30135"/>
    <n v="29445"/>
    <n v="72862"/>
    <n v="74144"/>
    <n v="168682"/>
    <n v="5622.7333333333336"/>
    <n v="168831"/>
    <n v="5627.7"/>
    <n v="14679"/>
    <n v="17228"/>
    <n v="168682"/>
    <n v="168831"/>
    <m/>
    <m/>
    <m/>
    <m/>
    <m/>
    <m/>
    <m/>
    <m/>
    <n v="0"/>
    <n v="0"/>
    <n v="0"/>
    <n v="0"/>
    <m/>
    <m/>
    <n v="0"/>
    <n v="0"/>
  </r>
  <r>
    <x v="0"/>
    <s v="Gadsden State Community College"/>
    <m/>
    <n v="101240"/>
    <x v="7"/>
    <m/>
    <m/>
    <m/>
    <m/>
    <n v="42746"/>
    <n v="41847"/>
    <n v="20793"/>
    <n v="21713"/>
    <n v="46681"/>
    <n v="45523"/>
    <n v="110220"/>
    <n v="3674"/>
    <n v="109083"/>
    <n v="3636.1"/>
    <n v="5231"/>
    <n v="5709"/>
    <n v="110220"/>
    <n v="109083"/>
    <m/>
    <m/>
    <m/>
    <m/>
    <m/>
    <m/>
    <m/>
    <m/>
    <n v="0"/>
    <n v="0"/>
    <n v="0"/>
    <n v="0"/>
    <m/>
    <m/>
    <n v="0"/>
    <n v="0"/>
  </r>
  <r>
    <x v="0"/>
    <s v="George C. Wallace Community College-Dothan"/>
    <m/>
    <n v="101286"/>
    <x v="7"/>
    <m/>
    <m/>
    <m/>
    <m/>
    <n v="38196"/>
    <n v="37419"/>
    <n v="19930"/>
    <n v="18911"/>
    <n v="41781"/>
    <n v="40500"/>
    <n v="99907"/>
    <n v="3330.2333333333331"/>
    <n v="96830"/>
    <n v="3227.6666666666665"/>
    <n v="7671"/>
    <n v="7135"/>
    <n v="99907"/>
    <n v="96830"/>
    <m/>
    <m/>
    <m/>
    <m/>
    <m/>
    <m/>
    <m/>
    <m/>
    <n v="0"/>
    <n v="0"/>
    <n v="0"/>
    <n v="0"/>
    <m/>
    <m/>
    <n v="0"/>
    <n v="0"/>
  </r>
  <r>
    <x v="0"/>
    <s v="George C. Wallace State Community College-Hanceville"/>
    <m/>
    <n v="101295"/>
    <x v="7"/>
    <m/>
    <m/>
    <m/>
    <m/>
    <n v="49005"/>
    <n v="49387"/>
    <n v="22551"/>
    <n v="22665"/>
    <n v="53788"/>
    <n v="52910"/>
    <n v="125344"/>
    <n v="4178.1333333333332"/>
    <n v="124962"/>
    <n v="4165.3999999999996"/>
    <n v="6943"/>
    <n v="7814"/>
    <n v="125344"/>
    <n v="124962"/>
    <m/>
    <m/>
    <m/>
    <m/>
    <m/>
    <m/>
    <m/>
    <m/>
    <n v="0"/>
    <n v="0"/>
    <n v="0"/>
    <n v="0"/>
    <m/>
    <m/>
    <n v="0"/>
    <n v="0"/>
  </r>
  <r>
    <x v="0"/>
    <s v="Lawson State Community College "/>
    <m/>
    <n v="101569"/>
    <x v="7"/>
    <m/>
    <m/>
    <m/>
    <m/>
    <n v="28654"/>
    <n v="29490"/>
    <n v="13844"/>
    <n v="12649"/>
    <n v="33699"/>
    <n v="34177"/>
    <n v="76197"/>
    <n v="2539.9"/>
    <n v="76316"/>
    <n v="2543.8666666666668"/>
    <n v="1723"/>
    <n v="2322"/>
    <n v="76197"/>
    <n v="76316"/>
    <m/>
    <m/>
    <m/>
    <m/>
    <m/>
    <m/>
    <m/>
    <m/>
    <n v="0"/>
    <n v="0"/>
    <n v="0"/>
    <n v="0"/>
    <m/>
    <m/>
    <n v="0"/>
    <n v="0"/>
  </r>
  <r>
    <x v="0"/>
    <s v="Northwest-Shoals Community College"/>
    <m/>
    <n v="101736"/>
    <x v="7"/>
    <m/>
    <m/>
    <m/>
    <m/>
    <n v="25535"/>
    <n v="25950"/>
    <n v="10893"/>
    <n v="10366"/>
    <n v="30277"/>
    <n v="30047"/>
    <n v="66705"/>
    <n v="2223.5"/>
    <n v="66363"/>
    <n v="2212.1"/>
    <n v="7339"/>
    <n v="8135"/>
    <n v="66705"/>
    <n v="66363"/>
    <m/>
    <m/>
    <m/>
    <m/>
    <m/>
    <m/>
    <m/>
    <m/>
    <n v="0"/>
    <n v="0"/>
    <n v="0"/>
    <n v="0"/>
    <m/>
    <m/>
    <n v="0"/>
    <n v="0"/>
  </r>
  <r>
    <x v="0"/>
    <s v="Shelton State Community College"/>
    <m/>
    <n v="102067"/>
    <x v="7"/>
    <m/>
    <m/>
    <m/>
    <m/>
    <n v="39968"/>
    <n v="38313"/>
    <n v="22218"/>
    <n v="21306"/>
    <n v="42377"/>
    <n v="42594"/>
    <n v="104563"/>
    <n v="3485.4333333333334"/>
    <n v="102213"/>
    <n v="3407.1"/>
    <n v="2870"/>
    <n v="3271"/>
    <n v="104563"/>
    <n v="102213"/>
    <m/>
    <m/>
    <m/>
    <m/>
    <m/>
    <m/>
    <m/>
    <m/>
    <n v="0"/>
    <n v="0"/>
    <n v="0"/>
    <n v="0"/>
    <m/>
    <m/>
    <n v="0"/>
    <n v="0"/>
  </r>
  <r>
    <x v="0"/>
    <s v="Southern Union State Community College"/>
    <m/>
    <n v="251260"/>
    <x v="7"/>
    <m/>
    <m/>
    <m/>
    <m/>
    <n v="45045"/>
    <n v="43553"/>
    <n v="21090"/>
    <n v="20132"/>
    <n v="47848"/>
    <n v="48947"/>
    <n v="113983"/>
    <n v="3799.4333333333334"/>
    <n v="112632"/>
    <n v="3754.4"/>
    <n v="3213"/>
    <n v="3798"/>
    <n v="113983"/>
    <n v="112632"/>
    <m/>
    <m/>
    <m/>
    <m/>
    <m/>
    <m/>
    <m/>
    <m/>
    <n v="0"/>
    <n v="0"/>
    <n v="0"/>
    <n v="0"/>
    <m/>
    <m/>
    <n v="0"/>
    <n v="0"/>
  </r>
  <r>
    <x v="0"/>
    <s v="Central Alabama Community College"/>
    <m/>
    <n v="100760"/>
    <x v="8"/>
    <m/>
    <m/>
    <m/>
    <m/>
    <n v="15067"/>
    <n v="13646"/>
    <n v="5661"/>
    <n v="4986"/>
    <n v="15653"/>
    <n v="16077"/>
    <n v="36381"/>
    <n v="1212.7"/>
    <n v="34709"/>
    <n v="1156.9666666666667"/>
    <n v="4028"/>
    <n v="4651"/>
    <n v="36381"/>
    <n v="34709"/>
    <m/>
    <m/>
    <m/>
    <m/>
    <m/>
    <m/>
    <m/>
    <m/>
    <n v="0"/>
    <n v="0"/>
    <n v="0"/>
    <n v="0"/>
    <m/>
    <m/>
    <n v="0"/>
    <n v="0"/>
  </r>
  <r>
    <x v="0"/>
    <s v="Chattahoochee Valley Community College"/>
    <m/>
    <n v="101028"/>
    <x v="8"/>
    <m/>
    <m/>
    <m/>
    <m/>
    <n v="14253"/>
    <n v="15474"/>
    <n v="7155"/>
    <n v="7335"/>
    <n v="16533"/>
    <n v="16229"/>
    <n v="37941"/>
    <n v="1264.7"/>
    <n v="39038"/>
    <n v="1301.2666666666667"/>
    <n v="1530"/>
    <n v="2094"/>
    <n v="37941"/>
    <n v="39038"/>
    <m/>
    <m/>
    <m/>
    <m/>
    <m/>
    <m/>
    <m/>
    <m/>
    <n v="0"/>
    <n v="0"/>
    <n v="0"/>
    <n v="0"/>
    <m/>
    <m/>
    <n v="0"/>
    <n v="0"/>
  </r>
  <r>
    <x v="0"/>
    <s v="Enterprise State Community College"/>
    <m/>
    <n v="101143"/>
    <x v="8"/>
    <m/>
    <m/>
    <m/>
    <m/>
    <n v="14988"/>
    <n v="16053"/>
    <n v="6342"/>
    <n v="6648"/>
    <n v="17530"/>
    <n v="18814"/>
    <n v="38860"/>
    <n v="1295.3333333333333"/>
    <n v="41515"/>
    <n v="1383.8333333333333"/>
    <n v="4434"/>
    <n v="5421"/>
    <n v="38860"/>
    <n v="41515"/>
    <m/>
    <m/>
    <m/>
    <m/>
    <m/>
    <m/>
    <m/>
    <m/>
    <n v="0"/>
    <n v="0"/>
    <n v="0"/>
    <n v="0"/>
    <m/>
    <m/>
    <n v="0"/>
    <n v="0"/>
  </r>
  <r>
    <x v="0"/>
    <s v="George Corley Wallace State Community College - Selma"/>
    <m/>
    <n v="101301"/>
    <x v="8"/>
    <m/>
    <m/>
    <m/>
    <m/>
    <n v="13944"/>
    <n v="13356"/>
    <n v="10785"/>
    <n v="9188"/>
    <n v="14675"/>
    <n v="14072"/>
    <n v="39404"/>
    <n v="1313.4666666666667"/>
    <n v="36616"/>
    <n v="1220.5333333333333"/>
    <n v="4889"/>
    <n v="5360"/>
    <n v="39404"/>
    <n v="36616"/>
    <m/>
    <m/>
    <m/>
    <m/>
    <m/>
    <m/>
    <m/>
    <m/>
    <n v="0"/>
    <n v="0"/>
    <n v="0"/>
    <n v="0"/>
    <m/>
    <m/>
    <n v="0"/>
    <n v="0"/>
  </r>
  <r>
    <x v="0"/>
    <s v="Lurleen B. Wallace Community College "/>
    <m/>
    <n v="101602"/>
    <x v="8"/>
    <m/>
    <m/>
    <m/>
    <m/>
    <n v="15388"/>
    <n v="14183"/>
    <n v="9134"/>
    <n v="7765"/>
    <n v="16884"/>
    <n v="16847"/>
    <n v="41406"/>
    <n v="1380.2"/>
    <n v="38795"/>
    <n v="1293.1666666666667"/>
    <n v="4675"/>
    <n v="4880"/>
    <n v="41406"/>
    <n v="38795"/>
    <m/>
    <m/>
    <m/>
    <m/>
    <m/>
    <m/>
    <m/>
    <m/>
    <n v="0"/>
    <n v="0"/>
    <n v="0"/>
    <n v="0"/>
    <m/>
    <m/>
    <n v="0"/>
    <n v="0"/>
  </r>
  <r>
    <x v="0"/>
    <s v="Northeast Alabama Community College"/>
    <s v="Met the criteria for Two-Year 2 in 2018-19 and 2019-20."/>
    <n v="101897"/>
    <x v="8"/>
    <m/>
    <m/>
    <m/>
    <m/>
    <n v="23207"/>
    <n v="23208"/>
    <n v="11671"/>
    <n v="11392"/>
    <n v="25933"/>
    <n v="26864"/>
    <n v="60811"/>
    <n v="2027.0333333333333"/>
    <n v="61464"/>
    <n v="2048.8000000000002"/>
    <n v="9584"/>
    <n v="11057"/>
    <n v="60811"/>
    <n v="61464"/>
    <m/>
    <m/>
    <m/>
    <m/>
    <m/>
    <m/>
    <m/>
    <m/>
    <n v="0"/>
    <n v="0"/>
    <n v="0"/>
    <n v="0"/>
    <m/>
    <m/>
    <n v="0"/>
    <n v="0"/>
  </r>
  <r>
    <x v="0"/>
    <s v="Snead State Community College "/>
    <s v="Met the criteria for Two-Year 2 in 2018-19 and 2019-20."/>
    <n v="102076"/>
    <x v="8"/>
    <m/>
    <m/>
    <m/>
    <m/>
    <n v="22539"/>
    <n v="22540"/>
    <n v="12939"/>
    <n v="13492"/>
    <n v="24880"/>
    <n v="24145"/>
    <n v="60358"/>
    <n v="2011.9333333333334"/>
    <n v="60177"/>
    <n v="2005.9"/>
    <n v="2203"/>
    <n v="2600"/>
    <n v="60358"/>
    <n v="60177"/>
    <m/>
    <m/>
    <m/>
    <m/>
    <m/>
    <m/>
    <m/>
    <m/>
    <n v="0"/>
    <n v="0"/>
    <n v="0"/>
    <n v="0"/>
    <m/>
    <m/>
    <n v="0"/>
    <n v="0"/>
  </r>
  <r>
    <x v="0"/>
    <s v="H. Councill Trenholm State Community College"/>
    <m/>
    <n v="102313"/>
    <x v="9"/>
    <m/>
    <m/>
    <m/>
    <m/>
    <n v="16098"/>
    <n v="16722"/>
    <n v="8632"/>
    <n v="8588"/>
    <n v="17221"/>
    <n v="19027"/>
    <n v="41951"/>
    <n v="1398.3666666666666"/>
    <n v="44337"/>
    <n v="1477.9"/>
    <n v="2007"/>
    <n v="1993"/>
    <n v="41951"/>
    <n v="44337"/>
    <m/>
    <m/>
    <m/>
    <m/>
    <m/>
    <m/>
    <m/>
    <m/>
    <n v="0"/>
    <n v="0"/>
    <n v="0"/>
    <n v="0"/>
    <m/>
    <m/>
    <n v="0"/>
    <n v="0"/>
  </r>
  <r>
    <x v="0"/>
    <s v="J.F. Drake State Community and Technical College"/>
    <m/>
    <n v="101462"/>
    <x v="10"/>
    <m/>
    <m/>
    <m/>
    <m/>
    <n v="6616"/>
    <n v="6332"/>
    <n v="3331"/>
    <n v="2997"/>
    <n v="7303"/>
    <n v="6673"/>
    <n v="17250"/>
    <n v="575"/>
    <n v="16002"/>
    <n v="533.4"/>
    <n v="1202"/>
    <n v="1060"/>
    <n v="17250"/>
    <n v="16002"/>
    <m/>
    <m/>
    <m/>
    <m/>
    <m/>
    <m/>
    <m/>
    <m/>
    <n v="0"/>
    <n v="0"/>
    <n v="0"/>
    <n v="0"/>
    <m/>
    <m/>
    <n v="0"/>
    <n v="0"/>
  </r>
  <r>
    <x v="0"/>
    <s v="J.F. Ingram State Technical College "/>
    <m/>
    <n v="101471"/>
    <x v="10"/>
    <m/>
    <m/>
    <m/>
    <m/>
    <n v="5139"/>
    <n v="6409"/>
    <n v="4200"/>
    <n v="5608"/>
    <n v="5655"/>
    <n v="6336"/>
    <n v="14994"/>
    <n v="499.8"/>
    <n v="18353"/>
    <n v="611.76666666666665"/>
    <n v="0"/>
    <n v="0"/>
    <n v="14994"/>
    <n v="18353"/>
    <m/>
    <m/>
    <m/>
    <m/>
    <m/>
    <m/>
    <m/>
    <m/>
    <n v="0"/>
    <n v="0"/>
    <n v="0"/>
    <n v="0"/>
    <m/>
    <m/>
    <n v="0"/>
    <n v="0"/>
  </r>
  <r>
    <x v="0"/>
    <s v="Reid State Technical College "/>
    <m/>
    <n v="101994"/>
    <x v="10"/>
    <m/>
    <m/>
    <m/>
    <m/>
    <n v="3007"/>
    <n v="3900"/>
    <n v="2083"/>
    <n v="2531"/>
    <n v="3627"/>
    <n v="4329"/>
    <n v="8717"/>
    <n v="290.56666666666666"/>
    <n v="10760"/>
    <n v="358.66666666666669"/>
    <n v="1089"/>
    <n v="1227"/>
    <n v="8717"/>
    <n v="10760"/>
    <m/>
    <m/>
    <m/>
    <m/>
    <m/>
    <m/>
    <m/>
    <m/>
    <n v="0"/>
    <n v="0"/>
    <n v="0"/>
    <n v="0"/>
    <m/>
    <m/>
    <n v="0"/>
    <n v="0"/>
  </r>
  <r>
    <x v="1"/>
    <s v="University of Arkansas, Fayetteville"/>
    <m/>
    <n v="106397"/>
    <x v="0"/>
    <s v="sem"/>
    <s v="sem"/>
    <m/>
    <m/>
    <n v="297490"/>
    <n v="300858"/>
    <n v="42668"/>
    <n v="42576"/>
    <n v="326794"/>
    <n v="320340"/>
    <n v="666952"/>
    <n v="22231.733333333334"/>
    <n v="663774"/>
    <n v="22125.8"/>
    <n v="2241"/>
    <n v="1941"/>
    <n v="666952"/>
    <n v="663774"/>
    <m/>
    <m/>
    <m/>
    <m/>
    <m/>
    <m/>
    <m/>
    <m/>
    <n v="0"/>
    <n v="0"/>
    <n v="0"/>
    <n v="0"/>
    <m/>
    <m/>
    <n v="0"/>
    <n v="0"/>
  </r>
  <r>
    <x v="1"/>
    <s v="University of Arkansas at Little Rock"/>
    <m/>
    <n v="106245"/>
    <x v="1"/>
    <s v="sem"/>
    <s v="sem"/>
    <m/>
    <m/>
    <n v="88310"/>
    <n v="77296"/>
    <n v="17679"/>
    <n v="17476"/>
    <n v="85902"/>
    <n v="80450"/>
    <n v="191891"/>
    <n v="6396.3666666666668"/>
    <n v="175222"/>
    <n v="5840.7333333333336"/>
    <n v="17871"/>
    <n v="12084"/>
    <n v="191891"/>
    <n v="175222"/>
    <m/>
    <m/>
    <m/>
    <m/>
    <m/>
    <m/>
    <m/>
    <m/>
    <n v="0"/>
    <n v="0"/>
    <n v="0"/>
    <n v="0"/>
    <m/>
    <m/>
    <n v="0"/>
    <n v="0"/>
  </r>
  <r>
    <x v="1"/>
    <s v="Arkansas State University"/>
    <m/>
    <n v="106458"/>
    <x v="2"/>
    <s v="sem"/>
    <s v="sem"/>
    <m/>
    <m/>
    <n v="115454"/>
    <n v="112143"/>
    <n v="19521"/>
    <n v="19137"/>
    <n v="123261"/>
    <n v="117994"/>
    <n v="258236"/>
    <n v="8607.8666666666668"/>
    <n v="249274"/>
    <n v="8309.1333333333332"/>
    <n v="7382"/>
    <n v="7449"/>
    <n v="258236"/>
    <n v="249274"/>
    <m/>
    <m/>
    <m/>
    <m/>
    <m/>
    <m/>
    <m/>
    <m/>
    <n v="0"/>
    <n v="0"/>
    <n v="0"/>
    <n v="0"/>
    <m/>
    <m/>
    <n v="0"/>
    <n v="0"/>
  </r>
  <r>
    <x v="1"/>
    <s v="Arkansas Tech University"/>
    <m/>
    <n v="106467"/>
    <x v="2"/>
    <s v="sem"/>
    <s v="sem"/>
    <m/>
    <m/>
    <n v="108527"/>
    <n v="106847"/>
    <n v="13910"/>
    <n v="13392"/>
    <n v="120136"/>
    <n v="120865"/>
    <n v="242573"/>
    <n v="8085.7666666666664"/>
    <n v="241104"/>
    <n v="8036.8"/>
    <n v="23137"/>
    <n v="24854"/>
    <n v="242573"/>
    <n v="241104"/>
    <m/>
    <m/>
    <m/>
    <m/>
    <m/>
    <m/>
    <m/>
    <m/>
    <n v="0"/>
    <n v="0"/>
    <n v="0"/>
    <n v="0"/>
    <m/>
    <m/>
    <n v="0"/>
    <n v="0"/>
  </r>
  <r>
    <x v="1"/>
    <s v="University of Central Arkansas "/>
    <m/>
    <n v="106704"/>
    <x v="2"/>
    <s v="sem"/>
    <s v="sem"/>
    <m/>
    <m/>
    <n v="115975"/>
    <n v="114661"/>
    <n v="17492"/>
    <n v="16563"/>
    <n v="128923"/>
    <n v="124254"/>
    <n v="262390"/>
    <n v="8746.3333333333339"/>
    <n v="255478"/>
    <n v="8515.9333333333325"/>
    <n v="3405"/>
    <n v="4216"/>
    <n v="262390"/>
    <n v="255478"/>
    <m/>
    <m/>
    <m/>
    <m/>
    <m/>
    <m/>
    <m/>
    <m/>
    <n v="0"/>
    <n v="0"/>
    <n v="0"/>
    <n v="0"/>
    <m/>
    <m/>
    <n v="0"/>
    <n v="0"/>
  </r>
  <r>
    <x v="1"/>
    <s v="Henderson State University"/>
    <m/>
    <n v="107071"/>
    <x v="3"/>
    <s v="sem"/>
    <s v="sem"/>
    <m/>
    <m/>
    <n v="37620"/>
    <n v="40753"/>
    <n v="4883"/>
    <n v="5372"/>
    <n v="46139"/>
    <n v="46097"/>
    <n v="88642"/>
    <n v="2954.7333333333331"/>
    <n v="92222"/>
    <n v="3074.0666666666666"/>
    <n v="2683"/>
    <n v="4692"/>
    <n v="88642"/>
    <n v="92222"/>
    <m/>
    <m/>
    <m/>
    <m/>
    <m/>
    <m/>
    <m/>
    <m/>
    <n v="0"/>
    <n v="0"/>
    <n v="0"/>
    <n v="0"/>
    <m/>
    <m/>
    <n v="0"/>
    <n v="0"/>
  </r>
  <r>
    <x v="1"/>
    <s v="Southern Arkansas University"/>
    <m/>
    <n v="107983"/>
    <x v="3"/>
    <s v="sem"/>
    <s v="sem"/>
    <m/>
    <m/>
    <n v="43411"/>
    <n v="43743"/>
    <n v="4679"/>
    <n v="5102"/>
    <n v="49480"/>
    <n v="49644"/>
    <n v="97570"/>
    <n v="3252.3333333333335"/>
    <n v="98489"/>
    <n v="3282.9666666666667"/>
    <n v="2467"/>
    <n v="2871"/>
    <n v="97570"/>
    <n v="98489"/>
    <m/>
    <m/>
    <m/>
    <m/>
    <m/>
    <m/>
    <m/>
    <m/>
    <n v="0"/>
    <n v="0"/>
    <n v="0"/>
    <n v="0"/>
    <m/>
    <m/>
    <n v="0"/>
    <n v="0"/>
  </r>
  <r>
    <x v="1"/>
    <s v="University of Arkansas at Monticello"/>
    <s v="Reclassified: Met the criteria for Four-Year 4 in 2017-18, 2018-19, and 2019-20."/>
    <n v="106485"/>
    <x v="3"/>
    <s v="sem"/>
    <s v="sem"/>
    <m/>
    <m/>
    <n v="33911"/>
    <n v="29830"/>
    <n v="5253"/>
    <n v="4878"/>
    <n v="35255"/>
    <n v="31135"/>
    <n v="74419"/>
    <n v="2480.6333333333332"/>
    <n v="65843"/>
    <n v="2194.7666666666669"/>
    <n v="4989"/>
    <n v="3327"/>
    <n v="74419"/>
    <n v="65843"/>
    <m/>
    <m/>
    <m/>
    <m/>
    <m/>
    <m/>
    <m/>
    <m/>
    <n v="0"/>
    <n v="0"/>
    <n v="0"/>
    <n v="0"/>
    <m/>
    <m/>
    <n v="0"/>
    <n v="0"/>
  </r>
  <r>
    <x v="1"/>
    <s v="University of Arkansas at Fort Smith"/>
    <m/>
    <n v="108092"/>
    <x v="5"/>
    <s v="sem"/>
    <s v="sem"/>
    <m/>
    <m/>
    <n v="71141"/>
    <n v="70041"/>
    <n v="7464"/>
    <n v="7308"/>
    <n v="78859"/>
    <n v="74530"/>
    <n v="157464"/>
    <n v="5248.8"/>
    <n v="151879"/>
    <n v="5062.6333333333332"/>
    <n v="16161"/>
    <n v="16239"/>
    <n v="157464"/>
    <n v="151879"/>
    <m/>
    <m/>
    <m/>
    <m/>
    <m/>
    <m/>
    <m/>
    <m/>
    <n v="0"/>
    <n v="0"/>
    <n v="0"/>
    <n v="0"/>
    <m/>
    <m/>
    <n v="0"/>
    <n v="0"/>
  </r>
  <r>
    <x v="1"/>
    <s v="University of Arkansas at Pine Bluff"/>
    <m/>
    <n v="106412"/>
    <x v="5"/>
    <s v="sem"/>
    <s v="sem"/>
    <m/>
    <m/>
    <n v="32299"/>
    <n v="31385"/>
    <n v="4308"/>
    <n v="3718"/>
    <n v="35164"/>
    <n v="33617"/>
    <n v="71771"/>
    <n v="2392.3666666666668"/>
    <n v="68720"/>
    <n v="2290.6666666666665"/>
    <n v="0"/>
    <n v="0"/>
    <n v="71771"/>
    <n v="68720"/>
    <m/>
    <m/>
    <m/>
    <m/>
    <m/>
    <m/>
    <m/>
    <m/>
    <n v="0"/>
    <n v="0"/>
    <n v="0"/>
    <n v="0"/>
    <m/>
    <m/>
    <n v="0"/>
    <n v="0"/>
  </r>
  <r>
    <x v="1"/>
    <s v="Northwest Arkansas Community College "/>
    <m/>
    <n v="367459"/>
    <x v="6"/>
    <s v="sem"/>
    <s v="sem"/>
    <m/>
    <m/>
    <n v="63023"/>
    <n v="63515"/>
    <n v="14632"/>
    <n v="13622"/>
    <n v="72030"/>
    <n v="73609"/>
    <n v="149685"/>
    <n v="4989.5"/>
    <n v="150746"/>
    <n v="5024.8666666666668"/>
    <n v="22626"/>
    <n v="24056"/>
    <n v="149685"/>
    <n v="150746"/>
    <m/>
    <m/>
    <m/>
    <m/>
    <m/>
    <m/>
    <m/>
    <m/>
    <n v="0"/>
    <n v="0"/>
    <n v="0"/>
    <n v="0"/>
    <m/>
    <m/>
    <n v="0"/>
    <n v="0"/>
  </r>
  <r>
    <x v="1"/>
    <s v="Arkansas State University-Beebe"/>
    <m/>
    <n v="106449"/>
    <x v="7"/>
    <s v="sem"/>
    <s v="sem"/>
    <m/>
    <m/>
    <n v="34741"/>
    <n v="33197"/>
    <n v="6605"/>
    <n v="5987"/>
    <n v="36660"/>
    <n v="35218"/>
    <n v="78006"/>
    <n v="2600.1999999999998"/>
    <n v="74402"/>
    <n v="2480.0666666666666"/>
    <n v="8035"/>
    <n v="7692"/>
    <n v="78006"/>
    <n v="74402"/>
    <m/>
    <m/>
    <m/>
    <m/>
    <m/>
    <m/>
    <m/>
    <m/>
    <n v="0"/>
    <n v="0"/>
    <n v="0"/>
    <n v="0"/>
    <m/>
    <m/>
    <n v="0"/>
    <n v="0"/>
  </r>
  <r>
    <x v="1"/>
    <s v="University of Arkansas - Pulaski Technical College"/>
    <m/>
    <n v="107664"/>
    <x v="7"/>
    <s v="sem"/>
    <s v="sem"/>
    <m/>
    <m/>
    <n v="49890"/>
    <n v="47677"/>
    <n v="3884"/>
    <n v="11302"/>
    <n v="54260"/>
    <n v="55272"/>
    <n v="108034"/>
    <n v="3601.1333333333332"/>
    <n v="114251"/>
    <n v="3808.3666666666668"/>
    <n v="6087"/>
    <n v="8471"/>
    <n v="108034"/>
    <n v="114251"/>
    <m/>
    <m/>
    <m/>
    <m/>
    <m/>
    <m/>
    <m/>
    <m/>
    <n v="0"/>
    <n v="0"/>
    <n v="0"/>
    <n v="0"/>
    <m/>
    <m/>
    <n v="0"/>
    <n v="0"/>
  </r>
  <r>
    <x v="1"/>
    <s v="Arkansas Northeastern College"/>
    <m/>
    <n v="107327"/>
    <x v="8"/>
    <s v="sem"/>
    <s v="sem"/>
    <m/>
    <m/>
    <n v="11952"/>
    <n v="11819"/>
    <n v="2426"/>
    <n v="2132"/>
    <n v="12592"/>
    <n v="13267"/>
    <n v="26970"/>
    <n v="899"/>
    <n v="27218"/>
    <n v="907.26666666666665"/>
    <n v="4133"/>
    <n v="4738"/>
    <n v="26970"/>
    <n v="27218"/>
    <m/>
    <m/>
    <m/>
    <m/>
    <m/>
    <m/>
    <m/>
    <m/>
    <n v="0"/>
    <n v="0"/>
    <n v="0"/>
    <n v="0"/>
    <m/>
    <m/>
    <n v="0"/>
    <n v="0"/>
  </r>
  <r>
    <x v="1"/>
    <s v="Arkansas State University Mid-South"/>
    <m/>
    <n v="107318"/>
    <x v="8"/>
    <s v="sem"/>
    <s v="sem"/>
    <m/>
    <m/>
    <n v="11484"/>
    <n v="10641"/>
    <n v="2244"/>
    <n v="1883"/>
    <n v="12110"/>
    <n v="11315"/>
    <n v="25838"/>
    <n v="861.26666666666665"/>
    <n v="23839"/>
    <n v="794.63333333333333"/>
    <n v="7244"/>
    <n v="7048"/>
    <n v="25838"/>
    <n v="23839"/>
    <m/>
    <m/>
    <m/>
    <m/>
    <m/>
    <m/>
    <m/>
    <m/>
    <n v="0"/>
    <n v="0"/>
    <n v="0"/>
    <n v="0"/>
    <m/>
    <m/>
    <n v="0"/>
    <n v="0"/>
  </r>
  <r>
    <x v="1"/>
    <s v="Arkansas State University Mountain Home"/>
    <m/>
    <n v="420538"/>
    <x v="8"/>
    <s v="sem"/>
    <s v="sem"/>
    <m/>
    <m/>
    <n v="12802"/>
    <n v="12802"/>
    <n v="2460"/>
    <n v="2585"/>
    <n v="13839"/>
    <n v="13246"/>
    <n v="29101"/>
    <n v="970.0333333333333"/>
    <n v="28633"/>
    <n v="954.43333333333328"/>
    <n v="3442"/>
    <n v="3163"/>
    <n v="29101"/>
    <n v="28633"/>
    <m/>
    <m/>
    <m/>
    <m/>
    <m/>
    <m/>
    <m/>
    <m/>
    <n v="0"/>
    <n v="0"/>
    <n v="0"/>
    <n v="0"/>
    <m/>
    <m/>
    <n v="0"/>
    <n v="0"/>
  </r>
  <r>
    <x v="1"/>
    <s v="Arkansas State University Three Rivers"/>
    <s v="2019-20: Institution joined one of our university systems"/>
    <n v="107521"/>
    <x v="8"/>
    <s v="sem"/>
    <s v="sem"/>
    <m/>
    <m/>
    <n v="9509"/>
    <n v="8847"/>
    <n v="2981"/>
    <n v="3178"/>
    <n v="9476"/>
    <n v="8766"/>
    <n v="21966"/>
    <n v="732.2"/>
    <n v="20791"/>
    <n v="693.0333333333333"/>
    <n v="4976"/>
    <n v="6904"/>
    <n v="21966"/>
    <n v="20791"/>
    <m/>
    <m/>
    <m/>
    <m/>
    <m/>
    <m/>
    <m/>
    <m/>
    <n v="0"/>
    <n v="0"/>
    <n v="0"/>
    <n v="0"/>
    <m/>
    <m/>
    <n v="0"/>
    <n v="0"/>
  </r>
  <r>
    <x v="1"/>
    <s v="Arkansas State University-Newport"/>
    <m/>
    <n v="440402"/>
    <x v="8"/>
    <s v="sem"/>
    <s v="sem"/>
    <m/>
    <m/>
    <n v="21408"/>
    <n v="21686"/>
    <n v="11036"/>
    <n v="11695"/>
    <n v="23265"/>
    <n v="22867"/>
    <n v="55709"/>
    <n v="1856.9666666666667"/>
    <n v="56248"/>
    <n v="1874.9333333333334"/>
    <n v="14116"/>
    <n v="15085"/>
    <n v="55709"/>
    <n v="56248"/>
    <m/>
    <m/>
    <m/>
    <m/>
    <m/>
    <m/>
    <m/>
    <m/>
    <n v="0"/>
    <n v="0"/>
    <n v="0"/>
    <n v="0"/>
    <m/>
    <m/>
    <n v="0"/>
    <n v="0"/>
  </r>
  <r>
    <x v="1"/>
    <s v="Black River Technical College"/>
    <m/>
    <n v="106625"/>
    <x v="8"/>
    <s v="sem"/>
    <s v="sem"/>
    <m/>
    <m/>
    <n v="15518"/>
    <n v="15610"/>
    <n v="3373"/>
    <n v="2998"/>
    <n v="17920"/>
    <n v="16353"/>
    <n v="36811"/>
    <n v="1227.0333333333333"/>
    <n v="34961"/>
    <n v="1165.3666666666666"/>
    <n v="3652"/>
    <n v="3749"/>
    <n v="36811"/>
    <n v="34961"/>
    <m/>
    <m/>
    <m/>
    <m/>
    <m/>
    <m/>
    <m/>
    <m/>
    <n v="0"/>
    <n v="0"/>
    <n v="0"/>
    <n v="0"/>
    <m/>
    <m/>
    <n v="0"/>
    <n v="0"/>
  </r>
  <r>
    <x v="1"/>
    <s v="Cossatot Community College of the University of Arkansas"/>
    <m/>
    <n v="106795"/>
    <x v="8"/>
    <s v="sem"/>
    <s v="sem"/>
    <m/>
    <m/>
    <n v="12008"/>
    <n v="11987"/>
    <n v="2161"/>
    <n v="2334"/>
    <n v="13310"/>
    <n v="14237"/>
    <n v="27479"/>
    <n v="915.9666666666667"/>
    <n v="28558"/>
    <n v="951.93333333333328"/>
    <n v="6679"/>
    <n v="4814"/>
    <n v="27479"/>
    <n v="28558"/>
    <m/>
    <m/>
    <m/>
    <m/>
    <m/>
    <m/>
    <m/>
    <m/>
    <n v="0"/>
    <n v="0"/>
    <n v="0"/>
    <n v="0"/>
    <m/>
    <m/>
    <n v="0"/>
    <n v="0"/>
  </r>
  <r>
    <x v="1"/>
    <s v="East Arkansas Community College "/>
    <m/>
    <n v="106883"/>
    <x v="8"/>
    <s v="sem"/>
    <s v="sem"/>
    <m/>
    <m/>
    <n v="8167"/>
    <n v="9131"/>
    <n v="2979"/>
    <n v="3672"/>
    <n v="10113"/>
    <n v="11898"/>
    <n v="21259"/>
    <n v="708.63333333333333"/>
    <n v="24701"/>
    <n v="823.36666666666667"/>
    <n v="4019"/>
    <n v="4144"/>
    <n v="21259"/>
    <n v="24701"/>
    <m/>
    <m/>
    <m/>
    <m/>
    <m/>
    <m/>
    <m/>
    <m/>
    <n v="0"/>
    <n v="0"/>
    <n v="0"/>
    <n v="0"/>
    <m/>
    <m/>
    <n v="0"/>
    <n v="0"/>
  </r>
  <r>
    <x v="1"/>
    <s v="National Park College"/>
    <m/>
    <n v="106980"/>
    <x v="8"/>
    <s v="sem"/>
    <s v="sem"/>
    <m/>
    <m/>
    <n v="23125"/>
    <n v="23487"/>
    <n v="4504"/>
    <n v="4456"/>
    <n v="26917"/>
    <n v="26273"/>
    <n v="54546"/>
    <n v="1818.2"/>
    <n v="54216"/>
    <n v="1807.2"/>
    <n v="5490"/>
    <n v="4213"/>
    <n v="54546"/>
    <n v="54216"/>
    <m/>
    <m/>
    <m/>
    <m/>
    <m/>
    <m/>
    <m/>
    <m/>
    <n v="0"/>
    <n v="0"/>
    <n v="0"/>
    <n v="0"/>
    <m/>
    <m/>
    <n v="0"/>
    <n v="0"/>
  </r>
  <r>
    <x v="1"/>
    <s v="North Arkansas College"/>
    <m/>
    <n v="107460"/>
    <x v="8"/>
    <s v="sem"/>
    <s v="sem"/>
    <m/>
    <m/>
    <n v="17469"/>
    <n v="16591"/>
    <n v="2453"/>
    <n v="2480"/>
    <n v="19803"/>
    <n v="18594"/>
    <n v="39725"/>
    <n v="1324.1666666666667"/>
    <n v="37665"/>
    <n v="1255.5"/>
    <n v="3677"/>
    <n v="3856"/>
    <n v="39725"/>
    <n v="37665"/>
    <m/>
    <m/>
    <m/>
    <m/>
    <m/>
    <m/>
    <m/>
    <m/>
    <n v="0"/>
    <n v="0"/>
    <n v="0"/>
    <n v="0"/>
    <m/>
    <m/>
    <n v="0"/>
    <n v="0"/>
  </r>
  <r>
    <x v="1"/>
    <s v="Ozarka College "/>
    <m/>
    <n v="107549"/>
    <x v="8"/>
    <s v="sem"/>
    <s v="sem"/>
    <m/>
    <m/>
    <n v="10165"/>
    <n v="10621"/>
    <n v="2387"/>
    <n v="2294"/>
    <n v="10841"/>
    <n v="11253"/>
    <n v="23393"/>
    <n v="779.76666666666665"/>
    <n v="24168"/>
    <n v="805.6"/>
    <n v="3469"/>
    <n v="3535"/>
    <n v="23393"/>
    <n v="24168"/>
    <m/>
    <m/>
    <m/>
    <m/>
    <m/>
    <m/>
    <m/>
    <m/>
    <n v="0"/>
    <n v="0"/>
    <n v="0"/>
    <n v="0"/>
    <m/>
    <m/>
    <n v="0"/>
    <n v="0"/>
  </r>
  <r>
    <x v="1"/>
    <s v="Phillips Community College of the Univ of Arkansas"/>
    <m/>
    <n v="107619"/>
    <x v="8"/>
    <s v="sem"/>
    <s v="sem"/>
    <m/>
    <m/>
    <n v="11643"/>
    <n v="11375"/>
    <n v="2724"/>
    <n v="2576"/>
    <n v="13462"/>
    <n v="13912"/>
    <n v="27829"/>
    <n v="927.63333333333333"/>
    <n v="27863"/>
    <n v="928.76666666666665"/>
    <n v="6869"/>
    <n v="6522"/>
    <n v="27829"/>
    <n v="27863"/>
    <m/>
    <m/>
    <m/>
    <m/>
    <m/>
    <m/>
    <m/>
    <m/>
    <n v="0"/>
    <n v="0"/>
    <n v="0"/>
    <n v="0"/>
    <m/>
    <m/>
    <n v="0"/>
    <n v="0"/>
  </r>
  <r>
    <x v="1"/>
    <s v="South Arkansas Community College"/>
    <m/>
    <n v="107974"/>
    <x v="8"/>
    <s v="sem"/>
    <s v="sem"/>
    <m/>
    <m/>
    <n v="12939"/>
    <n v="12802"/>
    <n v="4727"/>
    <n v="4955"/>
    <n v="13601"/>
    <n v="13298"/>
    <n v="31267"/>
    <n v="1042.2333333333333"/>
    <n v="31055"/>
    <n v="1035.1666666666667"/>
    <n v="3153"/>
    <n v="2969"/>
    <n v="31267"/>
    <n v="31055"/>
    <m/>
    <m/>
    <m/>
    <m/>
    <m/>
    <m/>
    <m/>
    <m/>
    <n v="0"/>
    <n v="0"/>
    <n v="0"/>
    <n v="0"/>
    <m/>
    <m/>
    <n v="0"/>
    <n v="0"/>
  </r>
  <r>
    <x v="1"/>
    <s v="Southeast Arkansas College"/>
    <m/>
    <n v="107637"/>
    <x v="8"/>
    <s v="sem"/>
    <s v="sem"/>
    <m/>
    <m/>
    <n v="10622"/>
    <n v="10381"/>
    <n v="2964"/>
    <n v="3413"/>
    <n v="11030"/>
    <n v="12578"/>
    <n v="24616"/>
    <n v="820.5333333333333"/>
    <n v="26372"/>
    <n v="879.06666666666672"/>
    <n v="1199"/>
    <n v="2026"/>
    <n v="24616"/>
    <n v="26372"/>
    <m/>
    <m/>
    <m/>
    <m/>
    <m/>
    <m/>
    <m/>
    <m/>
    <n v="0"/>
    <n v="0"/>
    <n v="0"/>
    <n v="0"/>
    <m/>
    <m/>
    <n v="0"/>
    <n v="0"/>
  </r>
  <r>
    <x v="1"/>
    <s v="Southern Arkansas University Tech"/>
    <m/>
    <n v="107992"/>
    <x v="8"/>
    <s v="sem"/>
    <s v="sem"/>
    <m/>
    <m/>
    <n v="12187"/>
    <n v="10778"/>
    <n v="6525"/>
    <n v="3272"/>
    <n v="11291"/>
    <n v="12410"/>
    <n v="30003"/>
    <n v="1000.1"/>
    <n v="26460"/>
    <n v="882"/>
    <n v="3519"/>
    <n v="3677"/>
    <n v="30003"/>
    <n v="26460"/>
    <m/>
    <m/>
    <m/>
    <m/>
    <m/>
    <m/>
    <m/>
    <m/>
    <n v="0"/>
    <n v="0"/>
    <n v="0"/>
    <n v="0"/>
    <m/>
    <m/>
    <n v="0"/>
    <n v="0"/>
  </r>
  <r>
    <x v="1"/>
    <s v="University of Arkansas Community College at Batesville"/>
    <m/>
    <n v="106999"/>
    <x v="8"/>
    <s v="sem"/>
    <s v="sem"/>
    <m/>
    <m/>
    <n v="11420"/>
    <n v="12012"/>
    <n v="2486"/>
    <n v="2968"/>
    <n v="13610"/>
    <n v="14654"/>
    <n v="27516"/>
    <n v="917.2"/>
    <n v="29634"/>
    <n v="987.8"/>
    <n v="3988"/>
    <n v="4662"/>
    <n v="27516"/>
    <n v="29634"/>
    <m/>
    <m/>
    <m/>
    <m/>
    <m/>
    <m/>
    <m/>
    <m/>
    <n v="0"/>
    <n v="0"/>
    <n v="0"/>
    <n v="0"/>
    <m/>
    <m/>
    <n v="0"/>
    <n v="0"/>
  </r>
  <r>
    <x v="1"/>
    <s v="University of Arkansas Community College at Hope-Texarkana"/>
    <m/>
    <n v="107725"/>
    <x v="8"/>
    <s v="sem"/>
    <s v="sem"/>
    <m/>
    <m/>
    <n v="13970"/>
    <n v="12947"/>
    <n v="2730"/>
    <n v="2264"/>
    <n v="14183"/>
    <n v="13158"/>
    <n v="30883"/>
    <n v="1029.4333333333334"/>
    <n v="28369"/>
    <n v="945.63333333333333"/>
    <n v="4382"/>
    <n v="5709"/>
    <n v="30883"/>
    <n v="28369"/>
    <m/>
    <m/>
    <m/>
    <m/>
    <m/>
    <m/>
    <m/>
    <m/>
    <n v="0"/>
    <n v="0"/>
    <n v="0"/>
    <n v="0"/>
    <m/>
    <m/>
    <n v="0"/>
    <n v="0"/>
  </r>
  <r>
    <x v="1"/>
    <s v="University of Arkansas Community College at Morrilton"/>
    <m/>
    <n v="107585"/>
    <x v="8"/>
    <s v="sem"/>
    <s v="sem"/>
    <m/>
    <m/>
    <n v="18978"/>
    <n v="18307"/>
    <n v="3418"/>
    <n v="3499"/>
    <n v="20578"/>
    <n v="20014"/>
    <n v="42974"/>
    <n v="1432.4666666666667"/>
    <n v="41820"/>
    <n v="1394"/>
    <n v="2187"/>
    <n v="2662"/>
    <n v="42974"/>
    <n v="41820"/>
    <m/>
    <m/>
    <m/>
    <m/>
    <m/>
    <m/>
    <m/>
    <m/>
    <n v="0"/>
    <n v="0"/>
    <n v="0"/>
    <n v="0"/>
    <m/>
    <m/>
    <n v="0"/>
    <n v="0"/>
  </r>
  <r>
    <x v="1"/>
    <s v="University of Arkansas Community College Rich Mountain"/>
    <m/>
    <n v="107743"/>
    <x v="8"/>
    <s v="sem"/>
    <s v="sem"/>
    <m/>
    <m/>
    <n v="7266"/>
    <n v="6616"/>
    <n v="1281"/>
    <n v="1446"/>
    <n v="7604"/>
    <n v="8581"/>
    <n v="16151"/>
    <n v="538.36666666666667"/>
    <n v="16643"/>
    <n v="554.76666666666665"/>
    <n v="3280"/>
    <n v="3089"/>
    <n v="16151"/>
    <n v="16643"/>
    <m/>
    <m/>
    <m/>
    <m/>
    <m/>
    <m/>
    <m/>
    <m/>
    <n v="0"/>
    <n v="0"/>
    <n v="0"/>
    <n v="0"/>
    <m/>
    <m/>
    <n v="0"/>
    <n v="0"/>
  </r>
  <r>
    <x v="2"/>
    <s v="University of Delaware"/>
    <m/>
    <n v="130943"/>
    <x v="0"/>
    <m/>
    <m/>
    <n v="28943"/>
    <n v="27893"/>
    <n v="262203"/>
    <n v="265680"/>
    <n v="16899"/>
    <n v="18429"/>
    <n v="285831"/>
    <n v="287289"/>
    <n v="593876"/>
    <n v="19795.866666666665"/>
    <n v="599291"/>
    <n v="19976.366666666665"/>
    <m/>
    <m/>
    <n v="0"/>
    <n v="0"/>
    <m/>
    <m/>
    <m/>
    <m/>
    <m/>
    <m/>
    <m/>
    <m/>
    <n v="0"/>
    <n v="0"/>
    <n v="0"/>
    <n v="0"/>
    <m/>
    <m/>
    <n v="0"/>
    <n v="0"/>
  </r>
  <r>
    <x v="2"/>
    <s v="Delaware State University"/>
    <m/>
    <n v="130934"/>
    <x v="2"/>
    <m/>
    <m/>
    <m/>
    <m/>
    <n v="56121"/>
    <n v="55845"/>
    <n v="8758"/>
    <n v="10297"/>
    <n v="61489"/>
    <n v="62039"/>
    <n v="126368"/>
    <n v="4212.2666666666664"/>
    <n v="128181"/>
    <n v="4272.7"/>
    <m/>
    <m/>
    <n v="0"/>
    <n v="0"/>
    <m/>
    <m/>
    <m/>
    <m/>
    <m/>
    <m/>
    <m/>
    <m/>
    <n v="0"/>
    <n v="0"/>
    <n v="0"/>
    <n v="0"/>
    <m/>
    <m/>
    <n v="0"/>
    <n v="0"/>
  </r>
  <r>
    <x v="2"/>
    <s v="Delaware Technical and Community College--Terry"/>
    <s v="Met the criteria for Two-Year with Bachelor's in 2019-20. "/>
    <n v="130907"/>
    <x v="7"/>
    <m/>
    <m/>
    <m/>
    <m/>
    <n v="111598"/>
    <n v="107651"/>
    <n v="29991"/>
    <n v="30148"/>
    <n v="128790"/>
    <n v="121988"/>
    <n v="270379"/>
    <n v="9012.6333333333332"/>
    <n v="259787"/>
    <n v="8659.5666666666675"/>
    <m/>
    <m/>
    <n v="0"/>
    <n v="0"/>
    <m/>
    <m/>
    <m/>
    <m/>
    <m/>
    <m/>
    <m/>
    <m/>
    <n v="0"/>
    <n v="0"/>
    <n v="0"/>
    <n v="0"/>
    <m/>
    <m/>
    <n v="0"/>
    <n v="0"/>
  </r>
  <r>
    <x v="3"/>
    <m/>
    <m/>
    <m/>
    <x v="11"/>
    <m/>
    <m/>
    <m/>
    <m/>
    <m/>
    <m/>
    <m/>
    <m/>
    <m/>
    <m/>
    <m/>
    <m/>
    <m/>
    <m/>
    <m/>
    <m/>
    <m/>
    <m/>
    <m/>
    <m/>
    <m/>
    <m/>
    <m/>
    <m/>
    <m/>
    <m/>
    <m/>
    <m/>
    <m/>
    <m/>
    <m/>
    <m/>
    <n v="0"/>
    <n v="0"/>
  </r>
  <r>
    <x v="3"/>
    <s v="Broward College "/>
    <m/>
    <n v="132709"/>
    <x v="12"/>
    <m/>
    <m/>
    <m/>
    <m/>
    <n v="329673"/>
    <n v="325009"/>
    <n v="169755"/>
    <n v="165999"/>
    <n v="347485"/>
    <n v="335411"/>
    <n v="846913"/>
    <n v="28230.433333333334"/>
    <n v="826419"/>
    <n v="27547.3"/>
    <n v="70103"/>
    <n v="76482"/>
    <n v="846913"/>
    <n v="826419"/>
    <m/>
    <m/>
    <n v="60744"/>
    <n v="97009"/>
    <n v="52890"/>
    <n v="73292"/>
    <n v="107364"/>
    <n v="56416"/>
    <n v="220998"/>
    <n v="245.55333333333334"/>
    <n v="226717"/>
    <n v="251.90777777777777"/>
    <n v="8604"/>
    <n v="7573"/>
    <n v="220998"/>
    <n v="226717"/>
  </r>
  <r>
    <x v="3"/>
    <s v="Chipola College "/>
    <m/>
    <n v="133021"/>
    <x v="12"/>
    <m/>
    <m/>
    <m/>
    <m/>
    <n v="16683"/>
    <n v="16328"/>
    <n v="5018"/>
    <n v="4708"/>
    <n v="18654"/>
    <n v="17344"/>
    <n v="40355"/>
    <n v="1345.1666666666667"/>
    <n v="38380"/>
    <n v="1279.3333333333333"/>
    <n v="8366"/>
    <n v="8009"/>
    <n v="40355"/>
    <n v="38380"/>
    <m/>
    <m/>
    <n v="42797"/>
    <n v="52324"/>
    <n v="24399"/>
    <n v="16415"/>
    <n v="52467"/>
    <n v="56749"/>
    <n v="119663"/>
    <n v="132.95888888888888"/>
    <n v="125488"/>
    <n v="139.43111111111111"/>
    <n v="1020"/>
    <n v="1020"/>
    <n v="119663"/>
    <n v="125488"/>
  </r>
  <r>
    <x v="3"/>
    <s v="College of Central Florida"/>
    <m/>
    <n v="132851"/>
    <x v="12"/>
    <m/>
    <m/>
    <m/>
    <m/>
    <n v="60340"/>
    <n v="59649"/>
    <n v="24379"/>
    <n v="23812"/>
    <n v="65397"/>
    <n v="62897"/>
    <n v="150116"/>
    <n v="5003.8666666666668"/>
    <n v="146358"/>
    <n v="4878.6000000000004"/>
    <n v="20762"/>
    <n v="20212"/>
    <n v="150116"/>
    <n v="146358"/>
    <m/>
    <m/>
    <n v="49342"/>
    <n v="46756"/>
    <n v="54046"/>
    <n v="46649"/>
    <n v="62550"/>
    <n v="67221"/>
    <n v="165938"/>
    <n v="184.37555555555556"/>
    <n v="160626"/>
    <n v="178.47333333333333"/>
    <n v="5190"/>
    <n v="4380"/>
    <n v="165938"/>
    <n v="160626"/>
  </r>
  <r>
    <x v="3"/>
    <s v="Daytona State College "/>
    <m/>
    <n v="133386"/>
    <x v="12"/>
    <m/>
    <m/>
    <m/>
    <m/>
    <n v="117160"/>
    <n v="114978"/>
    <n v="41171"/>
    <n v="43369"/>
    <n v="124079"/>
    <n v="124666"/>
    <n v="282410"/>
    <n v="9413.6666666666661"/>
    <n v="283013"/>
    <n v="9433.7666666666664"/>
    <n v="40501"/>
    <n v="42775"/>
    <n v="282410"/>
    <n v="283013"/>
    <m/>
    <m/>
    <n v="688373"/>
    <n v="624866"/>
    <n v="346033"/>
    <n v="331309"/>
    <n v="654813"/>
    <n v="550959"/>
    <n v="1689219"/>
    <n v="1876.91"/>
    <n v="1507134"/>
    <n v="1674.5933333333332"/>
    <n v="20131"/>
    <n v="13935"/>
    <n v="1689219"/>
    <n v="1507134"/>
  </r>
  <r>
    <x v="3"/>
    <s v="Eastern Florida State College"/>
    <m/>
    <n v="132693"/>
    <x v="12"/>
    <m/>
    <m/>
    <m/>
    <m/>
    <n v="128723"/>
    <n v="127638"/>
    <n v="49168"/>
    <n v="50812"/>
    <n v="137459"/>
    <n v="134887"/>
    <n v="315350"/>
    <n v="10511.666666666666"/>
    <n v="313337"/>
    <n v="10444.566666666668"/>
    <n v="57918"/>
    <n v="60958"/>
    <n v="315350"/>
    <n v="313337"/>
    <m/>
    <m/>
    <n v="137540"/>
    <n v="140839"/>
    <n v="44697"/>
    <n v="39390"/>
    <n v="129330"/>
    <n v="119244"/>
    <n v="311567"/>
    <n v="346.18555555555554"/>
    <n v="299473"/>
    <n v="332.7477777777778"/>
    <n v="26435"/>
    <n v="23585"/>
    <n v="311567"/>
    <n v="299473"/>
  </r>
  <r>
    <x v="3"/>
    <s v="Florida Gateway College"/>
    <m/>
    <n v="135160"/>
    <x v="12"/>
    <m/>
    <m/>
    <m/>
    <m/>
    <n v="24824"/>
    <n v="25702"/>
    <n v="11190"/>
    <n v="11160"/>
    <n v="27439"/>
    <n v="27375"/>
    <n v="63453"/>
    <n v="2115.1"/>
    <n v="64237"/>
    <n v="2141.2333333333331"/>
    <n v="14670"/>
    <n v="14426"/>
    <n v="63453"/>
    <n v="64237"/>
    <m/>
    <m/>
    <n v="114058"/>
    <n v="99935"/>
    <n v="46964"/>
    <n v="51032"/>
    <n v="97972"/>
    <n v="101671"/>
    <n v="258994"/>
    <n v="287.77111111111111"/>
    <n v="252638"/>
    <n v="280.70888888888891"/>
    <n v="3416"/>
    <n v="5010"/>
    <n v="258994"/>
    <n v="252638"/>
  </r>
  <r>
    <x v="3"/>
    <s v="Florida SouthWestern State College"/>
    <m/>
    <n v="133508"/>
    <x v="12"/>
    <m/>
    <m/>
    <m/>
    <m/>
    <n v="138331"/>
    <n v="137759"/>
    <n v="46130"/>
    <n v="45142"/>
    <n v="149880"/>
    <n v="147596"/>
    <n v="334341"/>
    <n v="11144.7"/>
    <n v="330497"/>
    <n v="11016.566666666668"/>
    <n v="53759"/>
    <n v="52037"/>
    <n v="334341"/>
    <n v="330497"/>
    <m/>
    <m/>
    <n v="7140"/>
    <n v="4350"/>
    <n v="11850"/>
    <n v="8100"/>
    <n v="4350"/>
    <n v="3900"/>
    <n v="23340"/>
    <n v="25.933333333333334"/>
    <n v="16350"/>
    <n v="18.166666666666668"/>
    <n v="0"/>
    <n v="0"/>
    <n v="23340"/>
    <n v="16350"/>
  </r>
  <r>
    <x v="3"/>
    <s v="Florida State College at Jacksonville"/>
    <m/>
    <n v="133702"/>
    <x v="12"/>
    <m/>
    <m/>
    <m/>
    <m/>
    <n v="177335"/>
    <n v="184360"/>
    <n v="95431"/>
    <n v="101331"/>
    <n v="132295"/>
    <n v="194222"/>
    <n v="405061"/>
    <n v="13502.033333333333"/>
    <n v="479913"/>
    <n v="15997.1"/>
    <n v="35355"/>
    <n v="42345"/>
    <n v="405061"/>
    <n v="479913"/>
    <m/>
    <m/>
    <n v="458064"/>
    <n v="376108"/>
    <n v="380690"/>
    <n v="322752"/>
    <n v="386618"/>
    <n v="404814"/>
    <n v="1225372"/>
    <n v="1361.5244444444445"/>
    <n v="1103674"/>
    <n v="1226.3044444444445"/>
    <n v="3435"/>
    <n v="7695"/>
    <n v="1225372"/>
    <n v="1103674"/>
  </r>
  <r>
    <x v="3"/>
    <s v="Gulf Coast State College "/>
    <m/>
    <n v="134343"/>
    <x v="12"/>
    <m/>
    <m/>
    <m/>
    <m/>
    <n v="43804"/>
    <n v="37152"/>
    <n v="13253"/>
    <n v="10804"/>
    <n v="48409"/>
    <n v="42220"/>
    <n v="105466"/>
    <n v="3515.5333333333333"/>
    <n v="90176"/>
    <n v="3005.8666666666668"/>
    <n v="13459"/>
    <n v="11641"/>
    <n v="105466"/>
    <n v="90176"/>
    <m/>
    <m/>
    <n v="47143"/>
    <n v="50519"/>
    <n v="24474"/>
    <n v="20794"/>
    <n v="42656"/>
    <n v="43051"/>
    <n v="114273"/>
    <n v="126.97"/>
    <n v="114364"/>
    <n v="127.07111111111111"/>
    <n v="0"/>
    <n v="0"/>
    <n v="114273"/>
    <n v="114364"/>
  </r>
  <r>
    <x v="3"/>
    <s v="Indian River State College "/>
    <m/>
    <n v="134608"/>
    <x v="12"/>
    <m/>
    <m/>
    <m/>
    <m/>
    <n v="131194"/>
    <n v="122905"/>
    <n v="68713"/>
    <n v="60239"/>
    <n v="134732"/>
    <n v="133776"/>
    <n v="334639"/>
    <n v="11154.633333333333"/>
    <n v="316920"/>
    <n v="10564"/>
    <n v="63386"/>
    <n v="62559"/>
    <n v="334639"/>
    <n v="316920"/>
    <m/>
    <m/>
    <n v="624778"/>
    <n v="574551"/>
    <n v="470875"/>
    <n v="485683"/>
    <n v="677419"/>
    <n v="680440"/>
    <n v="1773072"/>
    <n v="1970.08"/>
    <n v="1740674"/>
    <n v="1934.0822222222223"/>
    <n v="900"/>
    <n v="900"/>
    <n v="1773072"/>
    <n v="1740674"/>
  </r>
  <r>
    <x v="3"/>
    <s v="Lake-Sumter State College "/>
    <m/>
    <n v="135188"/>
    <x v="12"/>
    <m/>
    <m/>
    <m/>
    <m/>
    <n v="37600"/>
    <n v="39511"/>
    <n v="14041"/>
    <n v="14596"/>
    <n v="43941"/>
    <n v="45055"/>
    <n v="95582"/>
    <n v="3186.0666666666666"/>
    <n v="99162"/>
    <n v="3305.4"/>
    <n v="19093"/>
    <n v="22443"/>
    <n v="95582"/>
    <n v="99162"/>
    <m/>
    <m/>
    <n v="742"/>
    <n v="402"/>
    <n v="0"/>
    <n v="0"/>
    <n v="264"/>
    <n v="12"/>
    <n v="1006"/>
    <n v="1.1177777777777778"/>
    <n v="414"/>
    <n v="0.46"/>
    <n v="0"/>
    <n v="0"/>
    <n v="1006"/>
    <n v="414"/>
  </r>
  <r>
    <x v="3"/>
    <s v="Miami Dade College "/>
    <m/>
    <n v="135717"/>
    <x v="12"/>
    <m/>
    <m/>
    <m/>
    <m/>
    <n v="543566"/>
    <n v="521983"/>
    <n v="255448"/>
    <n v="253786"/>
    <n v="561370"/>
    <n v="549536"/>
    <n v="1360384"/>
    <n v="45346.133333333331"/>
    <n v="1325305"/>
    <n v="44176.833333333336"/>
    <n v="63394"/>
    <n v="66974"/>
    <n v="1360384"/>
    <n v="1325305"/>
    <m/>
    <m/>
    <n v="930486"/>
    <n v="818338"/>
    <n v="520757"/>
    <n v="508754"/>
    <n v="1519932"/>
    <n v="669159"/>
    <n v="2971175"/>
    <n v="3301.3055555555557"/>
    <n v="1996251"/>
    <n v="2218.0566666666668"/>
    <n v="8100"/>
    <n v="0"/>
    <n v="2971175"/>
    <n v="1996251"/>
  </r>
  <r>
    <x v="3"/>
    <s v="Northwest Florida State College"/>
    <m/>
    <n v="136233"/>
    <x v="12"/>
    <m/>
    <m/>
    <m/>
    <m/>
    <n v="43842"/>
    <n v="44162"/>
    <n v="17130"/>
    <n v="16931"/>
    <n v="47400"/>
    <n v="47721"/>
    <n v="108372"/>
    <n v="3612.4"/>
    <n v="108814"/>
    <n v="3627.1333333333332"/>
    <n v="17142"/>
    <n v="17594"/>
    <n v="108372"/>
    <n v="108814"/>
    <m/>
    <m/>
    <n v="108881"/>
    <n v="92244"/>
    <n v="41250"/>
    <n v="43221"/>
    <n v="110995"/>
    <n v="96908"/>
    <n v="261126"/>
    <n v="290.14"/>
    <n v="232373"/>
    <n v="258.1922222222222"/>
    <n v="0"/>
    <n v="0"/>
    <n v="261126"/>
    <n v="232373"/>
  </r>
  <r>
    <x v="3"/>
    <s v="Palm Beach State College "/>
    <m/>
    <n v="136358"/>
    <x v="12"/>
    <m/>
    <m/>
    <m/>
    <m/>
    <n v="234113"/>
    <n v="230004"/>
    <n v="110284"/>
    <n v="110682"/>
    <n v="251995"/>
    <n v="248628"/>
    <n v="596392"/>
    <n v="19879.733333333334"/>
    <n v="589314"/>
    <n v="19643.8"/>
    <n v="35573"/>
    <n v="38823"/>
    <n v="596392"/>
    <n v="589314"/>
    <m/>
    <m/>
    <n v="529963"/>
    <n v="543242"/>
    <n v="279723"/>
    <n v="290589"/>
    <n v="542431"/>
    <n v="547935"/>
    <n v="1352117"/>
    <n v="1502.3522222222223"/>
    <n v="1381766"/>
    <n v="1535.2955555555557"/>
    <n v="3840"/>
    <n v="6000"/>
    <n v="1352117"/>
    <n v="1381766"/>
  </r>
  <r>
    <x v="3"/>
    <s v="Pasco-Hernando State College "/>
    <m/>
    <n v="136400"/>
    <x v="12"/>
    <m/>
    <m/>
    <m/>
    <m/>
    <n v="92746"/>
    <n v="91099"/>
    <n v="26452"/>
    <n v="27731"/>
    <n v="99914"/>
    <n v="100467"/>
    <n v="219112"/>
    <n v="7303.7333333333336"/>
    <n v="219297"/>
    <n v="7309.9"/>
    <n v="33270"/>
    <n v="33817"/>
    <n v="219112"/>
    <n v="219297"/>
    <m/>
    <m/>
    <n v="148364"/>
    <n v="142999"/>
    <n v="68541"/>
    <n v="70489"/>
    <n v="120383"/>
    <n v="127151"/>
    <n v="337288"/>
    <n v="374.76444444444445"/>
    <n v="340639"/>
    <n v="378.48777777777775"/>
    <n v="3045"/>
    <n v="3150"/>
    <n v="337288"/>
    <n v="340639"/>
  </r>
  <r>
    <x v="3"/>
    <s v="Pensacola State College "/>
    <m/>
    <n v="136473"/>
    <x v="12"/>
    <m/>
    <m/>
    <m/>
    <m/>
    <n v="80612"/>
    <n v="78978"/>
    <n v="34247"/>
    <n v="34592"/>
    <n v="85160"/>
    <n v="84562"/>
    <n v="200019"/>
    <n v="6667.3"/>
    <n v="198132"/>
    <n v="6604.4"/>
    <n v="22022"/>
    <n v="24047"/>
    <n v="200019"/>
    <n v="198132"/>
    <m/>
    <m/>
    <n v="234759"/>
    <n v="228830"/>
    <n v="130316"/>
    <n v="116764"/>
    <n v="241845"/>
    <n v="163440"/>
    <n v="606920"/>
    <n v="674.35555555555561"/>
    <n v="509034"/>
    <n v="565.59333333333336"/>
    <n v="0"/>
    <n v="1350"/>
    <n v="606920"/>
    <n v="509034"/>
  </r>
  <r>
    <x v="3"/>
    <s v="Polk State College "/>
    <m/>
    <n v="136516"/>
    <x v="12"/>
    <m/>
    <m/>
    <m/>
    <m/>
    <n v="78567"/>
    <n v="79669"/>
    <n v="29206"/>
    <n v="29678"/>
    <n v="86803"/>
    <n v="87974"/>
    <n v="194576"/>
    <n v="6485.8666666666668"/>
    <n v="197321"/>
    <n v="6577.3666666666668"/>
    <n v="17837"/>
    <n v="20506"/>
    <n v="194576"/>
    <n v="197321"/>
    <m/>
    <m/>
    <n v="40376"/>
    <n v="39533"/>
    <n v="10819"/>
    <n v="24035"/>
    <n v="29926"/>
    <n v="42270"/>
    <n v="81121"/>
    <n v="90.134444444444441"/>
    <n v="105838"/>
    <n v="117.59777777777778"/>
    <n v="0"/>
    <n v="0"/>
    <n v="81121"/>
    <n v="105838"/>
  </r>
  <r>
    <x v="3"/>
    <s v="Santa Fe College "/>
    <m/>
    <n v="137096"/>
    <x v="12"/>
    <m/>
    <m/>
    <m/>
    <m/>
    <n v="123025"/>
    <n v="121470"/>
    <n v="51145"/>
    <n v="50029"/>
    <n v="136371"/>
    <n v="136281"/>
    <n v="310541"/>
    <n v="10351.366666666667"/>
    <n v="307780"/>
    <n v="10259.333333333334"/>
    <n v="20072"/>
    <n v="20244"/>
    <n v="310541"/>
    <n v="307780"/>
    <m/>
    <m/>
    <n v="278918"/>
    <n v="265512"/>
    <n v="167818"/>
    <n v="187674"/>
    <n v="266602"/>
    <n v="295717"/>
    <n v="713338"/>
    <n v="792.59777777777776"/>
    <n v="748903"/>
    <n v="832.11444444444442"/>
    <n v="366"/>
    <n v="1626"/>
    <n v="713338"/>
    <n v="748903"/>
  </r>
  <r>
    <x v="3"/>
    <s v="Seminole State College of Florida"/>
    <m/>
    <n v="137209"/>
    <x v="12"/>
    <m/>
    <m/>
    <m/>
    <m/>
    <n v="131450"/>
    <n v="129527"/>
    <n v="60408"/>
    <n v="60326"/>
    <n v="146996"/>
    <n v="143587"/>
    <n v="338854"/>
    <n v="11295.133333333333"/>
    <n v="333440"/>
    <n v="11114.666666666666"/>
    <n v="13801"/>
    <n v="16233"/>
    <n v="338854"/>
    <n v="333440"/>
    <m/>
    <m/>
    <n v="498805"/>
    <n v="559975"/>
    <n v="359826"/>
    <n v="392874"/>
    <n v="593913"/>
    <n v="607306"/>
    <n v="1452544"/>
    <n v="1613.9377777777777"/>
    <n v="1560155"/>
    <n v="1733.5055555555555"/>
    <n v="150"/>
    <n v="0"/>
    <n v="1452544"/>
    <n v="1560155"/>
  </r>
  <r>
    <x v="3"/>
    <s v="South Florida State College "/>
    <m/>
    <n v="137315"/>
    <x v="12"/>
    <m/>
    <m/>
    <m/>
    <m/>
    <n v="19821"/>
    <n v="19771"/>
    <n v="6744"/>
    <n v="6342"/>
    <n v="21821"/>
    <n v="21778"/>
    <n v="48386"/>
    <n v="1612.8666666666666"/>
    <n v="47891"/>
    <n v="1596.3666666666666"/>
    <n v="8551"/>
    <n v="8686"/>
    <n v="48386"/>
    <n v="47891"/>
    <m/>
    <m/>
    <n v="271735"/>
    <n v="262817"/>
    <n v="123244"/>
    <n v="117655"/>
    <n v="301632"/>
    <n v="320852"/>
    <n v="696611"/>
    <n v="774.01222222222225"/>
    <n v="701324"/>
    <n v="779.24888888888893"/>
    <n v="68753"/>
    <n v="67477"/>
    <n v="696611"/>
    <n v="701324"/>
  </r>
  <r>
    <x v="3"/>
    <s v="St. Johns River State College "/>
    <m/>
    <n v="137281"/>
    <x v="12"/>
    <m/>
    <m/>
    <m/>
    <m/>
    <n v="53152"/>
    <n v="53381"/>
    <n v="20449"/>
    <n v="21221"/>
    <n v="58961"/>
    <n v="60211"/>
    <n v="132562"/>
    <n v="4418.7333333333336"/>
    <n v="134813"/>
    <n v="4493.7666666666664"/>
    <n v="30733"/>
    <n v="33076"/>
    <n v="132562"/>
    <n v="134813"/>
    <m/>
    <m/>
    <n v="53084"/>
    <n v="56595"/>
    <n v="14776"/>
    <n v="26534"/>
    <n v="78982"/>
    <n v="67257"/>
    <n v="146842"/>
    <n v="163.15777777777777"/>
    <n v="150386"/>
    <n v="167.09555555555556"/>
    <n v="1320"/>
    <n v="2160"/>
    <n v="146842"/>
    <n v="150386"/>
  </r>
  <r>
    <x v="3"/>
    <s v="St. Petersburg College "/>
    <m/>
    <n v="137078"/>
    <x v="12"/>
    <m/>
    <m/>
    <m/>
    <m/>
    <n v="227901"/>
    <n v="229861"/>
    <n v="82926"/>
    <n v="83065"/>
    <n v="240119"/>
    <n v="237537"/>
    <n v="550946"/>
    <n v="18364.866666666665"/>
    <n v="550463"/>
    <n v="18348.766666666666"/>
    <n v="43806"/>
    <n v="46430"/>
    <n v="550946"/>
    <n v="550463"/>
    <m/>
    <m/>
    <n v="75109"/>
    <n v="94298"/>
    <n v="39313"/>
    <n v="33355"/>
    <n v="70758"/>
    <n v="74018"/>
    <n v="185180"/>
    <n v="205.75555555555556"/>
    <n v="201671"/>
    <n v="224.07888888888888"/>
    <n v="0"/>
    <n v="0"/>
    <n v="185180"/>
    <n v="201671"/>
  </r>
  <r>
    <x v="3"/>
    <s v="State College of Florida, Manatee-Sarasota"/>
    <m/>
    <n v="135391"/>
    <x v="12"/>
    <m/>
    <m/>
    <m/>
    <m/>
    <n v="84646"/>
    <n v="81772"/>
    <n v="28331"/>
    <n v="28244"/>
    <n v="90446"/>
    <n v="90625"/>
    <n v="203423"/>
    <n v="6780.7666666666664"/>
    <n v="200641"/>
    <n v="6688.0333333333338"/>
    <n v="24413"/>
    <n v="21261"/>
    <n v="203423"/>
    <n v="200641"/>
    <m/>
    <m/>
    <n v="0"/>
    <n v="0"/>
    <n v="0"/>
    <n v="0"/>
    <n v="0"/>
    <n v="0"/>
    <n v="0"/>
    <n v="0"/>
    <n v="0"/>
    <n v="0"/>
    <n v="0"/>
    <n v="0"/>
    <n v="0"/>
    <n v="0"/>
  </r>
  <r>
    <x v="3"/>
    <s v="Valencia College "/>
    <m/>
    <n v="138187"/>
    <x v="12"/>
    <m/>
    <m/>
    <m/>
    <m/>
    <n v="359062"/>
    <n v="382186"/>
    <n v="172940"/>
    <n v="175404"/>
    <n v="412852"/>
    <n v="426340"/>
    <n v="944854"/>
    <n v="31495.133333333335"/>
    <n v="983930"/>
    <n v="32797.666666666664"/>
    <n v="83883"/>
    <n v="98132"/>
    <n v="944854"/>
    <n v="983930"/>
    <m/>
    <m/>
    <n v="124785"/>
    <n v="100422"/>
    <n v="57870"/>
    <n v="68710"/>
    <n v="85917"/>
    <n v="91928"/>
    <n v="268572"/>
    <n v="298.41333333333336"/>
    <n v="261060"/>
    <n v="290.06666666666666"/>
    <n v="0"/>
    <n v="0"/>
    <n v="268572"/>
    <n v="261060"/>
  </r>
  <r>
    <x v="3"/>
    <s v="Hillsborough Community College "/>
    <m/>
    <n v="134495"/>
    <x v="6"/>
    <m/>
    <m/>
    <m/>
    <m/>
    <n v="230191"/>
    <n v="229697"/>
    <n v="94806"/>
    <n v="99322"/>
    <n v="254681"/>
    <n v="258930"/>
    <n v="579678"/>
    <n v="19322.599999999999"/>
    <n v="587949"/>
    <n v="19598.3"/>
    <n v="61654"/>
    <n v="68049"/>
    <n v="579678"/>
    <n v="587949"/>
    <m/>
    <m/>
    <n v="1046555"/>
    <n v="919395"/>
    <n v="148458"/>
    <n v="125546"/>
    <n v="916522"/>
    <n v="921136"/>
    <n v="2111535"/>
    <n v="2346.15"/>
    <n v="1966077"/>
    <n v="2184.5300000000002"/>
    <n v="0"/>
    <n v="0"/>
    <n v="2111535"/>
    <n v="1966077"/>
  </r>
  <r>
    <x v="3"/>
    <s v="Tallahassee Community College "/>
    <s v="Met the criteria for Two-Year with Bachelor's in 2019-20. "/>
    <n v="137759"/>
    <x v="6"/>
    <m/>
    <m/>
    <m/>
    <m/>
    <n v="104018"/>
    <n v="100103"/>
    <n v="44195"/>
    <n v="43500"/>
    <n v="117345"/>
    <n v="115349"/>
    <n v="265558"/>
    <n v="8851.9333333333325"/>
    <n v="258952"/>
    <n v="8631.7333333333336"/>
    <n v="8387"/>
    <n v="8859"/>
    <n v="265558"/>
    <n v="258952"/>
    <m/>
    <m/>
    <n v="161752"/>
    <n v="165651"/>
    <n v="36850"/>
    <n v="16587"/>
    <n v="125546"/>
    <n v="163256"/>
    <n v="324148"/>
    <n v="360.16444444444443"/>
    <n v="345494"/>
    <n v="383.8822222222222"/>
    <n v="0"/>
    <n v="0"/>
    <n v="324148"/>
    <n v="345494"/>
  </r>
  <r>
    <x v="3"/>
    <s v="North Florida College "/>
    <s v="Met the criteria for Two-Year with Bachelor's in 2019-20. "/>
    <n v="136145"/>
    <x v="8"/>
    <m/>
    <m/>
    <m/>
    <m/>
    <n v="9275"/>
    <n v="8973"/>
    <n v="3749"/>
    <n v="3626"/>
    <n v="9777"/>
    <n v="9736"/>
    <n v="22801"/>
    <n v="760.0333333333333"/>
    <n v="22335"/>
    <n v="744.5"/>
    <n v="6787"/>
    <n v="6222"/>
    <n v="22801"/>
    <n v="22335"/>
    <m/>
    <m/>
    <n v="38230"/>
    <n v="35051"/>
    <n v="19880"/>
    <n v="9082"/>
    <n v="32849"/>
    <n v="40034"/>
    <n v="90959"/>
    <n v="101.06555555555556"/>
    <n v="84167"/>
    <n v="93.518888888888895"/>
    <n v="4350"/>
    <n v="6750"/>
    <n v="90959"/>
    <n v="84167"/>
  </r>
  <r>
    <x v="3"/>
    <s v="The College of the Florida Keys"/>
    <s v="Met the criteria for Two-Year with Bachelor's in 2018-19 and 2019-20. "/>
    <n v="133960"/>
    <x v="8"/>
    <m/>
    <m/>
    <m/>
    <m/>
    <n v="8073"/>
    <n v="7596"/>
    <n v="2664"/>
    <n v="2614"/>
    <n v="8800"/>
    <n v="8752"/>
    <n v="19537"/>
    <n v="651.23333333333335"/>
    <n v="18962"/>
    <n v="632.06666666666672"/>
    <n v="1514"/>
    <n v="1604"/>
    <n v="19537"/>
    <n v="18962"/>
    <m/>
    <m/>
    <n v="18809"/>
    <n v="18815"/>
    <n v="20297"/>
    <n v="28486"/>
    <n v="26781"/>
    <n v="28210"/>
    <n v="65887"/>
    <n v="73.207777777777778"/>
    <n v="75511"/>
    <n v="83.901111111111106"/>
    <n v="0"/>
    <n v="0"/>
    <n v="65887"/>
    <n v="75511"/>
  </r>
  <r>
    <x v="4"/>
    <s v="Georgia State University "/>
    <m/>
    <n v="139940"/>
    <x v="0"/>
    <m/>
    <m/>
    <m/>
    <m/>
    <n v="468522"/>
    <n v="484483"/>
    <n v="129529"/>
    <n v="136691"/>
    <n v="514782.5"/>
    <n v="530095"/>
    <n v="1112833.5"/>
    <n v="37094.449999999997"/>
    <n v="1151269"/>
    <n v="38375.633333333331"/>
    <n v="26986"/>
    <n v="26778.5"/>
    <n v="1112833.5"/>
    <n v="1151269"/>
    <m/>
    <m/>
    <m/>
    <m/>
    <m/>
    <m/>
    <m/>
    <m/>
    <n v="0"/>
    <n v="0"/>
    <n v="0"/>
    <n v="0"/>
    <m/>
    <m/>
    <n v="0"/>
    <n v="0"/>
  </r>
  <r>
    <x v="4"/>
    <s v="University of Georgia"/>
    <m/>
    <n v="139959"/>
    <x v="0"/>
    <m/>
    <m/>
    <m/>
    <m/>
    <n v="377233.5"/>
    <n v="388090.5"/>
    <n v="69046"/>
    <n v="73794"/>
    <n v="403310"/>
    <n v="405292.5"/>
    <n v="849589.5"/>
    <n v="28319.65"/>
    <n v="867177"/>
    <n v="28905.9"/>
    <n v="412"/>
    <n v="546"/>
    <n v="849589.5"/>
    <n v="867177"/>
    <m/>
    <m/>
    <m/>
    <m/>
    <m/>
    <m/>
    <m/>
    <m/>
    <n v="0"/>
    <n v="0"/>
    <n v="0"/>
    <n v="0"/>
    <m/>
    <m/>
    <n v="0"/>
    <n v="0"/>
  </r>
  <r>
    <x v="4"/>
    <s v="Georgia Institute of Technology"/>
    <m/>
    <n v="139755"/>
    <x v="1"/>
    <m/>
    <m/>
    <m/>
    <m/>
    <n v="192559"/>
    <n v="195803"/>
    <n v="43195"/>
    <n v="44695"/>
    <n v="212741"/>
    <n v="215629.53"/>
    <n v="448495"/>
    <n v="14949.833333333334"/>
    <n v="456127.53"/>
    <n v="15204.251"/>
    <n v="4472"/>
    <n v="4173"/>
    <n v="448495"/>
    <n v="456127.53"/>
    <m/>
    <m/>
    <m/>
    <m/>
    <m/>
    <m/>
    <m/>
    <m/>
    <n v="0"/>
    <n v="0"/>
    <n v="0"/>
    <n v="0"/>
    <m/>
    <m/>
    <n v="0"/>
    <n v="0"/>
  </r>
  <r>
    <x v="4"/>
    <s v="Georgia Southern University"/>
    <s v="Met the criteria for Four-Year 2 in 2019-20."/>
    <n v="139931"/>
    <x v="2"/>
    <m/>
    <m/>
    <m/>
    <m/>
    <n v="214974.45"/>
    <n v="274778"/>
    <n v="56856.36"/>
    <n v="73334"/>
    <n v="302612"/>
    <n v="298227"/>
    <n v="574442.81000000006"/>
    <n v="19148.093666666668"/>
    <n v="646339"/>
    <n v="21544.633333333335"/>
    <n v="8394"/>
    <n v="10905"/>
    <n v="574442.81000000006"/>
    <n v="646339"/>
    <m/>
    <m/>
    <m/>
    <m/>
    <m/>
    <m/>
    <m/>
    <m/>
    <n v="0"/>
    <n v="0"/>
    <n v="0"/>
    <n v="0"/>
    <m/>
    <m/>
    <n v="0"/>
    <n v="0"/>
  </r>
  <r>
    <x v="4"/>
    <s v="Kennesaw State University"/>
    <s v="Met the criteria for Four-Year 2 in 2019-20."/>
    <n v="486840"/>
    <x v="2"/>
    <m/>
    <m/>
    <m/>
    <m/>
    <n v="377288.45"/>
    <n v="374370"/>
    <n v="89425.36"/>
    <n v="98853"/>
    <n v="398933"/>
    <n v="424298"/>
    <n v="865646.81"/>
    <n v="28854.893666666667"/>
    <n v="897521"/>
    <n v="29917.366666666665"/>
    <n v="9569"/>
    <n v="13898"/>
    <n v="865646.81"/>
    <n v="897521"/>
    <m/>
    <m/>
    <m/>
    <m/>
    <m/>
    <m/>
    <m/>
    <m/>
    <n v="0"/>
    <n v="0"/>
    <n v="0"/>
    <n v="0"/>
    <m/>
    <m/>
    <n v="0"/>
    <n v="0"/>
  </r>
  <r>
    <x v="4"/>
    <s v="University of West Georgia"/>
    <m/>
    <n v="141334"/>
    <x v="2"/>
    <m/>
    <m/>
    <m/>
    <m/>
    <n v="128745.45"/>
    <n v="127200"/>
    <n v="30679.360000000001"/>
    <n v="30937"/>
    <n v="140020"/>
    <n v="130258"/>
    <n v="299444.81"/>
    <n v="9981.4936666666672"/>
    <n v="288395"/>
    <n v="9613.1666666666661"/>
    <n v="9475"/>
    <n v="8570"/>
    <n v="299444.81"/>
    <n v="288395"/>
    <m/>
    <m/>
    <m/>
    <m/>
    <m/>
    <m/>
    <m/>
    <m/>
    <n v="0"/>
    <n v="0"/>
    <n v="0"/>
    <n v="0"/>
    <m/>
    <m/>
    <n v="0"/>
    <n v="0"/>
  </r>
  <r>
    <x v="4"/>
    <s v="Valdosta State University "/>
    <m/>
    <n v="141264"/>
    <x v="2"/>
    <m/>
    <m/>
    <m/>
    <m/>
    <n v="102469.45"/>
    <n v="100760"/>
    <n v="22960.36"/>
    <n v="24843"/>
    <n v="110334"/>
    <n v="107919"/>
    <n v="235763.81"/>
    <n v="7858.7936666666665"/>
    <n v="233522"/>
    <n v="7784.0666666666666"/>
    <n v="2831"/>
    <n v="3142"/>
    <n v="235763.81"/>
    <n v="233522"/>
    <m/>
    <m/>
    <m/>
    <m/>
    <m/>
    <m/>
    <m/>
    <m/>
    <n v="0"/>
    <n v="0"/>
    <n v="0"/>
    <n v="0"/>
    <m/>
    <m/>
    <n v="0"/>
    <n v="0"/>
  </r>
  <r>
    <x v="4"/>
    <s v="Albany State University "/>
    <m/>
    <n v="138716"/>
    <x v="3"/>
    <m/>
    <m/>
    <m/>
    <m/>
    <n v="62798.45"/>
    <n v="64354"/>
    <n v="16044.36"/>
    <n v="17144"/>
    <n v="71987"/>
    <n v="70191"/>
    <n v="150829.81"/>
    <n v="5027.6603333333333"/>
    <n v="151689"/>
    <n v="5056.3"/>
    <n v="8934"/>
    <n v="7901"/>
    <n v="150829.81"/>
    <n v="151689"/>
    <m/>
    <m/>
    <m/>
    <m/>
    <m/>
    <m/>
    <m/>
    <m/>
    <n v="0"/>
    <n v="0"/>
    <n v="0"/>
    <n v="0"/>
    <m/>
    <m/>
    <n v="0"/>
    <n v="0"/>
  </r>
  <r>
    <x v="4"/>
    <s v="Armstrong State University"/>
    <s v="*Delete after 2017-18; Institution was consolidated into Georgia Southern University"/>
    <n v="138789"/>
    <x v="3"/>
    <m/>
    <m/>
    <m/>
    <m/>
    <n v="67338"/>
    <m/>
    <n v="16564"/>
    <m/>
    <m/>
    <m/>
    <n v="83902"/>
    <n v="2796.7333333333331"/>
    <n v="0"/>
    <n v="0"/>
    <m/>
    <m/>
    <n v="0"/>
    <n v="0"/>
    <m/>
    <m/>
    <m/>
    <m/>
    <m/>
    <m/>
    <m/>
    <m/>
    <n v="0"/>
    <n v="0"/>
    <n v="0"/>
    <n v="0"/>
    <m/>
    <m/>
    <n v="0"/>
    <n v="0"/>
  </r>
  <r>
    <x v="4"/>
    <s v="Augusta University"/>
    <m/>
    <n v="482149"/>
    <x v="3"/>
    <m/>
    <m/>
    <m/>
    <m/>
    <n v="63346"/>
    <n v="65225"/>
    <n v="11376"/>
    <n v="12703"/>
    <n v="71532"/>
    <n v="73498"/>
    <n v="146254"/>
    <n v="4875.1333333333332"/>
    <n v="151426"/>
    <n v="5047.5333333333338"/>
    <n v="3165"/>
    <n v="2874"/>
    <n v="146254"/>
    <n v="151426"/>
    <m/>
    <m/>
    <m/>
    <m/>
    <m/>
    <m/>
    <m/>
    <m/>
    <n v="0"/>
    <n v="0"/>
    <n v="0"/>
    <n v="0"/>
    <m/>
    <m/>
    <n v="0"/>
    <n v="0"/>
  </r>
  <r>
    <x v="4"/>
    <s v="Clayton State University"/>
    <m/>
    <n v="139311"/>
    <x v="3"/>
    <m/>
    <m/>
    <m/>
    <m/>
    <n v="67448.45"/>
    <n v="66921"/>
    <n v="21740.36"/>
    <n v="21666"/>
    <n v="71858"/>
    <n v="69758"/>
    <n v="161046.81"/>
    <n v="5368.2269999999999"/>
    <n v="158345"/>
    <n v="5278.166666666667"/>
    <n v="15813"/>
    <n v="16028"/>
    <n v="161046.81"/>
    <n v="158345"/>
    <m/>
    <m/>
    <m/>
    <m/>
    <m/>
    <m/>
    <m/>
    <m/>
    <n v="0"/>
    <n v="0"/>
    <n v="0"/>
    <n v="0"/>
    <m/>
    <m/>
    <n v="0"/>
    <n v="0"/>
  </r>
  <r>
    <x v="4"/>
    <s v="Columbus State University"/>
    <s v="Met the criteria for Four-Year 3 in 2018-19 and 2019-20."/>
    <n v="139366"/>
    <x v="3"/>
    <m/>
    <m/>
    <m/>
    <m/>
    <n v="75843.45"/>
    <n v="77136"/>
    <n v="15887.36"/>
    <n v="15697"/>
    <n v="80351"/>
    <n v="78129"/>
    <n v="172081.81"/>
    <n v="5736.0603333333329"/>
    <n v="170962"/>
    <n v="5698.7333333333336"/>
    <n v="4757"/>
    <n v="5190"/>
    <n v="172081.81"/>
    <n v="170962"/>
    <m/>
    <m/>
    <m/>
    <m/>
    <m/>
    <m/>
    <m/>
    <m/>
    <n v="0"/>
    <n v="0"/>
    <n v="0"/>
    <n v="0"/>
    <m/>
    <m/>
    <n v="0"/>
    <n v="0"/>
  </r>
  <r>
    <x v="4"/>
    <s v="Fort Valley State University"/>
    <s v="Met the criteria for Four-Year 5 in 2018-19 and 2019-20."/>
    <n v="139719"/>
    <x v="3"/>
    <m/>
    <m/>
    <m/>
    <m/>
    <n v="30141.45"/>
    <n v="30106"/>
    <n v="6387.36"/>
    <n v="6032"/>
    <n v="33461"/>
    <n v="31880"/>
    <n v="69989.81"/>
    <n v="2332.9936666666667"/>
    <n v="68018"/>
    <n v="2267.2666666666669"/>
    <n v="195"/>
    <n v="611"/>
    <n v="69989.81"/>
    <n v="68018"/>
    <m/>
    <m/>
    <m/>
    <m/>
    <m/>
    <m/>
    <m/>
    <m/>
    <n v="0"/>
    <n v="0"/>
    <n v="0"/>
    <n v="0"/>
    <m/>
    <m/>
    <n v="0"/>
    <n v="0"/>
  </r>
  <r>
    <x v="4"/>
    <s v="Georgia College and State University"/>
    <m/>
    <n v="139861"/>
    <x v="3"/>
    <m/>
    <m/>
    <m/>
    <m/>
    <n v="77408.5"/>
    <n v="76744"/>
    <n v="18356"/>
    <n v="19414"/>
    <n v="82057"/>
    <n v="80939"/>
    <n v="177821.5"/>
    <n v="5927.3833333333332"/>
    <n v="177097"/>
    <n v="5903.2333333333336"/>
    <n v="948.5"/>
    <n v="737"/>
    <n v="177821.5"/>
    <n v="177097"/>
    <m/>
    <m/>
    <m/>
    <m/>
    <m/>
    <m/>
    <m/>
    <m/>
    <n v="0"/>
    <n v="0"/>
    <n v="0"/>
    <n v="0"/>
    <m/>
    <m/>
    <n v="0"/>
    <n v="0"/>
  </r>
  <r>
    <x v="4"/>
    <s v="Georgia Southwestern State University"/>
    <s v="Met the criteria for Four-Year 5 in 2019-20."/>
    <n v="139764"/>
    <x v="3"/>
    <m/>
    <m/>
    <m/>
    <m/>
    <n v="27848.45"/>
    <n v="26942"/>
    <n v="8116.36"/>
    <n v="7902"/>
    <n v="28734"/>
    <n v="28447"/>
    <n v="64698.81"/>
    <n v="2156.627"/>
    <n v="63291"/>
    <n v="2109.6999999999998"/>
    <n v="2965"/>
    <n v="2859"/>
    <n v="64698.81"/>
    <n v="63291"/>
    <m/>
    <m/>
    <m/>
    <m/>
    <m/>
    <m/>
    <m/>
    <m/>
    <n v="0"/>
    <n v="0"/>
    <n v="0"/>
    <n v="0"/>
    <m/>
    <m/>
    <n v="0"/>
    <n v="0"/>
  </r>
  <r>
    <x v="4"/>
    <s v="University of North Georgia"/>
    <m/>
    <n v="482680"/>
    <x v="3"/>
    <m/>
    <m/>
    <m/>
    <m/>
    <n v="196417.45"/>
    <n v="200223"/>
    <n v="39462.36"/>
    <n v="41098"/>
    <n v="222825"/>
    <n v="221729"/>
    <n v="458704.81"/>
    <n v="15290.160333333333"/>
    <n v="463050"/>
    <n v="15435"/>
    <n v="18207"/>
    <n v="20841"/>
    <n v="458704.81"/>
    <n v="463050"/>
    <m/>
    <m/>
    <m/>
    <m/>
    <m/>
    <m/>
    <m/>
    <m/>
    <n v="0"/>
    <n v="0"/>
    <n v="0"/>
    <n v="0"/>
    <m/>
    <m/>
    <n v="0"/>
    <n v="0"/>
  </r>
  <r>
    <x v="4"/>
    <s v="Savannah State University"/>
    <m/>
    <n v="140960"/>
    <x v="4"/>
    <m/>
    <m/>
    <m/>
    <m/>
    <n v="54215.45"/>
    <n v="46736"/>
    <n v="9548.36"/>
    <n v="9465"/>
    <n v="53718"/>
    <n v="47427"/>
    <n v="117481.81"/>
    <n v="3916.0603333333333"/>
    <n v="103628"/>
    <n v="3454.2666666666669"/>
    <n v="2674"/>
    <n v="2079"/>
    <n v="117481.81"/>
    <n v="103628"/>
    <m/>
    <m/>
    <m/>
    <m/>
    <m/>
    <m/>
    <m/>
    <m/>
    <n v="0"/>
    <n v="0"/>
    <n v="0"/>
    <n v="0"/>
    <m/>
    <m/>
    <n v="0"/>
    <n v="0"/>
  </r>
  <r>
    <x v="4"/>
    <s v="College of Coastal Georgia "/>
    <m/>
    <n v="139250"/>
    <x v="5"/>
    <m/>
    <m/>
    <m/>
    <m/>
    <n v="36674.449999999997"/>
    <n v="35927"/>
    <n v="7978.36"/>
    <n v="8691"/>
    <n v="39142"/>
    <n v="38423"/>
    <n v="83794.81"/>
    <n v="2793.1603333333333"/>
    <n v="83041"/>
    <n v="2768.0333333333333"/>
    <n v="6313"/>
    <n v="6911"/>
    <n v="83794.81"/>
    <n v="83041"/>
    <m/>
    <m/>
    <m/>
    <m/>
    <m/>
    <m/>
    <m/>
    <m/>
    <n v="0"/>
    <n v="0"/>
    <n v="0"/>
    <n v="0"/>
    <m/>
    <m/>
    <n v="0"/>
    <n v="0"/>
  </r>
  <r>
    <x v="4"/>
    <s v="Dalton State College "/>
    <m/>
    <n v="139463"/>
    <x v="5"/>
    <m/>
    <m/>
    <m/>
    <m/>
    <n v="52694.45"/>
    <n v="51609"/>
    <n v="10981.36"/>
    <n v="10809"/>
    <n v="58186"/>
    <n v="56205"/>
    <n v="121861.81"/>
    <n v="4062.0603333333333"/>
    <n v="118623"/>
    <n v="3954.1"/>
    <n v="6320"/>
    <n v="5757"/>
    <n v="121861.81"/>
    <n v="118623"/>
    <m/>
    <m/>
    <m/>
    <m/>
    <m/>
    <m/>
    <m/>
    <m/>
    <n v="0"/>
    <n v="0"/>
    <n v="0"/>
    <n v="0"/>
    <m/>
    <m/>
    <n v="0"/>
    <n v="0"/>
  </r>
  <r>
    <x v="4"/>
    <s v="Georgia Gwinnett College"/>
    <m/>
    <n v="447689"/>
    <x v="5"/>
    <m/>
    <m/>
    <m/>
    <m/>
    <n v="135799.45000000001"/>
    <n v="134853"/>
    <n v="27299.360000000001"/>
    <n v="26996"/>
    <n v="143783"/>
    <n v="150260"/>
    <n v="306881.81"/>
    <n v="10229.393666666667"/>
    <n v="312109"/>
    <n v="10403.633333333333"/>
    <n v="10761"/>
    <n v="11808"/>
    <n v="306881.81"/>
    <n v="312109"/>
    <m/>
    <m/>
    <m/>
    <m/>
    <m/>
    <m/>
    <m/>
    <m/>
    <n v="0"/>
    <n v="0"/>
    <n v="0"/>
    <n v="0"/>
    <m/>
    <m/>
    <n v="0"/>
    <n v="0"/>
  </r>
  <r>
    <x v="4"/>
    <s v="Middle Georgia State College"/>
    <s v="Met the criteria for Four-Year 5 in 2018-19 and 2019-20."/>
    <n v="482158"/>
    <x v="5"/>
    <m/>
    <m/>
    <m/>
    <m/>
    <n v="75038.45"/>
    <n v="77832"/>
    <n v="20592.36"/>
    <n v="21985"/>
    <n v="85025"/>
    <n v="86107"/>
    <n v="180655.81"/>
    <n v="6021.8603333333331"/>
    <n v="185924"/>
    <n v="6197.4666666666662"/>
    <n v="7782"/>
    <n v="7645"/>
    <n v="180655.81"/>
    <n v="185924"/>
    <m/>
    <m/>
    <m/>
    <m/>
    <m/>
    <m/>
    <m/>
    <m/>
    <n v="0"/>
    <n v="0"/>
    <n v="0"/>
    <n v="0"/>
    <m/>
    <m/>
    <n v="0"/>
    <n v="0"/>
  </r>
  <r>
    <x v="4"/>
    <s v="Abraham Baldwin Agricultural College "/>
    <s v="Reclassified: Met the criteria for Four-Year 6 in 2017-18, 2018-19, and 2019-20. "/>
    <n v="138558"/>
    <x v="5"/>
    <m/>
    <m/>
    <m/>
    <m/>
    <n v="36718.449999999997"/>
    <n v="42933"/>
    <n v="5607.36"/>
    <n v="9366"/>
    <n v="49364"/>
    <n v="45340"/>
    <n v="91689.81"/>
    <n v="3056.3269999999998"/>
    <n v="97639"/>
    <n v="3254.6333333333332"/>
    <n v="9235"/>
    <n v="6837"/>
    <n v="91689.81"/>
    <n v="97639"/>
    <m/>
    <m/>
    <m/>
    <m/>
    <m/>
    <m/>
    <m/>
    <m/>
    <n v="0"/>
    <n v="0"/>
    <n v="0"/>
    <n v="0"/>
    <m/>
    <m/>
    <n v="0"/>
    <n v="0"/>
  </r>
  <r>
    <x v="4"/>
    <s v="Atlanta Metropolitan State College"/>
    <m/>
    <n v="138901"/>
    <x v="12"/>
    <m/>
    <m/>
    <m/>
    <m/>
    <n v="22399.45"/>
    <n v="20318"/>
    <n v="7054.36"/>
    <n v="6218"/>
    <n v="21982"/>
    <n v="17499"/>
    <n v="51435.81"/>
    <n v="1714.5269999999998"/>
    <n v="44035"/>
    <n v="1467.8333333333333"/>
    <n v="3788"/>
    <n v="2957"/>
    <n v="51435.81"/>
    <n v="44035"/>
    <m/>
    <m/>
    <m/>
    <m/>
    <m/>
    <m/>
    <m/>
    <m/>
    <n v="0"/>
    <n v="0"/>
    <n v="0"/>
    <n v="0"/>
    <m/>
    <m/>
    <n v="0"/>
    <n v="0"/>
  </r>
  <r>
    <x v="4"/>
    <s v="East Georgia State College"/>
    <m/>
    <n v="139621"/>
    <x v="12"/>
    <m/>
    <m/>
    <m/>
    <m/>
    <n v="29346.45"/>
    <n v="29103"/>
    <n v="5845.36"/>
    <n v="5468"/>
    <n v="33683"/>
    <n v="31567"/>
    <n v="68874.81"/>
    <n v="2295.8269999999998"/>
    <n v="66138"/>
    <n v="2204.6"/>
    <n v="5317"/>
    <n v="4642"/>
    <n v="68874.81"/>
    <n v="66138"/>
    <m/>
    <m/>
    <m/>
    <m/>
    <m/>
    <m/>
    <m/>
    <m/>
    <n v="0"/>
    <n v="0"/>
    <n v="0"/>
    <n v="0"/>
    <m/>
    <m/>
    <n v="0"/>
    <n v="0"/>
  </r>
  <r>
    <x v="4"/>
    <s v="Georgia Highlands College"/>
    <m/>
    <n v="139700"/>
    <x v="12"/>
    <m/>
    <m/>
    <m/>
    <m/>
    <n v="56873.45"/>
    <n v="56720"/>
    <n v="14176.36"/>
    <n v="13779"/>
    <n v="63634"/>
    <n v="62364"/>
    <n v="134683.81"/>
    <n v="4489.4603333333334"/>
    <n v="132863"/>
    <n v="4428.7666666666664"/>
    <n v="5616"/>
    <n v="6193"/>
    <n v="134683.81"/>
    <n v="132863"/>
    <m/>
    <m/>
    <m/>
    <m/>
    <m/>
    <m/>
    <m/>
    <m/>
    <n v="0"/>
    <n v="0"/>
    <n v="0"/>
    <n v="0"/>
    <m/>
    <m/>
    <n v="0"/>
    <n v="0"/>
  </r>
  <r>
    <x v="4"/>
    <s v="Gordon State College "/>
    <s v="Reclassified: Met the criteria for Four-Year 6 in 2017-18, 2018-19, and 2019-20. "/>
    <n v="139968"/>
    <x v="5"/>
    <m/>
    <m/>
    <m/>
    <m/>
    <n v="40129.449999999997"/>
    <n v="37179"/>
    <n v="5584.36"/>
    <n v="5317"/>
    <n v="43385"/>
    <n v="40865"/>
    <n v="89098.81"/>
    <n v="2969.9603333333334"/>
    <n v="83361"/>
    <n v="2778.7"/>
    <n v="7388"/>
    <n v="7619"/>
    <n v="89098.81"/>
    <n v="83361"/>
    <m/>
    <m/>
    <m/>
    <m/>
    <m/>
    <m/>
    <m/>
    <m/>
    <n v="0"/>
    <n v="0"/>
    <n v="0"/>
    <n v="0"/>
    <m/>
    <m/>
    <n v="0"/>
    <n v="0"/>
  </r>
  <r>
    <x v="4"/>
    <s v="South Georgia State College"/>
    <m/>
    <n v="482699"/>
    <x v="12"/>
    <m/>
    <m/>
    <m/>
    <m/>
    <n v="26671.45"/>
    <n v="25962"/>
    <n v="6656.36"/>
    <n v="7286"/>
    <n v="28438"/>
    <n v="26496"/>
    <n v="61765.81"/>
    <n v="2058.8603333333331"/>
    <n v="59744"/>
    <n v="1991.4666666666667"/>
    <n v="7154"/>
    <n v="6628"/>
    <n v="61765.81"/>
    <n v="59744"/>
    <m/>
    <m/>
    <m/>
    <m/>
    <m/>
    <m/>
    <m/>
    <m/>
    <n v="0"/>
    <n v="0"/>
    <n v="0"/>
    <n v="0"/>
    <m/>
    <m/>
    <n v="0"/>
    <n v="0"/>
  </r>
  <r>
    <x v="4"/>
    <s v="Bainbridge State College "/>
    <s v="*Delete after 2017-18; Institution was consolidated into Abraham Baldwin Agricultural College. Met the criteria for Two-Year with Bachelor's in 2017-18 amd 2018-19."/>
    <n v="139010"/>
    <x v="8"/>
    <m/>
    <m/>
    <m/>
    <m/>
    <n v="14313.45"/>
    <m/>
    <n v="5830.36"/>
    <m/>
    <m/>
    <m/>
    <n v="20143.810000000001"/>
    <n v="671.46033333333332"/>
    <n v="0"/>
    <n v="0"/>
    <m/>
    <m/>
    <n v="0"/>
    <n v="0"/>
    <m/>
    <m/>
    <m/>
    <m/>
    <m/>
    <m/>
    <m/>
    <m/>
    <n v="0"/>
    <n v="0"/>
    <n v="0"/>
    <n v="0"/>
    <m/>
    <m/>
    <n v="0"/>
    <n v="0"/>
  </r>
  <r>
    <x v="4"/>
    <s v="Albany Technical College"/>
    <m/>
    <n v="138682"/>
    <x v="9"/>
    <s v="sem"/>
    <s v="sem"/>
    <m/>
    <m/>
    <n v="27469"/>
    <n v="27462"/>
    <n v="19358"/>
    <n v="17995"/>
    <n v="30143"/>
    <n v="31178"/>
    <n v="76970"/>
    <n v="2565.6666666666665"/>
    <n v="76635"/>
    <n v="2554.5"/>
    <n v="8759"/>
    <n v="11006"/>
    <n v="76970"/>
    <n v="76635"/>
    <m/>
    <m/>
    <m/>
    <m/>
    <m/>
    <m/>
    <m/>
    <m/>
    <n v="0"/>
    <n v="0"/>
    <n v="0"/>
    <n v="0"/>
    <m/>
    <m/>
    <n v="0"/>
    <n v="0"/>
  </r>
  <r>
    <x v="4"/>
    <s v="Athens Technical College"/>
    <m/>
    <n v="246813"/>
    <x v="9"/>
    <s v="sem"/>
    <s v="sem"/>
    <m/>
    <m/>
    <n v="33086"/>
    <n v="33812"/>
    <n v="15525"/>
    <n v="15486"/>
    <n v="37526"/>
    <n v="36996"/>
    <n v="86137"/>
    <n v="2871.2333333333331"/>
    <n v="86294"/>
    <n v="2876.4666666666667"/>
    <n v="9462"/>
    <n v="11811"/>
    <n v="86137"/>
    <n v="86294"/>
    <m/>
    <m/>
    <m/>
    <m/>
    <m/>
    <m/>
    <m/>
    <m/>
    <n v="0"/>
    <n v="0"/>
    <n v="0"/>
    <n v="0"/>
    <m/>
    <m/>
    <n v="0"/>
    <n v="0"/>
  </r>
  <r>
    <x v="4"/>
    <s v="Atlanta Technical College"/>
    <m/>
    <n v="138840"/>
    <x v="9"/>
    <s v="sem"/>
    <s v="sem"/>
    <m/>
    <m/>
    <n v="35168"/>
    <n v="34432"/>
    <n v="17390"/>
    <n v="18347"/>
    <n v="34001"/>
    <n v="34831"/>
    <n v="86559"/>
    <n v="2885.3"/>
    <n v="87610"/>
    <n v="2920.3333333333335"/>
    <n v="2592"/>
    <n v="3905"/>
    <n v="86559"/>
    <n v="87610"/>
    <m/>
    <m/>
    <m/>
    <m/>
    <m/>
    <m/>
    <m/>
    <m/>
    <n v="0"/>
    <n v="0"/>
    <n v="0"/>
    <n v="0"/>
    <m/>
    <m/>
    <n v="0"/>
    <n v="0"/>
  </r>
  <r>
    <x v="4"/>
    <s v="Augusta Technical College"/>
    <m/>
    <n v="138956"/>
    <x v="9"/>
    <s v="sem"/>
    <s v="sem"/>
    <m/>
    <m/>
    <n v="39056"/>
    <n v="37560"/>
    <n v="19749"/>
    <n v="19099"/>
    <n v="41682"/>
    <n v="39567"/>
    <n v="100487"/>
    <n v="3349.5666666666666"/>
    <n v="96226"/>
    <n v="3207.5333333333333"/>
    <n v="6164"/>
    <n v="7501"/>
    <n v="100487"/>
    <n v="96226"/>
    <m/>
    <m/>
    <m/>
    <m/>
    <m/>
    <m/>
    <m/>
    <m/>
    <n v="0"/>
    <n v="0"/>
    <n v="0"/>
    <n v="0"/>
    <m/>
    <m/>
    <n v="0"/>
    <n v="0"/>
  </r>
  <r>
    <x v="4"/>
    <s v="Central Georgia Technical College"/>
    <m/>
    <n v="483045"/>
    <x v="9"/>
    <s v="sem"/>
    <s v="sem"/>
    <m/>
    <m/>
    <n v="63810"/>
    <n v="63676"/>
    <n v="36568"/>
    <n v="34123"/>
    <n v="69639"/>
    <n v="69761"/>
    <n v="170017"/>
    <n v="5667.2333333333336"/>
    <n v="167560"/>
    <n v="5585.333333333333"/>
    <n v="22417"/>
    <n v="26969"/>
    <n v="170017"/>
    <n v="167560"/>
    <m/>
    <m/>
    <m/>
    <m/>
    <m/>
    <m/>
    <m/>
    <m/>
    <n v="0"/>
    <n v="0"/>
    <n v="0"/>
    <n v="0"/>
    <m/>
    <m/>
    <n v="0"/>
    <n v="0"/>
  </r>
  <r>
    <x v="4"/>
    <s v="Chattahoochee Technical College"/>
    <m/>
    <n v="140331"/>
    <x v="9"/>
    <s v="sem"/>
    <s v="sem"/>
    <m/>
    <m/>
    <n v="78396"/>
    <n v="80430"/>
    <n v="29544"/>
    <n v="28075"/>
    <n v="86552"/>
    <n v="84859"/>
    <n v="194492"/>
    <n v="6483.0666666666666"/>
    <n v="193364"/>
    <n v="6445.4666666666662"/>
    <n v="27345.5"/>
    <n v="28113"/>
    <n v="194492"/>
    <n v="193364"/>
    <m/>
    <m/>
    <m/>
    <m/>
    <m/>
    <m/>
    <m/>
    <m/>
    <n v="0"/>
    <n v="0"/>
    <n v="0"/>
    <n v="0"/>
    <m/>
    <m/>
    <n v="0"/>
    <n v="0"/>
  </r>
  <r>
    <x v="4"/>
    <s v="Coastal Pines Technical College"/>
    <m/>
    <n v="485458"/>
    <x v="9"/>
    <s v="sem"/>
    <s v="sem"/>
    <m/>
    <m/>
    <n v="23988"/>
    <n v="29018"/>
    <n v="10419"/>
    <n v="10783"/>
    <n v="26459"/>
    <n v="32337"/>
    <n v="60866"/>
    <n v="2028.8666666666666"/>
    <n v="72138"/>
    <n v="2404.6"/>
    <n v="22495"/>
    <n v="31605"/>
    <n v="60866"/>
    <n v="72138"/>
    <m/>
    <m/>
    <m/>
    <m/>
    <m/>
    <m/>
    <m/>
    <m/>
    <n v="0"/>
    <n v="0"/>
    <n v="0"/>
    <n v="0"/>
    <m/>
    <m/>
    <n v="0"/>
    <n v="0"/>
  </r>
  <r>
    <x v="4"/>
    <s v="Columbus Technical College"/>
    <m/>
    <n v="139357"/>
    <x v="9"/>
    <s v="sem"/>
    <s v="sem"/>
    <m/>
    <m/>
    <n v="25662.400000000001"/>
    <n v="27721"/>
    <n v="15323.5"/>
    <n v="14830"/>
    <n v="29266.5"/>
    <n v="30700"/>
    <n v="70252.399999999994"/>
    <n v="2341.7466666666664"/>
    <n v="73251"/>
    <n v="2441.6999999999998"/>
    <n v="6863"/>
    <n v="9103"/>
    <n v="70252.399999999994"/>
    <n v="73251"/>
    <m/>
    <m/>
    <m/>
    <m/>
    <m/>
    <m/>
    <m/>
    <m/>
    <n v="0"/>
    <n v="0"/>
    <n v="0"/>
    <n v="0"/>
    <m/>
    <m/>
    <n v="0"/>
    <n v="0"/>
  </r>
  <r>
    <x v="4"/>
    <s v="Georgia Northwestern Technical College"/>
    <m/>
    <n v="139384"/>
    <x v="9"/>
    <s v="sem"/>
    <s v="sem"/>
    <m/>
    <m/>
    <n v="44887"/>
    <n v="45881"/>
    <n v="17808"/>
    <n v="18691"/>
    <n v="49125"/>
    <n v="55379"/>
    <n v="111820"/>
    <n v="3727.3333333333335"/>
    <n v="119951"/>
    <n v="3998.3666666666668"/>
    <n v="24846"/>
    <n v="29929"/>
    <n v="111820"/>
    <n v="119951"/>
    <m/>
    <m/>
    <m/>
    <m/>
    <m/>
    <m/>
    <m/>
    <m/>
    <n v="0"/>
    <n v="0"/>
    <n v="0"/>
    <n v="0"/>
    <m/>
    <m/>
    <n v="0"/>
    <n v="0"/>
  </r>
  <r>
    <x v="4"/>
    <s v="Georgia Piedmont Technical College"/>
    <m/>
    <n v="244446"/>
    <x v="9"/>
    <s v="sem"/>
    <s v="sem"/>
    <m/>
    <m/>
    <n v="33612.5"/>
    <n v="27028"/>
    <n v="16660"/>
    <n v="13707"/>
    <n v="29133.5"/>
    <n v="28735"/>
    <n v="79406"/>
    <n v="2646.8666666666668"/>
    <n v="69470"/>
    <n v="2315.6666666666665"/>
    <n v="16817"/>
    <n v="16569"/>
    <n v="79406"/>
    <n v="69470"/>
    <m/>
    <m/>
    <m/>
    <m/>
    <m/>
    <m/>
    <m/>
    <m/>
    <n v="0"/>
    <n v="0"/>
    <n v="0"/>
    <n v="0"/>
    <m/>
    <m/>
    <n v="0"/>
    <n v="0"/>
  </r>
  <r>
    <x v="4"/>
    <s v="Gwinnett Technical College"/>
    <m/>
    <n v="140012"/>
    <x v="9"/>
    <s v="sem"/>
    <s v="sem"/>
    <m/>
    <m/>
    <n v="69935"/>
    <n v="71637"/>
    <n v="23885"/>
    <n v="23880"/>
    <n v="73428"/>
    <n v="76574"/>
    <n v="167248"/>
    <n v="5574.9333333333334"/>
    <n v="172091"/>
    <n v="5736.3666666666668"/>
    <n v="22163"/>
    <n v="24431"/>
    <n v="167248"/>
    <n v="172091"/>
    <m/>
    <m/>
    <m/>
    <m/>
    <m/>
    <m/>
    <m/>
    <m/>
    <n v="0"/>
    <n v="0"/>
    <n v="0"/>
    <n v="0"/>
    <m/>
    <m/>
    <n v="0"/>
    <n v="0"/>
  </r>
  <r>
    <x v="4"/>
    <s v="Lanier Technical College"/>
    <m/>
    <n v="140243"/>
    <x v="9"/>
    <s v="sem"/>
    <s v="sem"/>
    <m/>
    <m/>
    <n v="28565"/>
    <n v="33187"/>
    <n v="12293"/>
    <n v="14072"/>
    <n v="33880"/>
    <n v="38405"/>
    <n v="74738"/>
    <n v="2491.2666666666669"/>
    <n v="85664"/>
    <n v="2855.4666666666667"/>
    <n v="10212"/>
    <n v="14447"/>
    <n v="74738"/>
    <n v="85664"/>
    <m/>
    <m/>
    <m/>
    <m/>
    <m/>
    <m/>
    <m/>
    <m/>
    <n v="0"/>
    <n v="0"/>
    <n v="0"/>
    <n v="0"/>
    <m/>
    <m/>
    <n v="0"/>
    <n v="0"/>
  </r>
  <r>
    <x v="4"/>
    <s v="North Georgia Technical College"/>
    <m/>
    <n v="140678"/>
    <x v="9"/>
    <s v="sem"/>
    <s v="sem"/>
    <m/>
    <m/>
    <n v="21024"/>
    <n v="21619"/>
    <n v="9452"/>
    <n v="9732"/>
    <n v="23427"/>
    <n v="23608"/>
    <n v="53903"/>
    <n v="1796.7666666666667"/>
    <n v="54959"/>
    <n v="1831.9666666666667"/>
    <n v="5804"/>
    <n v="6225"/>
    <n v="53903"/>
    <n v="54959"/>
    <m/>
    <m/>
    <m/>
    <m/>
    <m/>
    <m/>
    <m/>
    <m/>
    <n v="0"/>
    <n v="0"/>
    <n v="0"/>
    <n v="0"/>
    <m/>
    <m/>
    <n v="0"/>
    <n v="0"/>
  </r>
  <r>
    <x v="4"/>
    <s v="Oconee Fall Line Technical College"/>
    <m/>
    <n v="420431"/>
    <x v="9"/>
    <s v="sem"/>
    <s v="sem"/>
    <m/>
    <m/>
    <n v="11367"/>
    <n v="11673"/>
    <n v="6446"/>
    <n v="7566"/>
    <n v="11819"/>
    <n v="15184"/>
    <n v="29632"/>
    <n v="987.73333333333335"/>
    <n v="34423"/>
    <n v="1147.4333333333334"/>
    <n v="3947"/>
    <n v="4182"/>
    <n v="29632"/>
    <n v="34423"/>
    <m/>
    <m/>
    <m/>
    <m/>
    <m/>
    <m/>
    <m/>
    <m/>
    <n v="0"/>
    <n v="0"/>
    <n v="0"/>
    <n v="0"/>
    <m/>
    <m/>
    <n v="0"/>
    <n v="0"/>
  </r>
  <r>
    <x v="4"/>
    <s v="Ogeechee Technical College"/>
    <m/>
    <n v="366465"/>
    <x v="9"/>
    <s v="sem"/>
    <s v="sem"/>
    <m/>
    <m/>
    <n v="18174"/>
    <n v="19715"/>
    <n v="9446"/>
    <n v="10295"/>
    <n v="19464"/>
    <n v="20123"/>
    <n v="47084"/>
    <n v="1569.4666666666667"/>
    <n v="50133"/>
    <n v="1671.1"/>
    <n v="3794"/>
    <n v="4438"/>
    <n v="47084"/>
    <n v="50133"/>
    <m/>
    <m/>
    <m/>
    <m/>
    <m/>
    <m/>
    <m/>
    <m/>
    <n v="0"/>
    <n v="0"/>
    <n v="0"/>
    <n v="0"/>
    <m/>
    <m/>
    <n v="0"/>
    <n v="0"/>
  </r>
  <r>
    <x v="4"/>
    <s v="Savannah Technical College"/>
    <m/>
    <n v="140942"/>
    <x v="9"/>
    <s v="sem"/>
    <s v="sem"/>
    <m/>
    <m/>
    <n v="35464"/>
    <n v="34150"/>
    <n v="15104"/>
    <n v="15277"/>
    <n v="36301"/>
    <n v="38073"/>
    <n v="86869"/>
    <n v="2895.6333333333332"/>
    <n v="87500"/>
    <n v="2916.6666666666665"/>
    <n v="7093"/>
    <n v="8475"/>
    <n v="86869"/>
    <n v="87500"/>
    <m/>
    <m/>
    <m/>
    <m/>
    <m/>
    <m/>
    <m/>
    <m/>
    <n v="0"/>
    <n v="0"/>
    <n v="0"/>
    <n v="0"/>
    <m/>
    <m/>
    <n v="0"/>
    <n v="0"/>
  </r>
  <r>
    <x v="4"/>
    <s v="South Georgia Technical College"/>
    <m/>
    <n v="141006"/>
    <x v="9"/>
    <s v="sem"/>
    <s v="sem"/>
    <m/>
    <m/>
    <n v="18961"/>
    <n v="20432"/>
    <n v="9442"/>
    <n v="10127"/>
    <n v="21469"/>
    <n v="21354"/>
    <n v="49872"/>
    <n v="1662.4"/>
    <n v="51913"/>
    <n v="1730.4333333333334"/>
    <n v="6702"/>
    <n v="6525"/>
    <n v="49872"/>
    <n v="51913"/>
    <m/>
    <m/>
    <m/>
    <m/>
    <m/>
    <m/>
    <m/>
    <m/>
    <n v="0"/>
    <n v="0"/>
    <n v="0"/>
    <n v="0"/>
    <m/>
    <m/>
    <n v="0"/>
    <n v="0"/>
  </r>
  <r>
    <x v="4"/>
    <s v="Southeastern Technical College"/>
    <m/>
    <n v="368911"/>
    <x v="9"/>
    <s v="sem"/>
    <s v="sem"/>
    <m/>
    <m/>
    <n v="12864"/>
    <n v="14094"/>
    <n v="6704"/>
    <n v="6711"/>
    <n v="14838"/>
    <n v="15724"/>
    <n v="34406"/>
    <n v="1146.8666666666666"/>
    <n v="36529"/>
    <n v="1217.6333333333334"/>
    <n v="6760"/>
    <n v="8280"/>
    <n v="34406"/>
    <n v="36529"/>
    <m/>
    <m/>
    <m/>
    <m/>
    <m/>
    <m/>
    <m/>
    <m/>
    <n v="0"/>
    <n v="0"/>
    <n v="0"/>
    <n v="0"/>
    <m/>
    <m/>
    <n v="0"/>
    <n v="0"/>
  </r>
  <r>
    <x v="4"/>
    <s v="Southern Crescent Technical College"/>
    <m/>
    <n v="139986"/>
    <x v="9"/>
    <s v="sem"/>
    <s v="sem"/>
    <m/>
    <m/>
    <n v="40057"/>
    <n v="40998"/>
    <n v="18107"/>
    <n v="19668"/>
    <n v="41714"/>
    <n v="44272"/>
    <n v="99878"/>
    <n v="3329.2666666666669"/>
    <n v="104938"/>
    <n v="3497.9333333333334"/>
    <n v="13449"/>
    <n v="16553"/>
    <n v="99878"/>
    <n v="104938"/>
    <m/>
    <m/>
    <m/>
    <m/>
    <m/>
    <m/>
    <m/>
    <m/>
    <n v="0"/>
    <n v="0"/>
    <n v="0"/>
    <n v="0"/>
    <m/>
    <m/>
    <n v="0"/>
    <n v="0"/>
  </r>
  <r>
    <x v="4"/>
    <s v="Southern Regional Technical College"/>
    <m/>
    <n v="487162"/>
    <x v="9"/>
    <s v="sem"/>
    <s v="sem"/>
    <m/>
    <m/>
    <n v="31854"/>
    <n v="37017"/>
    <n v="16925"/>
    <n v="19085"/>
    <n v="40358"/>
    <n v="43103"/>
    <n v="89137"/>
    <n v="2971.2333333333331"/>
    <n v="99205"/>
    <n v="3306.8333333333335"/>
    <n v="20236"/>
    <n v="24245"/>
    <n v="89137"/>
    <n v="99205"/>
    <m/>
    <m/>
    <m/>
    <m/>
    <m/>
    <m/>
    <m/>
    <m/>
    <n v="0"/>
    <n v="0"/>
    <n v="0"/>
    <n v="0"/>
    <m/>
    <m/>
    <n v="0"/>
    <n v="0"/>
  </r>
  <r>
    <x v="4"/>
    <s v="West Georgia Technical College"/>
    <m/>
    <n v="139278"/>
    <x v="9"/>
    <s v="sem"/>
    <s v="sem"/>
    <m/>
    <m/>
    <n v="53368"/>
    <n v="56025"/>
    <n v="20537"/>
    <n v="21115"/>
    <n v="58794"/>
    <n v="57550"/>
    <n v="132699"/>
    <n v="4423.3"/>
    <n v="134690"/>
    <n v="4489.666666666667"/>
    <n v="25410"/>
    <n v="26107"/>
    <n v="132699"/>
    <n v="134690"/>
    <m/>
    <m/>
    <m/>
    <m/>
    <m/>
    <m/>
    <m/>
    <m/>
    <n v="0"/>
    <n v="0"/>
    <n v="0"/>
    <n v="0"/>
    <m/>
    <m/>
    <n v="0"/>
    <n v="0"/>
  </r>
  <r>
    <x v="4"/>
    <s v="Wiregrass Georgia Technical College"/>
    <m/>
    <n v="141255"/>
    <x v="9"/>
    <s v="sem"/>
    <s v="sem"/>
    <m/>
    <m/>
    <n v="30709"/>
    <n v="34604"/>
    <n v="14946"/>
    <n v="13868"/>
    <n v="35983"/>
    <n v="35821"/>
    <n v="81638"/>
    <n v="2721.2666666666669"/>
    <n v="84293"/>
    <n v="2809.7666666666669"/>
    <n v="23573"/>
    <n v="28513"/>
    <n v="81638"/>
    <n v="84293"/>
    <m/>
    <m/>
    <m/>
    <m/>
    <m/>
    <m/>
    <m/>
    <m/>
    <n v="0"/>
    <n v="0"/>
    <n v="0"/>
    <n v="0"/>
    <m/>
    <m/>
    <n v="0"/>
    <n v="0"/>
  </r>
  <r>
    <x v="5"/>
    <s v="University of Kentucky"/>
    <m/>
    <n v="157085"/>
    <x v="0"/>
    <m/>
    <m/>
    <m/>
    <m/>
    <n v="274842"/>
    <n v="275771"/>
    <n v="22864"/>
    <n v="21426"/>
    <n v="302856"/>
    <n v="304171"/>
    <n v="600562"/>
    <n v="20018.733333333334"/>
    <n v="601368"/>
    <n v="20045.599999999999"/>
    <n v="697"/>
    <n v="633"/>
    <n v="600562"/>
    <n v="601368"/>
    <m/>
    <m/>
    <m/>
    <m/>
    <m/>
    <m/>
    <m/>
    <m/>
    <n v="0"/>
    <n v="0"/>
    <n v="0"/>
    <n v="0"/>
    <m/>
    <m/>
    <n v="0"/>
    <n v="0"/>
  </r>
  <r>
    <x v="5"/>
    <s v="University of Louisville"/>
    <m/>
    <n v="157289"/>
    <x v="0"/>
    <m/>
    <m/>
    <m/>
    <m/>
    <n v="169488"/>
    <n v="166792.5"/>
    <n v="31660"/>
    <n v="31258"/>
    <n v="186731"/>
    <n v="183361.5"/>
    <n v="387879"/>
    <n v="12929.3"/>
    <n v="381412"/>
    <n v="12713.733333333334"/>
    <n v="4214"/>
    <n v="5128"/>
    <n v="387879"/>
    <n v="381412"/>
    <m/>
    <m/>
    <m/>
    <m/>
    <m/>
    <m/>
    <m/>
    <m/>
    <n v="0"/>
    <n v="0"/>
    <n v="0"/>
    <n v="0"/>
    <m/>
    <m/>
    <n v="0"/>
    <n v="0"/>
  </r>
  <r>
    <x v="5"/>
    <s v="Eastern Kentucky University "/>
    <m/>
    <n v="156620"/>
    <x v="2"/>
    <m/>
    <m/>
    <m/>
    <m/>
    <n v="158011"/>
    <n v="141294.5"/>
    <n v="18205"/>
    <n v="16414"/>
    <n v="167388"/>
    <n v="158165.5"/>
    <n v="343604"/>
    <n v="11453.466666666667"/>
    <n v="315874"/>
    <n v="10529.133333333333"/>
    <n v="10592"/>
    <n v="9280.5"/>
    <n v="343604"/>
    <n v="315874"/>
    <m/>
    <m/>
    <m/>
    <m/>
    <m/>
    <m/>
    <m/>
    <m/>
    <n v="0"/>
    <n v="0"/>
    <n v="0"/>
    <n v="0"/>
    <m/>
    <m/>
    <n v="0"/>
    <n v="0"/>
  </r>
  <r>
    <x v="5"/>
    <s v="Morehead State University "/>
    <m/>
    <n v="157386"/>
    <x v="2"/>
    <m/>
    <m/>
    <m/>
    <m/>
    <n v="92047"/>
    <n v="87269"/>
    <n v="7395"/>
    <n v="6198"/>
    <n v="101802"/>
    <n v="96317"/>
    <n v="201244"/>
    <n v="6708.1333333333332"/>
    <n v="189784"/>
    <n v="6326.1333333333332"/>
    <n v="26244"/>
    <n v="24261"/>
    <n v="201244"/>
    <n v="189784"/>
    <m/>
    <m/>
    <m/>
    <m/>
    <m/>
    <m/>
    <m/>
    <m/>
    <n v="0"/>
    <n v="0"/>
    <n v="0"/>
    <n v="0"/>
    <m/>
    <m/>
    <n v="0"/>
    <n v="0"/>
  </r>
  <r>
    <x v="5"/>
    <s v="Murray State University "/>
    <m/>
    <n v="157401"/>
    <x v="2"/>
    <m/>
    <m/>
    <m/>
    <m/>
    <n v="96274"/>
    <n v="90962"/>
    <n v="7645"/>
    <n v="8202"/>
    <n v="102171"/>
    <n v="100724"/>
    <n v="206090"/>
    <n v="6869.666666666667"/>
    <n v="199888"/>
    <n v="6662.9333333333334"/>
    <n v="7910"/>
    <n v="9437"/>
    <n v="206090"/>
    <n v="199888"/>
    <m/>
    <m/>
    <m/>
    <m/>
    <m/>
    <m/>
    <m/>
    <m/>
    <n v="0"/>
    <n v="0"/>
    <n v="0"/>
    <n v="0"/>
    <m/>
    <m/>
    <n v="0"/>
    <n v="0"/>
  </r>
  <r>
    <x v="5"/>
    <s v="Northern Kentucky University "/>
    <m/>
    <n v="157447"/>
    <x v="2"/>
    <m/>
    <m/>
    <m/>
    <m/>
    <n v="135920"/>
    <n v="130198"/>
    <n v="13376"/>
    <n v="13527"/>
    <n v="146948"/>
    <n v="143066"/>
    <n v="296244"/>
    <n v="9874.7999999999993"/>
    <n v="286791"/>
    <n v="9559.7000000000007"/>
    <n v="11973"/>
    <n v="13849"/>
    <n v="296244"/>
    <n v="286791"/>
    <m/>
    <m/>
    <m/>
    <m/>
    <m/>
    <m/>
    <m/>
    <m/>
    <n v="0"/>
    <n v="0"/>
    <n v="0"/>
    <n v="0"/>
    <m/>
    <m/>
    <n v="0"/>
    <n v="0"/>
  </r>
  <r>
    <x v="5"/>
    <s v="Western Kentucky University "/>
    <m/>
    <n v="157951"/>
    <x v="2"/>
    <m/>
    <m/>
    <m/>
    <m/>
    <n v="192178"/>
    <n v="173682"/>
    <n v="23022"/>
    <n v="20814"/>
    <n v="204181"/>
    <n v="192870"/>
    <n v="419381"/>
    <n v="13979.366666666667"/>
    <n v="387366"/>
    <n v="12912.2"/>
    <n v="26680"/>
    <n v="23832"/>
    <n v="419381"/>
    <n v="387366"/>
    <m/>
    <m/>
    <m/>
    <m/>
    <m/>
    <m/>
    <m/>
    <m/>
    <n v="0"/>
    <n v="0"/>
    <n v="0"/>
    <n v="0"/>
    <m/>
    <m/>
    <n v="0"/>
    <n v="0"/>
  </r>
  <r>
    <x v="5"/>
    <s v="Kentucky State University "/>
    <m/>
    <n v="157058"/>
    <x v="3"/>
    <m/>
    <m/>
    <m/>
    <m/>
    <n v="19935"/>
    <n v="21886.5"/>
    <n v="2227"/>
    <n v="2253"/>
    <n v="19658"/>
    <n v="22244.5"/>
    <n v="41820"/>
    <n v="1394"/>
    <n v="46384"/>
    <n v="1546.1333333333334"/>
    <n v="6158"/>
    <n v="6775"/>
    <n v="41820"/>
    <n v="46384"/>
    <m/>
    <m/>
    <m/>
    <m/>
    <m/>
    <m/>
    <m/>
    <m/>
    <n v="0"/>
    <n v="0"/>
    <n v="0"/>
    <n v="0"/>
    <m/>
    <m/>
    <n v="0"/>
    <n v="0"/>
  </r>
  <r>
    <x v="5"/>
    <s v="Bluegrass Community and Technical College"/>
    <m/>
    <n v="157173"/>
    <x v="6"/>
    <m/>
    <m/>
    <m/>
    <m/>
    <n v="80843"/>
    <n v="88616"/>
    <n v="17327"/>
    <n v="17584"/>
    <n v="90938"/>
    <n v="96875"/>
    <n v="189108"/>
    <n v="6303.6"/>
    <n v="203075"/>
    <n v="6769.166666666667"/>
    <n v="10027"/>
    <n v="11685"/>
    <n v="189108"/>
    <n v="203075"/>
    <m/>
    <m/>
    <m/>
    <m/>
    <m/>
    <m/>
    <m/>
    <m/>
    <n v="0"/>
    <n v="0"/>
    <n v="0"/>
    <n v="0"/>
    <m/>
    <m/>
    <n v="0"/>
    <n v="0"/>
  </r>
  <r>
    <x v="5"/>
    <s v="Jefferson Community and Technical College "/>
    <m/>
    <n v="156921"/>
    <x v="6"/>
    <m/>
    <m/>
    <m/>
    <m/>
    <n v="84482"/>
    <n v="85730.4"/>
    <n v="13353"/>
    <n v="13230"/>
    <n v="93198"/>
    <n v="94065.7"/>
    <n v="191033"/>
    <n v="6367.7666666666664"/>
    <n v="193026.09999999998"/>
    <n v="6434.2033333333329"/>
    <n v="21988"/>
    <n v="27799.5"/>
    <n v="191033"/>
    <n v="193026.09999999998"/>
    <m/>
    <m/>
    <m/>
    <m/>
    <m/>
    <m/>
    <m/>
    <m/>
    <n v="0"/>
    <n v="0"/>
    <n v="0"/>
    <n v="0"/>
    <m/>
    <m/>
    <n v="0"/>
    <n v="0"/>
  </r>
  <r>
    <x v="5"/>
    <s v="Ashland Community and Technical College"/>
    <s v="Reclassified: Met the criteria for Two-Year 3 in 2017-18, 2018-19, and 2019-20."/>
    <n v="156231"/>
    <x v="8"/>
    <m/>
    <m/>
    <m/>
    <m/>
    <n v="24595"/>
    <n v="24315"/>
    <n v="5229"/>
    <n v="4890"/>
    <n v="25626"/>
    <n v="26500"/>
    <n v="55450"/>
    <n v="1848.3333333333333"/>
    <n v="55705"/>
    <n v="1856.8333333333333"/>
    <n v="3216"/>
    <n v="3239"/>
    <n v="55450"/>
    <n v="55705"/>
    <m/>
    <m/>
    <m/>
    <m/>
    <m/>
    <m/>
    <m/>
    <m/>
    <n v="0"/>
    <n v="0"/>
    <n v="0"/>
    <n v="0"/>
    <m/>
    <m/>
    <n v="0"/>
    <n v="0"/>
  </r>
  <r>
    <x v="5"/>
    <s v="Big Sandy Community and Technical College "/>
    <s v="Met the criteria for Two-Year 3 in 2019-20."/>
    <n v="157553"/>
    <x v="7"/>
    <m/>
    <m/>
    <m/>
    <m/>
    <n v="30516"/>
    <n v="24952.9"/>
    <n v="3452"/>
    <n v="3727"/>
    <n v="31887"/>
    <n v="28954.1"/>
    <n v="65855"/>
    <n v="2195.1666666666665"/>
    <n v="57634"/>
    <n v="1921.1333333333334"/>
    <n v="4478"/>
    <n v="3736"/>
    <n v="65855"/>
    <n v="57634"/>
    <m/>
    <m/>
    <m/>
    <m/>
    <m/>
    <m/>
    <m/>
    <m/>
    <n v="0"/>
    <n v="0"/>
    <n v="0"/>
    <n v="0"/>
    <m/>
    <m/>
    <n v="0"/>
    <n v="0"/>
  </r>
  <r>
    <x v="5"/>
    <s v="Elizabethtown Community and Technical College "/>
    <m/>
    <n v="156648"/>
    <x v="7"/>
    <m/>
    <m/>
    <m/>
    <m/>
    <n v="45278"/>
    <n v="44960.800000000003"/>
    <n v="9427"/>
    <n v="8943"/>
    <n v="52368"/>
    <n v="52319.6"/>
    <n v="107073"/>
    <n v="3569.1"/>
    <n v="106223.4"/>
    <n v="3540.7799999999997"/>
    <n v="11834"/>
    <n v="14608.6"/>
    <n v="107073"/>
    <n v="106223.4"/>
    <m/>
    <m/>
    <m/>
    <m/>
    <m/>
    <m/>
    <m/>
    <m/>
    <n v="0"/>
    <n v="0"/>
    <n v="0"/>
    <n v="0"/>
    <m/>
    <m/>
    <n v="0"/>
    <n v="0"/>
  </r>
  <r>
    <x v="5"/>
    <s v="Maysville Community and Technical College "/>
    <m/>
    <n v="157331"/>
    <x v="7"/>
    <m/>
    <m/>
    <m/>
    <m/>
    <n v="29238"/>
    <n v="26671"/>
    <n v="4943"/>
    <n v="4064"/>
    <n v="34638"/>
    <n v="32450.799999999999"/>
    <n v="68819"/>
    <n v="2293.9666666666667"/>
    <n v="63185.8"/>
    <n v="2106.1933333333336"/>
    <n v="11827"/>
    <n v="10506"/>
    <n v="68819"/>
    <n v="63185.8"/>
    <m/>
    <m/>
    <m/>
    <m/>
    <m/>
    <m/>
    <m/>
    <m/>
    <n v="0"/>
    <n v="0"/>
    <n v="0"/>
    <n v="0"/>
    <m/>
    <m/>
    <n v="0"/>
    <n v="0"/>
  </r>
  <r>
    <x v="5"/>
    <s v="Owensboro Community and Technical College "/>
    <m/>
    <n v="247940"/>
    <x v="7"/>
    <m/>
    <m/>
    <m/>
    <m/>
    <n v="28784"/>
    <n v="32508.5"/>
    <n v="4870"/>
    <n v="4747"/>
    <n v="33846"/>
    <n v="35311.699999999997"/>
    <n v="67500"/>
    <n v="2250"/>
    <n v="72567.199999999997"/>
    <n v="2418.9066666666668"/>
    <n v="12790"/>
    <n v="15123.3"/>
    <n v="67500"/>
    <n v="72567.199999999997"/>
    <m/>
    <m/>
    <m/>
    <m/>
    <m/>
    <m/>
    <m/>
    <m/>
    <n v="0"/>
    <n v="0"/>
    <n v="0"/>
    <n v="0"/>
    <m/>
    <m/>
    <n v="0"/>
    <n v="0"/>
  </r>
  <r>
    <x v="5"/>
    <s v="Somerset Community and Technical College "/>
    <m/>
    <n v="157711"/>
    <x v="7"/>
    <m/>
    <m/>
    <m/>
    <m/>
    <n v="46791"/>
    <n v="41715.5"/>
    <n v="8692"/>
    <n v="7765"/>
    <n v="53780"/>
    <n v="49358.2"/>
    <n v="109263"/>
    <n v="3642.1"/>
    <n v="98838.7"/>
    <n v="3294.6233333333334"/>
    <n v="9099"/>
    <n v="9303.6"/>
    <n v="109263"/>
    <n v="98838.7"/>
    <m/>
    <m/>
    <m/>
    <m/>
    <m/>
    <m/>
    <m/>
    <m/>
    <n v="0"/>
    <n v="0"/>
    <n v="0"/>
    <n v="0"/>
    <m/>
    <m/>
    <n v="0"/>
    <n v="0"/>
  </r>
  <r>
    <x v="5"/>
    <s v="West Kentucky Community and Technical College"/>
    <m/>
    <n v="157483"/>
    <x v="7"/>
    <m/>
    <m/>
    <m/>
    <m/>
    <n v="42159"/>
    <n v="39758.400000000001"/>
    <n v="8666"/>
    <n v="7280"/>
    <n v="46158"/>
    <n v="45707.9"/>
    <n v="96983"/>
    <n v="3232.7666666666669"/>
    <n v="92746.3"/>
    <n v="3091.5433333333335"/>
    <n v="7840"/>
    <n v="8208.2999999999993"/>
    <n v="96983"/>
    <n v="92746.3"/>
    <m/>
    <m/>
    <m/>
    <m/>
    <m/>
    <m/>
    <m/>
    <m/>
    <n v="0"/>
    <n v="0"/>
    <n v="0"/>
    <n v="0"/>
    <m/>
    <m/>
    <n v="0"/>
    <n v="0"/>
  </r>
  <r>
    <x v="5"/>
    <s v="Hazard Community and Technical College"/>
    <m/>
    <n v="156790"/>
    <x v="8"/>
    <m/>
    <m/>
    <m/>
    <m/>
    <n v="22851"/>
    <n v="23361.3"/>
    <n v="5506"/>
    <n v="5706"/>
    <n v="26682"/>
    <n v="26283"/>
    <n v="55039"/>
    <n v="1834.6333333333334"/>
    <n v="55350.3"/>
    <n v="1845.01"/>
    <n v="6285"/>
    <n v="8211.7999999999993"/>
    <n v="55039"/>
    <n v="55350.3"/>
    <m/>
    <m/>
    <m/>
    <m/>
    <m/>
    <m/>
    <m/>
    <m/>
    <n v="0"/>
    <n v="0"/>
    <n v="0"/>
    <n v="0"/>
    <m/>
    <m/>
    <n v="0"/>
    <n v="0"/>
  </r>
  <r>
    <x v="5"/>
    <s v="Henderson Community College "/>
    <m/>
    <n v="156851"/>
    <x v="8"/>
    <m/>
    <m/>
    <m/>
    <m/>
    <n v="11819"/>
    <n v="10242"/>
    <n v="1726"/>
    <n v="1722"/>
    <n v="13875"/>
    <n v="12972"/>
    <n v="27420"/>
    <n v="914"/>
    <n v="24936"/>
    <n v="831.2"/>
    <n v="4379"/>
    <n v="3690"/>
    <n v="27420"/>
    <n v="24936"/>
    <m/>
    <m/>
    <m/>
    <m/>
    <m/>
    <m/>
    <m/>
    <m/>
    <n v="0"/>
    <n v="0"/>
    <n v="0"/>
    <n v="0"/>
    <m/>
    <m/>
    <n v="0"/>
    <n v="0"/>
  </r>
  <r>
    <x v="5"/>
    <s v="Hopkinsville Community College "/>
    <m/>
    <n v="156860"/>
    <x v="8"/>
    <m/>
    <m/>
    <m/>
    <m/>
    <n v="19816"/>
    <n v="19380"/>
    <n v="4253"/>
    <n v="4493"/>
    <n v="22883"/>
    <n v="21635"/>
    <n v="46952"/>
    <n v="1565.0666666666666"/>
    <n v="45508"/>
    <n v="1516.9333333333334"/>
    <n v="3821"/>
    <n v="4355"/>
    <n v="46952"/>
    <n v="45508"/>
    <m/>
    <m/>
    <m/>
    <m/>
    <m/>
    <m/>
    <m/>
    <m/>
    <n v="0"/>
    <n v="0"/>
    <n v="0"/>
    <n v="0"/>
    <m/>
    <m/>
    <n v="0"/>
    <n v="0"/>
  </r>
  <r>
    <x v="5"/>
    <s v="Madisonville Community College"/>
    <m/>
    <n v="157304"/>
    <x v="8"/>
    <m/>
    <m/>
    <m/>
    <m/>
    <n v="21275"/>
    <n v="21936.2"/>
    <n v="2999"/>
    <n v="3624"/>
    <n v="25709"/>
    <n v="26664.1"/>
    <n v="49983"/>
    <n v="1666.1"/>
    <n v="52224.3"/>
    <n v="1740.8100000000002"/>
    <n v="8252"/>
    <n v="9777"/>
    <n v="49983"/>
    <n v="52224.3"/>
    <m/>
    <m/>
    <m/>
    <m/>
    <m/>
    <m/>
    <m/>
    <m/>
    <n v="0"/>
    <n v="0"/>
    <n v="0"/>
    <n v="0"/>
    <m/>
    <m/>
    <n v="0"/>
    <n v="0"/>
  </r>
  <r>
    <x v="5"/>
    <s v="Southeast Kentucky Community and Technical College"/>
    <m/>
    <n v="157739"/>
    <x v="8"/>
    <m/>
    <m/>
    <m/>
    <m/>
    <n v="24213"/>
    <n v="21918.6"/>
    <n v="3843"/>
    <n v="3450"/>
    <n v="26846"/>
    <n v="27700.3"/>
    <n v="54902"/>
    <n v="1830.0666666666666"/>
    <n v="53068.899999999994"/>
    <n v="1768.9633333333331"/>
    <n v="6663"/>
    <n v="7467.2"/>
    <n v="54902"/>
    <n v="53068.899999999994"/>
    <m/>
    <m/>
    <m/>
    <m/>
    <m/>
    <m/>
    <m/>
    <m/>
    <n v="0"/>
    <n v="0"/>
    <n v="0"/>
    <n v="0"/>
    <m/>
    <m/>
    <n v="0"/>
    <n v="0"/>
  </r>
  <r>
    <x v="5"/>
    <s v="Gateway Community and Technical College"/>
    <m/>
    <n v="157438"/>
    <x v="9"/>
    <m/>
    <m/>
    <m/>
    <m/>
    <n v="30797"/>
    <n v="32837.800000000003"/>
    <n v="6036"/>
    <n v="6496"/>
    <n v="33583"/>
    <n v="36568.199999999997"/>
    <n v="70416"/>
    <n v="2347.1999999999998"/>
    <n v="75902"/>
    <n v="2530.0666666666666"/>
    <n v="9474"/>
    <n v="11804.5"/>
    <n v="70416"/>
    <n v="75902"/>
    <m/>
    <m/>
    <m/>
    <m/>
    <m/>
    <m/>
    <m/>
    <m/>
    <n v="0"/>
    <n v="0"/>
    <n v="0"/>
    <n v="0"/>
    <m/>
    <m/>
    <n v="0"/>
    <n v="0"/>
  </r>
  <r>
    <x v="5"/>
    <s v="Southcentral Kentucky Community and Technical College"/>
    <m/>
    <n v="156338"/>
    <x v="9"/>
    <m/>
    <m/>
    <m/>
    <m/>
    <n v="34390"/>
    <n v="35020"/>
    <n v="5482"/>
    <n v="5356"/>
    <n v="39672"/>
    <n v="39600.699999999997"/>
    <n v="79544"/>
    <n v="2651.4666666666667"/>
    <n v="79976.7"/>
    <n v="2665.89"/>
    <n v="8570"/>
    <n v="8476"/>
    <n v="79544"/>
    <n v="79976.7"/>
    <m/>
    <m/>
    <m/>
    <m/>
    <m/>
    <m/>
    <m/>
    <m/>
    <n v="0"/>
    <n v="0"/>
    <n v="0"/>
    <n v="0"/>
    <m/>
    <m/>
    <n v="0"/>
    <n v="0"/>
  </r>
  <r>
    <x v="6"/>
    <s v="Louisiana State University and A&amp;M College"/>
    <m/>
    <n v="159391"/>
    <x v="0"/>
    <m/>
    <m/>
    <m/>
    <m/>
    <n v="316305"/>
    <n v="319146"/>
    <n v="32275"/>
    <n v="28240"/>
    <n v="348772"/>
    <n v="354136"/>
    <n v="697352"/>
    <n v="23245.066666666666"/>
    <n v="701522"/>
    <n v="23384.066666666666"/>
    <n v="10766"/>
    <n v="13261"/>
    <n v="697352"/>
    <n v="701522"/>
    <m/>
    <m/>
    <m/>
    <m/>
    <m/>
    <m/>
    <m/>
    <m/>
    <n v="0"/>
    <n v="0"/>
    <n v="0"/>
    <n v="0"/>
    <m/>
    <m/>
    <n v="0"/>
    <n v="0"/>
  </r>
  <r>
    <x v="6"/>
    <s v="Louisiana Tech University "/>
    <m/>
    <n v="159647"/>
    <x v="1"/>
    <m/>
    <m/>
    <n v="80134"/>
    <n v="78585"/>
    <n v="84152"/>
    <n v="82208"/>
    <n v="14169"/>
    <n v="13356"/>
    <n v="95345"/>
    <n v="92816"/>
    <n v="273800"/>
    <n v="9126.6666666666661"/>
    <n v="266965"/>
    <n v="8898.8333333333339"/>
    <n v="24555"/>
    <n v="19972"/>
    <n v="273800"/>
    <n v="266965"/>
    <m/>
    <m/>
    <m/>
    <m/>
    <m/>
    <m/>
    <m/>
    <m/>
    <n v="0"/>
    <n v="0"/>
    <n v="0"/>
    <n v="0"/>
    <m/>
    <m/>
    <n v="0"/>
    <n v="0"/>
  </r>
  <r>
    <x v="6"/>
    <s v="University of Louisiana at Lafayette"/>
    <m/>
    <n v="160658"/>
    <x v="1"/>
    <m/>
    <m/>
    <m/>
    <m/>
    <n v="185695"/>
    <n v="177885"/>
    <n v="19040"/>
    <n v="17740"/>
    <n v="198161"/>
    <n v="190623"/>
    <n v="402896"/>
    <n v="13429.866666666667"/>
    <n v="386248"/>
    <n v="12874.933333333332"/>
    <n v="4956"/>
    <n v="5307"/>
    <n v="402896"/>
    <n v="386248"/>
    <m/>
    <m/>
    <m/>
    <m/>
    <m/>
    <m/>
    <m/>
    <m/>
    <n v="0"/>
    <n v="0"/>
    <n v="0"/>
    <n v="0"/>
    <m/>
    <m/>
    <n v="0"/>
    <n v="0"/>
  </r>
  <r>
    <x v="6"/>
    <s v="University of New Orleans"/>
    <m/>
    <n v="159939"/>
    <x v="1"/>
    <m/>
    <m/>
    <m/>
    <m/>
    <n v="71024"/>
    <n v="72248"/>
    <n v="12647"/>
    <n v="13044"/>
    <n v="79972"/>
    <n v="80373"/>
    <n v="163643"/>
    <n v="5454.7666666666664"/>
    <n v="165665"/>
    <n v="5522.166666666667"/>
    <n v="3451"/>
    <n v="4929"/>
    <n v="163643"/>
    <n v="165665"/>
    <m/>
    <m/>
    <m/>
    <m/>
    <m/>
    <m/>
    <m/>
    <m/>
    <n v="0"/>
    <n v="0"/>
    <n v="0"/>
    <n v="0"/>
    <m/>
    <m/>
    <n v="0"/>
    <n v="0"/>
  </r>
  <r>
    <x v="6"/>
    <s v="McNeese State University"/>
    <m/>
    <n v="159717"/>
    <x v="2"/>
    <m/>
    <m/>
    <m/>
    <m/>
    <n v="82529"/>
    <n v="83295"/>
    <n v="9745"/>
    <n v="9599"/>
    <n v="94065"/>
    <n v="89545"/>
    <n v="186339"/>
    <n v="6211.3"/>
    <n v="182439"/>
    <n v="6081.3"/>
    <n v="11291"/>
    <n v="10902"/>
    <n v="186339"/>
    <n v="182439"/>
    <m/>
    <m/>
    <m/>
    <m/>
    <m/>
    <m/>
    <m/>
    <m/>
    <n v="0"/>
    <n v="0"/>
    <n v="0"/>
    <n v="0"/>
    <m/>
    <m/>
    <n v="0"/>
    <n v="0"/>
  </r>
  <r>
    <x v="6"/>
    <s v="Southeastern Louisiana University "/>
    <m/>
    <n v="160612"/>
    <x v="2"/>
    <m/>
    <m/>
    <m/>
    <m/>
    <n v="149604"/>
    <n v="149827"/>
    <n v="17163"/>
    <n v="17379"/>
    <n v="158253"/>
    <n v="159246"/>
    <n v="325020"/>
    <n v="10834"/>
    <n v="326452"/>
    <n v="10881.733333333334"/>
    <n v="23996"/>
    <n v="21710"/>
    <n v="325020"/>
    <n v="326452"/>
    <m/>
    <m/>
    <m/>
    <m/>
    <m/>
    <m/>
    <m/>
    <m/>
    <n v="0"/>
    <n v="0"/>
    <n v="0"/>
    <n v="0"/>
    <m/>
    <m/>
    <n v="0"/>
    <n v="0"/>
  </r>
  <r>
    <x v="6"/>
    <s v="Southern University and A&amp;M College at Baton Rouge "/>
    <m/>
    <n v="160621"/>
    <x v="2"/>
    <m/>
    <m/>
    <m/>
    <m/>
    <n v="67250"/>
    <n v="70114"/>
    <n v="8759"/>
    <n v="9215"/>
    <n v="78310"/>
    <n v="79480"/>
    <n v="154319"/>
    <n v="5143.9666666666662"/>
    <n v="158809"/>
    <n v="5293.6333333333332"/>
    <n v="1698"/>
    <n v="2513"/>
    <n v="154319"/>
    <n v="158809"/>
    <m/>
    <m/>
    <m/>
    <m/>
    <m/>
    <m/>
    <m/>
    <m/>
    <n v="0"/>
    <n v="0"/>
    <n v="0"/>
    <n v="0"/>
    <m/>
    <m/>
    <n v="0"/>
    <n v="0"/>
  </r>
  <r>
    <x v="6"/>
    <s v="University of Louisiana at Monroe"/>
    <m/>
    <n v="159993"/>
    <x v="2"/>
    <m/>
    <m/>
    <m/>
    <m/>
    <n v="89035"/>
    <n v="85595"/>
    <n v="9075"/>
    <n v="8257"/>
    <n v="93200"/>
    <n v="86786"/>
    <n v="191310"/>
    <n v="6377"/>
    <n v="180638"/>
    <n v="6021.2666666666664"/>
    <n v="15582"/>
    <n v="12605"/>
    <n v="191310"/>
    <n v="180638"/>
    <m/>
    <m/>
    <m/>
    <m/>
    <m/>
    <m/>
    <m/>
    <m/>
    <n v="0"/>
    <n v="0"/>
    <n v="0"/>
    <n v="0"/>
    <m/>
    <m/>
    <n v="0"/>
    <n v="0"/>
  </r>
  <r>
    <x v="6"/>
    <s v="Grambling State University"/>
    <m/>
    <n v="159009"/>
    <x v="3"/>
    <m/>
    <m/>
    <m/>
    <m/>
    <n v="52306"/>
    <n v="52125"/>
    <n v="10159"/>
    <n v="9509"/>
    <n v="58800"/>
    <n v="58761"/>
    <n v="121265"/>
    <n v="4042.1666666666665"/>
    <n v="120395"/>
    <n v="4013.1666666666665"/>
    <n v="219"/>
    <n v="201"/>
    <n v="121265"/>
    <n v="120395"/>
    <m/>
    <m/>
    <m/>
    <m/>
    <m/>
    <m/>
    <m/>
    <m/>
    <n v="0"/>
    <n v="0"/>
    <n v="0"/>
    <n v="0"/>
    <m/>
    <m/>
    <n v="0"/>
    <n v="0"/>
  </r>
  <r>
    <x v="6"/>
    <s v="Louisiana State University in Shreveport"/>
    <m/>
    <n v="159416"/>
    <x v="3"/>
    <m/>
    <m/>
    <m/>
    <m/>
    <n v="27052"/>
    <n v="26007"/>
    <n v="4272"/>
    <n v="4865"/>
    <n v="27633"/>
    <n v="28983"/>
    <n v="58957"/>
    <n v="1965.2333333333333"/>
    <n v="59855"/>
    <n v="1995.1666666666667"/>
    <n v="3518"/>
    <n v="2506"/>
    <n v="58957"/>
    <n v="59855"/>
    <m/>
    <m/>
    <m/>
    <m/>
    <m/>
    <m/>
    <m/>
    <m/>
    <n v="0"/>
    <n v="0"/>
    <n v="0"/>
    <n v="0"/>
    <m/>
    <m/>
    <n v="0"/>
    <n v="0"/>
  </r>
  <r>
    <x v="6"/>
    <s v="Nicholls State University "/>
    <m/>
    <n v="159966"/>
    <x v="3"/>
    <m/>
    <m/>
    <m/>
    <m/>
    <n v="68990"/>
    <n v="71653"/>
    <n v="7890"/>
    <n v="7849"/>
    <n v="78544"/>
    <n v="79340"/>
    <n v="155424"/>
    <n v="5180.8"/>
    <n v="158842"/>
    <n v="5294.7333333333336"/>
    <n v="2079"/>
    <n v="1792"/>
    <n v="155424"/>
    <n v="158842"/>
    <m/>
    <m/>
    <m/>
    <m/>
    <m/>
    <m/>
    <m/>
    <m/>
    <n v="0"/>
    <n v="0"/>
    <n v="0"/>
    <n v="0"/>
    <m/>
    <m/>
    <n v="0"/>
    <n v="0"/>
  </r>
  <r>
    <x v="6"/>
    <s v="Northwestern State University"/>
    <m/>
    <n v="160038"/>
    <x v="3"/>
    <m/>
    <m/>
    <m/>
    <m/>
    <n v="105552"/>
    <n v="107797"/>
    <n v="15890"/>
    <n v="15708"/>
    <n v="117830"/>
    <n v="117171"/>
    <n v="239272"/>
    <n v="7975.7333333333336"/>
    <n v="240676"/>
    <n v="8022.5333333333338"/>
    <n v="8629"/>
    <n v="18051"/>
    <n v="239272"/>
    <n v="240676"/>
    <m/>
    <m/>
    <m/>
    <m/>
    <m/>
    <m/>
    <m/>
    <m/>
    <n v="0"/>
    <n v="0"/>
    <n v="0"/>
    <n v="0"/>
    <m/>
    <m/>
    <n v="0"/>
    <n v="0"/>
  </r>
  <r>
    <x v="6"/>
    <s v="Southern University at New Orleans"/>
    <m/>
    <n v="160630"/>
    <x v="4"/>
    <m/>
    <m/>
    <m/>
    <m/>
    <n v="23637"/>
    <n v="22074"/>
    <n v="2224"/>
    <n v="1939"/>
    <n v="22704"/>
    <n v="22264"/>
    <n v="48565"/>
    <n v="1618.8333333333333"/>
    <n v="46277"/>
    <n v="1542.5666666666666"/>
    <n v="1392"/>
    <n v="1494"/>
    <n v="48565"/>
    <n v="46277"/>
    <m/>
    <m/>
    <m/>
    <m/>
    <m/>
    <m/>
    <m/>
    <m/>
    <n v="0"/>
    <n v="0"/>
    <n v="0"/>
    <n v="0"/>
    <m/>
    <m/>
    <n v="0"/>
    <n v="0"/>
  </r>
  <r>
    <x v="6"/>
    <s v="Louisiana State University at Alexandria"/>
    <m/>
    <n v="159382"/>
    <x v="5"/>
    <m/>
    <m/>
    <m/>
    <m/>
    <n v="31745"/>
    <n v="30627"/>
    <n v="8094"/>
    <n v="8421"/>
    <n v="34601"/>
    <n v="35962"/>
    <n v="74440"/>
    <n v="2481.3333333333335"/>
    <n v="75010"/>
    <n v="2500.3333333333335"/>
    <n v="6297"/>
    <n v="5600"/>
    <n v="74440"/>
    <n v="75010"/>
    <m/>
    <m/>
    <m/>
    <m/>
    <m/>
    <m/>
    <m/>
    <m/>
    <n v="0"/>
    <n v="0"/>
    <n v="0"/>
    <n v="0"/>
    <m/>
    <m/>
    <n v="0"/>
    <n v="0"/>
  </r>
  <r>
    <x v="6"/>
    <s v="Baton Rouge Community College"/>
    <m/>
    <n v="437103"/>
    <x v="6"/>
    <m/>
    <m/>
    <m/>
    <m/>
    <n v="70184"/>
    <n v="72063"/>
    <n v="16709"/>
    <n v="16546"/>
    <n v="80684"/>
    <n v="78188"/>
    <n v="167577"/>
    <n v="5585.9"/>
    <n v="166797"/>
    <n v="5559.9"/>
    <n v="3398"/>
    <n v="3641"/>
    <n v="167577"/>
    <n v="166797"/>
    <m/>
    <m/>
    <m/>
    <m/>
    <m/>
    <m/>
    <m/>
    <m/>
    <n v="0"/>
    <n v="0"/>
    <n v="0"/>
    <n v="0"/>
    <m/>
    <m/>
    <n v="0"/>
    <n v="0"/>
  </r>
  <r>
    <x v="6"/>
    <s v="Bossier Parish Community College"/>
    <s v="Reclassified: Met the criteria for Two-Year 2 in 2017-18, 2018-19, and 2019-20."/>
    <n v="158431"/>
    <x v="7"/>
    <m/>
    <m/>
    <n v="0"/>
    <n v="0"/>
    <n v="62699"/>
    <n v="59337"/>
    <n v="12759"/>
    <n v="12059"/>
    <n v="65488"/>
    <n v="62994"/>
    <n v="140946"/>
    <n v="4698.2"/>
    <n v="134390"/>
    <n v="4479.666666666667"/>
    <n v="4338"/>
    <n v="4854"/>
    <n v="140946"/>
    <n v="134390"/>
    <m/>
    <m/>
    <m/>
    <m/>
    <m/>
    <m/>
    <m/>
    <m/>
    <n v="0"/>
    <n v="0"/>
    <n v="0"/>
    <n v="0"/>
    <m/>
    <m/>
    <n v="0"/>
    <n v="0"/>
  </r>
  <r>
    <x v="6"/>
    <s v="Delgado Community College "/>
    <m/>
    <n v="158662"/>
    <x v="6"/>
    <m/>
    <m/>
    <m/>
    <m/>
    <n v="120475"/>
    <n v="119342"/>
    <n v="25124"/>
    <n v="25668"/>
    <n v="130349"/>
    <n v="128503"/>
    <n v="275948"/>
    <n v="9198.2666666666664"/>
    <n v="273513"/>
    <n v="9117.1"/>
    <n v="6172"/>
    <n v="6961"/>
    <n v="275948"/>
    <n v="273513"/>
    <m/>
    <m/>
    <m/>
    <m/>
    <m/>
    <m/>
    <m/>
    <m/>
    <n v="0"/>
    <n v="0"/>
    <n v="0"/>
    <n v="0"/>
    <m/>
    <m/>
    <n v="0"/>
    <n v="0"/>
  </r>
  <r>
    <x v="6"/>
    <s v="Louisiana Delta Community College"/>
    <m/>
    <n v="483212"/>
    <x v="7"/>
    <m/>
    <m/>
    <m/>
    <m/>
    <n v="33475"/>
    <n v="37133"/>
    <n v="9777"/>
    <n v="12240"/>
    <n v="37048"/>
    <n v="42692.5"/>
    <n v="80300"/>
    <n v="2676.6666666666665"/>
    <n v="92065.5"/>
    <n v="3068.85"/>
    <n v="4640"/>
    <n v="4869"/>
    <n v="80300"/>
    <n v="92065.5"/>
    <m/>
    <m/>
    <m/>
    <m/>
    <m/>
    <m/>
    <m/>
    <m/>
    <n v="0"/>
    <n v="0"/>
    <n v="0"/>
    <n v="0"/>
    <m/>
    <m/>
    <n v="0"/>
    <n v="0"/>
  </r>
  <r>
    <x v="6"/>
    <s v="South Louisiana Community College"/>
    <m/>
    <n v="434061"/>
    <x v="7"/>
    <m/>
    <m/>
    <m/>
    <m/>
    <n v="60478"/>
    <n v="58167"/>
    <n v="13905"/>
    <n v="15709"/>
    <n v="64028"/>
    <n v="69068"/>
    <n v="138411"/>
    <n v="4613.7"/>
    <n v="142944"/>
    <n v="4764.8"/>
    <n v="10338"/>
    <n v="12335"/>
    <n v="138411"/>
    <n v="142944"/>
    <m/>
    <m/>
    <m/>
    <m/>
    <m/>
    <m/>
    <m/>
    <m/>
    <n v="0"/>
    <n v="0"/>
    <n v="0"/>
    <n v="0"/>
    <m/>
    <m/>
    <n v="0"/>
    <n v="0"/>
  </r>
  <r>
    <x v="6"/>
    <s v="Southern University in Shreveport"/>
    <m/>
    <n v="160649"/>
    <x v="7"/>
    <m/>
    <m/>
    <m/>
    <m/>
    <n v="24085"/>
    <n v="24894"/>
    <n v="9150"/>
    <n v="9753"/>
    <n v="27062"/>
    <n v="31001"/>
    <n v="60297"/>
    <n v="2009.9"/>
    <n v="65648"/>
    <n v="2188.2666666666669"/>
    <n v="4403"/>
    <n v="4219"/>
    <n v="60297"/>
    <n v="65648"/>
    <m/>
    <m/>
    <m/>
    <m/>
    <m/>
    <m/>
    <m/>
    <m/>
    <n v="0"/>
    <n v="0"/>
    <n v="0"/>
    <n v="0"/>
    <m/>
    <m/>
    <n v="0"/>
    <n v="0"/>
  </r>
  <r>
    <x v="6"/>
    <s v="Louisiana State University at Eunice"/>
    <s v="Met the criteria for Two-Year 2 in 2018-19 and 2019-20."/>
    <n v="159407"/>
    <x v="8"/>
    <m/>
    <m/>
    <m/>
    <m/>
    <n v="27271"/>
    <n v="27806"/>
    <n v="3678"/>
    <n v="3542"/>
    <n v="32229"/>
    <n v="30533"/>
    <n v="63178"/>
    <n v="2105.9333333333334"/>
    <n v="61881"/>
    <n v="2062.6999999999998"/>
    <n v="5583"/>
    <n v="5257"/>
    <n v="63178"/>
    <n v="61881"/>
    <m/>
    <m/>
    <m/>
    <m/>
    <m/>
    <m/>
    <m/>
    <m/>
    <n v="0"/>
    <n v="0"/>
    <n v="0"/>
    <n v="0"/>
    <m/>
    <m/>
    <n v="0"/>
    <n v="0"/>
  </r>
  <r>
    <x v="6"/>
    <s v="Nunez Community College"/>
    <m/>
    <n v="158884"/>
    <x v="8"/>
    <m/>
    <m/>
    <m/>
    <m/>
    <n v="20227"/>
    <n v="19433"/>
    <n v="4120"/>
    <n v="4101"/>
    <n v="21173"/>
    <n v="20306"/>
    <n v="45520"/>
    <n v="1517.3333333333333"/>
    <n v="43840"/>
    <n v="1461.3333333333333"/>
    <n v="8426"/>
    <n v="4571"/>
    <n v="45520"/>
    <n v="43840"/>
    <m/>
    <m/>
    <m/>
    <m/>
    <m/>
    <m/>
    <m/>
    <m/>
    <n v="0"/>
    <n v="0"/>
    <n v="0"/>
    <n v="0"/>
    <m/>
    <m/>
    <n v="0"/>
    <n v="0"/>
  </r>
  <r>
    <x v="6"/>
    <s v="River Parishes Community College"/>
    <s v="Met the criteria for Two-Year 2 in 2018-19 and 2019-20."/>
    <n v="436304"/>
    <x v="8"/>
    <m/>
    <m/>
    <m/>
    <m/>
    <n v="27519"/>
    <n v="26604"/>
    <n v="5771"/>
    <n v="5434"/>
    <n v="32014"/>
    <n v="29482"/>
    <n v="65304"/>
    <n v="2176.8000000000002"/>
    <n v="61520"/>
    <n v="2050.6666666666665"/>
    <n v="11212"/>
    <n v="9243"/>
    <n v="65304"/>
    <n v="61520"/>
    <m/>
    <m/>
    <m/>
    <m/>
    <m/>
    <m/>
    <m/>
    <m/>
    <n v="0"/>
    <n v="0"/>
    <n v="0"/>
    <n v="0"/>
    <m/>
    <m/>
    <n v="0"/>
    <n v="0"/>
  </r>
  <r>
    <x v="6"/>
    <s v="Central LA Technical Community College"/>
    <m/>
    <n v="158088"/>
    <x v="9"/>
    <m/>
    <m/>
    <m/>
    <m/>
    <n v="15695"/>
    <n v="18799"/>
    <n v="3963"/>
    <n v="3746"/>
    <n v="23966"/>
    <n v="22989"/>
    <n v="43624"/>
    <n v="1454.1333333333334"/>
    <n v="45534"/>
    <n v="1517.8"/>
    <n v="8689"/>
    <n v="7479"/>
    <n v="43624"/>
    <n v="45534"/>
    <m/>
    <m/>
    <m/>
    <m/>
    <m/>
    <m/>
    <m/>
    <m/>
    <n v="0"/>
    <n v="0"/>
    <n v="0"/>
    <n v="0"/>
    <m/>
    <m/>
    <n v="0"/>
    <n v="0"/>
  </r>
  <r>
    <x v="6"/>
    <s v="L.E. Fletcher Technical Community College"/>
    <m/>
    <n v="160481"/>
    <x v="9"/>
    <m/>
    <m/>
    <m/>
    <m/>
    <n v="19423"/>
    <n v="20445"/>
    <n v="3705"/>
    <n v="3635"/>
    <n v="21347"/>
    <n v="24164"/>
    <n v="44475"/>
    <n v="1482.5"/>
    <n v="48244"/>
    <n v="1608.1333333333334"/>
    <n v="2191"/>
    <n v="2390"/>
    <n v="44475"/>
    <n v="48244"/>
    <m/>
    <m/>
    <m/>
    <m/>
    <m/>
    <m/>
    <m/>
    <m/>
    <n v="0"/>
    <n v="0"/>
    <n v="0"/>
    <n v="0"/>
    <m/>
    <m/>
    <n v="0"/>
    <n v="0"/>
  </r>
  <r>
    <x v="6"/>
    <s v="Northshore Technical College"/>
    <m/>
    <n v="160667"/>
    <x v="9"/>
    <m/>
    <m/>
    <m/>
    <m/>
    <n v="29045"/>
    <n v="30112"/>
    <n v="5055"/>
    <n v="4642"/>
    <n v="34276"/>
    <n v="33719"/>
    <n v="68376"/>
    <n v="2279.1999999999998"/>
    <n v="68473"/>
    <n v="2282.4333333333334"/>
    <n v="9506"/>
    <n v="8635"/>
    <n v="68376"/>
    <n v="68473"/>
    <m/>
    <m/>
    <m/>
    <m/>
    <m/>
    <m/>
    <m/>
    <m/>
    <n v="0"/>
    <n v="0"/>
    <n v="0"/>
    <n v="0"/>
    <m/>
    <m/>
    <n v="0"/>
    <n v="0"/>
  </r>
  <r>
    <x v="6"/>
    <s v="Northwest LA Technical College"/>
    <s v="Reclassified: Met the criteria for Technical Institute or College 2 in 2017-18, 2018-19, and 2019-20."/>
    <n v="160010"/>
    <x v="10"/>
    <m/>
    <m/>
    <m/>
    <m/>
    <n v="9375"/>
    <n v="10079"/>
    <n v="3612"/>
    <n v="3517"/>
    <n v="10330"/>
    <n v="11022"/>
    <n v="23317"/>
    <n v="777.23333333333335"/>
    <n v="24618"/>
    <n v="820.6"/>
    <n v="1346"/>
    <n v="1439"/>
    <n v="23317"/>
    <n v="24618"/>
    <m/>
    <m/>
    <m/>
    <m/>
    <m/>
    <m/>
    <m/>
    <m/>
    <n v="0"/>
    <n v="0"/>
    <n v="0"/>
    <n v="0"/>
    <m/>
    <m/>
    <n v="0"/>
    <n v="0"/>
  </r>
  <r>
    <x v="6"/>
    <s v="South Central LA Technical College"/>
    <s v="*Delete after 2017-18; campuses have been absorbed into other institutions."/>
    <n v="160913"/>
    <x v="9"/>
    <m/>
    <m/>
    <m/>
    <m/>
    <m/>
    <m/>
    <m/>
    <m/>
    <m/>
    <m/>
    <n v="0"/>
    <n v="0"/>
    <n v="0"/>
    <n v="0"/>
    <m/>
    <m/>
    <n v="0"/>
    <n v="0"/>
    <m/>
    <m/>
    <m/>
    <m/>
    <m/>
    <m/>
    <m/>
    <m/>
    <n v="0"/>
    <n v="0"/>
    <n v="0"/>
    <n v="0"/>
    <m/>
    <m/>
    <n v="0"/>
    <n v="0"/>
  </r>
  <r>
    <x v="6"/>
    <s v="Sowela Technical Community College"/>
    <m/>
    <n v="160579"/>
    <x v="9"/>
    <m/>
    <m/>
    <m/>
    <m/>
    <n v="30801"/>
    <n v="31282"/>
    <n v="5207"/>
    <n v="5870"/>
    <n v="34680"/>
    <n v="37313.5"/>
    <n v="70688"/>
    <n v="2356.2666666666669"/>
    <n v="74465.5"/>
    <n v="2482.1833333333334"/>
    <n v="4884.5"/>
    <n v="5305"/>
    <n v="70688"/>
    <n v="74465.5"/>
    <m/>
    <m/>
    <m/>
    <m/>
    <m/>
    <m/>
    <m/>
    <m/>
    <n v="0"/>
    <n v="0"/>
    <n v="0"/>
    <n v="0"/>
    <m/>
    <m/>
    <n v="0"/>
    <n v="0"/>
  </r>
  <r>
    <x v="6"/>
    <s v="Southern University Law Center"/>
    <m/>
    <n v="440916"/>
    <x v="13"/>
    <m/>
    <m/>
    <m/>
    <m/>
    <m/>
    <m/>
    <m/>
    <m/>
    <m/>
    <m/>
    <n v="0"/>
    <n v="0"/>
    <n v="0"/>
    <n v="0"/>
    <m/>
    <m/>
    <n v="0"/>
    <n v="0"/>
    <m/>
    <m/>
    <m/>
    <m/>
    <m/>
    <m/>
    <m/>
    <m/>
    <n v="0"/>
    <n v="0"/>
    <n v="0"/>
    <n v="0"/>
    <m/>
    <m/>
    <n v="0"/>
    <n v="0"/>
  </r>
  <r>
    <x v="7"/>
    <s v="University of Maryland College Park"/>
    <m/>
    <n v="163286"/>
    <x v="0"/>
    <s v="sem"/>
    <s v="sem"/>
    <n v="11705"/>
    <n v="11515"/>
    <n v="399625"/>
    <n v="407236"/>
    <n v="33864"/>
    <n v="33091"/>
    <n v="418828"/>
    <n v="420148"/>
    <n v="864022"/>
    <n v="28800.733333333334"/>
    <n v="871990"/>
    <n v="29066.333333333332"/>
    <m/>
    <m/>
    <n v="0"/>
    <n v="0"/>
    <m/>
    <m/>
    <m/>
    <m/>
    <m/>
    <m/>
    <m/>
    <m/>
    <n v="0"/>
    <n v="0"/>
    <n v="0"/>
    <n v="0"/>
    <m/>
    <m/>
    <n v="0"/>
    <n v="0"/>
  </r>
  <r>
    <x v="7"/>
    <s v="Morgan State University"/>
    <m/>
    <n v="163453"/>
    <x v="1"/>
    <s v="sem"/>
    <s v="sem"/>
    <n v="2569"/>
    <n v="2475"/>
    <n v="86513"/>
    <n v="83996"/>
    <n v="8311"/>
    <n v="9125"/>
    <n v="92888"/>
    <n v="88915"/>
    <n v="190281"/>
    <n v="6342.7"/>
    <n v="184511"/>
    <n v="6150.3666666666668"/>
    <m/>
    <m/>
    <n v="0"/>
    <n v="0"/>
    <m/>
    <m/>
    <m/>
    <m/>
    <m/>
    <m/>
    <m/>
    <m/>
    <n v="0"/>
    <n v="0"/>
    <n v="0"/>
    <n v="0"/>
    <m/>
    <m/>
    <n v="0"/>
    <n v="0"/>
  </r>
  <r>
    <x v="7"/>
    <s v="University of Maryland, Baltimore County"/>
    <m/>
    <n v="163268"/>
    <x v="1"/>
    <s v="sem"/>
    <s v="sem"/>
    <n v="6707"/>
    <n v="5503.5"/>
    <n v="143359"/>
    <n v="142356"/>
    <n v="18810.5"/>
    <n v="17117"/>
    <n v="153546.5"/>
    <n v="149312"/>
    <n v="322423"/>
    <n v="10747.433333333332"/>
    <n v="314288.5"/>
    <n v="10476.283333333333"/>
    <m/>
    <m/>
    <n v="0"/>
    <n v="0"/>
    <m/>
    <m/>
    <m/>
    <m/>
    <m/>
    <m/>
    <m/>
    <m/>
    <n v="0"/>
    <n v="0"/>
    <n v="0"/>
    <n v="0"/>
    <m/>
    <m/>
    <n v="0"/>
    <n v="0"/>
  </r>
  <r>
    <x v="7"/>
    <s v="Towson University "/>
    <m/>
    <n v="164076"/>
    <x v="2"/>
    <s v="sem"/>
    <s v="sem"/>
    <n v="7074"/>
    <n v="7207"/>
    <n v="250063.5"/>
    <n v="251636"/>
    <n v="24855"/>
    <n v="23905"/>
    <n v="268856"/>
    <n v="266658.5"/>
    <n v="550848.5"/>
    <n v="18361.616666666665"/>
    <n v="549406.5"/>
    <n v="18313.55"/>
    <m/>
    <m/>
    <n v="0"/>
    <n v="0"/>
    <m/>
    <m/>
    <m/>
    <m/>
    <m/>
    <m/>
    <m/>
    <m/>
    <n v="0"/>
    <n v="0"/>
    <n v="0"/>
    <n v="0"/>
    <m/>
    <m/>
    <n v="0"/>
    <n v="0"/>
  </r>
  <r>
    <x v="7"/>
    <s v="University of Baltimore"/>
    <m/>
    <n v="161873"/>
    <x v="2"/>
    <s v="sem"/>
    <s v="sem"/>
    <n v="335"/>
    <n v="252"/>
    <n v="28346"/>
    <n v="24283"/>
    <n v="3241"/>
    <n v="2690"/>
    <n v="26793"/>
    <n v="21925"/>
    <n v="58715"/>
    <n v="1957.1666666666667"/>
    <n v="49150"/>
    <n v="1638.3333333333333"/>
    <m/>
    <m/>
    <n v="0"/>
    <n v="0"/>
    <m/>
    <m/>
    <m/>
    <m/>
    <m/>
    <m/>
    <m/>
    <m/>
    <n v="0"/>
    <n v="0"/>
    <n v="0"/>
    <n v="0"/>
    <m/>
    <m/>
    <n v="0"/>
    <n v="0"/>
  </r>
  <r>
    <x v="7"/>
    <s v="Bowie State University "/>
    <s v="Met the criteria for Four-Year 3 in 2018-19 and 2019-20."/>
    <n v="162007"/>
    <x v="3"/>
    <s v="sem"/>
    <s v="sem"/>
    <n v="1579"/>
    <n v="1608"/>
    <n v="64650"/>
    <n v="62691"/>
    <n v="6887"/>
    <n v="7096"/>
    <n v="71042"/>
    <n v="70243"/>
    <n v="144158"/>
    <n v="4805.2666666666664"/>
    <n v="141638"/>
    <n v="4721.2666666666664"/>
    <m/>
    <m/>
    <n v="0"/>
    <n v="0"/>
    <m/>
    <m/>
    <m/>
    <m/>
    <m/>
    <m/>
    <m/>
    <m/>
    <n v="0"/>
    <n v="0"/>
    <n v="0"/>
    <n v="0"/>
    <m/>
    <m/>
    <n v="0"/>
    <n v="0"/>
  </r>
  <r>
    <x v="7"/>
    <s v="Frostburg State University "/>
    <m/>
    <n v="162584"/>
    <x v="3"/>
    <s v="sem"/>
    <s v="sem"/>
    <n v="2353"/>
    <n v="2368"/>
    <n v="57445.5"/>
    <n v="53759"/>
    <n v="7105"/>
    <n v="8272"/>
    <n v="62083.5"/>
    <n v="58494"/>
    <n v="128987"/>
    <n v="4299.5666666666666"/>
    <n v="122893"/>
    <n v="4096.4333333333334"/>
    <m/>
    <m/>
    <n v="0"/>
    <n v="0"/>
    <m/>
    <m/>
    <m/>
    <m/>
    <m/>
    <m/>
    <m/>
    <m/>
    <n v="0"/>
    <n v="0"/>
    <n v="0"/>
    <n v="0"/>
    <m/>
    <m/>
    <n v="0"/>
    <n v="0"/>
  </r>
  <r>
    <x v="7"/>
    <s v="Salisbury University "/>
    <m/>
    <n v="163851"/>
    <x v="3"/>
    <s v="sem"/>
    <s v="sem"/>
    <n v="5182"/>
    <n v="5199"/>
    <n v="106324"/>
    <n v="104797"/>
    <n v="6365"/>
    <n v="6156"/>
    <n v="110303"/>
    <n v="110435"/>
    <n v="228174"/>
    <n v="7605.8"/>
    <n v="226587"/>
    <n v="7552.9"/>
    <m/>
    <m/>
    <n v="0"/>
    <n v="0"/>
    <m/>
    <m/>
    <m/>
    <m/>
    <m/>
    <m/>
    <m/>
    <m/>
    <n v="0"/>
    <n v="0"/>
    <n v="0"/>
    <n v="0"/>
    <m/>
    <m/>
    <n v="0"/>
    <n v="0"/>
  </r>
  <r>
    <x v="7"/>
    <s v="University of Maryland Eastern Shore "/>
    <m/>
    <n v="163338"/>
    <x v="3"/>
    <s v="sem"/>
    <s v="sem"/>
    <n v="832"/>
    <n v="778.5"/>
    <n v="36644"/>
    <n v="32036"/>
    <n v="2882"/>
    <n v="2400"/>
    <n v="37852"/>
    <n v="33546.5"/>
    <n v="78210"/>
    <n v="2607"/>
    <n v="68761"/>
    <n v="2292.0333333333333"/>
    <m/>
    <m/>
    <n v="0"/>
    <n v="0"/>
    <m/>
    <m/>
    <m/>
    <m/>
    <m/>
    <m/>
    <m/>
    <m/>
    <n v="0"/>
    <n v="0"/>
    <n v="0"/>
    <n v="0"/>
    <m/>
    <m/>
    <n v="0"/>
    <n v="0"/>
  </r>
  <r>
    <x v="7"/>
    <s v="Coppin State University"/>
    <s v="Met the criteria for Four-Year 4 in 2019-20."/>
    <n v="162283"/>
    <x v="4"/>
    <s v="sem"/>
    <s v="sem"/>
    <n v="255"/>
    <n v="213"/>
    <n v="29158"/>
    <n v="27459"/>
    <n v="1473"/>
    <n v="1349"/>
    <n v="30829"/>
    <n v="31245"/>
    <n v="61715"/>
    <n v="2057.1666666666665"/>
    <n v="60266"/>
    <n v="2008.8666666666666"/>
    <m/>
    <m/>
    <n v="0"/>
    <n v="0"/>
    <m/>
    <m/>
    <m/>
    <m/>
    <m/>
    <m/>
    <m/>
    <m/>
    <n v="0"/>
    <n v="0"/>
    <n v="0"/>
    <n v="0"/>
    <m/>
    <m/>
    <n v="0"/>
    <n v="0"/>
  </r>
  <r>
    <x v="7"/>
    <s v="Saint Mary's College of Maryland"/>
    <m/>
    <n v="163912"/>
    <x v="5"/>
    <s v="sem"/>
    <s v="sem"/>
    <n v="0"/>
    <n v="0"/>
    <n v="22726.5"/>
    <n v="22736.5"/>
    <n v="1131"/>
    <n v="1409"/>
    <n v="24228"/>
    <n v="22716.5"/>
    <n v="48085.5"/>
    <n v="1602.85"/>
    <n v="46862"/>
    <n v="1562.0666666666666"/>
    <m/>
    <m/>
    <n v="0"/>
    <n v="0"/>
    <m/>
    <m/>
    <m/>
    <m/>
    <m/>
    <m/>
    <m/>
    <m/>
    <n v="0"/>
    <n v="0"/>
    <n v="0"/>
    <n v="0"/>
    <m/>
    <m/>
    <n v="0"/>
    <n v="0"/>
  </r>
  <r>
    <x v="7"/>
    <s v="Anne Arundel Community College "/>
    <m/>
    <n v="161767"/>
    <x v="6"/>
    <s v="sem"/>
    <s v="sem"/>
    <n v="5003"/>
    <n v="4968"/>
    <n v="96663"/>
    <n v="93417"/>
    <n v="25311"/>
    <n v="25001"/>
    <n v="106526"/>
    <n v="103748"/>
    <n v="233503"/>
    <n v="7783.4333333333334"/>
    <n v="227134"/>
    <n v="7571.1333333333332"/>
    <m/>
    <m/>
    <n v="0"/>
    <n v="0"/>
    <m/>
    <m/>
    <m/>
    <m/>
    <m/>
    <m/>
    <m/>
    <m/>
    <n v="0"/>
    <n v="0"/>
    <n v="0"/>
    <n v="0"/>
    <m/>
    <m/>
    <n v="0"/>
    <n v="0"/>
  </r>
  <r>
    <x v="7"/>
    <s v="College of Southern Maryland"/>
    <s v="Reclassified: Met the criteria for Two-Year 2 in 2017-18, 2018-19, and 2019-20."/>
    <n v="162122"/>
    <x v="7"/>
    <s v="sem"/>
    <s v="sem"/>
    <n v="0"/>
    <n v="0"/>
    <n v="60172"/>
    <n v="56368"/>
    <n v="12536"/>
    <n v="11755"/>
    <n v="61024"/>
    <n v="55258"/>
    <n v="133732"/>
    <n v="4457.7333333333336"/>
    <n v="123381"/>
    <n v="4112.7"/>
    <m/>
    <m/>
    <n v="0"/>
    <n v="0"/>
    <m/>
    <m/>
    <m/>
    <m/>
    <m/>
    <m/>
    <m/>
    <m/>
    <n v="0"/>
    <n v="0"/>
    <n v="0"/>
    <n v="0"/>
    <m/>
    <m/>
    <n v="0"/>
    <n v="0"/>
  </r>
  <r>
    <x v="7"/>
    <s v="Community College of Baltimore County (all campuses)"/>
    <m/>
    <n v="434672"/>
    <x v="6"/>
    <s v="sem"/>
    <s v="sem"/>
    <n v="9742"/>
    <n v="9415"/>
    <n v="144180"/>
    <n v="132304"/>
    <n v="32225"/>
    <n v="30120"/>
    <n v="158375"/>
    <n v="146813"/>
    <n v="344522"/>
    <n v="11484.066666666668"/>
    <n v="318652"/>
    <n v="10621.733333333334"/>
    <m/>
    <m/>
    <n v="0"/>
    <n v="0"/>
    <m/>
    <m/>
    <m/>
    <m/>
    <m/>
    <m/>
    <m/>
    <m/>
    <n v="0"/>
    <n v="0"/>
    <n v="0"/>
    <n v="0"/>
    <m/>
    <m/>
    <n v="0"/>
    <n v="0"/>
  </r>
  <r>
    <x v="7"/>
    <s v="Howard Community College "/>
    <m/>
    <n v="162779"/>
    <x v="6"/>
    <s v="sem"/>
    <s v="sem"/>
    <n v="6018"/>
    <n v="5493"/>
    <n v="76807"/>
    <n v="73747"/>
    <n v="19431"/>
    <n v="17921"/>
    <n v="82396"/>
    <n v="77773"/>
    <n v="184652"/>
    <n v="6155.0666666666666"/>
    <n v="174934"/>
    <n v="5831.1333333333332"/>
    <m/>
    <m/>
    <n v="0"/>
    <n v="0"/>
    <m/>
    <m/>
    <m/>
    <m/>
    <m/>
    <m/>
    <m/>
    <m/>
    <n v="0"/>
    <n v="0"/>
    <n v="0"/>
    <n v="0"/>
    <m/>
    <m/>
    <n v="0"/>
    <n v="0"/>
  </r>
  <r>
    <x v="7"/>
    <s v="Montgomery College (all campuses)"/>
    <m/>
    <n v="163426"/>
    <x v="6"/>
    <s v="sem"/>
    <s v="sem"/>
    <n v="5344"/>
    <n v="6715"/>
    <n v="246854"/>
    <n v="241915.5"/>
    <n v="152292"/>
    <n v="158532"/>
    <n v="245358"/>
    <n v="244043"/>
    <n v="649848"/>
    <n v="21661.599999999999"/>
    <n v="651205.5"/>
    <n v="21706.85"/>
    <m/>
    <m/>
    <n v="0"/>
    <n v="0"/>
    <m/>
    <m/>
    <m/>
    <m/>
    <m/>
    <m/>
    <m/>
    <m/>
    <n v="0"/>
    <n v="0"/>
    <n v="0"/>
    <n v="0"/>
    <m/>
    <m/>
    <n v="0"/>
    <n v="0"/>
  </r>
  <r>
    <x v="7"/>
    <s v="Prince George's Community College "/>
    <m/>
    <n v="163657"/>
    <x v="6"/>
    <s v="sem"/>
    <s v="sem"/>
    <n v="0"/>
    <n v="978"/>
    <n v="161540"/>
    <n v="168618"/>
    <n v="69197"/>
    <n v="69917"/>
    <n v="160958"/>
    <n v="164595"/>
    <n v="391695"/>
    <n v="13056.5"/>
    <n v="404108"/>
    <n v="13470.266666666666"/>
    <m/>
    <m/>
    <n v="0"/>
    <n v="0"/>
    <m/>
    <m/>
    <m/>
    <m/>
    <m/>
    <m/>
    <m/>
    <m/>
    <n v="0"/>
    <n v="0"/>
    <n v="0"/>
    <n v="0"/>
    <m/>
    <m/>
    <n v="0"/>
    <n v="0"/>
  </r>
  <r>
    <x v="7"/>
    <s v="Baltimore City Community College"/>
    <m/>
    <n v="161864"/>
    <x v="7"/>
    <s v="sem"/>
    <s v="sem"/>
    <n v="210"/>
    <n v="86"/>
    <n v="34636.5"/>
    <n v="36214"/>
    <n v="7396"/>
    <n v="7432"/>
    <n v="40748.9"/>
    <n v="41555"/>
    <n v="82991.399999999994"/>
    <n v="2766.3799999999997"/>
    <n v="85287"/>
    <n v="2842.9"/>
    <m/>
    <m/>
    <n v="0"/>
    <n v="0"/>
    <m/>
    <m/>
    <m/>
    <m/>
    <m/>
    <m/>
    <m/>
    <m/>
    <n v="0"/>
    <n v="0"/>
    <n v="0"/>
    <n v="0"/>
    <m/>
    <m/>
    <n v="0"/>
    <n v="0"/>
  </r>
  <r>
    <x v="7"/>
    <s v="Carroll Community College"/>
    <s v="Met the criteria for Two-Year 3 in 2018-19 and 2019-20."/>
    <n v="405872"/>
    <x v="7"/>
    <s v="sem"/>
    <s v="sem"/>
    <n v="2787"/>
    <n v="26243"/>
    <n v="23838"/>
    <n v="22950.5"/>
    <n v="4992"/>
    <n v="4661"/>
    <n v="26972.5"/>
    <n v="2178"/>
    <n v="58589.5"/>
    <n v="1952.9833333333333"/>
    <n v="56032.5"/>
    <n v="1867.75"/>
    <m/>
    <m/>
    <n v="0"/>
    <n v="0"/>
    <m/>
    <m/>
    <m/>
    <m/>
    <m/>
    <m/>
    <m/>
    <m/>
    <n v="0"/>
    <n v="0"/>
    <n v="0"/>
    <n v="0"/>
    <m/>
    <m/>
    <n v="0"/>
    <n v="0"/>
  </r>
  <r>
    <x v="7"/>
    <s v="Frederick Community College "/>
    <m/>
    <n v="162557"/>
    <x v="7"/>
    <s v="sem"/>
    <s v="sem"/>
    <n v="1363"/>
    <n v="1389"/>
    <n v="46865"/>
    <n v="46713"/>
    <n v="9326"/>
    <n v="9000"/>
    <n v="50148"/>
    <n v="50384"/>
    <n v="107702"/>
    <n v="3590.0666666666666"/>
    <n v="107486"/>
    <n v="3582.8666666666668"/>
    <m/>
    <m/>
    <n v="0"/>
    <n v="0"/>
    <m/>
    <m/>
    <m/>
    <m/>
    <m/>
    <m/>
    <m/>
    <m/>
    <n v="0"/>
    <n v="0"/>
    <n v="0"/>
    <n v="0"/>
    <m/>
    <m/>
    <n v="0"/>
    <n v="0"/>
  </r>
  <r>
    <x v="7"/>
    <s v="Hagerstown Community College "/>
    <m/>
    <n v="162690"/>
    <x v="7"/>
    <s v="sem"/>
    <s v="sem"/>
    <n v="0"/>
    <n v="0"/>
    <n v="33184"/>
    <n v="30094"/>
    <n v="9511"/>
    <n v="9102"/>
    <n v="36849"/>
    <n v="32333"/>
    <n v="79544"/>
    <n v="2651.4666666666667"/>
    <n v="71529"/>
    <n v="2384.3000000000002"/>
    <m/>
    <m/>
    <n v="0"/>
    <n v="0"/>
    <m/>
    <m/>
    <m/>
    <m/>
    <m/>
    <m/>
    <m/>
    <m/>
    <n v="0"/>
    <n v="0"/>
    <n v="0"/>
    <n v="0"/>
    <m/>
    <m/>
    <n v="0"/>
    <n v="0"/>
  </r>
  <r>
    <x v="7"/>
    <s v="Harford Community College "/>
    <m/>
    <n v="162706"/>
    <x v="7"/>
    <s v="sem"/>
    <s v="sem"/>
    <n v="3148"/>
    <n v="3546"/>
    <n v="44050"/>
    <n v="44045.5"/>
    <n v="9781"/>
    <n v="9408"/>
    <n v="48989"/>
    <n v="46258.5"/>
    <n v="105968"/>
    <n v="3532.2666666666669"/>
    <n v="103258"/>
    <n v="3441.9333333333334"/>
    <m/>
    <m/>
    <n v="0"/>
    <n v="0"/>
    <m/>
    <m/>
    <m/>
    <m/>
    <m/>
    <m/>
    <m/>
    <m/>
    <n v="0"/>
    <n v="0"/>
    <n v="0"/>
    <n v="0"/>
    <m/>
    <m/>
    <n v="0"/>
    <n v="0"/>
  </r>
  <r>
    <x v="7"/>
    <s v="Allegany College of Maryland"/>
    <m/>
    <n v="161688"/>
    <x v="8"/>
    <s v="sem"/>
    <s v="sem"/>
    <n v="0"/>
    <n v="0"/>
    <n v="22674"/>
    <n v="20882"/>
    <n v="3182"/>
    <n v="3506"/>
    <n v="23737"/>
    <n v="23347"/>
    <n v="49593"/>
    <n v="1653.1"/>
    <n v="47735"/>
    <n v="1591.1666666666667"/>
    <m/>
    <m/>
    <n v="0"/>
    <n v="0"/>
    <m/>
    <m/>
    <m/>
    <m/>
    <m/>
    <m/>
    <m/>
    <m/>
    <n v="0"/>
    <n v="0"/>
    <n v="0"/>
    <n v="0"/>
    <m/>
    <m/>
    <n v="0"/>
    <n v="0"/>
  </r>
  <r>
    <x v="7"/>
    <s v="Cecil Community College "/>
    <m/>
    <n v="162104"/>
    <x v="8"/>
    <s v="sem"/>
    <s v="sem"/>
    <n v="0"/>
    <n v="0"/>
    <n v="18979"/>
    <n v="17820"/>
    <n v="2972"/>
    <n v="2977"/>
    <n v="20457"/>
    <n v="20137"/>
    <n v="42408"/>
    <n v="1413.6"/>
    <n v="40934"/>
    <n v="1364.4666666666667"/>
    <m/>
    <m/>
    <n v="0"/>
    <n v="0"/>
    <m/>
    <m/>
    <m/>
    <m/>
    <m/>
    <m/>
    <m/>
    <m/>
    <n v="0"/>
    <n v="0"/>
    <n v="0"/>
    <n v="0"/>
    <m/>
    <m/>
    <n v="0"/>
    <n v="0"/>
  </r>
  <r>
    <x v="7"/>
    <s v="Chesapeake College "/>
    <m/>
    <n v="162168"/>
    <x v="8"/>
    <s v="sem"/>
    <s v="sem"/>
    <n v="474"/>
    <n v="430"/>
    <n v="15264"/>
    <n v="15337"/>
    <n v="1989"/>
    <n v="2314"/>
    <n v="16961"/>
    <n v="17460"/>
    <n v="34688"/>
    <n v="1156.2666666666667"/>
    <n v="35541"/>
    <n v="1184.7"/>
    <m/>
    <m/>
    <n v="0"/>
    <n v="0"/>
    <m/>
    <m/>
    <m/>
    <m/>
    <m/>
    <m/>
    <m/>
    <m/>
    <n v="0"/>
    <n v="0"/>
    <n v="0"/>
    <n v="0"/>
    <m/>
    <m/>
    <n v="0"/>
    <n v="0"/>
  </r>
  <r>
    <x v="7"/>
    <s v="Garrett College "/>
    <m/>
    <n v="162609"/>
    <x v="8"/>
    <s v="sem"/>
    <s v="sem"/>
    <n v="247"/>
    <n v="290"/>
    <n v="6413.5"/>
    <n v="5883.75"/>
    <n v="486"/>
    <n v="597"/>
    <n v="7435"/>
    <n v="7275.25"/>
    <n v="14581.5"/>
    <n v="486.05"/>
    <n v="14046"/>
    <n v="468.2"/>
    <m/>
    <m/>
    <n v="0"/>
    <n v="0"/>
    <m/>
    <m/>
    <m/>
    <m/>
    <m/>
    <m/>
    <m/>
    <m/>
    <n v="0"/>
    <n v="0"/>
    <n v="0"/>
    <n v="0"/>
    <m/>
    <m/>
    <n v="0"/>
    <n v="0"/>
  </r>
  <r>
    <x v="7"/>
    <s v="Wor-Wic Community College "/>
    <m/>
    <n v="164313"/>
    <x v="8"/>
    <s v="sem"/>
    <s v="sem"/>
    <n v="0"/>
    <n v="0"/>
    <n v="21519.5"/>
    <n v="20259.5"/>
    <n v="5598.5"/>
    <n v="5293.5"/>
    <n v="25208.5"/>
    <n v="23601.5"/>
    <n v="52326.5"/>
    <n v="1744.2166666666667"/>
    <n v="49154.5"/>
    <n v="1638.4833333333333"/>
    <m/>
    <m/>
    <n v="0"/>
    <n v="0"/>
    <m/>
    <m/>
    <m/>
    <m/>
    <m/>
    <m/>
    <m/>
    <m/>
    <n v="0"/>
    <n v="0"/>
    <n v="0"/>
    <n v="0"/>
    <m/>
    <m/>
    <n v="0"/>
    <n v="0"/>
  </r>
  <r>
    <x v="8"/>
    <s v="Mississippi State University"/>
    <m/>
    <n v="176080"/>
    <x v="0"/>
    <m/>
    <m/>
    <m/>
    <m/>
    <n v="230836"/>
    <n v="241609"/>
    <n v="30473"/>
    <n v="30016"/>
    <n v="261855"/>
    <n v="266429"/>
    <n v="523164"/>
    <n v="17438.8"/>
    <n v="538054"/>
    <n v="17935.133333333335"/>
    <m/>
    <m/>
    <n v="0"/>
    <n v="0"/>
    <m/>
    <m/>
    <m/>
    <m/>
    <m/>
    <m/>
    <m/>
    <m/>
    <n v="0"/>
    <n v="0"/>
    <n v="0"/>
    <n v="0"/>
    <m/>
    <m/>
    <n v="0"/>
    <n v="0"/>
  </r>
  <r>
    <x v="8"/>
    <s v="University of Mississippi"/>
    <m/>
    <n v="176017"/>
    <x v="0"/>
    <m/>
    <m/>
    <m/>
    <m/>
    <n v="254757"/>
    <n v="246873"/>
    <n v="42724"/>
    <n v="39636"/>
    <n v="256104"/>
    <n v="244471"/>
    <n v="553585"/>
    <n v="18452.833333333332"/>
    <n v="530980"/>
    <n v="17699.333333333332"/>
    <m/>
    <m/>
    <n v="0"/>
    <n v="0"/>
    <m/>
    <m/>
    <m/>
    <m/>
    <m/>
    <m/>
    <m/>
    <m/>
    <n v="0"/>
    <n v="0"/>
    <n v="0"/>
    <n v="0"/>
    <m/>
    <m/>
    <n v="0"/>
    <n v="0"/>
  </r>
  <r>
    <x v="8"/>
    <s v="University of Southern Mississippi"/>
    <m/>
    <n v="176372"/>
    <x v="0"/>
    <m/>
    <m/>
    <m/>
    <m/>
    <n v="143968"/>
    <n v="148324"/>
    <n v="23047"/>
    <n v="22338"/>
    <n v="165663"/>
    <n v="163204"/>
    <n v="332678"/>
    <n v="11089.266666666666"/>
    <n v="333866"/>
    <n v="11128.866666666667"/>
    <m/>
    <m/>
    <n v="0"/>
    <n v="0"/>
    <m/>
    <m/>
    <m/>
    <m/>
    <m/>
    <m/>
    <m/>
    <m/>
    <n v="0"/>
    <n v="0"/>
    <n v="0"/>
    <n v="0"/>
    <m/>
    <m/>
    <n v="0"/>
    <n v="0"/>
  </r>
  <r>
    <x v="8"/>
    <s v="Jackson State University "/>
    <m/>
    <n v="175856"/>
    <x v="1"/>
    <m/>
    <m/>
    <m/>
    <m/>
    <n v="71274.5"/>
    <n v="65247"/>
    <n v="8577"/>
    <n v="7951"/>
    <n v="71391.5"/>
    <n v="69018"/>
    <n v="151243"/>
    <n v="5041.4333333333334"/>
    <n v="142216"/>
    <n v="4740.5333333333338"/>
    <m/>
    <m/>
    <n v="0"/>
    <n v="0"/>
    <m/>
    <m/>
    <m/>
    <m/>
    <m/>
    <m/>
    <m/>
    <m/>
    <n v="0"/>
    <n v="0"/>
    <n v="0"/>
    <n v="0"/>
    <m/>
    <m/>
    <n v="0"/>
    <n v="0"/>
  </r>
  <r>
    <x v="8"/>
    <s v="Alcorn State University"/>
    <m/>
    <n v="175342"/>
    <x v="3"/>
    <m/>
    <m/>
    <m/>
    <m/>
    <n v="42309"/>
    <n v="41900"/>
    <n v="7132"/>
    <n v="7374"/>
    <n v="45149"/>
    <n v="42875"/>
    <n v="94590"/>
    <n v="3153"/>
    <n v="92149"/>
    <n v="3071.6333333333332"/>
    <m/>
    <m/>
    <n v="0"/>
    <n v="0"/>
    <m/>
    <m/>
    <m/>
    <m/>
    <m/>
    <m/>
    <m/>
    <m/>
    <n v="0"/>
    <n v="0"/>
    <n v="0"/>
    <n v="0"/>
    <m/>
    <m/>
    <n v="0"/>
    <n v="0"/>
  </r>
  <r>
    <x v="8"/>
    <s v="Delta State University"/>
    <m/>
    <n v="175616"/>
    <x v="3"/>
    <m/>
    <m/>
    <m/>
    <m/>
    <n v="34174"/>
    <n v="33077"/>
    <n v="2683"/>
    <n v="3185"/>
    <n v="36218"/>
    <n v="36961"/>
    <n v="73075"/>
    <n v="2435.8333333333335"/>
    <n v="73223"/>
    <n v="2440.7666666666669"/>
    <m/>
    <m/>
    <n v="0"/>
    <n v="0"/>
    <m/>
    <m/>
    <m/>
    <m/>
    <m/>
    <m/>
    <m/>
    <m/>
    <n v="0"/>
    <n v="0"/>
    <n v="0"/>
    <n v="0"/>
    <m/>
    <m/>
    <n v="0"/>
    <n v="0"/>
  </r>
  <r>
    <x v="8"/>
    <s v="Mississippi Valley State University"/>
    <m/>
    <n v="176044"/>
    <x v="3"/>
    <m/>
    <m/>
    <m/>
    <m/>
    <n v="22526"/>
    <n v="21299"/>
    <n v="4565"/>
    <n v="3971"/>
    <n v="23952"/>
    <n v="22347.7"/>
    <n v="51043"/>
    <n v="1701.4333333333334"/>
    <n v="47617.7"/>
    <n v="1587.2566666666667"/>
    <m/>
    <m/>
    <n v="0"/>
    <n v="0"/>
    <m/>
    <m/>
    <m/>
    <m/>
    <m/>
    <m/>
    <m/>
    <m/>
    <n v="0"/>
    <n v="0"/>
    <n v="0"/>
    <n v="0"/>
    <m/>
    <m/>
    <n v="0"/>
    <n v="0"/>
  </r>
  <r>
    <x v="8"/>
    <s v="Mississippi University for Women"/>
    <s v="Reclassified: Met the criteria for Four-Year 4 in 2017-18, 2018-19, and 2019-20."/>
    <n v="176035"/>
    <x v="3"/>
    <m/>
    <m/>
    <m/>
    <m/>
    <n v="30217"/>
    <n v="30462"/>
    <n v="8406"/>
    <n v="8644"/>
    <n v="31813"/>
    <n v="32762"/>
    <n v="70436"/>
    <n v="2347.8666666666668"/>
    <n v="71868"/>
    <n v="2395.6"/>
    <m/>
    <m/>
    <n v="0"/>
    <n v="0"/>
    <m/>
    <m/>
    <m/>
    <m/>
    <m/>
    <m/>
    <m/>
    <m/>
    <n v="0"/>
    <n v="0"/>
    <n v="0"/>
    <n v="0"/>
    <m/>
    <m/>
    <n v="0"/>
    <n v="0"/>
  </r>
  <r>
    <x v="8"/>
    <s v="Hinds Community College "/>
    <m/>
    <n v="175786"/>
    <x v="6"/>
    <m/>
    <m/>
    <m/>
    <m/>
    <n v="125586"/>
    <n v="117825"/>
    <n v="23859"/>
    <n v="20441"/>
    <n v="142371"/>
    <n v="138606"/>
    <n v="291816"/>
    <n v="9727.2000000000007"/>
    <n v="276872"/>
    <n v="9229.0666666666675"/>
    <n v="26180"/>
    <n v="29356"/>
    <n v="291816"/>
    <n v="276872"/>
    <m/>
    <m/>
    <m/>
    <m/>
    <m/>
    <m/>
    <m/>
    <m/>
    <n v="0"/>
    <n v="0"/>
    <n v="0"/>
    <n v="0"/>
    <m/>
    <m/>
    <n v="0"/>
    <n v="0"/>
  </r>
  <r>
    <x v="8"/>
    <s v="Holmes Community College "/>
    <m/>
    <n v="175810"/>
    <x v="6"/>
    <m/>
    <m/>
    <m/>
    <m/>
    <n v="67235"/>
    <n v="65328"/>
    <n v="17791"/>
    <n v="18378"/>
    <n v="77165"/>
    <n v="73040"/>
    <n v="162191"/>
    <n v="5406.3666666666668"/>
    <n v="156746"/>
    <n v="5224.8666666666668"/>
    <n v="8927"/>
    <n v="8498"/>
    <n v="162191"/>
    <n v="156746"/>
    <m/>
    <m/>
    <m/>
    <m/>
    <m/>
    <m/>
    <m/>
    <m/>
    <n v="0"/>
    <n v="0"/>
    <n v="0"/>
    <n v="0"/>
    <m/>
    <m/>
    <n v="0"/>
    <n v="0"/>
  </r>
  <r>
    <x v="8"/>
    <s v="Itawamba Community College "/>
    <s v="Reclassified: Met the criteria for Two-Year 2 in 2017-18, 2018-19, and 2019-20."/>
    <n v="175829"/>
    <x v="7"/>
    <m/>
    <m/>
    <m/>
    <m/>
    <n v="61916"/>
    <n v="59079"/>
    <n v="8869"/>
    <n v="7547"/>
    <n v="69910"/>
    <n v="65153"/>
    <n v="140695"/>
    <n v="4689.833333333333"/>
    <n v="131779"/>
    <n v="4392.6333333333332"/>
    <n v="6065"/>
    <n v="6911"/>
    <n v="140695"/>
    <n v="131779"/>
    <m/>
    <m/>
    <m/>
    <m/>
    <m/>
    <m/>
    <m/>
    <m/>
    <n v="0"/>
    <n v="0"/>
    <n v="0"/>
    <n v="0"/>
    <m/>
    <m/>
    <n v="0"/>
    <n v="0"/>
  </r>
  <r>
    <x v="8"/>
    <s v="Mississippi Gulf Coast Community College "/>
    <m/>
    <n v="176071"/>
    <x v="6"/>
    <m/>
    <m/>
    <m/>
    <m/>
    <n v="99351"/>
    <n v="99723"/>
    <n v="21840"/>
    <n v="20971"/>
    <n v="109124"/>
    <n v="109037"/>
    <n v="230315"/>
    <n v="7677.166666666667"/>
    <n v="229731"/>
    <n v="7657.7"/>
    <n v="11936"/>
    <n v="15110"/>
    <n v="230315"/>
    <n v="229731"/>
    <m/>
    <m/>
    <m/>
    <m/>
    <m/>
    <m/>
    <m/>
    <m/>
    <n v="0"/>
    <n v="0"/>
    <n v="0"/>
    <n v="0"/>
    <m/>
    <m/>
    <n v="0"/>
    <n v="0"/>
  </r>
  <r>
    <x v="8"/>
    <s v="Northwest Mississippi Community College "/>
    <m/>
    <n v="176178"/>
    <x v="6"/>
    <m/>
    <m/>
    <m/>
    <m/>
    <n v="82912"/>
    <n v="81173"/>
    <n v="15793"/>
    <n v="14206"/>
    <n v="93958"/>
    <n v="88679"/>
    <n v="192663"/>
    <n v="6422.1"/>
    <n v="184058"/>
    <n v="6135.2666666666664"/>
    <n v="13029"/>
    <n v="15597"/>
    <n v="192663"/>
    <n v="184058"/>
    <m/>
    <m/>
    <m/>
    <m/>
    <m/>
    <m/>
    <m/>
    <m/>
    <n v="0"/>
    <n v="0"/>
    <n v="0"/>
    <n v="0"/>
    <m/>
    <m/>
    <n v="0"/>
    <n v="0"/>
  </r>
  <r>
    <x v="8"/>
    <s v="Copiah-Lincoln Community College "/>
    <m/>
    <n v="175573"/>
    <x v="7"/>
    <m/>
    <m/>
    <m/>
    <m/>
    <n v="33425"/>
    <n v="34048"/>
    <n v="7273"/>
    <n v="7231"/>
    <n v="38986"/>
    <n v="38389"/>
    <n v="79684"/>
    <n v="2656.1333333333332"/>
    <n v="79668"/>
    <n v="2655.6"/>
    <n v="7639"/>
    <n v="8151"/>
    <n v="79684"/>
    <n v="79668"/>
    <m/>
    <m/>
    <m/>
    <m/>
    <m/>
    <m/>
    <m/>
    <m/>
    <n v="0"/>
    <n v="0"/>
    <n v="0"/>
    <n v="0"/>
    <m/>
    <m/>
    <n v="0"/>
    <n v="0"/>
  </r>
  <r>
    <x v="8"/>
    <s v="East Central Community College "/>
    <m/>
    <n v="175643"/>
    <x v="7"/>
    <m/>
    <m/>
    <m/>
    <m/>
    <n v="31099"/>
    <n v="29684"/>
    <n v="4498"/>
    <n v="3832"/>
    <n v="35805"/>
    <n v="32487"/>
    <n v="71402"/>
    <n v="2380.0666666666666"/>
    <n v="66003"/>
    <n v="2200.1"/>
    <n v="5994"/>
    <n v="6648"/>
    <n v="71402"/>
    <n v="66003"/>
    <m/>
    <m/>
    <m/>
    <m/>
    <m/>
    <m/>
    <m/>
    <m/>
    <n v="0"/>
    <n v="0"/>
    <n v="0"/>
    <n v="0"/>
    <m/>
    <m/>
    <n v="0"/>
    <n v="0"/>
  </r>
  <r>
    <x v="8"/>
    <s v="East Mississippi Community College "/>
    <m/>
    <n v="175652"/>
    <x v="7"/>
    <m/>
    <m/>
    <m/>
    <m/>
    <n v="44242"/>
    <n v="42855"/>
    <n v="9932"/>
    <n v="9718"/>
    <n v="52817"/>
    <n v="47194"/>
    <n v="106991"/>
    <n v="3566.3666666666668"/>
    <n v="99767"/>
    <n v="3325.5666666666666"/>
    <n v="9659"/>
    <n v="10266"/>
    <n v="106991"/>
    <n v="99767"/>
    <m/>
    <m/>
    <m/>
    <m/>
    <m/>
    <m/>
    <m/>
    <m/>
    <n v="0"/>
    <n v="0"/>
    <n v="0"/>
    <n v="0"/>
    <m/>
    <m/>
    <n v="0"/>
    <n v="0"/>
  </r>
  <r>
    <x v="8"/>
    <s v="Jones County Junior College "/>
    <m/>
    <n v="175883"/>
    <x v="7"/>
    <m/>
    <m/>
    <m/>
    <m/>
    <n v="53837"/>
    <n v="51770"/>
    <n v="11878"/>
    <n v="10708"/>
    <n v="63050"/>
    <n v="59106"/>
    <n v="128765"/>
    <n v="4292.166666666667"/>
    <n v="121584"/>
    <n v="4052.8"/>
    <n v="5213"/>
    <n v="7089"/>
    <n v="128765"/>
    <n v="121584"/>
    <m/>
    <m/>
    <m/>
    <m/>
    <m/>
    <m/>
    <m/>
    <m/>
    <n v="0"/>
    <n v="0"/>
    <n v="0"/>
    <n v="0"/>
    <m/>
    <m/>
    <n v="0"/>
    <n v="0"/>
  </r>
  <r>
    <x v="8"/>
    <s v="Meridian Community College "/>
    <m/>
    <n v="175935"/>
    <x v="7"/>
    <m/>
    <m/>
    <m/>
    <m/>
    <n v="37484"/>
    <n v="37076.5"/>
    <n v="7744"/>
    <n v="7579"/>
    <n v="44440"/>
    <n v="41137"/>
    <n v="89668"/>
    <n v="2988.9333333333334"/>
    <n v="85792.5"/>
    <n v="2859.75"/>
    <n v="3603"/>
    <n v="3680"/>
    <n v="89668"/>
    <n v="85792.5"/>
    <m/>
    <m/>
    <m/>
    <m/>
    <m/>
    <m/>
    <m/>
    <m/>
    <n v="0"/>
    <n v="0"/>
    <n v="0"/>
    <n v="0"/>
    <m/>
    <m/>
    <n v="0"/>
    <n v="0"/>
  </r>
  <r>
    <x v="8"/>
    <s v="Mississippi Delta Community College "/>
    <m/>
    <n v="176008"/>
    <x v="7"/>
    <m/>
    <m/>
    <m/>
    <m/>
    <n v="26423"/>
    <n v="26825"/>
    <n v="6956"/>
    <n v="7464"/>
    <n v="31107"/>
    <n v="30334"/>
    <n v="64486"/>
    <n v="2149.5333333333333"/>
    <n v="64623"/>
    <n v="2154.1"/>
    <n v="2585"/>
    <n v="4195"/>
    <n v="64486"/>
    <n v="64623"/>
    <m/>
    <m/>
    <m/>
    <m/>
    <m/>
    <m/>
    <m/>
    <m/>
    <n v="0"/>
    <n v="0"/>
    <n v="0"/>
    <n v="0"/>
    <m/>
    <m/>
    <n v="0"/>
    <n v="0"/>
  </r>
  <r>
    <x v="8"/>
    <s v="Northeast Mississippi Community College "/>
    <m/>
    <n v="176169"/>
    <x v="7"/>
    <m/>
    <m/>
    <m/>
    <m/>
    <n v="41260"/>
    <n v="42095"/>
    <n v="3242"/>
    <n v="3485"/>
    <n v="46161"/>
    <n v="47249"/>
    <n v="90663"/>
    <n v="3022.1"/>
    <n v="92829"/>
    <n v="3094.3"/>
    <n v="8385"/>
    <n v="4371"/>
    <n v="90663"/>
    <n v="92829"/>
    <m/>
    <m/>
    <m/>
    <m/>
    <m/>
    <m/>
    <m/>
    <m/>
    <n v="0"/>
    <n v="0"/>
    <n v="0"/>
    <n v="0"/>
    <m/>
    <m/>
    <n v="0"/>
    <n v="0"/>
  </r>
  <r>
    <x v="8"/>
    <s v="Pearl River Community College "/>
    <m/>
    <n v="176239"/>
    <x v="7"/>
    <m/>
    <m/>
    <m/>
    <m/>
    <n v="52844"/>
    <n v="56257"/>
    <n v="8898"/>
    <n v="9575"/>
    <n v="61327"/>
    <n v="68731"/>
    <n v="123069"/>
    <n v="4102.3"/>
    <n v="134563"/>
    <n v="4485.4333333333334"/>
    <n v="9101"/>
    <n v="6737"/>
    <n v="123069"/>
    <n v="134563"/>
    <m/>
    <m/>
    <m/>
    <m/>
    <m/>
    <m/>
    <m/>
    <m/>
    <n v="0"/>
    <n v="0"/>
    <n v="0"/>
    <n v="0"/>
    <m/>
    <m/>
    <n v="0"/>
    <n v="0"/>
  </r>
  <r>
    <x v="8"/>
    <s v="Coahoma Community College "/>
    <m/>
    <n v="175519"/>
    <x v="8"/>
    <m/>
    <m/>
    <m/>
    <m/>
    <n v="20498"/>
    <n v="20165"/>
    <n v="5143"/>
    <n v="5028"/>
    <n v="24687"/>
    <n v="23968"/>
    <n v="50328"/>
    <n v="1677.6"/>
    <n v="49161"/>
    <n v="1638.7"/>
    <n v="2851"/>
    <n v="3583"/>
    <n v="50328"/>
    <n v="49161"/>
    <m/>
    <m/>
    <m/>
    <m/>
    <m/>
    <m/>
    <m/>
    <m/>
    <n v="0"/>
    <n v="0"/>
    <n v="0"/>
    <n v="0"/>
    <m/>
    <m/>
    <n v="0"/>
    <n v="0"/>
  </r>
  <r>
    <x v="8"/>
    <s v="Southwest Mississippi Community College"/>
    <m/>
    <n v="176354"/>
    <x v="8"/>
    <m/>
    <m/>
    <m/>
    <m/>
    <n v="23713"/>
    <n v="24243"/>
    <n v="3600"/>
    <n v="4193"/>
    <n v="27746"/>
    <n v="29695"/>
    <n v="55059"/>
    <n v="1835.3"/>
    <n v="58131"/>
    <n v="1937.7"/>
    <n v="2081"/>
    <n v="2537"/>
    <n v="55059"/>
    <n v="58131"/>
    <m/>
    <m/>
    <m/>
    <m/>
    <m/>
    <m/>
    <m/>
    <m/>
    <n v="0"/>
    <n v="0"/>
    <n v="0"/>
    <n v="0"/>
    <m/>
    <m/>
    <n v="0"/>
    <n v="0"/>
  </r>
  <r>
    <x v="9"/>
    <s v="North Carolina State University "/>
    <m/>
    <n v="199193"/>
    <x v="0"/>
    <m/>
    <m/>
    <m/>
    <m/>
    <n v="315750"/>
    <n v="325566"/>
    <n v="48092"/>
    <n v="48885"/>
    <n v="347121"/>
    <n v="354137"/>
    <n v="710963"/>
    <n v="23698.766666666666"/>
    <n v="728588"/>
    <n v="24286.266666666666"/>
    <n v="1928"/>
    <n v="2123"/>
    <n v="710963"/>
    <n v="728588"/>
    <m/>
    <m/>
    <m/>
    <m/>
    <m/>
    <m/>
    <m/>
    <m/>
    <n v="0"/>
    <n v="0"/>
    <n v="0"/>
    <n v="0"/>
    <m/>
    <m/>
    <n v="0"/>
    <n v="0"/>
  </r>
  <r>
    <x v="9"/>
    <s v="University of North Carolina at Chapel Hill "/>
    <m/>
    <n v="199120"/>
    <x v="0"/>
    <m/>
    <m/>
    <m/>
    <m/>
    <n v="245772"/>
    <n v="249231.5"/>
    <n v="30723"/>
    <n v="31219"/>
    <n v="266061"/>
    <n v="265142.5"/>
    <n v="542556"/>
    <n v="18085.2"/>
    <n v="545593"/>
    <n v="18186.433333333334"/>
    <n v="0"/>
    <n v="0"/>
    <n v="542556"/>
    <n v="545593"/>
    <m/>
    <m/>
    <m/>
    <m/>
    <m/>
    <m/>
    <m/>
    <m/>
    <n v="0"/>
    <n v="0"/>
    <n v="0"/>
    <n v="0"/>
    <m/>
    <m/>
    <n v="0"/>
    <n v="0"/>
  </r>
  <r>
    <x v="9"/>
    <s v="University of North Carolina at Charlotte"/>
    <m/>
    <n v="199139"/>
    <x v="0"/>
    <m/>
    <m/>
    <m/>
    <m/>
    <n v="298522"/>
    <n v="305219"/>
    <n v="53177"/>
    <n v="54980"/>
    <n v="326755"/>
    <n v="322370"/>
    <n v="678454"/>
    <n v="22615.133333333335"/>
    <n v="682569"/>
    <n v="22752.3"/>
    <n v="3383"/>
    <n v="4226"/>
    <n v="678454"/>
    <n v="682569"/>
    <m/>
    <m/>
    <m/>
    <m/>
    <m/>
    <m/>
    <m/>
    <m/>
    <n v="0"/>
    <n v="0"/>
    <n v="0"/>
    <n v="0"/>
    <m/>
    <m/>
    <n v="0"/>
    <n v="0"/>
  </r>
  <r>
    <x v="9"/>
    <s v="University of North Carolina at Greensboro"/>
    <m/>
    <n v="199148"/>
    <x v="0"/>
    <m/>
    <m/>
    <m/>
    <m/>
    <n v="208053"/>
    <n v="205042"/>
    <n v="35355"/>
    <n v="36452"/>
    <n v="222437"/>
    <n v="219953"/>
    <n v="465845"/>
    <n v="15528.166666666666"/>
    <n v="461447"/>
    <n v="15381.566666666668"/>
    <n v="1383"/>
    <n v="1899"/>
    <n v="465845"/>
    <n v="461447"/>
    <m/>
    <m/>
    <m/>
    <m/>
    <m/>
    <m/>
    <m/>
    <m/>
    <n v="0"/>
    <n v="0"/>
    <n v="0"/>
    <n v="0"/>
    <m/>
    <m/>
    <n v="0"/>
    <n v="0"/>
  </r>
  <r>
    <x v="9"/>
    <s v="East Carolina University "/>
    <m/>
    <n v="198464"/>
    <x v="1"/>
    <m/>
    <m/>
    <m/>
    <m/>
    <n v="291613"/>
    <n v="282644"/>
    <n v="53045"/>
    <n v="53646"/>
    <n v="310102"/>
    <n v="304952"/>
    <n v="654760"/>
    <n v="21825.333333333332"/>
    <n v="641242"/>
    <n v="21374.733333333334"/>
    <n v="55"/>
    <n v="302"/>
    <n v="654760"/>
    <n v="641242"/>
    <m/>
    <m/>
    <m/>
    <m/>
    <m/>
    <m/>
    <m/>
    <m/>
    <n v="0"/>
    <n v="0"/>
    <n v="0"/>
    <n v="0"/>
    <m/>
    <m/>
    <n v="0"/>
    <n v="0"/>
  </r>
  <r>
    <x v="9"/>
    <s v="Appalachian State University "/>
    <m/>
    <n v="197869"/>
    <x v="2"/>
    <m/>
    <m/>
    <m/>
    <m/>
    <n v="231168"/>
    <n v="235523"/>
    <n v="39167"/>
    <n v="39598"/>
    <n v="251179"/>
    <n v="252871"/>
    <n v="521514"/>
    <n v="17383.8"/>
    <n v="527992"/>
    <n v="17599.733333333334"/>
    <n v="0"/>
    <n v="0"/>
    <n v="521514"/>
    <n v="527992"/>
    <m/>
    <m/>
    <m/>
    <m/>
    <m/>
    <m/>
    <m/>
    <m/>
    <n v="0"/>
    <n v="0"/>
    <n v="0"/>
    <n v="0"/>
    <m/>
    <m/>
    <n v="0"/>
    <n v="0"/>
  </r>
  <r>
    <x v="9"/>
    <s v="North Carolina A&amp;T State University"/>
    <s v="Met the criteria for Four-Year 2 in 2019-20."/>
    <n v="199102"/>
    <x v="2"/>
    <m/>
    <m/>
    <m/>
    <m/>
    <n v="133605"/>
    <n v="136331"/>
    <n v="17199"/>
    <n v="19972"/>
    <n v="148447"/>
    <n v="153869"/>
    <n v="299251"/>
    <n v="9975.0333333333328"/>
    <n v="310172"/>
    <n v="10339.066666666668"/>
    <n v="0"/>
    <n v="843"/>
    <n v="299251"/>
    <n v="310172"/>
    <m/>
    <m/>
    <m/>
    <m/>
    <m/>
    <m/>
    <m/>
    <m/>
    <n v="0"/>
    <n v="0"/>
    <n v="0"/>
    <n v="0"/>
    <m/>
    <m/>
    <n v="0"/>
    <n v="0"/>
  </r>
  <r>
    <x v="9"/>
    <s v="North Carolina Central University "/>
    <m/>
    <n v="199157"/>
    <x v="2"/>
    <m/>
    <m/>
    <m/>
    <m/>
    <n v="78474"/>
    <n v="75543"/>
    <n v="20090"/>
    <n v="18097"/>
    <n v="85662"/>
    <n v="80366"/>
    <n v="184226"/>
    <n v="6140.8666666666668"/>
    <n v="174006"/>
    <n v="5800.2"/>
    <n v="5236"/>
    <n v="6206"/>
    <n v="184226"/>
    <n v="174006"/>
    <m/>
    <m/>
    <m/>
    <m/>
    <m/>
    <m/>
    <m/>
    <m/>
    <n v="0"/>
    <n v="0"/>
    <n v="0"/>
    <n v="0"/>
    <m/>
    <m/>
    <n v="0"/>
    <n v="0"/>
  </r>
  <r>
    <x v="9"/>
    <s v="University of North Carolina at Wilmington"/>
    <m/>
    <n v="199218"/>
    <x v="2"/>
    <m/>
    <m/>
    <m/>
    <m/>
    <n v="180235"/>
    <n v="179523.5"/>
    <n v="39431"/>
    <n v="40088.5"/>
    <n v="191545"/>
    <n v="195080.5"/>
    <n v="411211"/>
    <n v="13707.033333333333"/>
    <n v="414692.5"/>
    <n v="13823.083333333334"/>
    <n v="2160"/>
    <n v="2512"/>
    <n v="411211"/>
    <n v="414692.5"/>
    <m/>
    <m/>
    <m/>
    <m/>
    <m/>
    <m/>
    <m/>
    <m/>
    <n v="0"/>
    <n v="0"/>
    <n v="0"/>
    <n v="0"/>
    <m/>
    <m/>
    <n v="0"/>
    <n v="0"/>
  </r>
  <r>
    <x v="9"/>
    <s v="Western Carolina University "/>
    <m/>
    <n v="200004"/>
    <x v="2"/>
    <m/>
    <m/>
    <m/>
    <m/>
    <n v="117860"/>
    <n v="127502"/>
    <n v="18509"/>
    <n v="19115"/>
    <n v="136671"/>
    <n v="142083"/>
    <n v="273040"/>
    <n v="9101.3333333333339"/>
    <n v="288700"/>
    <n v="9623.3333333333339"/>
    <n v="0"/>
    <n v="0"/>
    <n v="273040"/>
    <n v="288700"/>
    <m/>
    <m/>
    <m/>
    <m/>
    <m/>
    <m/>
    <m/>
    <m/>
    <n v="0"/>
    <n v="0"/>
    <n v="0"/>
    <n v="0"/>
    <m/>
    <m/>
    <n v="0"/>
    <n v="0"/>
  </r>
  <r>
    <x v="9"/>
    <s v="Fayetteville State University "/>
    <m/>
    <n v="198543"/>
    <x v="3"/>
    <m/>
    <m/>
    <m/>
    <m/>
    <n v="62448"/>
    <n v="64237"/>
    <n v="15270"/>
    <n v="17177"/>
    <n v="67778"/>
    <n v="68701"/>
    <n v="145496"/>
    <n v="4849.8666666666668"/>
    <n v="150115"/>
    <n v="5003.833333333333"/>
    <n v="7882"/>
    <n v="7860"/>
    <n v="145496"/>
    <n v="150115"/>
    <m/>
    <m/>
    <m/>
    <m/>
    <m/>
    <m/>
    <m/>
    <m/>
    <n v="0"/>
    <n v="0"/>
    <n v="0"/>
    <n v="0"/>
    <m/>
    <m/>
    <n v="0"/>
    <n v="0"/>
  </r>
  <r>
    <x v="9"/>
    <s v="University of North Carolina at Pembroke"/>
    <m/>
    <n v="199281"/>
    <x v="4"/>
    <m/>
    <m/>
    <m/>
    <m/>
    <n v="63839"/>
    <n v="71272"/>
    <n v="15369"/>
    <n v="17971"/>
    <n v="78317"/>
    <n v="81177"/>
    <n v="157525"/>
    <n v="5250.833333333333"/>
    <n v="170420"/>
    <n v="5680.666666666667"/>
    <n v="0"/>
    <n v="0"/>
    <n v="157525"/>
    <n v="170420"/>
    <m/>
    <m/>
    <m/>
    <m/>
    <m/>
    <m/>
    <m/>
    <m/>
    <n v="0"/>
    <n v="0"/>
    <n v="0"/>
    <n v="0"/>
    <m/>
    <m/>
    <n v="0"/>
    <n v="0"/>
  </r>
  <r>
    <x v="9"/>
    <s v="Winston-Salem State University "/>
    <m/>
    <n v="199999"/>
    <x v="4"/>
    <m/>
    <m/>
    <m/>
    <m/>
    <n v="60923"/>
    <n v="59707"/>
    <n v="8920"/>
    <n v="8428"/>
    <n v="65120"/>
    <n v="64295"/>
    <n v="134963"/>
    <n v="4498.7666666666664"/>
    <n v="132430"/>
    <n v="4414.333333333333"/>
    <n v="0"/>
    <n v="0"/>
    <n v="134963"/>
    <n v="132430"/>
    <m/>
    <m/>
    <m/>
    <m/>
    <m/>
    <m/>
    <m/>
    <m/>
    <n v="0"/>
    <n v="0"/>
    <n v="0"/>
    <n v="0"/>
    <m/>
    <m/>
    <n v="0"/>
    <n v="0"/>
  </r>
  <r>
    <x v="9"/>
    <s v="Elizabeth City State University "/>
    <m/>
    <n v="198507"/>
    <x v="5"/>
    <m/>
    <m/>
    <m/>
    <m/>
    <n v="16951"/>
    <n v="20165"/>
    <n v="1550"/>
    <n v="2453"/>
    <n v="22715"/>
    <n v="23739"/>
    <n v="41216"/>
    <n v="1373.8666666666666"/>
    <n v="46357"/>
    <n v="1545.2333333333333"/>
    <n v="0"/>
    <n v="0"/>
    <n v="41216"/>
    <n v="46357"/>
    <m/>
    <m/>
    <m/>
    <m/>
    <m/>
    <m/>
    <m/>
    <m/>
    <n v="0"/>
    <n v="0"/>
    <n v="0"/>
    <n v="0"/>
    <m/>
    <m/>
    <n v="0"/>
    <n v="0"/>
  </r>
  <r>
    <x v="9"/>
    <s v="University of North Carolina at Asheville"/>
    <m/>
    <n v="199111"/>
    <x v="5"/>
    <m/>
    <m/>
    <m/>
    <m/>
    <n v="47284"/>
    <n v="46802"/>
    <n v="4138"/>
    <n v="4228"/>
    <n v="50683"/>
    <n v="47948"/>
    <n v="102105"/>
    <n v="3403.5"/>
    <n v="98978"/>
    <n v="3299.2666666666669"/>
    <n v="0"/>
    <n v="0"/>
    <n v="102105"/>
    <n v="98978"/>
    <m/>
    <m/>
    <m/>
    <m/>
    <m/>
    <m/>
    <m/>
    <m/>
    <n v="0"/>
    <n v="0"/>
    <n v="0"/>
    <n v="0"/>
    <m/>
    <m/>
    <n v="0"/>
    <n v="0"/>
  </r>
  <r>
    <x v="9"/>
    <s v="University of North Carolina School of the Arts"/>
    <m/>
    <n v="199184"/>
    <x v="13"/>
    <m/>
    <m/>
    <m/>
    <m/>
    <n v="13092"/>
    <n v="13360"/>
    <n v="276"/>
    <n v="230"/>
    <n v="14434"/>
    <n v="13847"/>
    <n v="27802"/>
    <n v="926.73333333333335"/>
    <n v="27437"/>
    <n v="914.56666666666672"/>
    <m/>
    <n v="0"/>
    <n v="0"/>
    <n v="27437"/>
    <m/>
    <m/>
    <m/>
    <m/>
    <m/>
    <m/>
    <m/>
    <m/>
    <n v="0"/>
    <n v="0"/>
    <n v="0"/>
    <n v="0"/>
    <m/>
    <m/>
    <n v="0"/>
    <n v="0"/>
  </r>
  <r>
    <x v="9"/>
    <s v="Asheville-Buncombe Technical Community College"/>
    <m/>
    <n v="197887"/>
    <x v="6"/>
    <s v="sem"/>
    <m/>
    <m/>
    <m/>
    <n v="59567"/>
    <n v="55880"/>
    <n v="14890"/>
    <n v="14802"/>
    <n v="60621"/>
    <n v="59570"/>
    <n v="135078"/>
    <n v="4502.6000000000004"/>
    <n v="130252"/>
    <n v="4341.7333333333336"/>
    <n v="23697"/>
    <n v="24622"/>
    <n v="135078"/>
    <n v="130252"/>
    <m/>
    <m/>
    <n v="252043"/>
    <n v="273043"/>
    <n v="178992"/>
    <n v="175951"/>
    <n v="244114"/>
    <n v="267607"/>
    <n v="675149"/>
    <n v="750.16555555555556"/>
    <n v="716601"/>
    <n v="796.22333333333336"/>
    <m/>
    <m/>
    <n v="0"/>
    <n v="0"/>
  </r>
  <r>
    <x v="9"/>
    <s v="Cape Fear Community College"/>
    <m/>
    <n v="198154"/>
    <x v="6"/>
    <s v="sem"/>
    <m/>
    <m/>
    <m/>
    <n v="77080"/>
    <n v="73892"/>
    <n v="22371"/>
    <n v="22097"/>
    <n v="82841"/>
    <n v="84210"/>
    <n v="182292"/>
    <n v="6076.4"/>
    <n v="180199"/>
    <n v="6006.6333333333332"/>
    <n v="19206"/>
    <n v="23372"/>
    <n v="182292"/>
    <n v="180199"/>
    <m/>
    <m/>
    <n v="244914"/>
    <n v="250103"/>
    <n v="145395"/>
    <n v="149085"/>
    <n v="208047"/>
    <n v="292108"/>
    <n v="598356"/>
    <n v="664.84"/>
    <n v="691296"/>
    <n v="768.10666666666668"/>
    <m/>
    <m/>
    <n v="0"/>
    <n v="0"/>
  </r>
  <r>
    <x v="9"/>
    <s v="Central Piedmont Community College "/>
    <m/>
    <n v="198260"/>
    <x v="6"/>
    <s v="sem"/>
    <m/>
    <m/>
    <m/>
    <n v="174730.8"/>
    <n v="169269.5"/>
    <n v="47173"/>
    <n v="46388"/>
    <n v="178841.5"/>
    <n v="178676"/>
    <n v="400745.3"/>
    <n v="13358.176666666666"/>
    <n v="394333.5"/>
    <n v="13144.45"/>
    <n v="21000.5"/>
    <n v="30622.5"/>
    <n v="400745.3"/>
    <n v="394333.5"/>
    <m/>
    <m/>
    <n v="525940"/>
    <n v="544624"/>
    <n v="255810"/>
    <n v="233382"/>
    <n v="487842"/>
    <n v="502316"/>
    <n v="1269592"/>
    <n v="1410.6577777777777"/>
    <n v="1280322"/>
    <n v="1422.58"/>
    <m/>
    <m/>
    <n v="0"/>
    <n v="0"/>
  </r>
  <r>
    <x v="9"/>
    <s v="Fayetteville Technical Community College"/>
    <m/>
    <n v="198534"/>
    <x v="6"/>
    <s v="sem"/>
    <m/>
    <m/>
    <m/>
    <n v="106524"/>
    <n v="104030"/>
    <n v="31484"/>
    <n v="35057"/>
    <n v="108583"/>
    <n v="113917"/>
    <n v="246591"/>
    <n v="8219.7000000000007"/>
    <n v="253004"/>
    <n v="8433.4666666666672"/>
    <n v="17478"/>
    <n v="20010"/>
    <n v="246591"/>
    <n v="253004"/>
    <m/>
    <m/>
    <n v="694534"/>
    <n v="727015"/>
    <n v="637123"/>
    <n v="650272"/>
    <n v="960583"/>
    <n v="970233"/>
    <n v="2292240"/>
    <n v="2546.9333333333334"/>
    <n v="2347520"/>
    <n v="2608.3555555555554"/>
    <m/>
    <m/>
    <n v="0"/>
    <n v="0"/>
  </r>
  <r>
    <x v="9"/>
    <s v="Forsyth Technical Community College"/>
    <m/>
    <n v="198552"/>
    <x v="6"/>
    <s v="sem"/>
    <m/>
    <m/>
    <m/>
    <n v="67204"/>
    <n v="67366"/>
    <n v="22848"/>
    <n v="23797"/>
    <n v="73096"/>
    <n v="72616"/>
    <n v="163148"/>
    <n v="5438.2666666666664"/>
    <n v="163779"/>
    <n v="5459.3"/>
    <n v="15329"/>
    <n v="14786"/>
    <n v="163148"/>
    <n v="163779"/>
    <m/>
    <m/>
    <n v="297150"/>
    <n v="201159"/>
    <n v="171194"/>
    <n v="191527"/>
    <n v="300039"/>
    <n v="239291"/>
    <n v="768383"/>
    <n v="853.75888888888892"/>
    <n v="631977"/>
    <n v="702.19666666666672"/>
    <m/>
    <m/>
    <n v="0"/>
    <n v="0"/>
  </r>
  <r>
    <x v="9"/>
    <s v="Guilford Technical Community College"/>
    <m/>
    <n v="198622"/>
    <x v="6"/>
    <s v="sem"/>
    <m/>
    <m/>
    <m/>
    <n v="92786"/>
    <n v="90788"/>
    <n v="24999"/>
    <n v="26645"/>
    <n v="99897"/>
    <n v="105817"/>
    <n v="217682"/>
    <n v="7256.0666666666666"/>
    <n v="223250"/>
    <n v="7441.666666666667"/>
    <n v="15044"/>
    <n v="18352"/>
    <n v="217682"/>
    <n v="223250"/>
    <m/>
    <m/>
    <n v="426460"/>
    <n v="446684"/>
    <n v="273588"/>
    <n v="257759"/>
    <n v="380428"/>
    <n v="375261"/>
    <n v="1080476"/>
    <n v="1200.5288888888888"/>
    <n v="1079704"/>
    <n v="1199.671111111111"/>
    <m/>
    <m/>
    <n v="0"/>
    <n v="0"/>
  </r>
  <r>
    <x v="9"/>
    <s v="Pitt Community College"/>
    <m/>
    <n v="199333"/>
    <x v="6"/>
    <s v="sem"/>
    <m/>
    <m/>
    <m/>
    <n v="74824"/>
    <n v="73757"/>
    <n v="21862"/>
    <n v="22997"/>
    <n v="78789"/>
    <n v="80416"/>
    <n v="175475"/>
    <n v="5849.166666666667"/>
    <n v="177170"/>
    <n v="5905.666666666667"/>
    <n v="15195"/>
    <n v="18604"/>
    <n v="175475"/>
    <n v="177170"/>
    <m/>
    <m/>
    <n v="179114"/>
    <n v="187805"/>
    <n v="158237"/>
    <n v="122228"/>
    <n v="218617"/>
    <n v="251602"/>
    <n v="555968"/>
    <n v="617.74222222222227"/>
    <n v="561635"/>
    <n v="624.03888888888889"/>
    <m/>
    <m/>
    <n v="0"/>
    <n v="0"/>
  </r>
  <r>
    <x v="9"/>
    <s v="Rowan-Cabarrus Community College"/>
    <m/>
    <n v="199494"/>
    <x v="6"/>
    <s v="sem"/>
    <m/>
    <m/>
    <m/>
    <n v="51344"/>
    <n v="52491"/>
    <n v="12970"/>
    <n v="13900"/>
    <n v="58245"/>
    <n v="61435"/>
    <n v="122559"/>
    <n v="4085.3"/>
    <n v="127826"/>
    <n v="4260.8666666666668"/>
    <n v="22807"/>
    <n v="30097"/>
    <n v="122559"/>
    <n v="127826"/>
    <m/>
    <m/>
    <n v="212189"/>
    <n v="324177"/>
    <n v="275635"/>
    <n v="186892"/>
    <n v="365021"/>
    <n v="416158"/>
    <n v="852845"/>
    <n v="947.60555555555561"/>
    <n v="927227"/>
    <n v="1030.2522222222221"/>
    <m/>
    <m/>
    <n v="0"/>
    <n v="0"/>
  </r>
  <r>
    <x v="9"/>
    <s v="Wake Technical Community College"/>
    <m/>
    <n v="199856"/>
    <x v="6"/>
    <s v="sem"/>
    <m/>
    <m/>
    <m/>
    <n v="191677.5"/>
    <n v="190801"/>
    <n v="51594"/>
    <n v="51329"/>
    <n v="208320"/>
    <n v="209683"/>
    <n v="451591.5"/>
    <n v="15053.05"/>
    <n v="451813"/>
    <n v="15060.433333333332"/>
    <n v="18947.5"/>
    <n v="24076"/>
    <n v="451591.5"/>
    <n v="451813"/>
    <m/>
    <m/>
    <n v="723569"/>
    <n v="751268"/>
    <n v="635059"/>
    <n v="645131"/>
    <n v="980787"/>
    <n v="1035870"/>
    <n v="2339415"/>
    <n v="2599.35"/>
    <n v="2432269"/>
    <n v="2702.5211111111112"/>
    <m/>
    <m/>
    <n v="0"/>
    <n v="0"/>
  </r>
  <r>
    <x v="9"/>
    <s v="Alamance Community College"/>
    <m/>
    <n v="199786"/>
    <x v="7"/>
    <s v="sem"/>
    <m/>
    <m/>
    <m/>
    <n v="37269.5"/>
    <n v="35199"/>
    <n v="9706"/>
    <n v="9644"/>
    <n v="38817"/>
    <n v="40556.5"/>
    <n v="85792.5"/>
    <n v="2859.75"/>
    <n v="85399.5"/>
    <n v="2846.65"/>
    <n v="15249.5"/>
    <n v="17147"/>
    <n v="85792.5"/>
    <n v="85399.5"/>
    <m/>
    <m/>
    <n v="168331"/>
    <n v="199369"/>
    <n v="122405"/>
    <n v="123966"/>
    <n v="213554"/>
    <n v="261556"/>
    <n v="504290"/>
    <n v="560.32222222222219"/>
    <n v="584891"/>
    <n v="649.87888888888892"/>
    <m/>
    <m/>
    <n v="0"/>
    <n v="0"/>
  </r>
  <r>
    <x v="9"/>
    <s v="Caldwell Community College &amp; Technical Institute"/>
    <m/>
    <n v="198118"/>
    <x v="7"/>
    <s v="sem"/>
    <m/>
    <m/>
    <m/>
    <n v="29352.5"/>
    <n v="29843"/>
    <n v="7279"/>
    <n v="7755"/>
    <n v="33088"/>
    <n v="35505"/>
    <n v="69719.5"/>
    <n v="2323.9833333333331"/>
    <n v="73103"/>
    <n v="2436.7666666666669"/>
    <n v="18317.5"/>
    <n v="19195"/>
    <n v="69719.5"/>
    <n v="73103"/>
    <m/>
    <m/>
    <n v="169550"/>
    <n v="148790"/>
    <n v="120960"/>
    <n v="142987"/>
    <n v="209676"/>
    <n v="216626"/>
    <n v="500186"/>
    <n v="555.76222222222225"/>
    <n v="508403"/>
    <n v="564.89222222222224"/>
    <m/>
    <m/>
    <n v="0"/>
    <n v="0"/>
  </r>
  <r>
    <x v="9"/>
    <s v="Catawba Valley Community College"/>
    <m/>
    <n v="198233"/>
    <x v="7"/>
    <s v="sem"/>
    <m/>
    <m/>
    <m/>
    <n v="40773"/>
    <n v="40042"/>
    <n v="9309"/>
    <n v="9862"/>
    <n v="44114"/>
    <n v="45979"/>
    <n v="94196"/>
    <n v="3139.8666666666668"/>
    <n v="95883"/>
    <n v="3196.1"/>
    <n v="20057"/>
    <n v="22225"/>
    <n v="94196"/>
    <n v="95883"/>
    <m/>
    <m/>
    <n v="195659"/>
    <n v="185527"/>
    <n v="143174"/>
    <n v="144684"/>
    <n v="173617"/>
    <n v="193300"/>
    <n v="512450"/>
    <n v="569.38888888888891"/>
    <n v="523511"/>
    <n v="581.67888888888888"/>
    <m/>
    <m/>
    <n v="0"/>
    <n v="0"/>
  </r>
  <r>
    <x v="9"/>
    <s v="Central Carolina Commuity College"/>
    <m/>
    <n v="198251"/>
    <x v="7"/>
    <s v="sem"/>
    <m/>
    <m/>
    <m/>
    <n v="42653"/>
    <n v="42886"/>
    <n v="9435"/>
    <n v="9704"/>
    <n v="46513"/>
    <n v="53472"/>
    <n v="98601"/>
    <n v="3286.7"/>
    <n v="106062"/>
    <n v="3535.4"/>
    <n v="24133"/>
    <n v="28678"/>
    <n v="98601"/>
    <n v="106062"/>
    <m/>
    <m/>
    <n v="228599"/>
    <n v="229757"/>
    <n v="183520"/>
    <n v="183269"/>
    <n v="261457"/>
    <n v="271956"/>
    <n v="673576"/>
    <n v="748.41777777777781"/>
    <n v="684982"/>
    <n v="761.0911111111111"/>
    <m/>
    <m/>
    <n v="0"/>
    <n v="0"/>
  </r>
  <r>
    <x v="9"/>
    <s v="Cleveland Community College"/>
    <m/>
    <n v="198321"/>
    <x v="7"/>
    <s v="sem"/>
    <m/>
    <m/>
    <m/>
    <n v="22776.5"/>
    <n v="21958"/>
    <n v="6220"/>
    <n v="6172"/>
    <n v="24875"/>
    <n v="24771"/>
    <n v="53871.5"/>
    <n v="1795.7166666666667"/>
    <n v="52901"/>
    <n v="1763.3666666666666"/>
    <n v="8849"/>
    <n v="10085"/>
    <n v="53871.5"/>
    <n v="52901"/>
    <m/>
    <m/>
    <n v="151504"/>
    <n v="163622"/>
    <n v="95250"/>
    <n v="100860"/>
    <n v="192205"/>
    <n v="200271"/>
    <n v="438959"/>
    <n v="487.73222222222222"/>
    <n v="464753"/>
    <n v="516.39222222222224"/>
    <m/>
    <m/>
    <n v="0"/>
    <n v="0"/>
  </r>
  <r>
    <x v="9"/>
    <s v="Coastal Carolina Community College "/>
    <m/>
    <n v="198330"/>
    <x v="7"/>
    <s v="sem"/>
    <m/>
    <m/>
    <m/>
    <n v="39174"/>
    <n v="36858"/>
    <n v="15566"/>
    <n v="13983"/>
    <n v="40079"/>
    <n v="38743"/>
    <n v="94819"/>
    <n v="3160.6333333333332"/>
    <n v="89584"/>
    <n v="2986.1333333333332"/>
    <n v="3132"/>
    <n v="4628"/>
    <n v="94819"/>
    <n v="89584"/>
    <m/>
    <m/>
    <n v="153006"/>
    <n v="147800"/>
    <n v="125233"/>
    <n v="122831"/>
    <n v="140179"/>
    <n v="182776"/>
    <n v="418418"/>
    <n v="464.9088888888889"/>
    <n v="453407"/>
    <n v="503.78555555555556"/>
    <m/>
    <m/>
    <n v="0"/>
    <n v="0"/>
  </r>
  <r>
    <x v="9"/>
    <s v="Craven Community College "/>
    <m/>
    <n v="198367"/>
    <x v="7"/>
    <s v="sem"/>
    <m/>
    <m/>
    <m/>
    <n v="26151"/>
    <n v="24679"/>
    <n v="8246"/>
    <n v="7619"/>
    <n v="26976"/>
    <n v="26985"/>
    <n v="61373"/>
    <n v="2045.7666666666667"/>
    <n v="59283"/>
    <n v="1976.1"/>
    <n v="10330"/>
    <n v="11001"/>
    <n v="61373"/>
    <n v="59283"/>
    <m/>
    <m/>
    <n v="125062"/>
    <n v="136265"/>
    <n v="72306"/>
    <n v="74267"/>
    <n v="127000"/>
    <n v="130383"/>
    <n v="324368"/>
    <n v="360.4088888888889"/>
    <n v="340915"/>
    <n v="378.79444444444442"/>
    <m/>
    <m/>
    <n v="0"/>
    <n v="0"/>
  </r>
  <r>
    <x v="9"/>
    <s v="Davidson County Community College "/>
    <m/>
    <n v="198376"/>
    <x v="7"/>
    <s v="sem"/>
    <m/>
    <m/>
    <m/>
    <n v="31374"/>
    <n v="31138"/>
    <n v="6886"/>
    <n v="7170"/>
    <n v="34525"/>
    <n v="34883"/>
    <n v="72785"/>
    <n v="2426.1666666666665"/>
    <n v="73191"/>
    <n v="2439.6999999999998"/>
    <n v="15462"/>
    <n v="16692"/>
    <n v="72785"/>
    <n v="73191"/>
    <m/>
    <m/>
    <n v="140127"/>
    <n v="157079"/>
    <n v="96794"/>
    <n v="86379"/>
    <n v="138385"/>
    <n v="130508"/>
    <n v="375306"/>
    <n v="417.00666666666666"/>
    <n v="373966"/>
    <n v="415.51777777777778"/>
    <m/>
    <m/>
    <n v="0"/>
    <n v="0"/>
  </r>
  <r>
    <x v="9"/>
    <s v="Durham Technical Community College"/>
    <m/>
    <n v="198455"/>
    <x v="7"/>
    <s v="sem"/>
    <m/>
    <m/>
    <m/>
    <n v="42946"/>
    <n v="44361"/>
    <n v="12483"/>
    <n v="12334"/>
    <n v="45994"/>
    <n v="47570"/>
    <n v="101423"/>
    <n v="3380.7666666666669"/>
    <n v="104265"/>
    <n v="3475.5"/>
    <n v="10699"/>
    <n v="12114"/>
    <n v="101423"/>
    <n v="104265"/>
    <m/>
    <m/>
    <n v="202227"/>
    <n v="192831"/>
    <n v="111237"/>
    <n v="126157"/>
    <n v="200877"/>
    <n v="234484"/>
    <n v="514341"/>
    <n v="571.49"/>
    <n v="553472"/>
    <n v="614.96888888888884"/>
    <m/>
    <m/>
    <n v="0"/>
    <n v="0"/>
  </r>
  <r>
    <x v="9"/>
    <s v="Gaston College "/>
    <m/>
    <n v="198570"/>
    <x v="7"/>
    <s v="sem"/>
    <m/>
    <m/>
    <m/>
    <n v="44687"/>
    <n v="43385"/>
    <n v="14303"/>
    <n v="14197"/>
    <n v="48057"/>
    <n v="48852.5"/>
    <n v="107047"/>
    <n v="3568.2333333333331"/>
    <n v="106434.5"/>
    <n v="3547.8166666666666"/>
    <n v="16033"/>
    <n v="19137"/>
    <n v="107047"/>
    <n v="106434.5"/>
    <m/>
    <m/>
    <n v="108239"/>
    <n v="121757"/>
    <n v="102168"/>
    <n v="106318"/>
    <n v="152928"/>
    <n v="180479"/>
    <n v="363335"/>
    <n v="403.70555555555558"/>
    <n v="408554"/>
    <n v="453.94888888888892"/>
    <m/>
    <m/>
    <n v="0"/>
    <n v="0"/>
  </r>
  <r>
    <x v="9"/>
    <s v="Johnston Community College"/>
    <m/>
    <n v="198774"/>
    <x v="7"/>
    <s v="sem"/>
    <m/>
    <m/>
    <m/>
    <n v="34973"/>
    <n v="33471"/>
    <n v="7918"/>
    <n v="8428"/>
    <n v="37358"/>
    <n v="38913"/>
    <n v="80249"/>
    <n v="2674.9666666666667"/>
    <n v="80812"/>
    <n v="2693.7333333333331"/>
    <n v="16291"/>
    <n v="16070"/>
    <n v="80249"/>
    <n v="80812"/>
    <m/>
    <m/>
    <n v="140675"/>
    <n v="159182"/>
    <n v="138852"/>
    <n v="112947"/>
    <n v="178841"/>
    <n v="207217"/>
    <n v="458368"/>
    <n v="509.29777777777775"/>
    <n v="479346"/>
    <n v="532.60666666666668"/>
    <m/>
    <m/>
    <n v="0"/>
    <n v="0"/>
  </r>
  <r>
    <x v="9"/>
    <s v="Lenoir Community College "/>
    <m/>
    <n v="198817"/>
    <x v="7"/>
    <s v="sem"/>
    <m/>
    <m/>
    <m/>
    <n v="22690"/>
    <n v="21097"/>
    <n v="7240"/>
    <n v="7110"/>
    <n v="24932"/>
    <n v="25208"/>
    <n v="54862"/>
    <n v="1828.7333333333333"/>
    <n v="53415"/>
    <n v="1780.5"/>
    <n v="15053"/>
    <n v="14425"/>
    <n v="54862"/>
    <n v="53415"/>
    <m/>
    <m/>
    <n v="384535"/>
    <n v="524717"/>
    <n v="348397"/>
    <n v="231659"/>
    <n v="474060"/>
    <n v="475893"/>
    <n v="1206992"/>
    <n v="1341.1022222222223"/>
    <n v="1232269"/>
    <n v="1369.1877777777777"/>
    <m/>
    <m/>
    <n v="0"/>
    <n v="0"/>
  </r>
  <r>
    <x v="9"/>
    <s v="Mitchell Community College "/>
    <m/>
    <n v="198987"/>
    <x v="7"/>
    <s v="sem"/>
    <m/>
    <m/>
    <m/>
    <n v="25247"/>
    <n v="24349"/>
    <n v="6135"/>
    <n v="5727"/>
    <n v="26819"/>
    <n v="27407"/>
    <n v="58201"/>
    <n v="1940.0333333333333"/>
    <n v="57483"/>
    <n v="1916.1"/>
    <n v="13251"/>
    <n v="13147"/>
    <n v="58201"/>
    <n v="57483"/>
    <m/>
    <m/>
    <n v="75066"/>
    <n v="88157"/>
    <n v="68103"/>
    <n v="73960"/>
    <n v="112264"/>
    <n v="128261"/>
    <n v="255433"/>
    <n v="283.81444444444446"/>
    <n v="290378"/>
    <n v="322.64222222222224"/>
    <m/>
    <m/>
    <n v="0"/>
    <n v="0"/>
  </r>
  <r>
    <x v="9"/>
    <s v="Nash Community College"/>
    <m/>
    <n v="199087"/>
    <x v="7"/>
    <s v="sem"/>
    <m/>
    <m/>
    <m/>
    <n v="26302"/>
    <n v="26627"/>
    <n v="7302"/>
    <n v="7150"/>
    <n v="27741"/>
    <n v="27571"/>
    <n v="61345"/>
    <n v="2044.8333333333333"/>
    <n v="61348"/>
    <n v="2044.9333333333334"/>
    <n v="8832"/>
    <n v="9921"/>
    <n v="61345"/>
    <n v="61348"/>
    <m/>
    <m/>
    <n v="132947"/>
    <n v="145232"/>
    <n v="92375"/>
    <n v="101848"/>
    <n v="135207"/>
    <n v="138111"/>
    <n v="360529"/>
    <n v="400.58777777777777"/>
    <n v="385191"/>
    <n v="427.99"/>
    <m/>
    <m/>
    <n v="0"/>
    <n v="0"/>
  </r>
  <r>
    <x v="9"/>
    <s v="Randolph Community College"/>
    <m/>
    <n v="199421"/>
    <x v="7"/>
    <s v="sem"/>
    <m/>
    <m/>
    <m/>
    <n v="23604.5"/>
    <n v="22952.5"/>
    <n v="5636"/>
    <n v="5376"/>
    <n v="25038.5"/>
    <n v="25623.5"/>
    <n v="54279"/>
    <n v="1809.3"/>
    <n v="53952"/>
    <n v="1798.4"/>
    <n v="12263"/>
    <n v="14270.5"/>
    <n v="54279"/>
    <n v="53952"/>
    <m/>
    <m/>
    <n v="162083"/>
    <n v="161999"/>
    <n v="85999"/>
    <n v="83262"/>
    <n v="150436"/>
    <n v="163364"/>
    <n v="398518"/>
    <n v="442.79777777777775"/>
    <n v="408625"/>
    <n v="454.02777777777777"/>
    <m/>
    <m/>
    <n v="0"/>
    <n v="0"/>
  </r>
  <r>
    <x v="9"/>
    <s v="Richmond Community College"/>
    <m/>
    <n v="199449"/>
    <x v="7"/>
    <s v="sem"/>
    <m/>
    <m/>
    <m/>
    <n v="21292.5"/>
    <n v="22110"/>
    <n v="5977"/>
    <n v="6268"/>
    <n v="24607"/>
    <n v="24445"/>
    <n v="51876.5"/>
    <n v="1729.2166666666667"/>
    <n v="52823"/>
    <n v="1760.7666666666667"/>
    <n v="13420"/>
    <n v="15911"/>
    <n v="51876.5"/>
    <n v="52823"/>
    <m/>
    <m/>
    <n v="177220"/>
    <n v="219076"/>
    <n v="169566"/>
    <n v="153743"/>
    <n v="152869"/>
    <n v="171919"/>
    <n v="499655"/>
    <n v="555.17222222222222"/>
    <n v="544738"/>
    <n v="605.26444444444439"/>
    <m/>
    <m/>
    <n v="0"/>
    <n v="0"/>
  </r>
  <r>
    <x v="9"/>
    <s v="Sandhills Community College "/>
    <m/>
    <n v="199634"/>
    <x v="7"/>
    <s v="sem"/>
    <m/>
    <m/>
    <m/>
    <n v="35414"/>
    <n v="34894"/>
    <n v="9856"/>
    <n v="9892"/>
    <n v="37646"/>
    <n v="37409"/>
    <n v="82916"/>
    <n v="2763.8666666666668"/>
    <n v="82195"/>
    <n v="2739.8333333333335"/>
    <n v="19285"/>
    <n v="17117"/>
    <n v="82916"/>
    <n v="82195"/>
    <m/>
    <m/>
    <n v="143422"/>
    <n v="171493"/>
    <n v="105789"/>
    <n v="106169"/>
    <n v="131721"/>
    <n v="158096"/>
    <n v="380932"/>
    <n v="423.25777777777779"/>
    <n v="435758"/>
    <n v="484.17555555555555"/>
    <m/>
    <m/>
    <n v="0"/>
    <n v="0"/>
  </r>
  <r>
    <x v="9"/>
    <s v="South Piedmont Community College"/>
    <m/>
    <n v="197850"/>
    <x v="7"/>
    <s v="sem"/>
    <m/>
    <m/>
    <m/>
    <n v="20480"/>
    <n v="20994"/>
    <n v="3856"/>
    <n v="4600"/>
    <n v="22514"/>
    <n v="24636"/>
    <n v="46850"/>
    <n v="1561.6666666666667"/>
    <n v="50230"/>
    <n v="1674.3333333333333"/>
    <n v="18813"/>
    <n v="21316"/>
    <n v="46850"/>
    <n v="50230"/>
    <m/>
    <m/>
    <n v="159335"/>
    <n v="162744"/>
    <n v="96139"/>
    <n v="133834"/>
    <n v="176800"/>
    <n v="213700"/>
    <n v="432274"/>
    <n v="480.30444444444447"/>
    <n v="510278"/>
    <n v="566.9755555555555"/>
    <m/>
    <m/>
    <n v="0"/>
    <n v="0"/>
  </r>
  <r>
    <x v="9"/>
    <s v="Stanly Community College"/>
    <m/>
    <n v="199740"/>
    <x v="7"/>
    <s v="sem"/>
    <m/>
    <m/>
    <m/>
    <n v="21424"/>
    <n v="20496"/>
    <n v="6283"/>
    <n v="6444"/>
    <n v="22783"/>
    <n v="23769"/>
    <n v="50490"/>
    <n v="1683"/>
    <n v="50709"/>
    <n v="1690.3"/>
    <n v="7968"/>
    <n v="9552"/>
    <n v="50490"/>
    <n v="50709"/>
    <m/>
    <m/>
    <n v="220356"/>
    <n v="209966"/>
    <n v="130704"/>
    <n v="111625"/>
    <n v="174208"/>
    <n v="208612"/>
    <n v="525268"/>
    <n v="583.63111111111107"/>
    <n v="530203"/>
    <n v="589.11444444444442"/>
    <m/>
    <m/>
    <n v="0"/>
    <n v="0"/>
  </r>
  <r>
    <x v="9"/>
    <s v="Surry Community College "/>
    <m/>
    <n v="199768"/>
    <x v="7"/>
    <s v="sem"/>
    <m/>
    <m/>
    <m/>
    <n v="26665"/>
    <n v="26048"/>
    <n v="5770"/>
    <n v="6589"/>
    <n v="28815"/>
    <n v="30466"/>
    <n v="61250"/>
    <n v="2041.6666666666667"/>
    <n v="63103"/>
    <n v="2103.4333333333334"/>
    <n v="16060"/>
    <n v="17989"/>
    <n v="61250"/>
    <n v="63103"/>
    <m/>
    <m/>
    <n v="117249"/>
    <n v="125076"/>
    <n v="109860"/>
    <n v="108747"/>
    <n v="180225"/>
    <n v="174284"/>
    <n v="407334"/>
    <n v="452.59333333333331"/>
    <n v="408107"/>
    <n v="453.45222222222225"/>
    <m/>
    <m/>
    <n v="0"/>
    <n v="0"/>
  </r>
  <r>
    <x v="9"/>
    <s v="Vance-Granville Community College "/>
    <m/>
    <n v="199838"/>
    <x v="7"/>
    <s v="sem"/>
    <m/>
    <m/>
    <m/>
    <n v="24835"/>
    <n v="23329"/>
    <n v="5209"/>
    <n v="5309"/>
    <n v="26050"/>
    <n v="27722"/>
    <n v="56094"/>
    <n v="1869.8"/>
    <n v="56360"/>
    <n v="1878.6666666666667"/>
    <n v="14134"/>
    <n v="15388"/>
    <n v="56094"/>
    <n v="56360"/>
    <m/>
    <m/>
    <n v="144319"/>
    <n v="145264"/>
    <n v="100063"/>
    <n v="98682"/>
    <n v="150336"/>
    <n v="152433"/>
    <n v="394718"/>
    <n v="438.57555555555558"/>
    <n v="396379"/>
    <n v="440.42111111111109"/>
    <m/>
    <m/>
    <n v="0"/>
    <n v="0"/>
  </r>
  <r>
    <x v="9"/>
    <s v="Wayne Community College"/>
    <m/>
    <n v="199892"/>
    <x v="7"/>
    <s v="sem"/>
    <m/>
    <m/>
    <m/>
    <n v="30598"/>
    <n v="30073"/>
    <n v="9124"/>
    <n v="9353"/>
    <n v="32107"/>
    <n v="31252"/>
    <n v="71829"/>
    <n v="2394.3000000000002"/>
    <n v="70678"/>
    <n v="2355.9333333333334"/>
    <n v="12666"/>
    <n v="11618.5"/>
    <n v="71829"/>
    <n v="70678"/>
    <m/>
    <m/>
    <n v="152882"/>
    <n v="171551"/>
    <n v="115682"/>
    <n v="113241"/>
    <n v="134222"/>
    <n v="181076"/>
    <n v="402786"/>
    <n v="447.54"/>
    <n v="465868"/>
    <n v="517.63111111111107"/>
    <m/>
    <m/>
    <n v="0"/>
    <n v="0"/>
  </r>
  <r>
    <x v="9"/>
    <s v="Wilkes Community College "/>
    <m/>
    <n v="199926"/>
    <x v="7"/>
    <s v="sem"/>
    <m/>
    <m/>
    <m/>
    <n v="24260"/>
    <n v="22176"/>
    <n v="4857"/>
    <n v="4870"/>
    <n v="26082"/>
    <n v="26412"/>
    <n v="55199"/>
    <n v="1839.9666666666667"/>
    <n v="53458"/>
    <n v="1781.9333333333334"/>
    <n v="12832"/>
    <n v="12773"/>
    <n v="55199"/>
    <n v="53458"/>
    <m/>
    <m/>
    <n v="148986"/>
    <n v="158768"/>
    <n v="88456"/>
    <n v="97618"/>
    <n v="165244"/>
    <n v="158870"/>
    <n v="402686"/>
    <n v="447.42888888888888"/>
    <n v="415256"/>
    <n v="461.39555555555557"/>
    <m/>
    <m/>
    <n v="0"/>
    <n v="0"/>
  </r>
  <r>
    <x v="9"/>
    <s v="Beaufort County Community College "/>
    <m/>
    <n v="197966"/>
    <x v="8"/>
    <s v="sem"/>
    <m/>
    <m/>
    <m/>
    <n v="12072"/>
    <n v="13450"/>
    <n v="2911"/>
    <n v="2974"/>
    <n v="13867"/>
    <n v="14559"/>
    <n v="28850"/>
    <n v="961.66666666666663"/>
    <n v="30983"/>
    <n v="1032.7666666666667"/>
    <n v="9970"/>
    <n v="11145"/>
    <n v="28850"/>
    <n v="30983"/>
    <m/>
    <m/>
    <n v="87862"/>
    <n v="98836"/>
    <n v="61834"/>
    <n v="65875"/>
    <n v="92931"/>
    <n v="95865"/>
    <n v="242627"/>
    <n v="269.58555555555557"/>
    <n v="260576"/>
    <n v="289.5288888888889"/>
    <m/>
    <m/>
    <n v="0"/>
    <n v="0"/>
  </r>
  <r>
    <x v="9"/>
    <s v="Bladen Community College"/>
    <m/>
    <n v="198011"/>
    <x v="8"/>
    <s v="sem"/>
    <m/>
    <m/>
    <m/>
    <n v="11233"/>
    <n v="10947"/>
    <n v="3490"/>
    <n v="3487"/>
    <n v="12321"/>
    <n v="13181"/>
    <n v="27044"/>
    <n v="901.4666666666667"/>
    <n v="27615"/>
    <n v="920.5"/>
    <n v="6638"/>
    <n v="7348"/>
    <n v="27044"/>
    <n v="27615"/>
    <m/>
    <m/>
    <n v="56183"/>
    <n v="68047"/>
    <n v="33703"/>
    <n v="29827"/>
    <n v="52499"/>
    <n v="51214"/>
    <n v="142385"/>
    <n v="158.20555555555555"/>
    <n v="149088"/>
    <n v="165.65333333333334"/>
    <m/>
    <m/>
    <n v="0"/>
    <n v="0"/>
  </r>
  <r>
    <x v="9"/>
    <s v="Blue Ridge Community College"/>
    <m/>
    <n v="198039"/>
    <x v="8"/>
    <s v="sem"/>
    <m/>
    <m/>
    <m/>
    <n v="17261"/>
    <n v="17518"/>
    <n v="4106"/>
    <n v="4467"/>
    <n v="19473"/>
    <n v="20352"/>
    <n v="40840"/>
    <n v="1361.3333333333333"/>
    <n v="42337"/>
    <n v="1411.2333333333333"/>
    <n v="7963"/>
    <n v="8750"/>
    <n v="40840"/>
    <n v="42337"/>
    <m/>
    <m/>
    <n v="130538"/>
    <n v="130669"/>
    <n v="86709"/>
    <n v="97604"/>
    <n v="151376"/>
    <n v="169076"/>
    <n v="368623"/>
    <n v="409.58111111111111"/>
    <n v="397349"/>
    <n v="441.49888888888887"/>
    <m/>
    <m/>
    <n v="0"/>
    <n v="0"/>
  </r>
  <r>
    <x v="9"/>
    <s v="Brunswick Community College"/>
    <m/>
    <n v="198084"/>
    <x v="8"/>
    <s v="sem"/>
    <m/>
    <m/>
    <m/>
    <n v="12557"/>
    <n v="13710"/>
    <n v="2936"/>
    <n v="2932"/>
    <n v="14887"/>
    <n v="15937"/>
    <n v="30380"/>
    <n v="1012.6666666666666"/>
    <n v="32579"/>
    <n v="1085.9666666666667"/>
    <n v="6784"/>
    <n v="8052"/>
    <n v="30380"/>
    <n v="32579"/>
    <m/>
    <m/>
    <n v="132928"/>
    <n v="135062"/>
    <n v="88130"/>
    <n v="74404"/>
    <n v="132953"/>
    <n v="137533"/>
    <n v="354011"/>
    <n v="393.34555555555556"/>
    <n v="346999"/>
    <n v="385.55444444444447"/>
    <m/>
    <m/>
    <n v="0"/>
    <n v="0"/>
  </r>
  <r>
    <x v="9"/>
    <s v="Carteret Community College"/>
    <m/>
    <n v="198206"/>
    <x v="8"/>
    <s v="sem"/>
    <m/>
    <m/>
    <m/>
    <n v="12816"/>
    <n v="14081"/>
    <n v="3316"/>
    <n v="3268"/>
    <n v="14392.5"/>
    <n v="14339"/>
    <n v="30524.5"/>
    <n v="1017.4833333333333"/>
    <n v="31688"/>
    <n v="1056.2666666666667"/>
    <n v="4755"/>
    <n v="4940"/>
    <n v="30524.5"/>
    <n v="31688"/>
    <m/>
    <m/>
    <n v="110517"/>
    <n v="102684"/>
    <n v="54185"/>
    <n v="51691"/>
    <n v="85369"/>
    <n v="113582"/>
    <n v="250071"/>
    <n v="277.85666666666668"/>
    <n v="267957"/>
    <n v="297.73"/>
    <m/>
    <m/>
    <n v="0"/>
    <n v="0"/>
  </r>
  <r>
    <x v="9"/>
    <s v="College of the Albemarle"/>
    <s v="Met the criteria for Two-Year 2 in 2019-20."/>
    <n v="197814"/>
    <x v="8"/>
    <s v="sem"/>
    <m/>
    <m/>
    <m/>
    <n v="21598"/>
    <n v="22451"/>
    <n v="4857"/>
    <n v="5668"/>
    <n v="24125"/>
    <n v="25236"/>
    <n v="50580"/>
    <n v="1686"/>
    <n v="53355"/>
    <n v="1778.5"/>
    <n v="7773"/>
    <n v="370"/>
    <n v="50580"/>
    <n v="53355"/>
    <m/>
    <m/>
    <n v="74742"/>
    <n v="87138"/>
    <n v="77452"/>
    <n v="80347"/>
    <n v="104640"/>
    <n v="117365"/>
    <n v="256834"/>
    <n v="285.37111111111113"/>
    <n v="284850"/>
    <n v="316.5"/>
    <m/>
    <m/>
    <n v="0"/>
    <n v="0"/>
  </r>
  <r>
    <x v="9"/>
    <s v="Edgecombe Community College"/>
    <m/>
    <n v="198491"/>
    <x v="8"/>
    <s v="sem"/>
    <m/>
    <m/>
    <m/>
    <n v="19152"/>
    <n v="17360"/>
    <n v="6159"/>
    <n v="5594"/>
    <n v="18765"/>
    <n v="17476"/>
    <n v="44076"/>
    <n v="1469.2"/>
    <n v="40430"/>
    <n v="1347.6666666666667"/>
    <n v="6214"/>
    <n v="5804"/>
    <n v="44076"/>
    <n v="40430"/>
    <m/>
    <m/>
    <n v="76187"/>
    <n v="88887"/>
    <n v="54733"/>
    <n v="49548"/>
    <n v="89391"/>
    <n v="114821"/>
    <n v="220311"/>
    <n v="244.79"/>
    <n v="253256"/>
    <n v="281.39555555555557"/>
    <m/>
    <m/>
    <n v="0"/>
    <n v="0"/>
  </r>
  <r>
    <x v="9"/>
    <s v="Halifax Community College "/>
    <m/>
    <n v="198640"/>
    <x v="8"/>
    <s v="sem"/>
    <m/>
    <m/>
    <m/>
    <n v="8656"/>
    <n v="8809"/>
    <n v="1772"/>
    <n v="2022"/>
    <n v="9386"/>
    <n v="9890"/>
    <n v="19814"/>
    <n v="660.4666666666667"/>
    <n v="20721"/>
    <n v="690.7"/>
    <n v="5864"/>
    <n v="6644"/>
    <n v="19814"/>
    <n v="20721"/>
    <m/>
    <m/>
    <n v="75002"/>
    <n v="89360"/>
    <n v="48191"/>
    <n v="35940"/>
    <n v="69286"/>
    <n v="90181"/>
    <n v="192479"/>
    <n v="213.86555555555555"/>
    <n v="215481"/>
    <n v="239.42333333333335"/>
    <m/>
    <m/>
    <n v="0"/>
    <n v="0"/>
  </r>
  <r>
    <x v="9"/>
    <s v="Haywood Community College"/>
    <m/>
    <n v="198668"/>
    <x v="8"/>
    <s v="sem"/>
    <m/>
    <m/>
    <m/>
    <n v="13764"/>
    <n v="13637"/>
    <n v="3546"/>
    <n v="3073"/>
    <n v="15233"/>
    <n v="15363"/>
    <n v="32543"/>
    <n v="1084.7666666666667"/>
    <n v="32073"/>
    <n v="1069.0999999999999"/>
    <n v="6153"/>
    <n v="6550"/>
    <n v="32543"/>
    <n v="32073"/>
    <m/>
    <m/>
    <n v="66290"/>
    <n v="74561"/>
    <n v="38300"/>
    <n v="36455"/>
    <n v="78388"/>
    <n v="71796"/>
    <n v="182978"/>
    <n v="203.3088888888889"/>
    <n v="182812"/>
    <n v="203.12444444444444"/>
    <m/>
    <m/>
    <n v="0"/>
    <n v="0"/>
  </r>
  <r>
    <x v="9"/>
    <s v="Isothermal Community College "/>
    <m/>
    <n v="198710"/>
    <x v="8"/>
    <s v="sem"/>
    <m/>
    <m/>
    <m/>
    <n v="18462"/>
    <n v="17832"/>
    <n v="5771"/>
    <n v="5883"/>
    <n v="18786"/>
    <n v="19920"/>
    <n v="43019"/>
    <n v="1433.9666666666667"/>
    <n v="43635"/>
    <n v="1454.5"/>
    <n v="12749"/>
    <n v="13343"/>
    <n v="43019"/>
    <n v="43635"/>
    <m/>
    <m/>
    <n v="70485"/>
    <n v="71947"/>
    <n v="30361"/>
    <n v="38187"/>
    <n v="68171"/>
    <n v="64682"/>
    <n v="169017"/>
    <n v="187.79666666666665"/>
    <n v="174816"/>
    <n v="194.24"/>
    <m/>
    <m/>
    <n v="0"/>
    <n v="0"/>
  </r>
  <r>
    <x v="9"/>
    <s v="James Sprunt Community College"/>
    <m/>
    <n v="198729"/>
    <x v="8"/>
    <s v="sem"/>
    <m/>
    <m/>
    <m/>
    <n v="11114"/>
    <n v="10442"/>
    <n v="2750"/>
    <n v="3403"/>
    <n v="10944"/>
    <n v="11671"/>
    <n v="24808"/>
    <n v="826.93333333333328"/>
    <n v="25516"/>
    <n v="850.5333333333333"/>
    <n v="7066"/>
    <n v="7506"/>
    <n v="24808"/>
    <n v="25516"/>
    <m/>
    <m/>
    <n v="53326"/>
    <n v="41421"/>
    <n v="37936"/>
    <n v="39164"/>
    <n v="59757"/>
    <n v="62795"/>
    <n v="151019"/>
    <n v="167.79888888888888"/>
    <n v="143380"/>
    <n v="159.3111111111111"/>
    <m/>
    <m/>
    <n v="0"/>
    <n v="0"/>
  </r>
  <r>
    <x v="9"/>
    <s v="Martin Community College "/>
    <m/>
    <n v="198905"/>
    <x v="8"/>
    <s v="sem"/>
    <m/>
    <m/>
    <m/>
    <n v="6728.5"/>
    <n v="6437"/>
    <n v="1332"/>
    <n v="1381"/>
    <n v="7190"/>
    <n v="7864"/>
    <n v="15250.5"/>
    <n v="508.35"/>
    <n v="15682"/>
    <n v="522.73333333333335"/>
    <n v="8567.5"/>
    <n v="8637"/>
    <n v="15250.5"/>
    <n v="15682"/>
    <m/>
    <m/>
    <n v="56192"/>
    <n v="50245"/>
    <n v="32905"/>
    <n v="14794"/>
    <n v="62685"/>
    <n v="45630"/>
    <n v="151782"/>
    <n v="168.64666666666668"/>
    <n v="110669"/>
    <n v="122.96555555555555"/>
    <m/>
    <m/>
    <n v="0"/>
    <n v="0"/>
  </r>
  <r>
    <x v="9"/>
    <s v="Mayland Community College"/>
    <m/>
    <n v="198914"/>
    <x v="8"/>
    <s v="sem"/>
    <m/>
    <m/>
    <m/>
    <n v="9189"/>
    <n v="8903"/>
    <n v="1057"/>
    <n v="1261"/>
    <n v="9343"/>
    <n v="9077"/>
    <n v="19589"/>
    <n v="652.9666666666667"/>
    <n v="19241"/>
    <n v="641.36666666666667"/>
    <n v="7601"/>
    <n v="7964"/>
    <n v="19589"/>
    <n v="19241"/>
    <m/>
    <m/>
    <n v="166714"/>
    <n v="141236"/>
    <n v="104858"/>
    <n v="96025"/>
    <n v="126565"/>
    <n v="148269"/>
    <n v="398137"/>
    <n v="442.37444444444446"/>
    <n v="385530"/>
    <n v="428.36666666666667"/>
    <m/>
    <m/>
    <n v="0"/>
    <n v="0"/>
  </r>
  <r>
    <x v="9"/>
    <s v="McDowell Technical Community College"/>
    <m/>
    <n v="198923"/>
    <x v="8"/>
    <s v="sem"/>
    <m/>
    <m/>
    <m/>
    <n v="8862"/>
    <n v="8237"/>
    <n v="2676"/>
    <n v="2528"/>
    <n v="9686"/>
    <n v="10208"/>
    <n v="21224"/>
    <n v="707.4666666666667"/>
    <n v="20973"/>
    <n v="699.1"/>
    <n v="7573"/>
    <n v="8208"/>
    <n v="21224"/>
    <n v="20973"/>
    <m/>
    <m/>
    <n v="78423"/>
    <n v="78787"/>
    <n v="41268"/>
    <n v="55161"/>
    <n v="55730"/>
    <n v="60480"/>
    <n v="175421"/>
    <n v="194.91222222222223"/>
    <n v="194428"/>
    <n v="216.0311111111111"/>
    <m/>
    <m/>
    <n v="0"/>
    <n v="0"/>
  </r>
  <r>
    <x v="9"/>
    <s v="Montgomery Community College"/>
    <m/>
    <n v="199023"/>
    <x v="8"/>
    <s v="sem"/>
    <m/>
    <m/>
    <m/>
    <n v="7723"/>
    <n v="7125"/>
    <n v="1775"/>
    <n v="1412"/>
    <n v="8358.5"/>
    <n v="9553"/>
    <n v="17856.5"/>
    <n v="595.2166666666667"/>
    <n v="18090"/>
    <n v="603"/>
    <n v="4854"/>
    <n v="5998"/>
    <n v="17856.5"/>
    <n v="18090"/>
    <m/>
    <m/>
    <n v="49365"/>
    <n v="49962"/>
    <n v="38855"/>
    <n v="26048"/>
    <n v="48972"/>
    <n v="48729"/>
    <n v="137192"/>
    <n v="152.43555555555557"/>
    <n v="124739"/>
    <n v="138.59888888888889"/>
    <m/>
    <m/>
    <n v="0"/>
    <n v="0"/>
  </r>
  <r>
    <x v="9"/>
    <s v="Pamlico Community College"/>
    <m/>
    <n v="199263"/>
    <x v="8"/>
    <s v="sem"/>
    <m/>
    <m/>
    <m/>
    <n v="4998"/>
    <n v="3609"/>
    <n v="1408"/>
    <n v="1982"/>
    <n v="5247"/>
    <n v="5045"/>
    <n v="11653"/>
    <n v="388.43333333333334"/>
    <n v="10636"/>
    <n v="354.53333333333336"/>
    <n v="2053"/>
    <n v="1864"/>
    <n v="11653"/>
    <n v="10636"/>
    <m/>
    <m/>
    <n v="40951"/>
    <n v="23452"/>
    <n v="20469"/>
    <n v="19331"/>
    <n v="23668"/>
    <n v="28806"/>
    <n v="85088"/>
    <n v="94.542222222222222"/>
    <n v="71589"/>
    <n v="79.543333333333337"/>
    <m/>
    <m/>
    <n v="0"/>
    <n v="0"/>
  </r>
  <r>
    <x v="9"/>
    <s v="Piedmont Community College"/>
    <m/>
    <n v="199324"/>
    <x v="8"/>
    <s v="sem"/>
    <m/>
    <m/>
    <m/>
    <n v="9865.5"/>
    <n v="9488.5"/>
    <n v="1765.5"/>
    <n v="1949"/>
    <n v="10383.5"/>
    <n v="12298.5"/>
    <n v="22014.5"/>
    <n v="733.81666666666672"/>
    <n v="23736"/>
    <n v="791.2"/>
    <n v="4970"/>
    <n v="6194"/>
    <n v="22014.5"/>
    <n v="23736"/>
    <m/>
    <m/>
    <n v="142691"/>
    <n v="141940"/>
    <n v="74056"/>
    <n v="74694"/>
    <n v="131011"/>
    <n v="129261"/>
    <n v="347758"/>
    <n v="386.39777777777778"/>
    <n v="345895"/>
    <n v="384.32777777777778"/>
    <m/>
    <m/>
    <n v="0"/>
    <n v="0"/>
  </r>
  <r>
    <x v="9"/>
    <s v="Roanoke-Chowan Community College"/>
    <m/>
    <n v="199467"/>
    <x v="8"/>
    <s v="sem"/>
    <m/>
    <m/>
    <m/>
    <n v="6489"/>
    <n v="5831"/>
    <n v="1200"/>
    <n v="851"/>
    <n v="6502"/>
    <n v="5901"/>
    <n v="14191"/>
    <n v="473.03333333333336"/>
    <n v="12583"/>
    <n v="419.43333333333334"/>
    <n v="4748"/>
    <n v="4747"/>
    <n v="14191"/>
    <n v="12583"/>
    <m/>
    <m/>
    <n v="60664"/>
    <n v="56374"/>
    <n v="47741"/>
    <n v="38707"/>
    <n v="58544"/>
    <n v="40985"/>
    <n v="166949"/>
    <n v="185.4988888888889"/>
    <n v="136066"/>
    <n v="151.18444444444444"/>
    <m/>
    <m/>
    <n v="0"/>
    <n v="0"/>
  </r>
  <r>
    <x v="9"/>
    <s v="Robeson Community College"/>
    <m/>
    <n v="199476"/>
    <x v="8"/>
    <s v="sem"/>
    <m/>
    <m/>
    <m/>
    <n v="16423"/>
    <n v="15113"/>
    <n v="3933"/>
    <n v="4020"/>
    <n v="17502"/>
    <n v="18785"/>
    <n v="37858"/>
    <n v="1261.9333333333334"/>
    <n v="37918"/>
    <n v="1263.9333333333334"/>
    <n v="5919"/>
    <n v="7579"/>
    <n v="37858"/>
    <n v="37918"/>
    <m/>
    <m/>
    <n v="215412"/>
    <n v="198412"/>
    <n v="128891"/>
    <n v="155409"/>
    <n v="191738"/>
    <n v="306481"/>
    <n v="536041"/>
    <n v="595.60111111111109"/>
    <n v="660302"/>
    <n v="733.66888888888889"/>
    <m/>
    <m/>
    <n v="0"/>
    <n v="0"/>
  </r>
  <r>
    <x v="9"/>
    <s v="Rockingham Community College "/>
    <m/>
    <n v="199485"/>
    <x v="8"/>
    <s v="sem"/>
    <m/>
    <m/>
    <m/>
    <n v="15376"/>
    <n v="14219"/>
    <n v="3968"/>
    <n v="3748"/>
    <n v="15927"/>
    <n v="18163"/>
    <n v="35271"/>
    <n v="1175.7"/>
    <n v="36130"/>
    <n v="1204.3333333333333"/>
    <n v="6858"/>
    <n v="7625"/>
    <n v="35271"/>
    <n v="36130"/>
    <m/>
    <m/>
    <n v="68148"/>
    <n v="81892"/>
    <n v="49724"/>
    <n v="45586"/>
    <n v="83605"/>
    <n v="75754"/>
    <n v="201477"/>
    <n v="223.86333333333334"/>
    <n v="203232"/>
    <n v="225.81333333333333"/>
    <m/>
    <m/>
    <n v="0"/>
    <n v="0"/>
  </r>
  <r>
    <x v="9"/>
    <s v="Sampson Community College"/>
    <m/>
    <n v="199625"/>
    <x v="8"/>
    <s v="sem"/>
    <m/>
    <m/>
    <m/>
    <n v="13636"/>
    <n v="15052"/>
    <n v="5118"/>
    <n v="4467"/>
    <n v="15229"/>
    <n v="16850"/>
    <n v="33983"/>
    <n v="1132.7666666666667"/>
    <n v="36369"/>
    <n v="1212.3"/>
    <n v="12317"/>
    <n v="13371"/>
    <n v="33983"/>
    <n v="36369"/>
    <m/>
    <m/>
    <n v="103688"/>
    <n v="145114"/>
    <n v="90074"/>
    <n v="82577"/>
    <n v="168189"/>
    <n v="166374"/>
    <n v="361951"/>
    <n v="402.16777777777776"/>
    <n v="394065"/>
    <n v="437.85"/>
    <m/>
    <m/>
    <n v="0"/>
    <n v="0"/>
  </r>
  <r>
    <x v="9"/>
    <s v="Southeastern Community College "/>
    <m/>
    <n v="199722"/>
    <x v="8"/>
    <s v="sem"/>
    <m/>
    <m/>
    <m/>
    <n v="12481"/>
    <n v="13618"/>
    <n v="4124"/>
    <n v="3762"/>
    <n v="13638"/>
    <n v="14168"/>
    <n v="30243"/>
    <n v="1008.1"/>
    <n v="31548"/>
    <n v="1051.5999999999999"/>
    <n v="8934"/>
    <n v="9354"/>
    <n v="30243"/>
    <n v="31548"/>
    <m/>
    <m/>
    <n v="180414"/>
    <n v="208840"/>
    <n v="109671"/>
    <n v="102158"/>
    <n v="178038"/>
    <n v="192709"/>
    <n v="468123"/>
    <n v="520.13666666666666"/>
    <n v="503707"/>
    <n v="559.67444444444448"/>
    <m/>
    <m/>
    <n v="0"/>
    <n v="0"/>
  </r>
  <r>
    <x v="9"/>
    <s v="Southwestern Community College "/>
    <m/>
    <n v="199731"/>
    <x v="8"/>
    <s v="sem"/>
    <m/>
    <m/>
    <m/>
    <n v="21188"/>
    <n v="20956"/>
    <n v="4142"/>
    <n v="4049"/>
    <n v="21900"/>
    <n v="21372"/>
    <n v="47230"/>
    <n v="1574.3333333333333"/>
    <n v="46377"/>
    <n v="1545.9"/>
    <n v="11788"/>
    <n v="11390"/>
    <n v="47230"/>
    <n v="46377"/>
    <m/>
    <m/>
    <n v="133633"/>
    <n v="120126"/>
    <n v="78904"/>
    <n v="89973"/>
    <n v="139815"/>
    <n v="132301"/>
    <n v="352352"/>
    <n v="391.5022222222222"/>
    <n v="342400"/>
    <n v="380.44444444444446"/>
    <m/>
    <m/>
    <n v="0"/>
    <n v="0"/>
  </r>
  <r>
    <x v="9"/>
    <s v="Tri-County Community College "/>
    <m/>
    <n v="199795"/>
    <x v="8"/>
    <s v="sem"/>
    <m/>
    <m/>
    <m/>
    <n v="9196"/>
    <n v="9495"/>
    <n v="2208"/>
    <n v="2622"/>
    <n v="9937"/>
    <n v="10973"/>
    <n v="21341"/>
    <n v="711.36666666666667"/>
    <n v="23090"/>
    <n v="769.66666666666663"/>
    <n v="8845"/>
    <n v="9323"/>
    <n v="21341"/>
    <n v="23090"/>
    <m/>
    <m/>
    <n v="47896"/>
    <n v="59344"/>
    <n v="35460"/>
    <n v="40675"/>
    <n v="56951"/>
    <n v="67908"/>
    <n v="140307"/>
    <n v="155.89666666666668"/>
    <n v="167927"/>
    <n v="186.58555555555554"/>
    <m/>
    <m/>
    <n v="0"/>
    <n v="0"/>
  </r>
  <r>
    <x v="9"/>
    <s v="Western Piedmont Community College "/>
    <m/>
    <n v="199908"/>
    <x v="8"/>
    <s v="sem"/>
    <m/>
    <m/>
    <m/>
    <n v="16670"/>
    <n v="16817"/>
    <n v="3695"/>
    <n v="4105"/>
    <n v="17964"/>
    <n v="19798"/>
    <n v="38329"/>
    <n v="1277.6333333333334"/>
    <n v="40720"/>
    <n v="1357.3333333333333"/>
    <n v="7175"/>
    <n v="10567"/>
    <n v="38329"/>
    <n v="40720"/>
    <m/>
    <m/>
    <n v="101077"/>
    <n v="115420"/>
    <n v="66011"/>
    <n v="46010"/>
    <n v="88847"/>
    <n v="84010"/>
    <n v="255935"/>
    <n v="284.37222222222221"/>
    <n v="245440"/>
    <n v="272.71111111111111"/>
    <m/>
    <m/>
    <n v="0"/>
    <n v="0"/>
  </r>
  <r>
    <x v="9"/>
    <s v="Wilson Community College"/>
    <m/>
    <n v="199953"/>
    <x v="8"/>
    <s v="sem"/>
    <m/>
    <m/>
    <m/>
    <n v="14424"/>
    <n v="14104"/>
    <n v="5678"/>
    <n v="5251"/>
    <n v="14652"/>
    <n v="15703.5"/>
    <n v="34754"/>
    <n v="1158.4666666666667"/>
    <n v="35058.5"/>
    <n v="1168.6166666666666"/>
    <n v="9200"/>
    <n v="9785.5"/>
    <n v="34754"/>
    <n v="35058.5"/>
    <m/>
    <m/>
    <n v="90819"/>
    <n v="102294"/>
    <n v="65922"/>
    <n v="55422"/>
    <n v="84854"/>
    <n v="92042"/>
    <n v="241595"/>
    <n v="268.43888888888887"/>
    <n v="249758"/>
    <n v="277.50888888888886"/>
    <m/>
    <m/>
    <n v="0"/>
    <n v="0"/>
  </r>
  <r>
    <x v="10"/>
    <s v="Oklahoma State University Main Campus"/>
    <m/>
    <n v="207388"/>
    <x v="0"/>
    <s v="sem"/>
    <s v="sem"/>
    <m/>
    <m/>
    <n v="264874"/>
    <n v="258585"/>
    <n v="28868"/>
    <n v="28808"/>
    <n v="281804"/>
    <n v="280888"/>
    <n v="575546"/>
    <n v="19184.866666666665"/>
    <n v="568281"/>
    <n v="18942.7"/>
    <n v="871"/>
    <n v="970"/>
    <n v="575546"/>
    <n v="568281"/>
    <m/>
    <m/>
    <m/>
    <m/>
    <m/>
    <m/>
    <m/>
    <m/>
    <n v="0"/>
    <n v="0"/>
    <n v="0"/>
    <n v="0"/>
    <m/>
    <m/>
    <n v="0"/>
    <n v="0"/>
  </r>
  <r>
    <x v="10"/>
    <s v="University of Oklahoma Norman Campus"/>
    <m/>
    <n v="207500"/>
    <x v="0"/>
    <s v="sem"/>
    <s v="sem"/>
    <m/>
    <m/>
    <n v="279839"/>
    <n v="276087"/>
    <n v="37196"/>
    <n v="36599"/>
    <n v="300879"/>
    <n v="299748"/>
    <n v="617914"/>
    <n v="20597.133333333335"/>
    <n v="612434"/>
    <n v="20414.466666666667"/>
    <n v="2425"/>
    <n v="2301"/>
    <n v="617914"/>
    <n v="612434"/>
    <m/>
    <m/>
    <m/>
    <m/>
    <m/>
    <m/>
    <m/>
    <m/>
    <n v="0"/>
    <n v="0"/>
    <n v="0"/>
    <n v="0"/>
    <m/>
    <m/>
    <n v="0"/>
    <n v="0"/>
  </r>
  <r>
    <x v="10"/>
    <s v="Northeastern State University"/>
    <m/>
    <n v="207263"/>
    <x v="2"/>
    <s v="sem"/>
    <s v="sem"/>
    <m/>
    <m/>
    <n v="72087"/>
    <n v="69371"/>
    <n v="13439"/>
    <n v="13302"/>
    <n v="78763"/>
    <n v="77707"/>
    <n v="164289"/>
    <n v="5476.3"/>
    <n v="160380"/>
    <n v="5346"/>
    <n v="2620"/>
    <n v="2387"/>
    <n v="164289"/>
    <n v="160380"/>
    <m/>
    <m/>
    <m/>
    <m/>
    <m/>
    <m/>
    <m/>
    <m/>
    <n v="0"/>
    <n v="0"/>
    <n v="0"/>
    <n v="0"/>
    <m/>
    <m/>
    <n v="0"/>
    <n v="0"/>
  </r>
  <r>
    <x v="10"/>
    <s v="University of Central Oklahoma"/>
    <s v="Met the criteria for Four-Year 4 in 2019-20."/>
    <n v="206941"/>
    <x v="2"/>
    <s v="sem"/>
    <s v="sem"/>
    <m/>
    <m/>
    <n v="153272"/>
    <n v="146042"/>
    <n v="24522"/>
    <n v="24041"/>
    <n v="167312"/>
    <n v="164215"/>
    <n v="345106"/>
    <n v="11503.533333333333"/>
    <n v="334298"/>
    <n v="11143.266666666666"/>
    <n v="5156"/>
    <n v="5012"/>
    <n v="345106"/>
    <n v="334298"/>
    <m/>
    <m/>
    <m/>
    <m/>
    <m/>
    <m/>
    <m/>
    <m/>
    <n v="0"/>
    <n v="0"/>
    <n v="0"/>
    <n v="0"/>
    <m/>
    <m/>
    <n v="0"/>
    <n v="0"/>
  </r>
  <r>
    <x v="10"/>
    <s v="Southeastern Oklahoma State University "/>
    <m/>
    <n v="207847"/>
    <x v="3"/>
    <s v="sem"/>
    <s v="sem"/>
    <m/>
    <m/>
    <n v="34734"/>
    <n v="33073"/>
    <n v="5544"/>
    <n v="5320"/>
    <n v="39090"/>
    <n v="37944"/>
    <n v="79368"/>
    <n v="2645.6"/>
    <n v="76337"/>
    <n v="2544.5666666666666"/>
    <n v="2028"/>
    <n v="2157"/>
    <n v="79368"/>
    <n v="76337"/>
    <m/>
    <m/>
    <m/>
    <m/>
    <m/>
    <m/>
    <m/>
    <m/>
    <n v="0"/>
    <n v="0"/>
    <n v="0"/>
    <n v="0"/>
    <m/>
    <m/>
    <n v="0"/>
    <n v="0"/>
  </r>
  <r>
    <x v="10"/>
    <s v="Southwestern Oklahoma State University"/>
    <m/>
    <n v="207865"/>
    <x v="3"/>
    <s v="sem"/>
    <s v="sem"/>
    <m/>
    <m/>
    <n v="53823"/>
    <n v="47910"/>
    <n v="8174"/>
    <n v="7988"/>
    <n v="59793"/>
    <n v="55785"/>
    <n v="121790"/>
    <n v="4059.6666666666665"/>
    <n v="111683"/>
    <n v="3722.7666666666669"/>
    <n v="2182"/>
    <n v="1913"/>
    <n v="121790"/>
    <n v="111683"/>
    <m/>
    <m/>
    <m/>
    <m/>
    <m/>
    <m/>
    <m/>
    <m/>
    <n v="0"/>
    <n v="0"/>
    <n v="0"/>
    <n v="0"/>
    <m/>
    <m/>
    <n v="0"/>
    <n v="0"/>
  </r>
  <r>
    <x v="10"/>
    <s v="Cameron University "/>
    <m/>
    <n v="206914"/>
    <x v="4"/>
    <s v="sem"/>
    <s v="sem"/>
    <m/>
    <m/>
    <n v="42601"/>
    <n v="39377"/>
    <n v="7452"/>
    <n v="7292"/>
    <n v="45607"/>
    <n v="43978"/>
    <n v="95660"/>
    <n v="3188.6666666666665"/>
    <n v="90647"/>
    <n v="3021.5666666666666"/>
    <n v="3154"/>
    <n v="3233"/>
    <n v="95660"/>
    <n v="90647"/>
    <m/>
    <m/>
    <m/>
    <m/>
    <m/>
    <m/>
    <m/>
    <m/>
    <n v="0"/>
    <n v="0"/>
    <n v="0"/>
    <n v="0"/>
    <m/>
    <m/>
    <n v="0"/>
    <n v="0"/>
  </r>
  <r>
    <x v="10"/>
    <s v="East Central University "/>
    <s v="Met the criteria for Four-Year 4 in 2018-19 and 2019-20."/>
    <n v="207041"/>
    <x v="4"/>
    <s v="sem"/>
    <s v="sem"/>
    <m/>
    <m/>
    <n v="37140"/>
    <n v="34185"/>
    <n v="5038"/>
    <n v="4870"/>
    <n v="38052"/>
    <n v="37156"/>
    <n v="80230"/>
    <n v="2674.3333333333335"/>
    <n v="76211"/>
    <n v="2540.3666666666668"/>
    <n v="2195"/>
    <n v="2348"/>
    <n v="80230"/>
    <n v="76211"/>
    <m/>
    <m/>
    <m/>
    <m/>
    <m/>
    <m/>
    <m/>
    <m/>
    <n v="0"/>
    <n v="0"/>
    <n v="0"/>
    <n v="0"/>
    <m/>
    <m/>
    <n v="0"/>
    <n v="0"/>
  </r>
  <r>
    <x v="10"/>
    <s v="Langston University"/>
    <m/>
    <n v="207209"/>
    <x v="4"/>
    <s v="sem"/>
    <s v="sem"/>
    <m/>
    <m/>
    <n v="25545"/>
    <n v="25507"/>
    <n v="2687"/>
    <n v="2690"/>
    <n v="28335"/>
    <n v="28275"/>
    <n v="56567"/>
    <n v="1885.5666666666666"/>
    <n v="56472"/>
    <n v="1882.4"/>
    <n v="59"/>
    <n v="65"/>
    <n v="56567"/>
    <n v="56472"/>
    <m/>
    <m/>
    <m/>
    <m/>
    <m/>
    <m/>
    <m/>
    <m/>
    <n v="0"/>
    <n v="0"/>
    <n v="0"/>
    <n v="0"/>
    <m/>
    <m/>
    <n v="0"/>
    <n v="0"/>
  </r>
  <r>
    <x v="10"/>
    <s v="Northwestern Oklahoma State University "/>
    <m/>
    <n v="207306"/>
    <x v="4"/>
    <s v="sem"/>
    <s v="sem"/>
    <m/>
    <m/>
    <n v="21089"/>
    <n v="20329"/>
    <n v="3189"/>
    <n v="2866"/>
    <n v="23591"/>
    <n v="22883"/>
    <n v="47869"/>
    <n v="1595.6333333333334"/>
    <n v="46078"/>
    <n v="1535.9333333333334"/>
    <n v="849"/>
    <n v="782"/>
    <n v="47869"/>
    <n v="46078"/>
    <m/>
    <m/>
    <m/>
    <m/>
    <m/>
    <m/>
    <m/>
    <m/>
    <n v="0"/>
    <n v="0"/>
    <n v="0"/>
    <n v="0"/>
    <m/>
    <m/>
    <n v="0"/>
    <n v="0"/>
  </r>
  <r>
    <x v="10"/>
    <s v="Oklahoma Panhandle State University "/>
    <m/>
    <n v="207351"/>
    <x v="5"/>
    <s v="sem"/>
    <s v="sem"/>
    <m/>
    <m/>
    <n v="12943"/>
    <n v="13254"/>
    <n v="1928"/>
    <n v="1848"/>
    <n v="16122"/>
    <n v="15573"/>
    <n v="30993"/>
    <n v="1033.0999999999999"/>
    <n v="30675"/>
    <n v="1022.5"/>
    <n v="1175"/>
    <n v="1249"/>
    <n v="30993"/>
    <n v="30675"/>
    <m/>
    <m/>
    <m/>
    <m/>
    <m/>
    <m/>
    <m/>
    <m/>
    <n v="0"/>
    <n v="0"/>
    <n v="0"/>
    <n v="0"/>
    <m/>
    <m/>
    <n v="0"/>
    <n v="0"/>
  </r>
  <r>
    <x v="10"/>
    <s v="Rogers State University"/>
    <m/>
    <n v="207661"/>
    <x v="5"/>
    <s v="sem"/>
    <s v="sem"/>
    <m/>
    <m/>
    <n v="37283"/>
    <n v="33796"/>
    <n v="4713"/>
    <n v="4585"/>
    <n v="39924"/>
    <n v="37984"/>
    <n v="81920"/>
    <n v="2730.6666666666665"/>
    <n v="76365"/>
    <n v="2545.5"/>
    <n v="3850"/>
    <n v="3885"/>
    <n v="81920"/>
    <n v="76365"/>
    <m/>
    <m/>
    <m/>
    <m/>
    <m/>
    <m/>
    <m/>
    <m/>
    <n v="0"/>
    <n v="0"/>
    <n v="0"/>
    <n v="0"/>
    <m/>
    <m/>
    <n v="0"/>
    <n v="0"/>
  </r>
  <r>
    <x v="10"/>
    <s v="University of Science and Arts of Oklahoma"/>
    <m/>
    <n v="207722"/>
    <x v="5"/>
    <s v="sem"/>
    <s v="sem"/>
    <m/>
    <m/>
    <n v="10796"/>
    <n v="9138"/>
    <n v="3265"/>
    <n v="3251"/>
    <n v="11425"/>
    <n v="11411"/>
    <n v="25486"/>
    <n v="849.5333333333333"/>
    <n v="23800"/>
    <n v="793.33333333333337"/>
    <n v="76"/>
    <n v="68"/>
    <n v="25486"/>
    <n v="23800"/>
    <m/>
    <m/>
    <m/>
    <m/>
    <m/>
    <m/>
    <m/>
    <m/>
    <n v="0"/>
    <n v="0"/>
    <n v="0"/>
    <n v="0"/>
    <m/>
    <m/>
    <n v="0"/>
    <n v="0"/>
  </r>
  <r>
    <x v="10"/>
    <s v="Oklahoma State University Institute of Technology - Okmulgee"/>
    <m/>
    <n v="207564"/>
    <x v="12"/>
    <s v="sem"/>
    <s v="sem"/>
    <m/>
    <m/>
    <n v="25378"/>
    <n v="23044"/>
    <n v="18124"/>
    <n v="17884"/>
    <n v="27886"/>
    <n v="26753"/>
    <n v="71388"/>
    <n v="2379.6"/>
    <n v="67681"/>
    <n v="2256.0333333333333"/>
    <n v="2474"/>
    <n v="2465"/>
    <n v="71388"/>
    <n v="67681"/>
    <m/>
    <m/>
    <m/>
    <m/>
    <m/>
    <m/>
    <m/>
    <m/>
    <n v="0"/>
    <n v="0"/>
    <n v="0"/>
    <n v="0"/>
    <m/>
    <m/>
    <n v="0"/>
    <n v="0"/>
  </r>
  <r>
    <x v="10"/>
    <s v="Oklahoma State University-Oklahoma City "/>
    <m/>
    <n v="207397"/>
    <x v="12"/>
    <s v="sem"/>
    <s v="sem"/>
    <m/>
    <m/>
    <n v="55763"/>
    <n v="49705"/>
    <n v="14322"/>
    <n v="13222"/>
    <n v="57147"/>
    <n v="53799"/>
    <n v="127232"/>
    <n v="4241.0666666666666"/>
    <n v="116726"/>
    <n v="3890.8666666666668"/>
    <n v="6719"/>
    <n v="7738"/>
    <n v="127232"/>
    <n v="116726"/>
    <m/>
    <m/>
    <m/>
    <m/>
    <m/>
    <m/>
    <m/>
    <m/>
    <n v="0"/>
    <n v="0"/>
    <n v="0"/>
    <n v="0"/>
    <m/>
    <m/>
    <n v="0"/>
    <n v="0"/>
  </r>
  <r>
    <x v="10"/>
    <s v="Oklahoma City Community College "/>
    <m/>
    <n v="207449"/>
    <x v="6"/>
    <s v="sem"/>
    <s v="sem"/>
    <m/>
    <m/>
    <n v="95887"/>
    <n v="84643"/>
    <n v="25404"/>
    <n v="23819"/>
    <n v="105931"/>
    <n v="97969"/>
    <n v="227222"/>
    <n v="7574.0666666666666"/>
    <n v="206431"/>
    <n v="6881.0333333333338"/>
    <n v="16932"/>
    <n v="17587"/>
    <n v="227222"/>
    <n v="206431"/>
    <m/>
    <m/>
    <m/>
    <m/>
    <m/>
    <m/>
    <m/>
    <m/>
    <n v="0"/>
    <n v="0"/>
    <n v="0"/>
    <n v="0"/>
    <m/>
    <m/>
    <n v="0"/>
    <n v="0"/>
  </r>
  <r>
    <x v="10"/>
    <s v="Tulsa Community College "/>
    <m/>
    <n v="207935"/>
    <x v="6"/>
    <s v="sem"/>
    <s v="sem"/>
    <m/>
    <m/>
    <n v="126064"/>
    <n v="113955"/>
    <n v="32240"/>
    <n v="31246"/>
    <n v="138552"/>
    <n v="129059"/>
    <n v="296856"/>
    <n v="9895.2000000000007"/>
    <n v="274260"/>
    <n v="9142"/>
    <n v="20172"/>
    <n v="21179"/>
    <n v="296856"/>
    <n v="274260"/>
    <m/>
    <m/>
    <m/>
    <m/>
    <m/>
    <m/>
    <m/>
    <m/>
    <n v="0"/>
    <n v="0"/>
    <n v="0"/>
    <n v="0"/>
    <m/>
    <m/>
    <n v="0"/>
    <n v="0"/>
  </r>
  <r>
    <x v="10"/>
    <s v="Northern Oklahoma College "/>
    <m/>
    <n v="207281"/>
    <x v="7"/>
    <s v="sem"/>
    <s v="sem"/>
    <m/>
    <m/>
    <n v="33593"/>
    <n v="30011"/>
    <n v="6398"/>
    <n v="6194"/>
    <n v="37256"/>
    <n v="35427"/>
    <n v="77247"/>
    <n v="2574.9"/>
    <n v="71632"/>
    <n v="2387.7333333333331"/>
    <n v="3535"/>
    <n v="3817"/>
    <n v="77247"/>
    <n v="71632"/>
    <m/>
    <m/>
    <m/>
    <m/>
    <m/>
    <m/>
    <m/>
    <m/>
    <n v="0"/>
    <n v="0"/>
    <n v="0"/>
    <n v="0"/>
    <m/>
    <m/>
    <n v="0"/>
    <n v="0"/>
  </r>
  <r>
    <x v="10"/>
    <s v="Rose State College "/>
    <m/>
    <n v="207670"/>
    <x v="7"/>
    <s v="sem"/>
    <s v="sem"/>
    <m/>
    <m/>
    <n v="54742"/>
    <n v="48051"/>
    <n v="11982"/>
    <n v="11603"/>
    <n v="62502"/>
    <n v="59505"/>
    <n v="129226"/>
    <n v="4307.5333333333338"/>
    <n v="119159"/>
    <n v="3971.9666666666667"/>
    <n v="6094"/>
    <n v="6547"/>
    <n v="129226"/>
    <n v="119159"/>
    <m/>
    <m/>
    <m/>
    <m/>
    <m/>
    <m/>
    <m/>
    <m/>
    <n v="0"/>
    <n v="0"/>
    <n v="0"/>
    <n v="0"/>
    <m/>
    <m/>
    <n v="0"/>
    <n v="0"/>
  </r>
  <r>
    <x v="10"/>
    <s v="Carl Albert State College"/>
    <m/>
    <n v="206923"/>
    <x v="8"/>
    <s v="sem"/>
    <s v="sem"/>
    <m/>
    <m/>
    <n v="19124"/>
    <n v="15799"/>
    <n v="2828"/>
    <n v="2633"/>
    <n v="20496"/>
    <n v="18823"/>
    <n v="42448"/>
    <n v="1414.9333333333334"/>
    <n v="37255"/>
    <n v="1241.8333333333333"/>
    <n v="3823"/>
    <n v="3537"/>
    <n v="42448"/>
    <n v="37255"/>
    <m/>
    <m/>
    <m/>
    <m/>
    <m/>
    <m/>
    <m/>
    <m/>
    <n v="0"/>
    <n v="0"/>
    <n v="0"/>
    <n v="0"/>
    <m/>
    <m/>
    <n v="0"/>
    <n v="0"/>
  </r>
  <r>
    <x v="10"/>
    <s v="Connors State College "/>
    <m/>
    <n v="206996"/>
    <x v="8"/>
    <s v="sem"/>
    <s v="sem"/>
    <m/>
    <m/>
    <n v="22125"/>
    <n v="19270"/>
    <n v="2663"/>
    <n v="2531"/>
    <n v="22663"/>
    <n v="21263"/>
    <n v="47451"/>
    <n v="1581.7"/>
    <n v="43064"/>
    <n v="1435.4666666666667"/>
    <n v="3502"/>
    <n v="2914"/>
    <n v="47451"/>
    <n v="43064"/>
    <m/>
    <m/>
    <m/>
    <m/>
    <m/>
    <m/>
    <m/>
    <m/>
    <n v="0"/>
    <n v="0"/>
    <n v="0"/>
    <n v="0"/>
    <m/>
    <m/>
    <n v="0"/>
    <n v="0"/>
  </r>
  <r>
    <x v="10"/>
    <s v="Eastern Oklahoma State College "/>
    <m/>
    <n v="207050"/>
    <x v="8"/>
    <s v="sem"/>
    <s v="sem"/>
    <m/>
    <m/>
    <n v="14199"/>
    <n v="11138"/>
    <n v="2618"/>
    <n v="2246"/>
    <n v="15601"/>
    <n v="13792"/>
    <n v="32418"/>
    <n v="1080.5999999999999"/>
    <n v="27176"/>
    <n v="905.86666666666667"/>
    <n v="3866"/>
    <n v="3697"/>
    <n v="32418"/>
    <n v="27176"/>
    <m/>
    <m/>
    <m/>
    <m/>
    <m/>
    <m/>
    <m/>
    <m/>
    <n v="0"/>
    <n v="0"/>
    <n v="0"/>
    <n v="0"/>
    <m/>
    <m/>
    <n v="0"/>
    <n v="0"/>
  </r>
  <r>
    <x v="10"/>
    <s v="Murray State College "/>
    <m/>
    <n v="207236"/>
    <x v="8"/>
    <s v="sem"/>
    <s v="sem"/>
    <m/>
    <m/>
    <n v="19791"/>
    <n v="16301"/>
    <n v="2956"/>
    <n v="2565"/>
    <n v="21425"/>
    <n v="18964"/>
    <n v="44172"/>
    <n v="1472.4"/>
    <n v="37830"/>
    <n v="1261"/>
    <n v="5256"/>
    <n v="5347"/>
    <n v="44172"/>
    <n v="37830"/>
    <m/>
    <m/>
    <m/>
    <m/>
    <m/>
    <m/>
    <m/>
    <m/>
    <n v="0"/>
    <n v="0"/>
    <n v="0"/>
    <n v="0"/>
    <m/>
    <m/>
    <n v="0"/>
    <n v="0"/>
  </r>
  <r>
    <x v="10"/>
    <s v="Northeastern Oklahoma A &amp; M College "/>
    <m/>
    <n v="207290"/>
    <x v="8"/>
    <s v="sem"/>
    <s v="sem"/>
    <m/>
    <m/>
    <n v="22010"/>
    <n v="19155"/>
    <n v="3616"/>
    <n v="3154"/>
    <n v="24350"/>
    <n v="23104"/>
    <n v="49976"/>
    <n v="1665.8666666666666"/>
    <n v="45413"/>
    <n v="1513.7666666666667"/>
    <n v="2871"/>
    <n v="3075"/>
    <n v="49976"/>
    <n v="45413"/>
    <m/>
    <m/>
    <m/>
    <m/>
    <m/>
    <m/>
    <m/>
    <m/>
    <n v="0"/>
    <n v="0"/>
    <n v="0"/>
    <n v="0"/>
    <m/>
    <m/>
    <n v="0"/>
    <n v="0"/>
  </r>
  <r>
    <x v="10"/>
    <s v="Redlands Community College"/>
    <m/>
    <n v="207069"/>
    <x v="8"/>
    <s v="sem"/>
    <s v="sem"/>
    <m/>
    <m/>
    <n v="15165"/>
    <n v="9933"/>
    <n v="3448"/>
    <n v="2602"/>
    <n v="15450"/>
    <n v="11285"/>
    <n v="34063"/>
    <n v="1135.4333333333334"/>
    <n v="23820"/>
    <n v="794"/>
    <n v="9885"/>
    <n v="9220"/>
    <n v="34063"/>
    <n v="23820"/>
    <m/>
    <m/>
    <m/>
    <m/>
    <m/>
    <m/>
    <m/>
    <m/>
    <n v="0"/>
    <n v="0"/>
    <n v="0"/>
    <n v="0"/>
    <m/>
    <m/>
    <n v="0"/>
    <n v="0"/>
  </r>
  <r>
    <x v="10"/>
    <s v="Seminole State College "/>
    <m/>
    <n v="207740"/>
    <x v="8"/>
    <s v="sem"/>
    <s v="sem"/>
    <m/>
    <m/>
    <n v="15324"/>
    <n v="13407"/>
    <n v="2759"/>
    <n v="2632"/>
    <n v="16850"/>
    <n v="15203"/>
    <n v="34933"/>
    <n v="1164.4333333333334"/>
    <n v="31242"/>
    <n v="1041.4000000000001"/>
    <n v="3022"/>
    <n v="3314"/>
    <n v="34933"/>
    <n v="31242"/>
    <m/>
    <m/>
    <m/>
    <m/>
    <m/>
    <m/>
    <m/>
    <m/>
    <n v="0"/>
    <n v="0"/>
    <n v="0"/>
    <n v="0"/>
    <m/>
    <m/>
    <n v="0"/>
    <n v="0"/>
  </r>
  <r>
    <x v="10"/>
    <s v="Western Oklahoma State College "/>
    <m/>
    <n v="208035"/>
    <x v="8"/>
    <s v="sem"/>
    <s v="sem"/>
    <m/>
    <m/>
    <n v="11582"/>
    <n v="9639"/>
    <n v="2302"/>
    <n v="2120"/>
    <n v="12139"/>
    <n v="10726"/>
    <n v="26023"/>
    <n v="867.43333333333328"/>
    <n v="22485"/>
    <n v="749.5"/>
    <n v="2707"/>
    <n v="2966"/>
    <n v="26023"/>
    <n v="22485"/>
    <m/>
    <m/>
    <m/>
    <m/>
    <m/>
    <m/>
    <m/>
    <m/>
    <n v="0"/>
    <n v="0"/>
    <n v="0"/>
    <n v="0"/>
    <m/>
    <m/>
    <n v="0"/>
    <n v="0"/>
  </r>
  <r>
    <x v="10"/>
    <s v="Canadian Valley Technology Center                 "/>
    <m/>
    <n v="365374"/>
    <x v="9"/>
    <m/>
    <m/>
    <m/>
    <m/>
    <m/>
    <m/>
    <m/>
    <m/>
    <m/>
    <m/>
    <n v="0"/>
    <n v="0"/>
    <n v="0"/>
    <n v="0"/>
    <m/>
    <m/>
    <n v="0"/>
    <n v="0"/>
    <m/>
    <m/>
    <m/>
    <m/>
    <m/>
    <m/>
    <n v="1069253.1499999999"/>
    <n v="1013178.47"/>
    <n v="1069253.1499999999"/>
    <n v="1188.0590555555555"/>
    <n v="1013178.47"/>
    <n v="1125.7538555555554"/>
    <m/>
    <m/>
    <n v="0"/>
    <n v="0"/>
  </r>
  <r>
    <x v="10"/>
    <s v="Francis Tuttle Technology Center                  "/>
    <m/>
    <n v="245999"/>
    <x v="9"/>
    <m/>
    <m/>
    <m/>
    <m/>
    <m/>
    <m/>
    <m/>
    <m/>
    <m/>
    <m/>
    <n v="0"/>
    <n v="0"/>
    <n v="0"/>
    <n v="0"/>
    <m/>
    <m/>
    <n v="0"/>
    <n v="0"/>
    <m/>
    <m/>
    <m/>
    <m/>
    <m/>
    <m/>
    <n v="1594984.13"/>
    <n v="1578505.76"/>
    <n v="1594984.13"/>
    <n v="1772.2045888888888"/>
    <n v="1578505.76"/>
    <n v="1753.8952888888889"/>
    <m/>
    <m/>
    <n v="0"/>
    <n v="0"/>
  </r>
  <r>
    <x v="10"/>
    <s v="Tulsa Technology Center-Lemley Campus             "/>
    <s v="Met the criteria for Technical Institute or College 2 in 2019-20."/>
    <n v="261375"/>
    <x v="9"/>
    <m/>
    <m/>
    <m/>
    <m/>
    <m/>
    <m/>
    <m/>
    <m/>
    <m/>
    <m/>
    <n v="0"/>
    <n v="0"/>
    <n v="0"/>
    <n v="0"/>
    <m/>
    <m/>
    <n v="0"/>
    <n v="0"/>
    <m/>
    <m/>
    <m/>
    <m/>
    <m/>
    <m/>
    <n v="1406166.27"/>
    <n v="751564.71"/>
    <n v="1406166.27"/>
    <n v="1562.4069666666667"/>
    <n v="751564.71"/>
    <n v="835.07189999999991"/>
    <m/>
    <m/>
    <n v="0"/>
    <n v="0"/>
  </r>
  <r>
    <x v="10"/>
    <s v="Autry Technology Center                           "/>
    <m/>
    <n v="365213"/>
    <x v="10"/>
    <m/>
    <m/>
    <m/>
    <m/>
    <m/>
    <m/>
    <m/>
    <m/>
    <m/>
    <m/>
    <n v="0"/>
    <n v="0"/>
    <n v="0"/>
    <n v="0"/>
    <m/>
    <m/>
    <n v="0"/>
    <n v="0"/>
    <m/>
    <m/>
    <m/>
    <m/>
    <m/>
    <m/>
    <n v="482141"/>
    <n v="368359.08"/>
    <n v="482141"/>
    <n v="535.71222222222218"/>
    <n v="368359.08"/>
    <n v="409.28786666666667"/>
    <m/>
    <m/>
    <n v="0"/>
    <n v="0"/>
  </r>
  <r>
    <x v="10"/>
    <s v="Caddo Kiowa Technology Center                     "/>
    <m/>
    <n v="364946"/>
    <x v="10"/>
    <m/>
    <m/>
    <m/>
    <m/>
    <m/>
    <m/>
    <m/>
    <m/>
    <m/>
    <m/>
    <n v="0"/>
    <n v="0"/>
    <n v="0"/>
    <n v="0"/>
    <m/>
    <m/>
    <n v="0"/>
    <n v="0"/>
    <m/>
    <m/>
    <m/>
    <m/>
    <m/>
    <m/>
    <n v="302326.62"/>
    <n v="290951.09999999998"/>
    <n v="302326.62"/>
    <n v="335.91846666666669"/>
    <n v="290951.09999999998"/>
    <n v="323.279"/>
    <m/>
    <m/>
    <n v="0"/>
    <n v="0"/>
  </r>
  <r>
    <x v="10"/>
    <s v="Central Technology Center                         "/>
    <m/>
    <n v="246017"/>
    <x v="10"/>
    <m/>
    <m/>
    <m/>
    <m/>
    <m/>
    <m/>
    <m/>
    <m/>
    <m/>
    <m/>
    <n v="0"/>
    <n v="0"/>
    <n v="0"/>
    <n v="0"/>
    <m/>
    <m/>
    <n v="0"/>
    <n v="0"/>
    <m/>
    <m/>
    <m/>
    <m/>
    <m/>
    <m/>
    <n v="830823"/>
    <n v="852056.76"/>
    <n v="830823"/>
    <n v="923.13666666666666"/>
    <n v="852056.76"/>
    <n v="946.72973333333334"/>
    <m/>
    <m/>
    <n v="0"/>
    <n v="0"/>
  </r>
  <r>
    <x v="10"/>
    <s v="Chisholm Trail Technology Center                  "/>
    <m/>
    <n v="375656"/>
    <x v="10"/>
    <m/>
    <m/>
    <m/>
    <m/>
    <m/>
    <m/>
    <m/>
    <m/>
    <m/>
    <m/>
    <n v="0"/>
    <n v="0"/>
    <n v="0"/>
    <n v="0"/>
    <m/>
    <m/>
    <n v="0"/>
    <n v="0"/>
    <m/>
    <m/>
    <m/>
    <m/>
    <m/>
    <m/>
    <n v="88180.5"/>
    <n v="145383.78"/>
    <n v="88180.5"/>
    <n v="97.978333333333339"/>
    <n v="145383.78"/>
    <n v="161.53753333333333"/>
    <m/>
    <m/>
    <n v="0"/>
    <n v="0"/>
  </r>
  <r>
    <x v="10"/>
    <s v="Eastern Oklahoma County Technology Center         "/>
    <m/>
    <n v="418348"/>
    <x v="10"/>
    <m/>
    <m/>
    <m/>
    <m/>
    <m/>
    <m/>
    <m/>
    <m/>
    <m/>
    <m/>
    <n v="0"/>
    <n v="0"/>
    <n v="0"/>
    <n v="0"/>
    <m/>
    <m/>
    <n v="0"/>
    <n v="0"/>
    <m/>
    <m/>
    <m/>
    <m/>
    <m/>
    <m/>
    <n v="319534"/>
    <n v="366625.33"/>
    <n v="319534"/>
    <n v="355.03777777777776"/>
    <n v="366625.33"/>
    <n v="407.36147777777779"/>
    <m/>
    <m/>
    <n v="0"/>
    <n v="0"/>
  </r>
  <r>
    <x v="10"/>
    <s v="Gordon Cooper Technology Center                   "/>
    <m/>
    <n v="375683"/>
    <x v="10"/>
    <m/>
    <m/>
    <m/>
    <m/>
    <m/>
    <m/>
    <m/>
    <m/>
    <m/>
    <m/>
    <n v="0"/>
    <n v="0"/>
    <n v="0"/>
    <n v="0"/>
    <m/>
    <m/>
    <n v="0"/>
    <n v="0"/>
    <m/>
    <m/>
    <m/>
    <m/>
    <m/>
    <m/>
    <n v="647934.25"/>
    <n v="593311.30000000005"/>
    <n v="647934.25"/>
    <n v="719.92694444444442"/>
    <n v="593311.30000000005"/>
    <n v="659.23477777777782"/>
    <m/>
    <m/>
    <n v="0"/>
    <n v="0"/>
  </r>
  <r>
    <x v="10"/>
    <s v="Great Plains Technology Center                    "/>
    <m/>
    <n v="364548"/>
    <x v="10"/>
    <m/>
    <m/>
    <m/>
    <m/>
    <m/>
    <m/>
    <m/>
    <m/>
    <m/>
    <m/>
    <n v="0"/>
    <n v="0"/>
    <n v="0"/>
    <n v="0"/>
    <m/>
    <m/>
    <n v="0"/>
    <n v="0"/>
    <m/>
    <m/>
    <m/>
    <m/>
    <m/>
    <m/>
    <n v="789953.98999999894"/>
    <n v="766348.03"/>
    <n v="789953.98999999894"/>
    <n v="877.72665555555443"/>
    <n v="766348.03"/>
    <n v="851.4978111111111"/>
    <m/>
    <m/>
    <n v="0"/>
    <n v="0"/>
  </r>
  <r>
    <x v="10"/>
    <s v="Green Country Technology Center                   "/>
    <m/>
    <n v="428019"/>
    <x v="10"/>
    <m/>
    <m/>
    <m/>
    <m/>
    <m/>
    <m/>
    <m/>
    <m/>
    <m/>
    <m/>
    <n v="0"/>
    <n v="0"/>
    <n v="0"/>
    <n v="0"/>
    <m/>
    <m/>
    <n v="0"/>
    <n v="0"/>
    <m/>
    <m/>
    <m/>
    <m/>
    <m/>
    <m/>
    <n v="197214.78"/>
    <n v="186012.7"/>
    <n v="197214.78"/>
    <n v="219.12753333333333"/>
    <n v="186012.7"/>
    <n v="206.68077777777779"/>
    <m/>
    <m/>
    <n v="0"/>
    <n v="0"/>
  </r>
  <r>
    <x v="10"/>
    <s v="High Plains Technology Center                     "/>
    <m/>
    <n v="208053"/>
    <x v="10"/>
    <m/>
    <m/>
    <m/>
    <m/>
    <m/>
    <m/>
    <m/>
    <m/>
    <m/>
    <m/>
    <n v="0"/>
    <n v="0"/>
    <n v="0"/>
    <n v="0"/>
    <m/>
    <m/>
    <n v="0"/>
    <n v="0"/>
    <m/>
    <m/>
    <m/>
    <m/>
    <m/>
    <m/>
    <n v="202706.91"/>
    <n v="203650.91"/>
    <n v="202706.91"/>
    <n v="225.22990000000001"/>
    <n v="203650.91"/>
    <n v="226.2787888888889"/>
    <m/>
    <m/>
    <n v="0"/>
    <n v="0"/>
  </r>
  <r>
    <x v="10"/>
    <s v="Indian Capital Technology Center-Muskogee         "/>
    <m/>
    <n v="418296"/>
    <x v="10"/>
    <m/>
    <m/>
    <m/>
    <m/>
    <m/>
    <m/>
    <m/>
    <m/>
    <m/>
    <m/>
    <n v="0"/>
    <n v="0"/>
    <n v="0"/>
    <n v="0"/>
    <m/>
    <m/>
    <n v="0"/>
    <n v="0"/>
    <m/>
    <m/>
    <m/>
    <m/>
    <m/>
    <m/>
    <n v="539866.15"/>
    <n v="452639.67"/>
    <n v="539866.15"/>
    <n v="599.8512777777778"/>
    <n v="452639.67"/>
    <n v="502.93296666666663"/>
    <m/>
    <m/>
    <n v="0"/>
    <n v="0"/>
  </r>
  <r>
    <x v="10"/>
    <s v="Indian Capital Technology Center-Sallisaw         "/>
    <m/>
    <n v="421540"/>
    <x v="10"/>
    <m/>
    <m/>
    <m/>
    <m/>
    <m/>
    <m/>
    <m/>
    <m/>
    <m/>
    <m/>
    <n v="0"/>
    <n v="0"/>
    <n v="0"/>
    <n v="0"/>
    <m/>
    <m/>
    <n v="0"/>
    <n v="0"/>
    <m/>
    <m/>
    <m/>
    <m/>
    <m/>
    <m/>
    <n v="132482"/>
    <n v="120424.69"/>
    <n v="132482"/>
    <n v="147.20222222222222"/>
    <n v="120424.69"/>
    <n v="133.80521111111111"/>
    <m/>
    <m/>
    <n v="0"/>
    <n v="0"/>
  </r>
  <r>
    <x v="10"/>
    <s v="Indian Capital Technology Center-Stilwell         "/>
    <m/>
    <n v="421559"/>
    <x v="10"/>
    <m/>
    <m/>
    <m/>
    <m/>
    <m/>
    <m/>
    <m/>
    <m/>
    <m/>
    <m/>
    <n v="0"/>
    <n v="0"/>
    <n v="0"/>
    <n v="0"/>
    <m/>
    <m/>
    <n v="0"/>
    <n v="0"/>
    <m/>
    <m/>
    <m/>
    <m/>
    <m/>
    <m/>
    <n v="109921"/>
    <n v="96298.68"/>
    <n v="109921"/>
    <n v="122.13444444444444"/>
    <n v="96298.68"/>
    <n v="106.99853333333333"/>
    <m/>
    <m/>
    <n v="0"/>
    <n v="0"/>
  </r>
  <r>
    <x v="10"/>
    <s v="Indian Capital Technology Center-Tahlequah        "/>
    <m/>
    <n v="208026"/>
    <x v="10"/>
    <m/>
    <m/>
    <m/>
    <m/>
    <m/>
    <m/>
    <m/>
    <m/>
    <m/>
    <m/>
    <n v="0"/>
    <n v="0"/>
    <n v="0"/>
    <n v="0"/>
    <m/>
    <m/>
    <n v="0"/>
    <n v="0"/>
    <m/>
    <m/>
    <m/>
    <m/>
    <m/>
    <m/>
    <n v="231258"/>
    <n v="196529.22"/>
    <n v="231258"/>
    <n v="256.95333333333332"/>
    <n v="196529.22"/>
    <n v="218.36580000000001"/>
    <m/>
    <m/>
    <n v="0"/>
    <n v="0"/>
  </r>
  <r>
    <x v="10"/>
    <s v="Kiamichi Technology Center-Atoka                  "/>
    <m/>
    <n v="375692"/>
    <x v="10"/>
    <m/>
    <m/>
    <m/>
    <m/>
    <m/>
    <m/>
    <m/>
    <m/>
    <m/>
    <m/>
    <n v="0"/>
    <n v="0"/>
    <n v="0"/>
    <n v="0"/>
    <m/>
    <m/>
    <n v="0"/>
    <n v="0"/>
    <m/>
    <m/>
    <m/>
    <m/>
    <m/>
    <m/>
    <n v="103580.45"/>
    <n v="121865.98"/>
    <n v="103580.45"/>
    <n v="115.08938888888889"/>
    <n v="121865.98"/>
    <n v="135.40664444444445"/>
    <m/>
    <m/>
    <n v="0"/>
    <n v="0"/>
  </r>
  <r>
    <x v="10"/>
    <s v="Kiamichi Technology Center-Durant                 "/>
    <m/>
    <n v="375708"/>
    <x v="10"/>
    <m/>
    <m/>
    <m/>
    <m/>
    <m/>
    <m/>
    <m/>
    <m/>
    <m/>
    <m/>
    <n v="0"/>
    <n v="0"/>
    <n v="0"/>
    <n v="0"/>
    <m/>
    <m/>
    <n v="0"/>
    <n v="0"/>
    <m/>
    <m/>
    <m/>
    <m/>
    <m/>
    <m/>
    <n v="202547.14"/>
    <n v="173694.75"/>
    <n v="202547.14"/>
    <n v="225.05237777777779"/>
    <n v="173694.75"/>
    <n v="192.99416666666667"/>
    <m/>
    <m/>
    <n v="0"/>
    <n v="0"/>
  </r>
  <r>
    <x v="10"/>
    <s v="Kiamichi Technology Center-Hugo                   "/>
    <m/>
    <n v="375717"/>
    <x v="10"/>
    <m/>
    <m/>
    <m/>
    <m/>
    <m/>
    <m/>
    <m/>
    <m/>
    <m/>
    <m/>
    <n v="0"/>
    <n v="0"/>
    <n v="0"/>
    <n v="0"/>
    <m/>
    <m/>
    <n v="0"/>
    <n v="0"/>
    <m/>
    <m/>
    <m/>
    <m/>
    <m/>
    <m/>
    <n v="113767"/>
    <n v="94510.59"/>
    <n v="113767"/>
    <n v="126.40777777777778"/>
    <n v="94510.59"/>
    <n v="105.01176666666666"/>
    <m/>
    <m/>
    <n v="0"/>
    <n v="0"/>
  </r>
  <r>
    <x v="10"/>
    <s v="Kiamichi Technology Center-Idabel                 "/>
    <m/>
    <n v="375735"/>
    <x v="10"/>
    <m/>
    <m/>
    <m/>
    <m/>
    <m/>
    <m/>
    <m/>
    <m/>
    <m/>
    <m/>
    <n v="0"/>
    <n v="0"/>
    <n v="0"/>
    <n v="0"/>
    <m/>
    <m/>
    <n v="0"/>
    <n v="0"/>
    <m/>
    <m/>
    <m/>
    <m/>
    <m/>
    <m/>
    <n v="180681.25"/>
    <n v="168725.32"/>
    <n v="180681.25"/>
    <n v="200.75694444444446"/>
    <n v="168725.32"/>
    <n v="187.47257777777779"/>
    <m/>
    <m/>
    <n v="0"/>
    <n v="0"/>
  </r>
  <r>
    <x v="10"/>
    <s v="Kiamichi Technology Center-McAlester              "/>
    <m/>
    <n v="375726"/>
    <x v="10"/>
    <m/>
    <m/>
    <m/>
    <m/>
    <m/>
    <m/>
    <m/>
    <m/>
    <m/>
    <m/>
    <n v="0"/>
    <n v="0"/>
    <n v="0"/>
    <n v="0"/>
    <m/>
    <m/>
    <n v="0"/>
    <n v="0"/>
    <m/>
    <m/>
    <m/>
    <m/>
    <m/>
    <m/>
    <n v="275512"/>
    <n v="283838.7"/>
    <n v="275512"/>
    <n v="306.12444444444446"/>
    <n v="283838.7"/>
    <n v="315.37633333333332"/>
    <m/>
    <m/>
    <n v="0"/>
    <n v="0"/>
  </r>
  <r>
    <x v="10"/>
    <s v="Kiamichi Technology Center-Poteau                 "/>
    <m/>
    <n v="375744"/>
    <x v="10"/>
    <m/>
    <m/>
    <m/>
    <m/>
    <m/>
    <m/>
    <m/>
    <m/>
    <m/>
    <m/>
    <n v="0"/>
    <n v="0"/>
    <n v="0"/>
    <n v="0"/>
    <m/>
    <m/>
    <n v="0"/>
    <n v="0"/>
    <m/>
    <m/>
    <m/>
    <m/>
    <m/>
    <m/>
    <n v="232972.5"/>
    <n v="229024.9"/>
    <n v="232972.5"/>
    <n v="258.85833333333335"/>
    <n v="229024.9"/>
    <n v="254.4721111111111"/>
    <m/>
    <m/>
    <n v="0"/>
    <n v="0"/>
  </r>
  <r>
    <x v="10"/>
    <s v="Kiamichi Technology Center-Spiro                  "/>
    <m/>
    <n v="375753"/>
    <x v="10"/>
    <m/>
    <m/>
    <m/>
    <m/>
    <m/>
    <m/>
    <m/>
    <m/>
    <m/>
    <m/>
    <n v="0"/>
    <n v="0"/>
    <n v="0"/>
    <n v="0"/>
    <m/>
    <m/>
    <n v="0"/>
    <n v="0"/>
    <m/>
    <m/>
    <m/>
    <m/>
    <m/>
    <m/>
    <n v="15105"/>
    <n v="16925"/>
    <n v="15105"/>
    <n v="16.783333333333335"/>
    <n v="16925"/>
    <n v="18.805555555555557"/>
    <m/>
    <m/>
    <n v="0"/>
    <n v="0"/>
  </r>
  <r>
    <x v="10"/>
    <s v="Kiamichi Technology Center-Stigler                "/>
    <m/>
    <n v="405748"/>
    <x v="10"/>
    <m/>
    <m/>
    <m/>
    <m/>
    <m/>
    <m/>
    <m/>
    <m/>
    <m/>
    <m/>
    <n v="0"/>
    <n v="0"/>
    <n v="0"/>
    <n v="0"/>
    <m/>
    <m/>
    <n v="0"/>
    <n v="0"/>
    <m/>
    <m/>
    <m/>
    <m/>
    <m/>
    <m/>
    <n v="81930.5"/>
    <n v="81216.78"/>
    <n v="81930.5"/>
    <n v="91.033888888888896"/>
    <n v="81216.78"/>
    <n v="90.240866666666662"/>
    <m/>
    <m/>
    <n v="0"/>
    <n v="0"/>
  </r>
  <r>
    <x v="10"/>
    <s v="Kiamichi Technology Center-Talihina               "/>
    <m/>
    <n v="375762"/>
    <x v="10"/>
    <m/>
    <m/>
    <m/>
    <m/>
    <m/>
    <m/>
    <m/>
    <m/>
    <m/>
    <m/>
    <n v="0"/>
    <n v="0"/>
    <n v="0"/>
    <n v="0"/>
    <m/>
    <m/>
    <n v="0"/>
    <n v="0"/>
    <m/>
    <m/>
    <m/>
    <m/>
    <m/>
    <m/>
    <n v="68826.5"/>
    <n v="65027.33"/>
    <n v="68826.5"/>
    <n v="76.473888888888894"/>
    <n v="65027.33"/>
    <n v="72.252588888888894"/>
    <m/>
    <m/>
    <n v="0"/>
    <n v="0"/>
  </r>
  <r>
    <x v="10"/>
    <s v="Meridian Technology Center                        "/>
    <m/>
    <n v="365480"/>
    <x v="10"/>
    <m/>
    <m/>
    <m/>
    <m/>
    <m/>
    <m/>
    <m/>
    <m/>
    <m/>
    <m/>
    <n v="0"/>
    <n v="0"/>
    <n v="0"/>
    <n v="0"/>
    <m/>
    <m/>
    <n v="0"/>
    <n v="0"/>
    <m/>
    <m/>
    <m/>
    <m/>
    <m/>
    <m/>
    <n v="517997.7"/>
    <n v="509245.37"/>
    <n v="517997.7"/>
    <n v="575.553"/>
    <n v="509245.37"/>
    <n v="565.82818888888892"/>
    <m/>
    <m/>
    <n v="0"/>
    <n v="0"/>
  </r>
  <r>
    <x v="10"/>
    <s v="Metro Technology Centers                          "/>
    <m/>
    <n v="363165"/>
    <x v="10"/>
    <m/>
    <m/>
    <m/>
    <m/>
    <m/>
    <m/>
    <m/>
    <m/>
    <m/>
    <m/>
    <n v="0"/>
    <n v="0"/>
    <n v="0"/>
    <n v="0"/>
    <m/>
    <m/>
    <n v="0"/>
    <n v="0"/>
    <m/>
    <m/>
    <m/>
    <m/>
    <m/>
    <m/>
    <n v="813191.06"/>
    <n v="712439.32"/>
    <n v="813191.06"/>
    <n v="903.54562222222228"/>
    <n v="712439.32"/>
    <n v="791.59924444444437"/>
    <m/>
    <m/>
    <n v="0"/>
    <n v="0"/>
  </r>
  <r>
    <x v="10"/>
    <s v="Mid-America Technology Center                     "/>
    <m/>
    <n v="418320"/>
    <x v="10"/>
    <m/>
    <m/>
    <m/>
    <m/>
    <m/>
    <m/>
    <m/>
    <m/>
    <m/>
    <m/>
    <n v="0"/>
    <n v="0"/>
    <n v="0"/>
    <n v="0"/>
    <m/>
    <m/>
    <n v="0"/>
    <n v="0"/>
    <m/>
    <m/>
    <m/>
    <m/>
    <m/>
    <m/>
    <n v="520285.5"/>
    <n v="489818.93"/>
    <n v="520285.5"/>
    <n v="578.09500000000003"/>
    <n v="489818.93"/>
    <n v="544.24325555555549"/>
    <m/>
    <m/>
    <n v="0"/>
    <n v="0"/>
  </r>
  <r>
    <x v="10"/>
    <s v="Mid-Del Technology Center                         "/>
    <m/>
    <n v="431017"/>
    <x v="10"/>
    <m/>
    <m/>
    <m/>
    <m/>
    <m/>
    <m/>
    <m/>
    <m/>
    <m/>
    <m/>
    <n v="0"/>
    <n v="0"/>
    <n v="0"/>
    <n v="0"/>
    <m/>
    <m/>
    <n v="0"/>
    <n v="0"/>
    <m/>
    <m/>
    <m/>
    <m/>
    <m/>
    <m/>
    <n v="369502.5"/>
    <n v="340899.65"/>
    <n v="369502.5"/>
    <n v="410.55833333333334"/>
    <n v="340899.65"/>
    <n v="378.77738888888894"/>
    <m/>
    <m/>
    <n v="0"/>
    <n v="0"/>
  </r>
  <r>
    <x v="10"/>
    <s v="Moore Norman Technology Center                    "/>
    <s v="Met the criteria for Technical Institute or College 1 in 2019-20."/>
    <n v="248606"/>
    <x v="10"/>
    <m/>
    <m/>
    <m/>
    <m/>
    <m/>
    <m/>
    <m/>
    <m/>
    <m/>
    <m/>
    <n v="0"/>
    <n v="0"/>
    <n v="0"/>
    <n v="0"/>
    <m/>
    <m/>
    <n v="0"/>
    <n v="0"/>
    <m/>
    <m/>
    <m/>
    <m/>
    <m/>
    <m/>
    <n v="854010"/>
    <n v="965709"/>
    <n v="854010"/>
    <n v="948.9"/>
    <n v="965709"/>
    <n v="1073.01"/>
    <m/>
    <m/>
    <n v="0"/>
    <n v="0"/>
  </r>
  <r>
    <x v="10"/>
    <s v="Northeast Technology Center-Afton                 "/>
    <m/>
    <n v="420459"/>
    <x v="10"/>
    <m/>
    <m/>
    <m/>
    <m/>
    <m/>
    <m/>
    <m/>
    <m/>
    <m/>
    <m/>
    <n v="0"/>
    <n v="0"/>
    <n v="0"/>
    <n v="0"/>
    <m/>
    <m/>
    <n v="0"/>
    <n v="0"/>
    <m/>
    <m/>
    <m/>
    <m/>
    <m/>
    <m/>
    <n v="287298"/>
    <n v="278844.75"/>
    <n v="287298"/>
    <n v="319.22000000000003"/>
    <n v="278844.75"/>
    <n v="309.82749999999999"/>
    <m/>
    <m/>
    <n v="0"/>
    <n v="0"/>
  </r>
  <r>
    <x v="10"/>
    <s v="Northeast Technology Center-Claremore"/>
    <m/>
    <n v="456560"/>
    <x v="10"/>
    <m/>
    <m/>
    <m/>
    <m/>
    <m/>
    <m/>
    <m/>
    <m/>
    <m/>
    <m/>
    <n v="0"/>
    <n v="0"/>
    <n v="0"/>
    <n v="0"/>
    <m/>
    <m/>
    <n v="0"/>
    <n v="0"/>
    <m/>
    <m/>
    <m/>
    <m/>
    <m/>
    <m/>
    <n v="168846.5"/>
    <n v="238524.75"/>
    <n v="168846.5"/>
    <n v="187.60722222222222"/>
    <n v="238524.75"/>
    <n v="265.02749999999997"/>
    <m/>
    <m/>
    <n v="0"/>
    <n v="0"/>
  </r>
  <r>
    <x v="10"/>
    <s v="Northeast Technology Center-Kansas                "/>
    <m/>
    <n v="432074"/>
    <x v="10"/>
    <m/>
    <m/>
    <m/>
    <m/>
    <m/>
    <m/>
    <m/>
    <m/>
    <m/>
    <m/>
    <n v="0"/>
    <n v="0"/>
    <n v="0"/>
    <n v="0"/>
    <m/>
    <m/>
    <n v="0"/>
    <n v="0"/>
    <m/>
    <m/>
    <m/>
    <m/>
    <m/>
    <m/>
    <n v="163414"/>
    <n v="136506.5"/>
    <n v="163414"/>
    <n v="181.57111111111112"/>
    <n v="136506.5"/>
    <n v="151.67388888888888"/>
    <m/>
    <m/>
    <n v="0"/>
    <n v="0"/>
  </r>
  <r>
    <x v="10"/>
    <s v="Northeast Technology Center-Pryor                 "/>
    <m/>
    <n v="418339"/>
    <x v="10"/>
    <m/>
    <m/>
    <m/>
    <m/>
    <m/>
    <m/>
    <m/>
    <m/>
    <m/>
    <m/>
    <n v="0"/>
    <n v="0"/>
    <n v="0"/>
    <n v="0"/>
    <m/>
    <m/>
    <n v="0"/>
    <n v="0"/>
    <m/>
    <m/>
    <m/>
    <m/>
    <m/>
    <m/>
    <n v="307108"/>
    <n v="292105.96999999997"/>
    <n v="307108"/>
    <n v="341.23111111111109"/>
    <n v="292105.96999999997"/>
    <n v="324.56218888888884"/>
    <m/>
    <m/>
    <n v="0"/>
    <n v="0"/>
  </r>
  <r>
    <x v="10"/>
    <s v="Northwest Technology Center-Alva                  "/>
    <m/>
    <n v="366623"/>
    <x v="10"/>
    <m/>
    <m/>
    <m/>
    <m/>
    <m/>
    <m/>
    <m/>
    <m/>
    <m/>
    <m/>
    <n v="0"/>
    <n v="0"/>
    <n v="0"/>
    <n v="0"/>
    <m/>
    <m/>
    <n v="0"/>
    <n v="0"/>
    <m/>
    <m/>
    <m/>
    <m/>
    <m/>
    <m/>
    <n v="100785.5"/>
    <n v="102168"/>
    <n v="100785.5"/>
    <n v="111.98388888888888"/>
    <n v="102168"/>
    <n v="113.52"/>
    <m/>
    <m/>
    <n v="0"/>
    <n v="0"/>
  </r>
  <r>
    <x v="10"/>
    <s v="Northwest Technology Center-Fairview              "/>
    <m/>
    <n v="407601"/>
    <x v="10"/>
    <m/>
    <m/>
    <m/>
    <m/>
    <m/>
    <m/>
    <m/>
    <m/>
    <m/>
    <m/>
    <n v="0"/>
    <n v="0"/>
    <n v="0"/>
    <n v="0"/>
    <m/>
    <m/>
    <n v="0"/>
    <n v="0"/>
    <m/>
    <m/>
    <m/>
    <m/>
    <m/>
    <m/>
    <n v="70849.5"/>
    <n v="75018.62"/>
    <n v="70849.5"/>
    <n v="78.721666666666664"/>
    <n v="75018.62"/>
    <n v="83.354022222222213"/>
    <m/>
    <m/>
    <n v="0"/>
    <n v="0"/>
  </r>
  <r>
    <x v="10"/>
    <s v="Pioneer Technology Center                         "/>
    <m/>
    <n v="364627"/>
    <x v="10"/>
    <m/>
    <m/>
    <m/>
    <m/>
    <m/>
    <m/>
    <m/>
    <m/>
    <m/>
    <m/>
    <n v="0"/>
    <n v="0"/>
    <n v="0"/>
    <n v="0"/>
    <m/>
    <m/>
    <n v="0"/>
    <n v="0"/>
    <m/>
    <m/>
    <m/>
    <m/>
    <m/>
    <m/>
    <n v="316587.25"/>
    <n v="329025.89"/>
    <n v="316587.25"/>
    <n v="351.76361111111112"/>
    <n v="329025.89"/>
    <n v="365.58432222222223"/>
    <m/>
    <m/>
    <n v="0"/>
    <n v="0"/>
  </r>
  <r>
    <x v="10"/>
    <s v="Pontotoc Technology Center                        "/>
    <m/>
    <n v="206905"/>
    <x v="10"/>
    <m/>
    <m/>
    <m/>
    <m/>
    <m/>
    <m/>
    <m/>
    <m/>
    <m/>
    <m/>
    <n v="0"/>
    <n v="0"/>
    <n v="0"/>
    <n v="0"/>
    <m/>
    <m/>
    <n v="0"/>
    <n v="0"/>
    <m/>
    <m/>
    <m/>
    <m/>
    <m/>
    <m/>
    <n v="196335.66"/>
    <n v="178204.59"/>
    <n v="196335.66"/>
    <n v="218.15073333333333"/>
    <n v="178204.59"/>
    <n v="198.0051"/>
    <m/>
    <m/>
    <n v="0"/>
    <n v="0"/>
  </r>
  <r>
    <x v="10"/>
    <s v="Red River Technology Center                       "/>
    <m/>
    <n v="250993"/>
    <x v="10"/>
    <m/>
    <m/>
    <m/>
    <m/>
    <m/>
    <m/>
    <m/>
    <m/>
    <m/>
    <m/>
    <n v="0"/>
    <n v="0"/>
    <n v="0"/>
    <n v="0"/>
    <m/>
    <m/>
    <n v="0"/>
    <n v="0"/>
    <m/>
    <m/>
    <m/>
    <m/>
    <m/>
    <m/>
    <n v="317392.64000000001"/>
    <n v="237938.52"/>
    <n v="317392.64000000001"/>
    <n v="352.65848888888888"/>
    <n v="237938.52"/>
    <n v="264.37613333333331"/>
    <m/>
    <m/>
    <n v="0"/>
    <n v="0"/>
  </r>
  <r>
    <x v="10"/>
    <s v="Southern Oklahoma Technology Center               "/>
    <m/>
    <n v="365198"/>
    <x v="10"/>
    <m/>
    <m/>
    <m/>
    <m/>
    <m/>
    <m/>
    <m/>
    <m/>
    <m/>
    <m/>
    <n v="0"/>
    <n v="0"/>
    <n v="0"/>
    <n v="0"/>
    <m/>
    <m/>
    <n v="0"/>
    <n v="0"/>
    <m/>
    <m/>
    <m/>
    <m/>
    <m/>
    <m/>
    <n v="451598.07"/>
    <n v="406473.71"/>
    <n v="451598.07"/>
    <n v="501.77563333333336"/>
    <n v="406473.71"/>
    <n v="451.63745555555556"/>
    <m/>
    <m/>
    <n v="0"/>
    <n v="0"/>
  </r>
  <r>
    <x v="10"/>
    <s v="Southwest Technology Center                       "/>
    <m/>
    <n v="368364"/>
    <x v="10"/>
    <m/>
    <m/>
    <m/>
    <m/>
    <m/>
    <m/>
    <m/>
    <m/>
    <m/>
    <m/>
    <n v="0"/>
    <n v="0"/>
    <n v="0"/>
    <n v="0"/>
    <m/>
    <m/>
    <n v="0"/>
    <n v="0"/>
    <m/>
    <m/>
    <m/>
    <m/>
    <m/>
    <m/>
    <n v="230765.5"/>
    <n v="179521.29"/>
    <n v="230765.5"/>
    <n v="256.4061111111111"/>
    <n v="179521.29"/>
    <n v="199.46810000000002"/>
    <m/>
    <m/>
    <n v="0"/>
    <n v="0"/>
  </r>
  <r>
    <x v="10"/>
    <s v="Tri County Technology Center                      "/>
    <m/>
    <n v="418287"/>
    <x v="10"/>
    <m/>
    <m/>
    <m/>
    <m/>
    <m/>
    <m/>
    <m/>
    <m/>
    <m/>
    <m/>
    <n v="0"/>
    <n v="0"/>
    <n v="0"/>
    <n v="0"/>
    <m/>
    <m/>
    <n v="0"/>
    <n v="0"/>
    <m/>
    <m/>
    <m/>
    <m/>
    <m/>
    <m/>
    <n v="307609.45"/>
    <n v="362212.89"/>
    <n v="307609.45"/>
    <n v="341.78827777777781"/>
    <n v="362212.89"/>
    <n v="402.45876666666669"/>
    <m/>
    <m/>
    <n v="0"/>
    <n v="0"/>
  </r>
  <r>
    <x v="10"/>
    <s v="Tulsa County Area Voc Tech School Dist 18-Peoria  "/>
    <m/>
    <n v="207607"/>
    <x v="10"/>
    <m/>
    <m/>
    <m/>
    <m/>
    <m/>
    <m/>
    <m/>
    <m/>
    <m/>
    <m/>
    <n v="0"/>
    <n v="0"/>
    <n v="0"/>
    <n v="0"/>
    <m/>
    <m/>
    <n v="0"/>
    <n v="0"/>
    <m/>
    <m/>
    <m/>
    <m/>
    <m/>
    <m/>
    <n v="328184"/>
    <n v="372974.93"/>
    <n v="328184"/>
    <n v="364.64888888888891"/>
    <n v="372974.93"/>
    <n v="414.4165888888889"/>
    <m/>
    <m/>
    <n v="0"/>
    <n v="0"/>
  </r>
  <r>
    <x v="10"/>
    <s v="Tulsa Technology Center-Broken Arrow Campus       "/>
    <m/>
    <n v="261393"/>
    <x v="10"/>
    <m/>
    <m/>
    <m/>
    <m/>
    <m/>
    <m/>
    <m/>
    <m/>
    <m/>
    <m/>
    <n v="0"/>
    <n v="0"/>
    <n v="0"/>
    <n v="0"/>
    <m/>
    <m/>
    <n v="0"/>
    <n v="0"/>
    <m/>
    <m/>
    <m/>
    <m/>
    <m/>
    <m/>
    <n v="456158.5"/>
    <n v="445145.86"/>
    <n v="456158.5"/>
    <n v="506.84277777777777"/>
    <n v="445145.86"/>
    <n v="494.6065111111111"/>
    <m/>
    <m/>
    <n v="0"/>
    <n v="0"/>
  </r>
  <r>
    <x v="10"/>
    <s v="Tulsa Technology Center-Owasso"/>
    <m/>
    <n v="482264"/>
    <x v="10"/>
    <m/>
    <m/>
    <m/>
    <m/>
    <m/>
    <m/>
    <m/>
    <m/>
    <m/>
    <m/>
    <n v="0"/>
    <n v="0"/>
    <n v="0"/>
    <n v="0"/>
    <m/>
    <m/>
    <n v="0"/>
    <n v="0"/>
    <m/>
    <m/>
    <m/>
    <m/>
    <m/>
    <m/>
    <n v="247921"/>
    <n v="273866.96999999997"/>
    <n v="247921"/>
    <n v="275.46777777777777"/>
    <n v="273866.96999999997"/>
    <n v="304.29663333333332"/>
    <m/>
    <m/>
    <n v="0"/>
    <n v="0"/>
  </r>
  <r>
    <x v="10"/>
    <s v="Tulsa Technology Center-Riverside Campus          "/>
    <m/>
    <n v="261384"/>
    <x v="10"/>
    <m/>
    <m/>
    <m/>
    <m/>
    <m/>
    <m/>
    <m/>
    <m/>
    <m/>
    <m/>
    <n v="0"/>
    <n v="0"/>
    <n v="0"/>
    <n v="0"/>
    <m/>
    <m/>
    <n v="0"/>
    <n v="0"/>
    <m/>
    <m/>
    <m/>
    <m/>
    <m/>
    <m/>
    <n v="464517"/>
    <n v="441856.48"/>
    <n v="464517"/>
    <n v="516.13"/>
    <n v="441856.48"/>
    <n v="490.95164444444441"/>
    <m/>
    <m/>
    <n v="0"/>
    <n v="0"/>
  </r>
  <r>
    <x v="10"/>
    <s v="Tulsa Technology Center-Sand Springs"/>
    <m/>
    <n v="482273"/>
    <x v="10"/>
    <m/>
    <m/>
    <m/>
    <m/>
    <m/>
    <m/>
    <m/>
    <m/>
    <m/>
    <m/>
    <n v="0"/>
    <n v="0"/>
    <n v="0"/>
    <n v="0"/>
    <m/>
    <m/>
    <n v="0"/>
    <n v="0"/>
    <m/>
    <m/>
    <m/>
    <m/>
    <m/>
    <m/>
    <n v="121723"/>
    <n v="141856.54"/>
    <n v="121723"/>
    <n v="135.24777777777777"/>
    <n v="141856.54"/>
    <n v="157.61837777777779"/>
    <m/>
    <m/>
    <n v="0"/>
    <n v="0"/>
  </r>
  <r>
    <x v="10"/>
    <s v="Wes Watkins Technology Center                     "/>
    <m/>
    <n v="418357"/>
    <x v="10"/>
    <m/>
    <m/>
    <m/>
    <m/>
    <m/>
    <m/>
    <m/>
    <m/>
    <m/>
    <m/>
    <n v="0"/>
    <n v="0"/>
    <n v="0"/>
    <n v="0"/>
    <m/>
    <m/>
    <n v="0"/>
    <n v="0"/>
    <m/>
    <m/>
    <m/>
    <m/>
    <m/>
    <m/>
    <n v="144593.98000000001"/>
    <n v="130496.63"/>
    <n v="144593.98000000001"/>
    <n v="160.65997777777778"/>
    <n v="130496.63"/>
    <n v="144.99625555555556"/>
    <m/>
    <m/>
    <n v="0"/>
    <n v="0"/>
  </r>
  <r>
    <x v="10"/>
    <s v="Western Technology Center                         "/>
    <m/>
    <n v="418302"/>
    <x v="10"/>
    <m/>
    <m/>
    <m/>
    <m/>
    <m/>
    <m/>
    <m/>
    <m/>
    <m/>
    <m/>
    <n v="0"/>
    <n v="0"/>
    <n v="0"/>
    <n v="0"/>
    <m/>
    <m/>
    <n v="0"/>
    <n v="0"/>
    <m/>
    <m/>
    <m/>
    <m/>
    <m/>
    <m/>
    <n v="316466.5"/>
    <n v="288010.40999999997"/>
    <n v="316466.5"/>
    <n v="351.62944444444446"/>
    <n v="288010.40999999997"/>
    <n v="320.01156666666662"/>
    <m/>
    <m/>
    <n v="0"/>
    <n v="0"/>
  </r>
  <r>
    <x v="11"/>
    <s v="Clemson University"/>
    <m/>
    <n v="217882"/>
    <x v="0"/>
    <s v="sem"/>
    <s v="sem"/>
    <m/>
    <m/>
    <n v="268967"/>
    <n v="272130"/>
    <n v="34394"/>
    <n v="36670"/>
    <n v="296147"/>
    <n v="303943"/>
    <n v="599508"/>
    <n v="19983.599999999999"/>
    <n v="612743"/>
    <n v="20424.766666666666"/>
    <n v="294"/>
    <n v="217"/>
    <n v="599508"/>
    <n v="612743"/>
    <m/>
    <m/>
    <m/>
    <m/>
    <m/>
    <m/>
    <m/>
    <m/>
    <n v="0"/>
    <n v="0"/>
    <n v="0"/>
    <n v="0"/>
    <m/>
    <m/>
    <n v="0"/>
    <n v="0"/>
  </r>
  <r>
    <x v="11"/>
    <s v="University of South Carolina-Columbia"/>
    <m/>
    <n v="218663"/>
    <x v="0"/>
    <s v="sem"/>
    <s v="sem"/>
    <m/>
    <m/>
    <n v="356057"/>
    <n v="363381"/>
    <n v="45579"/>
    <n v="46434"/>
    <n v="398668"/>
    <n v="409689"/>
    <n v="800304"/>
    <n v="26676.799999999999"/>
    <n v="819504"/>
    <n v="27316.799999999999"/>
    <n v="62"/>
    <n v="45"/>
    <n v="800304"/>
    <n v="819504"/>
    <m/>
    <m/>
    <m/>
    <m/>
    <m/>
    <m/>
    <m/>
    <m/>
    <n v="0"/>
    <n v="0"/>
    <n v="0"/>
    <n v="0"/>
    <m/>
    <m/>
    <n v="0"/>
    <n v="0"/>
  </r>
  <r>
    <x v="11"/>
    <s v="College of Charleston"/>
    <m/>
    <n v="217819"/>
    <x v="2"/>
    <s v="sem"/>
    <s v="sem"/>
    <m/>
    <m/>
    <n v="135927"/>
    <n v="134199"/>
    <n v="15743"/>
    <n v="15077"/>
    <n v="141862"/>
    <n v="137451"/>
    <n v="293532"/>
    <n v="9784.4"/>
    <n v="286727"/>
    <n v="9557.5666666666675"/>
    <n v="767"/>
    <n v="769"/>
    <n v="293532"/>
    <n v="286727"/>
    <m/>
    <m/>
    <m/>
    <m/>
    <m/>
    <m/>
    <m/>
    <m/>
    <n v="0"/>
    <n v="0"/>
    <n v="0"/>
    <n v="0"/>
    <m/>
    <m/>
    <n v="0"/>
    <n v="0"/>
  </r>
  <r>
    <x v="11"/>
    <s v="The Citadel, the Military College of South Carolina "/>
    <m/>
    <n v="217864"/>
    <x v="2"/>
    <s v="sem"/>
    <s v="sem"/>
    <m/>
    <m/>
    <n v="44742"/>
    <n v="46323"/>
    <n v="7276"/>
    <n v="6577"/>
    <n v="48579"/>
    <n v="47998"/>
    <n v="100597"/>
    <n v="3353.2333333333331"/>
    <n v="100898"/>
    <n v="3363.2666666666669"/>
    <m/>
    <n v="45"/>
    <n v="0"/>
    <n v="100898"/>
    <m/>
    <m/>
    <m/>
    <m/>
    <m/>
    <m/>
    <m/>
    <m/>
    <n v="0"/>
    <n v="0"/>
    <n v="0"/>
    <n v="0"/>
    <m/>
    <m/>
    <n v="0"/>
    <n v="0"/>
  </r>
  <r>
    <x v="11"/>
    <s v="Winthrop University "/>
    <m/>
    <n v="218964"/>
    <x v="2"/>
    <s v="sem"/>
    <s v="sem"/>
    <m/>
    <m/>
    <n v="66604.5"/>
    <n v="62708"/>
    <n v="5625"/>
    <n v="5253"/>
    <n v="68997"/>
    <n v="67863"/>
    <n v="141226.5"/>
    <n v="4707.55"/>
    <n v="135824"/>
    <n v="4527.4666666666662"/>
    <n v="1506"/>
    <n v="1476"/>
    <n v="141226.5"/>
    <n v="135824"/>
    <m/>
    <m/>
    <m/>
    <m/>
    <m/>
    <m/>
    <m/>
    <m/>
    <n v="0"/>
    <n v="0"/>
    <n v="0"/>
    <n v="0"/>
    <m/>
    <m/>
    <n v="0"/>
    <n v="0"/>
  </r>
  <r>
    <x v="11"/>
    <s v="Coastal Carolina University"/>
    <m/>
    <n v="218724"/>
    <x v="3"/>
    <s v="sem"/>
    <s v="sem"/>
    <m/>
    <m/>
    <n v="131138"/>
    <n v="130819"/>
    <n v="17712"/>
    <n v="17312"/>
    <n v="143502"/>
    <n v="142967"/>
    <n v="292352"/>
    <n v="9745.0666666666675"/>
    <n v="291098"/>
    <n v="9703.2666666666664"/>
    <n v="2460"/>
    <n v="2674"/>
    <n v="292352"/>
    <n v="291098"/>
    <m/>
    <m/>
    <m/>
    <m/>
    <m/>
    <m/>
    <m/>
    <m/>
    <n v="0"/>
    <n v="0"/>
    <n v="0"/>
    <n v="0"/>
    <m/>
    <m/>
    <n v="0"/>
    <n v="0"/>
  </r>
  <r>
    <x v="11"/>
    <s v="Francis Marion University "/>
    <m/>
    <n v="218061"/>
    <x v="4"/>
    <s v="sem"/>
    <s v="sem"/>
    <m/>
    <m/>
    <n v="41435"/>
    <n v="33667"/>
    <n v="2360"/>
    <n v="0"/>
    <n v="46655"/>
    <n v="46709"/>
    <n v="90450"/>
    <n v="3015"/>
    <n v="80376"/>
    <n v="2679.2"/>
    <n v="1178"/>
    <n v="3015"/>
    <n v="90450"/>
    <n v="80376"/>
    <m/>
    <m/>
    <m/>
    <m/>
    <m/>
    <m/>
    <m/>
    <m/>
    <n v="0"/>
    <n v="0"/>
    <n v="0"/>
    <n v="0"/>
    <m/>
    <m/>
    <n v="0"/>
    <n v="0"/>
  </r>
  <r>
    <x v="11"/>
    <s v="South Carolina State University "/>
    <m/>
    <n v="218733"/>
    <x v="4"/>
    <s v="sem"/>
    <s v="sem"/>
    <m/>
    <m/>
    <n v="31376"/>
    <n v="30751"/>
    <n v="1941"/>
    <n v="1896"/>
    <n v="34719"/>
    <n v="31188"/>
    <n v="68036"/>
    <n v="2267.8666666666668"/>
    <n v="63835"/>
    <n v="2127.8333333333335"/>
    <m/>
    <m/>
    <n v="0"/>
    <n v="0"/>
    <m/>
    <m/>
    <m/>
    <m/>
    <m/>
    <m/>
    <m/>
    <m/>
    <n v="0"/>
    <n v="0"/>
    <n v="0"/>
    <n v="0"/>
    <m/>
    <m/>
    <n v="0"/>
    <n v="0"/>
  </r>
  <r>
    <x v="11"/>
    <s v="Lander University"/>
    <s v="Met the criteria for Four-Year 5 in 2019-20."/>
    <n v="218229"/>
    <x v="5"/>
    <s v="sem"/>
    <s v="sem"/>
    <m/>
    <m/>
    <n v="36288.5"/>
    <n v="38379.5"/>
    <n v="3011.5"/>
    <n v="3709.5"/>
    <n v="42716.5"/>
    <n v="45775.5"/>
    <n v="82016.5"/>
    <n v="2733.8833333333332"/>
    <n v="87864.5"/>
    <n v="2928.8166666666666"/>
    <n v="272"/>
    <n v="351"/>
    <n v="82016.5"/>
    <n v="87864.5"/>
    <m/>
    <m/>
    <m/>
    <m/>
    <m/>
    <m/>
    <m/>
    <m/>
    <n v="0"/>
    <n v="0"/>
    <n v="0"/>
    <n v="0"/>
    <m/>
    <m/>
    <n v="0"/>
    <n v="0"/>
  </r>
  <r>
    <x v="11"/>
    <s v="University of South Carolina-Aiken"/>
    <s v="Met the criteria for Four-Year 5 in 2019-20."/>
    <n v="218645"/>
    <x v="5"/>
    <s v="sem"/>
    <s v="sem"/>
    <m/>
    <m/>
    <n v="40186"/>
    <n v="38990"/>
    <n v="5426"/>
    <n v="5239"/>
    <n v="43467"/>
    <n v="41962"/>
    <n v="89079"/>
    <n v="2969.3"/>
    <n v="86191"/>
    <n v="2873.0333333333333"/>
    <n v="1690"/>
    <n v="1623"/>
    <n v="89079"/>
    <n v="86191"/>
    <m/>
    <m/>
    <m/>
    <m/>
    <m/>
    <m/>
    <m/>
    <m/>
    <n v="0"/>
    <n v="0"/>
    <n v="0"/>
    <n v="0"/>
    <m/>
    <m/>
    <n v="0"/>
    <n v="0"/>
  </r>
  <r>
    <x v="11"/>
    <s v="University of South Carolina-Beaufort"/>
    <m/>
    <n v="218654"/>
    <x v="5"/>
    <s v="sem"/>
    <s v="sem"/>
    <m/>
    <m/>
    <n v="26759"/>
    <n v="27004"/>
    <n v="2875"/>
    <n v="3526"/>
    <n v="29185"/>
    <n v="28932"/>
    <n v="58819"/>
    <n v="1960.6333333333334"/>
    <n v="59462"/>
    <n v="1982.0666666666666"/>
    <n v="790"/>
    <n v="940"/>
    <n v="58819"/>
    <n v="59462"/>
    <m/>
    <m/>
    <m/>
    <m/>
    <m/>
    <m/>
    <m/>
    <m/>
    <n v="0"/>
    <n v="0"/>
    <n v="0"/>
    <n v="0"/>
    <m/>
    <m/>
    <n v="0"/>
    <n v="0"/>
  </r>
  <r>
    <x v="11"/>
    <s v="University of South Carolina-Upstate"/>
    <m/>
    <n v="218742"/>
    <x v="5"/>
    <s v="sem"/>
    <s v="sem"/>
    <m/>
    <m/>
    <n v="69541"/>
    <n v="69951"/>
    <n v="11306"/>
    <n v="10702"/>
    <n v="78007"/>
    <n v="75607"/>
    <n v="158854"/>
    <n v="5295.1333333333332"/>
    <n v="156260"/>
    <n v="5208.666666666667"/>
    <n v="5433"/>
    <n v="5197"/>
    <n v="158854"/>
    <n v="156260"/>
    <m/>
    <m/>
    <m/>
    <m/>
    <m/>
    <m/>
    <m/>
    <m/>
    <n v="0"/>
    <n v="0"/>
    <n v="0"/>
    <n v="0"/>
    <m/>
    <m/>
    <n v="0"/>
    <n v="0"/>
  </r>
  <r>
    <x v="11"/>
    <s v="Greenville Technical College "/>
    <m/>
    <n v="218113"/>
    <x v="6"/>
    <s v="sem"/>
    <s v="sem"/>
    <m/>
    <m/>
    <n v="94951"/>
    <n v="90583"/>
    <n v="34479"/>
    <n v="33118"/>
    <n v="100480"/>
    <n v="104339"/>
    <n v="229910"/>
    <n v="7663.666666666667"/>
    <n v="228040"/>
    <n v="7601.333333333333"/>
    <n v="13706"/>
    <n v="15952"/>
    <n v="229910"/>
    <n v="228040"/>
    <m/>
    <m/>
    <m/>
    <m/>
    <m/>
    <m/>
    <m/>
    <m/>
    <n v="0"/>
    <n v="0"/>
    <n v="0"/>
    <n v="0"/>
    <m/>
    <m/>
    <n v="0"/>
    <n v="0"/>
  </r>
  <r>
    <x v="11"/>
    <s v="Horry-Georgetown Technical College "/>
    <m/>
    <n v="218140"/>
    <x v="6"/>
    <s v="sem"/>
    <s v="sem"/>
    <m/>
    <m/>
    <n v="63568"/>
    <n v="63855"/>
    <n v="22316"/>
    <n v="22104"/>
    <n v="69803"/>
    <n v="68248"/>
    <n v="155687"/>
    <n v="5189.5666666666666"/>
    <n v="154207"/>
    <n v="5140.2333333333336"/>
    <n v="7647"/>
    <n v="4776"/>
    <n v="155687"/>
    <n v="154207"/>
    <m/>
    <m/>
    <m/>
    <m/>
    <m/>
    <m/>
    <m/>
    <m/>
    <n v="0"/>
    <n v="0"/>
    <n v="0"/>
    <n v="0"/>
    <m/>
    <m/>
    <n v="0"/>
    <n v="0"/>
  </r>
  <r>
    <x v="11"/>
    <s v="Midlands Technical College "/>
    <m/>
    <n v="218353"/>
    <x v="6"/>
    <s v="sem"/>
    <s v="sem"/>
    <m/>
    <m/>
    <n v="89600"/>
    <n v="83297"/>
    <n v="32669"/>
    <n v="28839"/>
    <n v="96141"/>
    <n v="91135"/>
    <n v="218410"/>
    <n v="7280.333333333333"/>
    <n v="203271"/>
    <n v="6775.7"/>
    <n v="7301"/>
    <n v="7359"/>
    <n v="218410"/>
    <n v="203271"/>
    <m/>
    <m/>
    <m/>
    <m/>
    <m/>
    <m/>
    <m/>
    <m/>
    <n v="0"/>
    <n v="0"/>
    <n v="0"/>
    <n v="0"/>
    <m/>
    <m/>
    <n v="0"/>
    <n v="0"/>
  </r>
  <r>
    <x v="11"/>
    <s v="Trident Technical College "/>
    <m/>
    <n v="218894"/>
    <x v="6"/>
    <s v="sem"/>
    <s v="sem"/>
    <m/>
    <m/>
    <n v="101880"/>
    <n v="98790"/>
    <n v="42119"/>
    <n v="41544"/>
    <n v="111421"/>
    <n v="111506"/>
    <n v="255420"/>
    <n v="8514"/>
    <n v="251840"/>
    <n v="8394.6666666666661"/>
    <n v="25924"/>
    <n v="31190"/>
    <n v="255420"/>
    <n v="251840"/>
    <m/>
    <m/>
    <m/>
    <m/>
    <m/>
    <m/>
    <m/>
    <m/>
    <n v="0"/>
    <n v="0"/>
    <n v="0"/>
    <n v="0"/>
    <m/>
    <m/>
    <n v="0"/>
    <n v="0"/>
  </r>
  <r>
    <x v="11"/>
    <s v="Central Carolina Technical College "/>
    <m/>
    <n v="218858"/>
    <x v="7"/>
    <s v="sem"/>
    <s v="sem"/>
    <m/>
    <m/>
    <n v="30311"/>
    <n v="29606"/>
    <n v="13720"/>
    <n v="13310"/>
    <n v="32730"/>
    <n v="30261"/>
    <n v="76761"/>
    <n v="2558.6999999999998"/>
    <n v="73177"/>
    <n v="2439.2333333333331"/>
    <n v="9132"/>
    <n v="9762"/>
    <n v="76761"/>
    <n v="73177"/>
    <m/>
    <m/>
    <m/>
    <m/>
    <m/>
    <m/>
    <m/>
    <m/>
    <n v="0"/>
    <n v="0"/>
    <n v="0"/>
    <n v="0"/>
    <m/>
    <m/>
    <n v="0"/>
    <n v="0"/>
  </r>
  <r>
    <x v="11"/>
    <s v="Florence-Darlington Technical College "/>
    <m/>
    <n v="218025"/>
    <x v="7"/>
    <s v="sem"/>
    <s v="sem"/>
    <m/>
    <m/>
    <n v="44453"/>
    <n v="32862"/>
    <n v="13563"/>
    <n v="11566"/>
    <n v="39504"/>
    <n v="34102"/>
    <n v="97520"/>
    <n v="3250.6666666666665"/>
    <n v="78530"/>
    <n v="2617.6666666666665"/>
    <n v="11574"/>
    <n v="5696"/>
    <n v="97520"/>
    <n v="78530"/>
    <m/>
    <m/>
    <m/>
    <m/>
    <m/>
    <m/>
    <m/>
    <m/>
    <n v="0"/>
    <n v="0"/>
    <n v="0"/>
    <n v="0"/>
    <m/>
    <m/>
    <n v="0"/>
    <n v="0"/>
  </r>
  <r>
    <x v="11"/>
    <s v="Piedmont Technical College "/>
    <m/>
    <n v="218520"/>
    <x v="7"/>
    <s v="sem"/>
    <s v="sem"/>
    <m/>
    <m/>
    <n v="38650"/>
    <n v="39982"/>
    <n v="17009"/>
    <n v="17581"/>
    <n v="42873"/>
    <n v="46262"/>
    <n v="98532"/>
    <n v="3284.4"/>
    <n v="103825"/>
    <n v="3460.8333333333335"/>
    <n v="9256"/>
    <n v="9599"/>
    <n v="98532"/>
    <n v="103825"/>
    <m/>
    <m/>
    <m/>
    <m/>
    <m/>
    <m/>
    <m/>
    <m/>
    <n v="0"/>
    <n v="0"/>
    <n v="0"/>
    <n v="0"/>
    <m/>
    <m/>
    <n v="0"/>
    <n v="0"/>
  </r>
  <r>
    <x v="11"/>
    <s v="Spartanburg Community College "/>
    <m/>
    <n v="218830"/>
    <x v="7"/>
    <s v="sem"/>
    <s v="sem"/>
    <m/>
    <m/>
    <n v="39864"/>
    <n v="39143"/>
    <n v="13030"/>
    <n v="13116"/>
    <n v="44059"/>
    <n v="44864"/>
    <n v="96953"/>
    <n v="3231.7666666666669"/>
    <n v="97123"/>
    <n v="3237.4333333333334"/>
    <n v="9623"/>
    <n v="10291"/>
    <n v="96953"/>
    <n v="97123"/>
    <m/>
    <m/>
    <m/>
    <m/>
    <m/>
    <m/>
    <m/>
    <m/>
    <n v="0"/>
    <n v="0"/>
    <n v="0"/>
    <n v="0"/>
    <m/>
    <m/>
    <n v="0"/>
    <n v="0"/>
  </r>
  <r>
    <x v="11"/>
    <s v="Tri-County Technical College "/>
    <m/>
    <n v="218885"/>
    <x v="7"/>
    <s v="sem"/>
    <s v="sem"/>
    <m/>
    <m/>
    <n v="58325"/>
    <n v="58698"/>
    <n v="19308"/>
    <n v="18963"/>
    <n v="66261"/>
    <n v="68215"/>
    <n v="143894"/>
    <n v="4796.4666666666662"/>
    <n v="145876"/>
    <n v="4862.5333333333338"/>
    <n v="8116"/>
    <n v="8439"/>
    <n v="143894"/>
    <n v="145876"/>
    <m/>
    <m/>
    <m/>
    <m/>
    <m/>
    <m/>
    <m/>
    <m/>
    <n v="0"/>
    <n v="0"/>
    <n v="0"/>
    <n v="0"/>
    <m/>
    <m/>
    <n v="0"/>
    <n v="0"/>
  </r>
  <r>
    <x v="11"/>
    <s v="York Technical College "/>
    <m/>
    <n v="218991"/>
    <x v="7"/>
    <s v="sem"/>
    <s v="sem"/>
    <m/>
    <m/>
    <n v="41110"/>
    <n v="39180"/>
    <n v="13417"/>
    <n v="12714"/>
    <n v="43259"/>
    <n v="47329"/>
    <n v="97786"/>
    <n v="3259.5333333333333"/>
    <n v="99223"/>
    <n v="3307.4333333333334"/>
    <n v="4824"/>
    <n v="6463"/>
    <n v="97786"/>
    <n v="99223"/>
    <m/>
    <m/>
    <m/>
    <m/>
    <m/>
    <m/>
    <m/>
    <m/>
    <n v="0"/>
    <n v="0"/>
    <n v="0"/>
    <n v="0"/>
    <m/>
    <m/>
    <n v="0"/>
    <n v="0"/>
  </r>
  <r>
    <x v="11"/>
    <s v="Aiken Technical College "/>
    <m/>
    <n v="217615"/>
    <x v="8"/>
    <s v="sem"/>
    <s v="sem"/>
    <m/>
    <m/>
    <n v="20375"/>
    <n v="18768"/>
    <n v="8275"/>
    <n v="7531"/>
    <n v="20452"/>
    <n v="20335"/>
    <n v="49102"/>
    <n v="1636.7333333333333"/>
    <n v="46634"/>
    <n v="1554.4666666666667"/>
    <n v="2004"/>
    <n v="2154"/>
    <n v="49102"/>
    <n v="46634"/>
    <m/>
    <m/>
    <m/>
    <m/>
    <m/>
    <m/>
    <m/>
    <m/>
    <n v="0"/>
    <n v="0"/>
    <n v="0"/>
    <n v="0"/>
    <m/>
    <m/>
    <n v="0"/>
    <n v="0"/>
  </r>
  <r>
    <x v="11"/>
    <s v="Denmark Technical College "/>
    <m/>
    <n v="217989"/>
    <x v="8"/>
    <s v="sem"/>
    <s v="sem"/>
    <m/>
    <m/>
    <n v="5791"/>
    <n v="4721"/>
    <n v="2457"/>
    <n v="2196"/>
    <n v="5443"/>
    <n v="4984"/>
    <n v="13691"/>
    <n v="456.36666666666667"/>
    <n v="11901"/>
    <n v="396.7"/>
    <n v="1843"/>
    <n v="2030"/>
    <n v="13691"/>
    <n v="11901"/>
    <m/>
    <m/>
    <m/>
    <m/>
    <m/>
    <m/>
    <m/>
    <m/>
    <n v="0"/>
    <n v="0"/>
    <n v="0"/>
    <n v="0"/>
    <m/>
    <m/>
    <n v="0"/>
    <n v="0"/>
  </r>
  <r>
    <x v="11"/>
    <s v="Northeastern Technical College "/>
    <m/>
    <n v="217837"/>
    <x v="8"/>
    <s v="sem"/>
    <s v="sem"/>
    <m/>
    <m/>
    <n v="8640"/>
    <n v="10672"/>
    <n v="4409"/>
    <n v="4766"/>
    <n v="11706"/>
    <n v="11853"/>
    <n v="24755"/>
    <n v="825.16666666666663"/>
    <n v="27291"/>
    <n v="909.7"/>
    <n v="3857"/>
    <n v="6133"/>
    <n v="24755"/>
    <n v="27291"/>
    <m/>
    <m/>
    <m/>
    <m/>
    <m/>
    <m/>
    <m/>
    <m/>
    <n v="0"/>
    <n v="0"/>
    <n v="0"/>
    <n v="0"/>
    <m/>
    <m/>
    <n v="0"/>
    <n v="0"/>
  </r>
  <r>
    <x v="11"/>
    <s v="Orangeburg-Calhoun Technical College "/>
    <m/>
    <n v="218487"/>
    <x v="8"/>
    <s v="sem"/>
    <s v="sem"/>
    <m/>
    <m/>
    <n v="19233"/>
    <n v="20426"/>
    <n v="8611"/>
    <n v="8961"/>
    <n v="22360"/>
    <n v="21181"/>
    <n v="50204"/>
    <n v="1673.4666666666667"/>
    <n v="50568"/>
    <n v="1685.6"/>
    <n v="7236"/>
    <n v="7664"/>
    <n v="50204"/>
    <n v="50568"/>
    <m/>
    <m/>
    <m/>
    <m/>
    <m/>
    <m/>
    <m/>
    <m/>
    <n v="0"/>
    <n v="0"/>
    <n v="0"/>
    <n v="0"/>
    <m/>
    <m/>
    <n v="0"/>
    <n v="0"/>
  </r>
  <r>
    <x v="11"/>
    <s v="Technical College of the Lowcountry"/>
    <m/>
    <n v="217712"/>
    <x v="8"/>
    <s v="sem"/>
    <s v="sem"/>
    <m/>
    <m/>
    <n v="18926"/>
    <n v="18050"/>
    <n v="7262"/>
    <n v="6968"/>
    <n v="19213"/>
    <n v="19187"/>
    <n v="45401"/>
    <n v="1513.3666666666666"/>
    <n v="44205"/>
    <n v="1473.5"/>
    <n v="6045"/>
    <n v="6051"/>
    <n v="45401"/>
    <n v="44205"/>
    <m/>
    <m/>
    <m/>
    <m/>
    <m/>
    <m/>
    <m/>
    <m/>
    <n v="0"/>
    <n v="0"/>
    <n v="0"/>
    <n v="0"/>
    <m/>
    <m/>
    <n v="0"/>
    <n v="0"/>
  </r>
  <r>
    <x v="11"/>
    <s v="University of South Carolina-Lancaster"/>
    <m/>
    <n v="218672"/>
    <x v="8"/>
    <s v="sem"/>
    <s v="sem"/>
    <m/>
    <m/>
    <n v="14612"/>
    <n v="13781"/>
    <n v="2867"/>
    <n v="2983"/>
    <n v="15887"/>
    <n v="16679"/>
    <n v="33366"/>
    <n v="1112.2"/>
    <n v="33443"/>
    <n v="1114.7666666666667"/>
    <n v="4166"/>
    <n v="10579"/>
    <n v="33366"/>
    <n v="33443"/>
    <m/>
    <m/>
    <m/>
    <m/>
    <m/>
    <m/>
    <m/>
    <m/>
    <n v="0"/>
    <n v="0"/>
    <n v="0"/>
    <n v="0"/>
    <m/>
    <m/>
    <n v="0"/>
    <n v="0"/>
  </r>
  <r>
    <x v="11"/>
    <s v="University of South Carolina-Salkehatchie"/>
    <m/>
    <n v="218681"/>
    <x v="8"/>
    <s v="sem"/>
    <s v="sem"/>
    <m/>
    <m/>
    <n v="9468"/>
    <n v="8939"/>
    <n v="424"/>
    <n v="703"/>
    <n v="10613"/>
    <n v="9571"/>
    <n v="20505"/>
    <n v="683.5"/>
    <n v="19213"/>
    <n v="640.43333333333328"/>
    <n v="2141"/>
    <n v="4959"/>
    <n v="20505"/>
    <n v="19213"/>
    <m/>
    <m/>
    <m/>
    <m/>
    <m/>
    <m/>
    <m/>
    <m/>
    <n v="0"/>
    <n v="0"/>
    <n v="0"/>
    <n v="0"/>
    <m/>
    <m/>
    <n v="0"/>
    <n v="0"/>
  </r>
  <r>
    <x v="11"/>
    <s v="University of South Carolina-Sumter"/>
    <m/>
    <n v="218690"/>
    <x v="8"/>
    <s v="sem"/>
    <s v="sem"/>
    <m/>
    <m/>
    <n v="9549"/>
    <n v="9566"/>
    <n v="1935"/>
    <n v="2161"/>
    <n v="11745"/>
    <n v="12817"/>
    <n v="23229"/>
    <n v="774.3"/>
    <n v="24544"/>
    <n v="818.13333333333333"/>
    <n v="2793"/>
    <n v="6970"/>
    <n v="23229"/>
    <n v="24544"/>
    <m/>
    <m/>
    <m/>
    <m/>
    <m/>
    <m/>
    <m/>
    <m/>
    <n v="0"/>
    <n v="0"/>
    <n v="0"/>
    <n v="0"/>
    <m/>
    <m/>
    <n v="0"/>
    <n v="0"/>
  </r>
  <r>
    <x v="11"/>
    <s v="University of South Carolina-Union"/>
    <m/>
    <n v="218706"/>
    <x v="8"/>
    <s v="sem"/>
    <s v="sem"/>
    <m/>
    <m/>
    <n v="8130"/>
    <n v="9256"/>
    <n v="390"/>
    <n v="453"/>
    <n v="9798"/>
    <n v="10335"/>
    <n v="18318"/>
    <n v="610.6"/>
    <n v="20044"/>
    <n v="668.13333333333333"/>
    <n v="5324"/>
    <n v="11133"/>
    <n v="18318"/>
    <n v="20044"/>
    <m/>
    <m/>
    <m/>
    <m/>
    <m/>
    <m/>
    <m/>
    <m/>
    <n v="0"/>
    <n v="0"/>
    <n v="0"/>
    <n v="0"/>
    <m/>
    <m/>
    <n v="0"/>
    <n v="0"/>
  </r>
  <r>
    <x v="11"/>
    <s v="Williamsburg Technical College "/>
    <m/>
    <n v="218955"/>
    <x v="8"/>
    <s v="sem"/>
    <s v="sem"/>
    <m/>
    <m/>
    <n v="5952"/>
    <n v="5963"/>
    <n v="2746"/>
    <n v="3185"/>
    <n v="6082"/>
    <n v="6699"/>
    <n v="14780"/>
    <n v="492.66666666666669"/>
    <n v="15847"/>
    <n v="528.23333333333335"/>
    <n v="5018"/>
    <n v="5408"/>
    <n v="14780"/>
    <n v="15847"/>
    <m/>
    <m/>
    <m/>
    <m/>
    <m/>
    <m/>
    <m/>
    <m/>
    <n v="0"/>
    <n v="0"/>
    <n v="0"/>
    <n v="0"/>
    <m/>
    <m/>
    <n v="0"/>
    <n v="0"/>
  </r>
  <r>
    <x v="12"/>
    <s v="University of Memphis"/>
    <m/>
    <n v="220862"/>
    <x v="0"/>
    <m/>
    <m/>
    <m/>
    <m/>
    <n v="186940"/>
    <n v="183589"/>
    <n v="27863"/>
    <n v="27039"/>
    <n v="203557"/>
    <n v="206982"/>
    <n v="418360"/>
    <n v="13945.333333333334"/>
    <n v="417610"/>
    <n v="13920.333333333334"/>
    <n v="11557"/>
    <n v="12601"/>
    <n v="418360"/>
    <n v="417610"/>
    <m/>
    <m/>
    <m/>
    <m/>
    <m/>
    <m/>
    <m/>
    <m/>
    <n v="0"/>
    <n v="0"/>
    <n v="0"/>
    <n v="0"/>
    <m/>
    <m/>
    <n v="0"/>
    <n v="0"/>
  </r>
  <r>
    <x v="12"/>
    <s v="University of Tennessee, Knoxville"/>
    <m/>
    <n v="221759"/>
    <x v="0"/>
    <m/>
    <m/>
    <m/>
    <m/>
    <n v="288163"/>
    <n v="293363"/>
    <n v="32221"/>
    <n v="34095"/>
    <n v="315000"/>
    <n v="322611"/>
    <n v="635384"/>
    <n v="21179.466666666667"/>
    <n v="650069"/>
    <n v="21668.966666666667"/>
    <n v="154"/>
    <n v="86"/>
    <n v="635384"/>
    <n v="650069"/>
    <m/>
    <m/>
    <m/>
    <m/>
    <m/>
    <m/>
    <m/>
    <m/>
    <n v="0"/>
    <n v="0"/>
    <n v="0"/>
    <n v="0"/>
    <m/>
    <m/>
    <n v="0"/>
    <n v="0"/>
  </r>
  <r>
    <x v="12"/>
    <s v="East Tennessee State University "/>
    <m/>
    <n v="220075"/>
    <x v="1"/>
    <m/>
    <m/>
    <m/>
    <m/>
    <n v="142160"/>
    <n v="142844"/>
    <n v="19068"/>
    <n v="21091"/>
    <n v="155296"/>
    <n v="153145"/>
    <n v="316524"/>
    <n v="10550.8"/>
    <n v="317080"/>
    <n v="10569.333333333334"/>
    <n v="2849"/>
    <n v="4393"/>
    <n v="316524"/>
    <n v="317080"/>
    <m/>
    <m/>
    <m/>
    <m/>
    <m/>
    <m/>
    <m/>
    <m/>
    <n v="0"/>
    <n v="0"/>
    <n v="0"/>
    <n v="0"/>
    <m/>
    <m/>
    <n v="0"/>
    <n v="0"/>
  </r>
  <r>
    <x v="12"/>
    <s v="Middle Tennessee State University "/>
    <m/>
    <n v="220978"/>
    <x v="1"/>
    <m/>
    <m/>
    <m/>
    <m/>
    <n v="225021"/>
    <n v="220500"/>
    <n v="37600"/>
    <n v="35169"/>
    <n v="246440"/>
    <n v="248673"/>
    <n v="509061"/>
    <n v="16968.7"/>
    <n v="504342"/>
    <n v="16811.400000000001"/>
    <n v="8373"/>
    <n v="10247"/>
    <n v="509061"/>
    <n v="504342"/>
    <m/>
    <m/>
    <m/>
    <m/>
    <m/>
    <m/>
    <m/>
    <m/>
    <n v="0"/>
    <n v="0"/>
    <n v="0"/>
    <n v="0"/>
    <m/>
    <m/>
    <n v="0"/>
    <n v="0"/>
  </r>
  <r>
    <x v="12"/>
    <s v="Tennessee State University "/>
    <m/>
    <n v="221838"/>
    <x v="1"/>
    <m/>
    <m/>
    <m/>
    <m/>
    <n v="76877"/>
    <n v="69393"/>
    <n v="9699"/>
    <n v="10137"/>
    <n v="83507"/>
    <n v="79834"/>
    <n v="170083"/>
    <n v="5669.4333333333334"/>
    <n v="159364"/>
    <n v="5312.1333333333332"/>
    <m/>
    <n v="599"/>
    <n v="0"/>
    <n v="159364"/>
    <m/>
    <m/>
    <m/>
    <m/>
    <m/>
    <m/>
    <m/>
    <m/>
    <n v="0"/>
    <n v="0"/>
    <n v="0"/>
    <n v="0"/>
    <m/>
    <m/>
    <n v="0"/>
    <n v="0"/>
  </r>
  <r>
    <x v="12"/>
    <s v="Austin Peay State University "/>
    <m/>
    <n v="219602"/>
    <x v="2"/>
    <m/>
    <m/>
    <m/>
    <m/>
    <n v="110251"/>
    <n v="111943"/>
    <n v="18779"/>
    <n v="16738"/>
    <n v="122543"/>
    <n v="119454"/>
    <n v="251573"/>
    <n v="8385.7666666666664"/>
    <n v="248135"/>
    <n v="8271.1666666666661"/>
    <n v="7878"/>
    <n v="9545"/>
    <n v="251573"/>
    <n v="248135"/>
    <m/>
    <m/>
    <m/>
    <m/>
    <m/>
    <m/>
    <m/>
    <m/>
    <n v="0"/>
    <n v="0"/>
    <n v="0"/>
    <n v="0"/>
    <m/>
    <m/>
    <n v="0"/>
    <n v="0"/>
  </r>
  <r>
    <x v="12"/>
    <s v="Tennessee Technological University "/>
    <m/>
    <n v="221847"/>
    <x v="2"/>
    <m/>
    <m/>
    <m/>
    <m/>
    <n v="115436"/>
    <n v="112413"/>
    <n v="13025"/>
    <n v="12080"/>
    <n v="124575"/>
    <n v="123457"/>
    <n v="253036"/>
    <n v="8434.5333333333328"/>
    <n v="247950"/>
    <n v="8265"/>
    <n v="1074"/>
    <n v="1208"/>
    <n v="253036"/>
    <n v="247950"/>
    <m/>
    <m/>
    <m/>
    <m/>
    <m/>
    <m/>
    <m/>
    <m/>
    <n v="0"/>
    <n v="0"/>
    <n v="0"/>
    <n v="0"/>
    <m/>
    <m/>
    <n v="0"/>
    <n v="0"/>
  </r>
  <r>
    <x v="12"/>
    <s v="University of Tennessee at Chattanooga"/>
    <m/>
    <n v="221740"/>
    <x v="2"/>
    <m/>
    <m/>
    <m/>
    <m/>
    <n v="124069"/>
    <n v="124159"/>
    <n v="17957"/>
    <n v="16152"/>
    <n v="140730"/>
    <n v="143031"/>
    <n v="282756"/>
    <n v="9425.2000000000007"/>
    <n v="283342"/>
    <n v="9444.7333333333336"/>
    <n v="141"/>
    <n v="124"/>
    <n v="282756"/>
    <n v="283342"/>
    <m/>
    <m/>
    <m/>
    <m/>
    <m/>
    <m/>
    <m/>
    <m/>
    <n v="0"/>
    <n v="0"/>
    <n v="0"/>
    <n v="0"/>
    <m/>
    <m/>
    <n v="0"/>
    <n v="0"/>
  </r>
  <r>
    <x v="12"/>
    <s v="University of Tennessee at Martin"/>
    <s v="Met the criteria for Four-Year 4 in 2018-19 and 2019-20."/>
    <n v="221768"/>
    <x v="4"/>
    <m/>
    <m/>
    <m/>
    <m/>
    <n v="74927"/>
    <n v="73457"/>
    <n v="11166"/>
    <n v="9514"/>
    <n v="81107"/>
    <n v="80328"/>
    <n v="167200"/>
    <n v="5573.333333333333"/>
    <n v="163299"/>
    <n v="5443.3"/>
    <n v="7294"/>
    <n v="10044"/>
    <n v="167200"/>
    <n v="163299"/>
    <m/>
    <m/>
    <m/>
    <m/>
    <m/>
    <m/>
    <m/>
    <m/>
    <n v="0"/>
    <n v="0"/>
    <n v="0"/>
    <n v="0"/>
    <m/>
    <m/>
    <n v="0"/>
    <n v="0"/>
  </r>
  <r>
    <x v="12"/>
    <s v="Chattanooga State Technical Community College "/>
    <m/>
    <n v="219824"/>
    <x v="6"/>
    <m/>
    <m/>
    <m/>
    <m/>
    <n v="70098"/>
    <n v="69438"/>
    <n v="14254"/>
    <n v="13746"/>
    <n v="84446"/>
    <n v="80751"/>
    <n v="168798"/>
    <n v="5626.6"/>
    <n v="163935"/>
    <n v="5464.5"/>
    <n v="13584"/>
    <n v="13493"/>
    <n v="168798"/>
    <n v="163935"/>
    <m/>
    <m/>
    <m/>
    <m/>
    <m/>
    <m/>
    <m/>
    <m/>
    <n v="0"/>
    <n v="0"/>
    <n v="0"/>
    <n v="0"/>
    <m/>
    <m/>
    <n v="0"/>
    <n v="0"/>
  </r>
  <r>
    <x v="12"/>
    <s v="Nashville State Technical Community College"/>
    <m/>
    <n v="221184"/>
    <x v="6"/>
    <m/>
    <m/>
    <m/>
    <m/>
    <n v="65660"/>
    <n v="67812"/>
    <n v="13978"/>
    <n v="14219"/>
    <n v="77602"/>
    <n v="74753"/>
    <n v="157240"/>
    <n v="5241.333333333333"/>
    <n v="156784"/>
    <n v="5226.1333333333332"/>
    <n v="8226"/>
    <n v="8569"/>
    <n v="157240"/>
    <n v="156784"/>
    <m/>
    <m/>
    <m/>
    <m/>
    <m/>
    <m/>
    <m/>
    <m/>
    <n v="0"/>
    <n v="0"/>
    <n v="0"/>
    <n v="0"/>
    <m/>
    <m/>
    <n v="0"/>
    <n v="0"/>
  </r>
  <r>
    <x v="12"/>
    <s v="Pellissippi State Technical Community College"/>
    <m/>
    <n v="221643"/>
    <x v="6"/>
    <m/>
    <m/>
    <m/>
    <m/>
    <n v="92278"/>
    <n v="90800"/>
    <n v="20417"/>
    <n v="19102"/>
    <n v="108027"/>
    <n v="104584"/>
    <n v="220722"/>
    <n v="7357.4"/>
    <n v="214486"/>
    <n v="7149.5333333333338"/>
    <n v="10406"/>
    <n v="11325"/>
    <n v="220722"/>
    <n v="214486"/>
    <m/>
    <m/>
    <m/>
    <m/>
    <m/>
    <m/>
    <m/>
    <m/>
    <n v="0"/>
    <n v="0"/>
    <n v="0"/>
    <n v="0"/>
    <m/>
    <m/>
    <n v="0"/>
    <n v="0"/>
  </r>
  <r>
    <x v="12"/>
    <s v="Southwest Tennessee Community College"/>
    <m/>
    <n v="221485"/>
    <x v="6"/>
    <m/>
    <m/>
    <m/>
    <m/>
    <n v="74436"/>
    <n v="76993"/>
    <n v="19546"/>
    <n v="19798"/>
    <n v="92128"/>
    <n v="90732"/>
    <n v="186110"/>
    <n v="6203.666666666667"/>
    <n v="187523"/>
    <n v="6250.7666666666664"/>
    <n v="4128"/>
    <n v="5807"/>
    <n v="186110"/>
    <n v="187523"/>
    <m/>
    <m/>
    <m/>
    <m/>
    <m/>
    <m/>
    <m/>
    <m/>
    <n v="0"/>
    <n v="0"/>
    <n v="0"/>
    <n v="0"/>
    <m/>
    <m/>
    <n v="0"/>
    <n v="0"/>
  </r>
  <r>
    <x v="12"/>
    <s v="Volunteer State Community College "/>
    <m/>
    <n v="222053"/>
    <x v="6"/>
    <m/>
    <m/>
    <m/>
    <m/>
    <n v="74214"/>
    <n v="76607"/>
    <n v="13845"/>
    <n v="16562"/>
    <n v="93797"/>
    <n v="92214"/>
    <n v="181856"/>
    <n v="6061.8666666666668"/>
    <n v="185383"/>
    <n v="6179.4333333333334"/>
    <n v="17419"/>
    <n v="17302"/>
    <n v="181856"/>
    <n v="185383"/>
    <m/>
    <m/>
    <m/>
    <m/>
    <m/>
    <m/>
    <m/>
    <m/>
    <n v="0"/>
    <n v="0"/>
    <n v="0"/>
    <n v="0"/>
    <m/>
    <m/>
    <n v="0"/>
    <n v="0"/>
  </r>
  <r>
    <x v="12"/>
    <s v="Cleveland State Community College "/>
    <m/>
    <n v="219879"/>
    <x v="7"/>
    <m/>
    <m/>
    <m/>
    <m/>
    <n v="25643"/>
    <n v="27350"/>
    <n v="5290"/>
    <n v="4996"/>
    <n v="33008"/>
    <n v="35121"/>
    <n v="63941"/>
    <n v="2131.3666666666668"/>
    <n v="67467"/>
    <n v="2248.9"/>
    <n v="8009"/>
    <n v="9627"/>
    <n v="63941"/>
    <n v="67467"/>
    <m/>
    <m/>
    <m/>
    <m/>
    <m/>
    <m/>
    <m/>
    <m/>
    <n v="0"/>
    <n v="0"/>
    <n v="0"/>
    <n v="0"/>
    <m/>
    <m/>
    <n v="0"/>
    <n v="0"/>
  </r>
  <r>
    <x v="12"/>
    <s v="Columbia State Community College "/>
    <m/>
    <n v="219888"/>
    <x v="7"/>
    <m/>
    <m/>
    <m/>
    <m/>
    <n v="51237"/>
    <n v="54455"/>
    <n v="11126"/>
    <n v="11593"/>
    <n v="65409"/>
    <n v="66974"/>
    <n v="127772"/>
    <n v="4259.0666666666666"/>
    <n v="133022"/>
    <n v="4434.0666666666666"/>
    <n v="8293"/>
    <n v="9327"/>
    <n v="127772"/>
    <n v="133022"/>
    <m/>
    <m/>
    <m/>
    <m/>
    <m/>
    <m/>
    <m/>
    <m/>
    <n v="0"/>
    <n v="0"/>
    <n v="0"/>
    <n v="0"/>
    <m/>
    <m/>
    <n v="0"/>
    <n v="0"/>
  </r>
  <r>
    <x v="12"/>
    <s v="Jackson State Community College "/>
    <m/>
    <n v="220400"/>
    <x v="7"/>
    <m/>
    <m/>
    <m/>
    <m/>
    <n v="38376"/>
    <n v="37080"/>
    <n v="7022"/>
    <n v="7397"/>
    <n v="45582"/>
    <n v="47019"/>
    <n v="90980"/>
    <n v="3032.6666666666665"/>
    <n v="91496"/>
    <n v="3049.8666666666668"/>
    <n v="13050"/>
    <n v="12523"/>
    <n v="90980"/>
    <n v="91496"/>
    <m/>
    <m/>
    <m/>
    <m/>
    <m/>
    <m/>
    <m/>
    <m/>
    <n v="0"/>
    <n v="0"/>
    <n v="0"/>
    <n v="0"/>
    <m/>
    <m/>
    <n v="0"/>
    <n v="0"/>
  </r>
  <r>
    <x v="12"/>
    <s v="Motlow State Community College "/>
    <m/>
    <n v="221096"/>
    <x v="7"/>
    <m/>
    <m/>
    <m/>
    <m/>
    <n v="53674"/>
    <n v="57936"/>
    <n v="8886"/>
    <n v="12666"/>
    <n v="68357"/>
    <n v="68563"/>
    <n v="130917"/>
    <n v="4363.8999999999996"/>
    <n v="139165"/>
    <n v="4638.833333333333"/>
    <n v="16630"/>
    <n v="18577"/>
    <n v="130917"/>
    <n v="139165"/>
    <m/>
    <m/>
    <m/>
    <m/>
    <m/>
    <m/>
    <m/>
    <m/>
    <n v="0"/>
    <n v="0"/>
    <n v="0"/>
    <n v="0"/>
    <m/>
    <m/>
    <n v="0"/>
    <n v="0"/>
  </r>
  <r>
    <x v="12"/>
    <s v="Northeast State Technical Community College"/>
    <m/>
    <n v="221908"/>
    <x v="7"/>
    <m/>
    <m/>
    <m/>
    <m/>
    <n v="52388"/>
    <n v="53136"/>
    <n v="6939"/>
    <n v="7764"/>
    <n v="64218"/>
    <n v="62645"/>
    <n v="123545"/>
    <n v="4118.166666666667"/>
    <n v="123545"/>
    <n v="4118.166666666667"/>
    <n v="7661"/>
    <n v="8975"/>
    <n v="123545"/>
    <n v="123545"/>
    <m/>
    <m/>
    <m/>
    <m/>
    <m/>
    <m/>
    <m/>
    <m/>
    <n v="0"/>
    <n v="0"/>
    <n v="0"/>
    <n v="0"/>
    <m/>
    <m/>
    <n v="0"/>
    <n v="0"/>
  </r>
  <r>
    <x v="12"/>
    <s v="Roane State Community College "/>
    <m/>
    <n v="221397"/>
    <x v="7"/>
    <m/>
    <m/>
    <m/>
    <m/>
    <n v="48915"/>
    <n v="52087"/>
    <n v="6326"/>
    <n v="7003"/>
    <n v="58870"/>
    <n v="59738"/>
    <n v="114111"/>
    <n v="3803.7"/>
    <n v="118828"/>
    <n v="3960.9333333333334"/>
    <n v="12766"/>
    <n v="14953"/>
    <n v="114111"/>
    <n v="118828"/>
    <m/>
    <m/>
    <m/>
    <m/>
    <m/>
    <m/>
    <m/>
    <m/>
    <n v="0"/>
    <n v="0"/>
    <n v="0"/>
    <n v="0"/>
    <m/>
    <m/>
    <n v="0"/>
    <n v="0"/>
  </r>
  <r>
    <x v="12"/>
    <s v="Walters State Community College "/>
    <m/>
    <n v="222062"/>
    <x v="7"/>
    <m/>
    <m/>
    <m/>
    <m/>
    <n v="52639"/>
    <n v="54184"/>
    <n v="5804"/>
    <n v="6119"/>
    <n v="63041"/>
    <n v="63882"/>
    <n v="121484"/>
    <n v="4049.4666666666667"/>
    <n v="124185"/>
    <n v="4139.5"/>
    <n v="12151"/>
    <n v="12800"/>
    <n v="121484"/>
    <n v="124185"/>
    <m/>
    <m/>
    <m/>
    <m/>
    <m/>
    <m/>
    <m/>
    <m/>
    <n v="0"/>
    <n v="0"/>
    <n v="0"/>
    <n v="0"/>
    <m/>
    <m/>
    <n v="0"/>
    <n v="0"/>
  </r>
  <r>
    <x v="12"/>
    <s v="Dyersburg State Community College "/>
    <m/>
    <n v="220057"/>
    <x v="8"/>
    <m/>
    <m/>
    <m/>
    <m/>
    <n v="21707"/>
    <n v="22580"/>
    <n v="3613"/>
    <n v="4394"/>
    <n v="26202"/>
    <n v="26134"/>
    <n v="51522"/>
    <n v="1717.4"/>
    <n v="53108"/>
    <n v="1770.2666666666667"/>
    <n v="8307"/>
    <n v="6012"/>
    <n v="51522"/>
    <n v="53108"/>
    <m/>
    <m/>
    <m/>
    <m/>
    <m/>
    <m/>
    <m/>
    <m/>
    <n v="0"/>
    <n v="0"/>
    <n v="0"/>
    <n v="0"/>
    <m/>
    <m/>
    <n v="0"/>
    <n v="0"/>
  </r>
  <r>
    <x v="12"/>
    <s v="Tennessee College of Applied Technology at Chattanooga"/>
    <s v="Reclassified: Met the criteria for Technical Institute or College 2 in 2017-18, 2018-19, and 2019-20."/>
    <s v="219824B"/>
    <x v="10"/>
    <m/>
    <m/>
    <m/>
    <m/>
    <m/>
    <m/>
    <m/>
    <m/>
    <m/>
    <m/>
    <n v="0"/>
    <n v="0"/>
    <n v="0"/>
    <n v="0"/>
    <m/>
    <m/>
    <n v="0"/>
    <n v="0"/>
    <m/>
    <m/>
    <n v="290004"/>
    <n v="315795"/>
    <n v="181107"/>
    <n v="197287"/>
    <n v="318945"/>
    <n v="329869"/>
    <n v="790056"/>
    <n v="877.84"/>
    <n v="842951"/>
    <n v="936.61222222222227"/>
    <m/>
    <m/>
    <n v="0"/>
    <n v="0"/>
  </r>
  <r>
    <x v="12"/>
    <s v="Tennessee College of Applied Technology at Athens"/>
    <m/>
    <n v="219596"/>
    <x v="10"/>
    <m/>
    <m/>
    <m/>
    <m/>
    <m/>
    <m/>
    <m/>
    <m/>
    <m/>
    <m/>
    <n v="0"/>
    <n v="0"/>
    <n v="0"/>
    <n v="0"/>
    <m/>
    <m/>
    <n v="0"/>
    <n v="0"/>
    <m/>
    <m/>
    <n v="102273"/>
    <n v="98018"/>
    <n v="76668"/>
    <n v="75283"/>
    <n v="99425"/>
    <n v="105359"/>
    <n v="278366"/>
    <n v="309.29555555555555"/>
    <n v="278660"/>
    <n v="309.62222222222221"/>
    <m/>
    <m/>
    <n v="0"/>
    <n v="0"/>
  </r>
  <r>
    <x v="12"/>
    <s v="Tennessee College of Applied Technology at Covington"/>
    <m/>
    <n v="219921"/>
    <x v="10"/>
    <m/>
    <m/>
    <m/>
    <m/>
    <m/>
    <m/>
    <m/>
    <m/>
    <m/>
    <m/>
    <n v="0"/>
    <n v="0"/>
    <n v="0"/>
    <n v="0"/>
    <m/>
    <m/>
    <n v="0"/>
    <n v="0"/>
    <m/>
    <m/>
    <n v="72187"/>
    <n v="72107"/>
    <n v="53037"/>
    <n v="55701"/>
    <n v="74896"/>
    <n v="94211"/>
    <n v="200120"/>
    <n v="222.35555555555555"/>
    <n v="222019"/>
    <n v="246.68777777777777"/>
    <m/>
    <m/>
    <n v="0"/>
    <n v="0"/>
  </r>
  <r>
    <x v="12"/>
    <s v="Tennessee College of Applied Technology at Crossville"/>
    <m/>
    <n v="221591"/>
    <x v="10"/>
    <m/>
    <m/>
    <m/>
    <m/>
    <m/>
    <m/>
    <m/>
    <m/>
    <m/>
    <m/>
    <n v="0"/>
    <n v="0"/>
    <n v="0"/>
    <n v="0"/>
    <m/>
    <m/>
    <n v="0"/>
    <n v="0"/>
    <m/>
    <m/>
    <n v="102367"/>
    <n v="133559"/>
    <n v="108320"/>
    <n v="119267"/>
    <n v="132382"/>
    <n v="140424"/>
    <n v="343069"/>
    <n v="381.1877777777778"/>
    <n v="393250"/>
    <n v="436.94444444444446"/>
    <m/>
    <m/>
    <n v="0"/>
    <n v="0"/>
  </r>
  <r>
    <x v="12"/>
    <s v="Tennessee College of Applied Technology at Crump"/>
    <m/>
    <n v="221430"/>
    <x v="10"/>
    <m/>
    <m/>
    <m/>
    <m/>
    <m/>
    <m/>
    <m/>
    <m/>
    <m/>
    <m/>
    <n v="0"/>
    <n v="0"/>
    <n v="0"/>
    <n v="0"/>
    <m/>
    <m/>
    <n v="0"/>
    <n v="0"/>
    <m/>
    <m/>
    <n v="72791"/>
    <n v="74482"/>
    <n v="50367"/>
    <n v="63255"/>
    <n v="102093"/>
    <n v="166896"/>
    <n v="225251"/>
    <n v="250.2788888888889"/>
    <n v="304633"/>
    <n v="338.48111111111109"/>
    <m/>
    <m/>
    <n v="0"/>
    <n v="0"/>
  </r>
  <r>
    <x v="12"/>
    <s v="Tennessee College of Applied Technology at Dickson"/>
    <m/>
    <n v="219994"/>
    <x v="10"/>
    <m/>
    <m/>
    <m/>
    <m/>
    <m/>
    <m/>
    <m/>
    <m/>
    <m/>
    <m/>
    <n v="0"/>
    <n v="0"/>
    <n v="0"/>
    <n v="0"/>
    <m/>
    <m/>
    <n v="0"/>
    <n v="0"/>
    <m/>
    <m/>
    <n v="202428"/>
    <n v="224737"/>
    <n v="189077"/>
    <n v="186292"/>
    <n v="228347"/>
    <n v="246426"/>
    <n v="619852"/>
    <n v="688.72444444444443"/>
    <n v="657455"/>
    <n v="730.50555555555559"/>
    <m/>
    <m/>
    <n v="0"/>
    <n v="0"/>
  </r>
  <r>
    <x v="12"/>
    <s v="Tennessee College of Applied Technology at Elizabethton"/>
    <m/>
    <n v="220127"/>
    <x v="10"/>
    <m/>
    <m/>
    <m/>
    <m/>
    <m/>
    <m/>
    <m/>
    <m/>
    <m/>
    <m/>
    <n v="0"/>
    <n v="0"/>
    <n v="0"/>
    <n v="0"/>
    <m/>
    <m/>
    <n v="0"/>
    <n v="0"/>
    <m/>
    <m/>
    <n v="165742"/>
    <n v="167231"/>
    <n v="162751"/>
    <n v="151964"/>
    <n v="175712"/>
    <n v="176613"/>
    <n v="504205"/>
    <n v="560.22777777777776"/>
    <n v="495808"/>
    <n v="550.89777777777783"/>
    <m/>
    <m/>
    <n v="0"/>
    <n v="0"/>
  </r>
  <r>
    <x v="12"/>
    <s v="Tennessee College of Applied Technology at Harriman"/>
    <m/>
    <n v="220251"/>
    <x v="10"/>
    <m/>
    <m/>
    <m/>
    <m/>
    <m/>
    <m/>
    <m/>
    <m/>
    <m/>
    <m/>
    <n v="0"/>
    <n v="0"/>
    <n v="0"/>
    <n v="0"/>
    <m/>
    <m/>
    <n v="0"/>
    <n v="0"/>
    <m/>
    <m/>
    <n v="110730"/>
    <n v="109518"/>
    <n v="76641"/>
    <n v="62355"/>
    <n v="115367"/>
    <n v="104485"/>
    <n v="302738"/>
    <n v="336.37555555555554"/>
    <n v="276358"/>
    <n v="307.06444444444446"/>
    <m/>
    <m/>
    <n v="0"/>
    <n v="0"/>
  </r>
  <r>
    <x v="12"/>
    <s v="Tennessee College of Applied Technology at Hartsville"/>
    <m/>
    <n v="220279"/>
    <x v="10"/>
    <m/>
    <m/>
    <m/>
    <m/>
    <m/>
    <m/>
    <m/>
    <m/>
    <m/>
    <m/>
    <n v="0"/>
    <n v="0"/>
    <n v="0"/>
    <n v="0"/>
    <m/>
    <m/>
    <n v="0"/>
    <n v="0"/>
    <m/>
    <m/>
    <n v="123450"/>
    <n v="120108"/>
    <n v="72119"/>
    <n v="71843"/>
    <n v="133504"/>
    <n v="136513"/>
    <n v="329073"/>
    <n v="365.63666666666666"/>
    <n v="328464"/>
    <n v="364.96"/>
    <m/>
    <m/>
    <n v="0"/>
    <n v="0"/>
  </r>
  <r>
    <x v="12"/>
    <s v="Tennessee College of Applied Technology at Hohenwald"/>
    <m/>
    <n v="220321"/>
    <x v="10"/>
    <m/>
    <m/>
    <m/>
    <m/>
    <m/>
    <m/>
    <m/>
    <m/>
    <m/>
    <m/>
    <n v="0"/>
    <n v="0"/>
    <n v="0"/>
    <n v="0"/>
    <m/>
    <m/>
    <n v="0"/>
    <n v="0"/>
    <m/>
    <m/>
    <n v="114333"/>
    <n v="135417"/>
    <n v="95940"/>
    <n v="100520"/>
    <n v="139896"/>
    <n v="143361"/>
    <n v="350169"/>
    <n v="389.07666666666665"/>
    <n v="379298"/>
    <n v="421.4422222222222"/>
    <m/>
    <m/>
    <n v="0"/>
    <n v="0"/>
  </r>
  <r>
    <x v="12"/>
    <s v="Tennessee College of Applied Technology at Jacksboro"/>
    <m/>
    <n v="220394"/>
    <x v="10"/>
    <m/>
    <m/>
    <m/>
    <m/>
    <m/>
    <m/>
    <m/>
    <m/>
    <m/>
    <m/>
    <n v="0"/>
    <n v="0"/>
    <n v="0"/>
    <n v="0"/>
    <m/>
    <m/>
    <n v="0"/>
    <n v="0"/>
    <m/>
    <m/>
    <n v="53770"/>
    <n v="61585"/>
    <n v="49937"/>
    <n v="65665"/>
    <n v="70993"/>
    <n v="90604"/>
    <n v="174700"/>
    <n v="194.11111111111111"/>
    <n v="217854"/>
    <n v="242.06"/>
    <m/>
    <m/>
    <n v="0"/>
    <n v="0"/>
  </r>
  <r>
    <x v="12"/>
    <s v="Tennessee College of Applied Technology at Jackson"/>
    <m/>
    <n v="221616"/>
    <x v="10"/>
    <m/>
    <m/>
    <m/>
    <m/>
    <m/>
    <m/>
    <m/>
    <m/>
    <m/>
    <m/>
    <n v="0"/>
    <n v="0"/>
    <n v="0"/>
    <n v="0"/>
    <m/>
    <m/>
    <n v="0"/>
    <n v="0"/>
    <m/>
    <m/>
    <n v="177025"/>
    <n v="176282"/>
    <n v="132393"/>
    <n v="134064"/>
    <n v="180291"/>
    <n v="165760"/>
    <n v="489709"/>
    <n v="544.12111111111108"/>
    <n v="476106"/>
    <n v="529.00666666666666"/>
    <m/>
    <m/>
    <n v="0"/>
    <n v="0"/>
  </r>
  <r>
    <x v="12"/>
    <s v="Tennessee College of Applied Technology at Knoxville"/>
    <m/>
    <n v="221625"/>
    <x v="10"/>
    <m/>
    <m/>
    <m/>
    <m/>
    <m/>
    <m/>
    <m/>
    <m/>
    <m/>
    <m/>
    <n v="0"/>
    <n v="0"/>
    <n v="0"/>
    <n v="0"/>
    <m/>
    <m/>
    <n v="0"/>
    <n v="0"/>
    <m/>
    <m/>
    <n v="255531"/>
    <n v="249520"/>
    <n v="225540"/>
    <n v="207078"/>
    <n v="244171"/>
    <n v="258262"/>
    <n v="725242"/>
    <n v="805.82444444444445"/>
    <n v="714860"/>
    <n v="794.28888888888889"/>
    <m/>
    <m/>
    <n v="0"/>
    <n v="0"/>
  </r>
  <r>
    <x v="12"/>
    <s v="Tennessee College of Applied Technology at Livingston"/>
    <m/>
    <n v="220640"/>
    <x v="10"/>
    <m/>
    <m/>
    <m/>
    <m/>
    <m/>
    <m/>
    <m/>
    <m/>
    <m/>
    <m/>
    <n v="0"/>
    <n v="0"/>
    <n v="0"/>
    <n v="0"/>
    <m/>
    <m/>
    <n v="0"/>
    <n v="0"/>
    <m/>
    <m/>
    <n v="169098"/>
    <n v="198583"/>
    <n v="111526"/>
    <n v="117067"/>
    <n v="209881"/>
    <n v="200835"/>
    <n v="490505"/>
    <n v="545.00555555555559"/>
    <n v="516485"/>
    <n v="573.87222222222226"/>
    <m/>
    <m/>
    <n v="0"/>
    <n v="0"/>
  </r>
  <r>
    <x v="12"/>
    <s v="Tennessee College of Applied Technology at McKenzie"/>
    <m/>
    <n v="220756"/>
    <x v="10"/>
    <m/>
    <m/>
    <m/>
    <m/>
    <m/>
    <m/>
    <m/>
    <m/>
    <m/>
    <m/>
    <n v="0"/>
    <n v="0"/>
    <n v="0"/>
    <n v="0"/>
    <m/>
    <m/>
    <n v="0"/>
    <n v="0"/>
    <m/>
    <m/>
    <n v="61930"/>
    <n v="54603"/>
    <n v="47174"/>
    <n v="47578"/>
    <n v="58922"/>
    <n v="56662"/>
    <n v="168026"/>
    <n v="186.69555555555556"/>
    <n v="158843"/>
    <n v="176.49222222222221"/>
    <m/>
    <m/>
    <n v="0"/>
    <n v="0"/>
  </r>
  <r>
    <x v="12"/>
    <s v="Tennessee College of Applied Technology at McMinnville"/>
    <m/>
    <n v="221607"/>
    <x v="10"/>
    <m/>
    <m/>
    <m/>
    <m/>
    <m/>
    <m/>
    <m/>
    <m/>
    <m/>
    <m/>
    <n v="0"/>
    <n v="0"/>
    <n v="0"/>
    <n v="0"/>
    <m/>
    <m/>
    <n v="0"/>
    <n v="0"/>
    <m/>
    <m/>
    <n v="58090"/>
    <n v="65483"/>
    <n v="50644"/>
    <n v="66391"/>
    <n v="69455"/>
    <n v="82284"/>
    <n v="178189"/>
    <n v="197.98777777777778"/>
    <n v="214158"/>
    <n v="237.95333333333335"/>
    <m/>
    <m/>
    <n v="0"/>
    <n v="0"/>
  </r>
  <r>
    <x v="12"/>
    <s v="Tennessee College of Applied Technology at Memphis"/>
    <s v="Met the criteria for Technical Institute or College 1 in 2019-20."/>
    <n v="220853"/>
    <x v="10"/>
    <m/>
    <m/>
    <m/>
    <m/>
    <m/>
    <m/>
    <m/>
    <m/>
    <m/>
    <m/>
    <n v="0"/>
    <n v="0"/>
    <n v="0"/>
    <n v="0"/>
    <m/>
    <m/>
    <n v="0"/>
    <n v="0"/>
    <m/>
    <m/>
    <n v="300265"/>
    <n v="312423"/>
    <n v="273553"/>
    <n v="245759"/>
    <n v="292159"/>
    <n v="353147"/>
    <n v="865977"/>
    <n v="962.19666666666672"/>
    <n v="911329"/>
    <n v="1012.5877777777778"/>
    <m/>
    <m/>
    <n v="0"/>
    <n v="0"/>
  </r>
  <r>
    <x v="12"/>
    <s v="Tennessee College of Applied Technology at Morristown"/>
    <m/>
    <n v="221050"/>
    <x v="10"/>
    <m/>
    <m/>
    <m/>
    <m/>
    <m/>
    <m/>
    <m/>
    <m/>
    <m/>
    <m/>
    <n v="0"/>
    <n v="0"/>
    <n v="0"/>
    <n v="0"/>
    <m/>
    <m/>
    <n v="0"/>
    <n v="0"/>
    <m/>
    <m/>
    <n v="201982"/>
    <n v="250859"/>
    <n v="185560"/>
    <n v="204057"/>
    <n v="260744"/>
    <n v="259793"/>
    <n v="648286"/>
    <n v="720.31777777777779"/>
    <n v="714709"/>
    <n v="794.12111111111108"/>
    <m/>
    <m/>
    <n v="0"/>
    <n v="0"/>
  </r>
  <r>
    <x v="12"/>
    <s v="Tennessee College of Applied Technology at Murfreesboro"/>
    <m/>
    <n v="221102"/>
    <x v="10"/>
    <m/>
    <m/>
    <m/>
    <m/>
    <m/>
    <m/>
    <m/>
    <m/>
    <m/>
    <m/>
    <n v="0"/>
    <n v="0"/>
    <n v="0"/>
    <n v="0"/>
    <m/>
    <m/>
    <n v="0"/>
    <n v="0"/>
    <m/>
    <m/>
    <n v="234090"/>
    <n v="243236"/>
    <n v="216288"/>
    <n v="221520"/>
    <n v="249514"/>
    <n v="224672"/>
    <n v="699892"/>
    <n v="777.65777777777782"/>
    <n v="689428"/>
    <n v="766.03111111111116"/>
    <m/>
    <m/>
    <n v="0"/>
    <n v="0"/>
  </r>
  <r>
    <x v="12"/>
    <s v="Tennessee College of Applied Technology at Nashville"/>
    <m/>
    <n v="248925"/>
    <x v="10"/>
    <m/>
    <m/>
    <m/>
    <m/>
    <m/>
    <m/>
    <m/>
    <m/>
    <m/>
    <m/>
    <n v="0"/>
    <n v="0"/>
    <n v="0"/>
    <n v="0"/>
    <m/>
    <m/>
    <n v="0"/>
    <n v="0"/>
    <m/>
    <m/>
    <n v="256811"/>
    <n v="308057"/>
    <n v="237855"/>
    <n v="236744"/>
    <n v="324916"/>
    <n v="305075"/>
    <n v="819582"/>
    <n v="910.64666666666665"/>
    <n v="849876"/>
    <n v="944.30666666666662"/>
    <m/>
    <m/>
    <n v="0"/>
    <n v="0"/>
  </r>
  <r>
    <x v="12"/>
    <s v="Tennessee College of Applied Technology at Newbern"/>
    <m/>
    <n v="221236"/>
    <x v="10"/>
    <m/>
    <m/>
    <m/>
    <m/>
    <m/>
    <m/>
    <m/>
    <m/>
    <m/>
    <m/>
    <n v="0"/>
    <n v="0"/>
    <n v="0"/>
    <n v="0"/>
    <m/>
    <m/>
    <n v="0"/>
    <n v="0"/>
    <m/>
    <m/>
    <n v="118302"/>
    <n v="120797"/>
    <n v="99441"/>
    <n v="89103"/>
    <n v="127369"/>
    <n v="127791"/>
    <n v="345112"/>
    <n v="383.45777777777778"/>
    <n v="337691"/>
    <n v="375.21222222222224"/>
    <m/>
    <m/>
    <n v="0"/>
    <n v="0"/>
  </r>
  <r>
    <x v="12"/>
    <s v="Tennessee College of Applied Technology at Oneida"/>
    <m/>
    <n v="221582"/>
    <x v="10"/>
    <m/>
    <m/>
    <m/>
    <m/>
    <m/>
    <m/>
    <m/>
    <m/>
    <m/>
    <m/>
    <n v="0"/>
    <n v="0"/>
    <n v="0"/>
    <n v="0"/>
    <m/>
    <m/>
    <n v="0"/>
    <n v="0"/>
    <m/>
    <m/>
    <n v="63910"/>
    <n v="60907"/>
    <n v="49523"/>
    <n v="31343"/>
    <n v="75992"/>
    <n v="73425"/>
    <n v="189425"/>
    <n v="210.47222222222223"/>
    <n v="165675"/>
    <n v="184.08333333333334"/>
    <m/>
    <m/>
    <n v="0"/>
    <n v="0"/>
  </r>
  <r>
    <x v="12"/>
    <s v="Tennessee College of Applied Technology at Paris"/>
    <m/>
    <n v="221281"/>
    <x v="10"/>
    <m/>
    <m/>
    <m/>
    <m/>
    <m/>
    <m/>
    <m/>
    <m/>
    <m/>
    <m/>
    <n v="0"/>
    <n v="0"/>
    <n v="0"/>
    <n v="0"/>
    <m/>
    <m/>
    <n v="0"/>
    <n v="0"/>
    <m/>
    <m/>
    <n v="81300"/>
    <n v="85967"/>
    <n v="74312"/>
    <n v="65506"/>
    <n v="95477"/>
    <n v="99586"/>
    <n v="251089"/>
    <n v="278.98777777777775"/>
    <n v="251059"/>
    <n v="278.95444444444445"/>
    <m/>
    <m/>
    <n v="0"/>
    <n v="0"/>
  </r>
  <r>
    <x v="12"/>
    <s v="Tennessee College of Applied Technology at Pulaski"/>
    <m/>
    <n v="221333"/>
    <x v="10"/>
    <m/>
    <m/>
    <m/>
    <m/>
    <m/>
    <m/>
    <m/>
    <m/>
    <m/>
    <m/>
    <n v="0"/>
    <n v="0"/>
    <n v="0"/>
    <n v="0"/>
    <m/>
    <m/>
    <n v="0"/>
    <n v="0"/>
    <m/>
    <m/>
    <n v="150667"/>
    <n v="143191"/>
    <n v="82759"/>
    <n v="73727"/>
    <n v="155592"/>
    <n v="146642"/>
    <n v="389018"/>
    <n v="432.24222222222221"/>
    <n v="363560"/>
    <n v="403.95555555555558"/>
    <m/>
    <m/>
    <n v="0"/>
    <n v="0"/>
  </r>
  <r>
    <x v="12"/>
    <s v="Tennessee College of Applied Technology at Ripley"/>
    <m/>
    <n v="221388"/>
    <x v="10"/>
    <m/>
    <m/>
    <m/>
    <m/>
    <m/>
    <m/>
    <m/>
    <m/>
    <m/>
    <m/>
    <n v="0"/>
    <n v="0"/>
    <n v="0"/>
    <n v="0"/>
    <m/>
    <m/>
    <n v="0"/>
    <n v="0"/>
    <m/>
    <m/>
    <n v="59768"/>
    <n v="68141"/>
    <n v="44685"/>
    <n v="45572"/>
    <n v="59837"/>
    <n v="62603"/>
    <n v="164290"/>
    <n v="182.54444444444445"/>
    <n v="176316"/>
    <n v="195.90666666666667"/>
    <m/>
    <m/>
    <n v="0"/>
    <n v="0"/>
  </r>
  <r>
    <x v="12"/>
    <s v="Tennessee College of Applied Technology at Shelbyville"/>
    <m/>
    <n v="221494"/>
    <x v="10"/>
    <m/>
    <m/>
    <m/>
    <m/>
    <m/>
    <m/>
    <m/>
    <m/>
    <m/>
    <m/>
    <n v="0"/>
    <n v="0"/>
    <n v="0"/>
    <n v="0"/>
    <m/>
    <m/>
    <n v="0"/>
    <n v="0"/>
    <m/>
    <m/>
    <n v="157314"/>
    <n v="152551"/>
    <n v="138130"/>
    <n v="143840"/>
    <n v="157401"/>
    <n v="166918"/>
    <n v="452845"/>
    <n v="503.1611111111111"/>
    <n v="463309"/>
    <n v="514.78777777777782"/>
    <m/>
    <m/>
    <n v="0"/>
    <n v="0"/>
  </r>
  <r>
    <x v="12"/>
    <s v="Tennessee College of Applied Technology at Whiteville"/>
    <m/>
    <n v="221634"/>
    <x v="10"/>
    <m/>
    <m/>
    <m/>
    <m/>
    <m/>
    <m/>
    <m/>
    <m/>
    <m/>
    <m/>
    <n v="0"/>
    <n v="0"/>
    <n v="0"/>
    <n v="0"/>
    <m/>
    <m/>
    <n v="0"/>
    <n v="0"/>
    <m/>
    <m/>
    <n v="44387"/>
    <n v="61744"/>
    <n v="42496"/>
    <n v="48823"/>
    <n v="66945"/>
    <n v="61602"/>
    <n v="153828"/>
    <n v="170.92"/>
    <n v="172169"/>
    <n v="191.29888888888888"/>
    <m/>
    <m/>
    <n v="0"/>
    <n v="0"/>
  </r>
  <r>
    <x v="13"/>
    <s v="Texas A&amp;M University "/>
    <m/>
    <n v="228723"/>
    <x v="0"/>
    <m/>
    <m/>
    <n v="0"/>
    <n v="0"/>
    <n v="610041"/>
    <n v="613953"/>
    <n v="79798"/>
    <n v="77421"/>
    <n v="658037"/>
    <n v="663528"/>
    <n v="1347876"/>
    <n v="44929.2"/>
    <n v="1354902"/>
    <n v="45163.4"/>
    <n v="0"/>
    <n v="0"/>
    <n v="1347876"/>
    <n v="1354902"/>
    <m/>
    <m/>
    <m/>
    <m/>
    <m/>
    <m/>
    <m/>
    <m/>
    <n v="0"/>
    <n v="0"/>
    <n v="0"/>
    <n v="0"/>
    <m/>
    <m/>
    <n v="0"/>
    <n v="0"/>
  </r>
  <r>
    <x v="13"/>
    <s v="Texas Tech University "/>
    <m/>
    <n v="229115"/>
    <x v="0"/>
    <m/>
    <m/>
    <n v="0"/>
    <n v="0"/>
    <n v="360204"/>
    <n v="366209"/>
    <n v="71297"/>
    <n v="74344"/>
    <n v="405349"/>
    <n v="411531"/>
    <n v="836850"/>
    <n v="27895"/>
    <n v="852084"/>
    <n v="28402.799999999999"/>
    <n v="4394"/>
    <n v="4199"/>
    <n v="836850"/>
    <n v="852084"/>
    <m/>
    <m/>
    <m/>
    <m/>
    <m/>
    <m/>
    <m/>
    <m/>
    <n v="0"/>
    <n v="0"/>
    <n v="0"/>
    <n v="0"/>
    <m/>
    <m/>
    <n v="0"/>
    <n v="0"/>
  </r>
  <r>
    <x v="13"/>
    <s v="University of Houston"/>
    <m/>
    <n v="225511"/>
    <x v="0"/>
    <m/>
    <m/>
    <n v="0"/>
    <n v="0"/>
    <n v="419143"/>
    <n v="427518"/>
    <n v="72096"/>
    <n v="73620"/>
    <n v="463167"/>
    <n v="464662"/>
    <n v="954406"/>
    <n v="31813.533333333333"/>
    <n v="965800"/>
    <n v="32193.333333333332"/>
    <n v="6"/>
    <n v="0"/>
    <n v="954406"/>
    <n v="965800"/>
    <m/>
    <m/>
    <m/>
    <m/>
    <m/>
    <m/>
    <m/>
    <m/>
    <n v="0"/>
    <n v="0"/>
    <n v="0"/>
    <n v="0"/>
    <m/>
    <m/>
    <n v="0"/>
    <n v="0"/>
  </r>
  <r>
    <x v="13"/>
    <s v="University of North Texas"/>
    <m/>
    <n v="227216"/>
    <x v="0"/>
    <m/>
    <m/>
    <n v="0"/>
    <n v="0"/>
    <n v="355728"/>
    <n v="356472"/>
    <n v="73143"/>
    <n v="73946"/>
    <n v="389686"/>
    <n v="400922"/>
    <n v="818557"/>
    <n v="27285.233333333334"/>
    <n v="831340"/>
    <n v="27711.333333333332"/>
    <n v="0"/>
    <n v="0"/>
    <n v="818557"/>
    <n v="831340"/>
    <m/>
    <m/>
    <m/>
    <m/>
    <m/>
    <m/>
    <m/>
    <m/>
    <n v="0"/>
    <n v="0"/>
    <n v="0"/>
    <n v="0"/>
    <m/>
    <m/>
    <n v="0"/>
    <n v="0"/>
  </r>
  <r>
    <x v="13"/>
    <s v="University of Texas at Arlington"/>
    <m/>
    <n v="228769"/>
    <x v="0"/>
    <m/>
    <m/>
    <n v="0"/>
    <n v="0"/>
    <n v="312110"/>
    <n v="320709"/>
    <n v="109549"/>
    <n v="110325"/>
    <n v="311743"/>
    <n v="318412"/>
    <n v="733402"/>
    <n v="24446.733333333334"/>
    <n v="749446"/>
    <n v="24981.533333333333"/>
    <n v="1906"/>
    <n v="2023"/>
    <n v="733402"/>
    <n v="749446"/>
    <m/>
    <m/>
    <m/>
    <m/>
    <m/>
    <m/>
    <m/>
    <m/>
    <n v="0"/>
    <n v="0"/>
    <n v="0"/>
    <n v="0"/>
    <m/>
    <m/>
    <n v="0"/>
    <n v="0"/>
  </r>
  <r>
    <x v="13"/>
    <s v="University of Texas at Austin"/>
    <m/>
    <n v="228778"/>
    <x v="0"/>
    <m/>
    <m/>
    <n v="0"/>
    <n v="0"/>
    <n v="508118"/>
    <n v="514424"/>
    <n v="44462"/>
    <n v="40383"/>
    <n v="548154"/>
    <n v="539827"/>
    <n v="1100734"/>
    <n v="36691.133333333331"/>
    <n v="1094634"/>
    <n v="36487.800000000003"/>
    <n v="0"/>
    <n v="0"/>
    <n v="1100734"/>
    <n v="1094634"/>
    <m/>
    <m/>
    <m/>
    <m/>
    <m/>
    <m/>
    <m/>
    <m/>
    <n v="0"/>
    <n v="0"/>
    <n v="0"/>
    <n v="0"/>
    <m/>
    <m/>
    <n v="0"/>
    <n v="0"/>
  </r>
  <r>
    <x v="13"/>
    <s v="University of Texas at Dallas"/>
    <m/>
    <n v="228787"/>
    <x v="0"/>
    <m/>
    <m/>
    <n v="0"/>
    <n v="0"/>
    <n v="221611"/>
    <n v="240608"/>
    <n v="27789"/>
    <n v="29328"/>
    <n v="261301"/>
    <n v="277510"/>
    <n v="510701"/>
    <n v="17023.366666666665"/>
    <n v="547446"/>
    <n v="18248.2"/>
    <n v="0"/>
    <n v="0"/>
    <n v="510701"/>
    <n v="547446"/>
    <m/>
    <m/>
    <m/>
    <m/>
    <m/>
    <m/>
    <m/>
    <m/>
    <n v="0"/>
    <n v="0"/>
    <n v="0"/>
    <n v="0"/>
    <m/>
    <m/>
    <n v="0"/>
    <n v="0"/>
  </r>
  <r>
    <x v="13"/>
    <s v="University of Texas at San Antonio"/>
    <m/>
    <n v="229027"/>
    <x v="0"/>
    <m/>
    <m/>
    <n v="0"/>
    <n v="0"/>
    <n v="297430"/>
    <n v="308648"/>
    <n v="58801"/>
    <n v="58852"/>
    <n v="338674"/>
    <n v="338349"/>
    <n v="694905"/>
    <n v="23163.5"/>
    <n v="705849"/>
    <n v="23528.3"/>
    <n v="750"/>
    <n v="1314"/>
    <n v="694905"/>
    <n v="705849"/>
    <m/>
    <m/>
    <m/>
    <m/>
    <m/>
    <m/>
    <m/>
    <m/>
    <n v="0"/>
    <n v="0"/>
    <n v="0"/>
    <n v="0"/>
    <m/>
    <m/>
    <n v="0"/>
    <n v="0"/>
  </r>
  <r>
    <x v="13"/>
    <s v="Texas State University"/>
    <m/>
    <n v="228459"/>
    <x v="1"/>
    <m/>
    <m/>
    <n v="0"/>
    <n v="0"/>
    <n v="383315"/>
    <n v="382846"/>
    <n v="65344"/>
    <n v="64051"/>
    <n v="428019"/>
    <n v="424964"/>
    <n v="876678"/>
    <n v="29222.6"/>
    <n v="871861"/>
    <n v="29062.033333333333"/>
    <n v="0"/>
    <n v="0"/>
    <n v="876678"/>
    <n v="871861"/>
    <m/>
    <m/>
    <m/>
    <m/>
    <m/>
    <m/>
    <m/>
    <m/>
    <n v="0"/>
    <n v="0"/>
    <n v="0"/>
    <n v="0"/>
    <m/>
    <m/>
    <n v="0"/>
    <n v="0"/>
  </r>
  <r>
    <x v="13"/>
    <s v="Texas Woman's University"/>
    <m/>
    <n v="229179"/>
    <x v="1"/>
    <m/>
    <m/>
    <n v="0"/>
    <n v="0"/>
    <n v="107509"/>
    <n v="108299"/>
    <n v="22430"/>
    <n v="22725"/>
    <n v="116398"/>
    <n v="117589"/>
    <n v="246337"/>
    <n v="8211.2333333333336"/>
    <n v="248613"/>
    <n v="8287.1"/>
    <n v="8855"/>
    <n v="10870"/>
    <n v="246337"/>
    <n v="248613"/>
    <m/>
    <m/>
    <m/>
    <m/>
    <m/>
    <m/>
    <m/>
    <m/>
    <n v="0"/>
    <n v="0"/>
    <n v="0"/>
    <n v="0"/>
    <m/>
    <m/>
    <n v="0"/>
    <n v="0"/>
  </r>
  <r>
    <x v="13"/>
    <s v="University of Texas at El Paso"/>
    <m/>
    <n v="228796"/>
    <x v="1"/>
    <m/>
    <m/>
    <n v="0"/>
    <n v="0"/>
    <n v="220983"/>
    <n v="219907"/>
    <n v="61465"/>
    <n v="58384"/>
    <n v="235634"/>
    <n v="233247"/>
    <n v="518082"/>
    <n v="17269.400000000001"/>
    <n v="511538"/>
    <n v="17051.266666666666"/>
    <n v="0"/>
    <n v="0"/>
    <n v="518082"/>
    <n v="511538"/>
    <m/>
    <m/>
    <m/>
    <m/>
    <m/>
    <m/>
    <m/>
    <m/>
    <n v="0"/>
    <n v="0"/>
    <n v="0"/>
    <n v="0"/>
    <m/>
    <m/>
    <n v="0"/>
    <n v="0"/>
  </r>
  <r>
    <x v="13"/>
    <s v="Angelo State University"/>
    <m/>
    <n v="222831"/>
    <x v="2"/>
    <m/>
    <m/>
    <n v="0"/>
    <n v="0"/>
    <n v="82619"/>
    <n v="82432"/>
    <n v="17217"/>
    <n v="16829"/>
    <n v="91898"/>
    <n v="93546"/>
    <n v="191734"/>
    <n v="6391.1333333333332"/>
    <n v="192807"/>
    <n v="6426.9"/>
    <n v="26703"/>
    <n v="27695"/>
    <n v="191734"/>
    <n v="192807"/>
    <m/>
    <m/>
    <m/>
    <m/>
    <m/>
    <m/>
    <m/>
    <m/>
    <n v="0"/>
    <n v="0"/>
    <n v="0"/>
    <n v="0"/>
    <m/>
    <m/>
    <n v="0"/>
    <n v="0"/>
  </r>
  <r>
    <x v="13"/>
    <s v="Lamar University"/>
    <m/>
    <n v="226091"/>
    <x v="2"/>
    <m/>
    <m/>
    <n v="0"/>
    <n v="0"/>
    <n v="96844"/>
    <n v="95780"/>
    <n v="30181"/>
    <n v="30424"/>
    <n v="95776"/>
    <n v="92533"/>
    <n v="222801"/>
    <n v="7426.7"/>
    <n v="218737"/>
    <n v="7291.2333333333336"/>
    <n v="2545"/>
    <n v="3117"/>
    <n v="222801"/>
    <n v="218737"/>
    <m/>
    <m/>
    <m/>
    <m/>
    <m/>
    <m/>
    <m/>
    <m/>
    <n v="0"/>
    <n v="0"/>
    <n v="0"/>
    <n v="0"/>
    <m/>
    <m/>
    <n v="0"/>
    <n v="0"/>
  </r>
  <r>
    <x v="13"/>
    <s v="Midwestern State University"/>
    <m/>
    <n v="226833"/>
    <x v="2"/>
    <m/>
    <m/>
    <n v="0"/>
    <n v="0"/>
    <n v="56462"/>
    <n v="56170"/>
    <n v="11665"/>
    <n v="11207"/>
    <n v="61354"/>
    <n v="58981"/>
    <n v="129481"/>
    <n v="4316.0333333333338"/>
    <n v="126358"/>
    <n v="4211.9333333333334"/>
    <n v="142"/>
    <n v="348"/>
    <n v="129481"/>
    <n v="126358"/>
    <m/>
    <m/>
    <m/>
    <m/>
    <m/>
    <m/>
    <m/>
    <m/>
    <n v="0"/>
    <n v="0"/>
    <n v="0"/>
    <n v="0"/>
    <m/>
    <m/>
    <n v="0"/>
    <n v="0"/>
  </r>
  <r>
    <x v="13"/>
    <s v="Prairie View A&amp;M University"/>
    <m/>
    <n v="227526"/>
    <x v="2"/>
    <m/>
    <m/>
    <n v="0"/>
    <n v="0"/>
    <n v="99945"/>
    <n v="102339"/>
    <n v="15461"/>
    <n v="15020"/>
    <n v="117115"/>
    <n v="110493"/>
    <n v="232521"/>
    <n v="7750.7"/>
    <n v="227852"/>
    <n v="7595.0666666666666"/>
    <n v="0"/>
    <n v="4"/>
    <n v="232521"/>
    <n v="227852"/>
    <m/>
    <m/>
    <m/>
    <m/>
    <m/>
    <m/>
    <m/>
    <m/>
    <n v="0"/>
    <n v="0"/>
    <n v="0"/>
    <n v="0"/>
    <m/>
    <m/>
    <n v="0"/>
    <n v="0"/>
  </r>
  <r>
    <x v="13"/>
    <s v="Sam Houston State University "/>
    <m/>
    <n v="227881"/>
    <x v="2"/>
    <m/>
    <m/>
    <n v="0"/>
    <n v="0"/>
    <n v="217079"/>
    <n v="216441"/>
    <n v="45054"/>
    <n v="41153"/>
    <n v="234747"/>
    <n v="230210"/>
    <n v="496880"/>
    <n v="16562.666666666668"/>
    <n v="487804"/>
    <n v="16260.133333333333"/>
    <n v="0"/>
    <n v="0"/>
    <n v="496880"/>
    <n v="487804"/>
    <m/>
    <m/>
    <m/>
    <m/>
    <m/>
    <m/>
    <m/>
    <m/>
    <n v="0"/>
    <n v="0"/>
    <n v="0"/>
    <n v="0"/>
    <m/>
    <m/>
    <n v="0"/>
    <n v="0"/>
  </r>
  <r>
    <x v="13"/>
    <s v="Stephen F. Austin State University"/>
    <m/>
    <n v="228431"/>
    <x v="2"/>
    <m/>
    <m/>
    <n v="0"/>
    <n v="0"/>
    <n v="125885"/>
    <n v="126636"/>
    <n v="23841"/>
    <n v="22468"/>
    <n v="139362"/>
    <n v="137307"/>
    <n v="289088"/>
    <n v="9636.2666666666664"/>
    <n v="286411"/>
    <n v="9547.0333333333328"/>
    <n v="6166"/>
    <n v="9928"/>
    <n v="289088"/>
    <n v="286411"/>
    <m/>
    <m/>
    <m/>
    <m/>
    <m/>
    <m/>
    <m/>
    <m/>
    <n v="0"/>
    <n v="0"/>
    <n v="0"/>
    <n v="0"/>
    <m/>
    <m/>
    <n v="0"/>
    <n v="0"/>
  </r>
  <r>
    <x v="13"/>
    <s v="Sul Ross State University "/>
    <m/>
    <n v="228501"/>
    <x v="2"/>
    <m/>
    <m/>
    <n v="0"/>
    <n v="0"/>
    <n v="15049"/>
    <n v="14125"/>
    <n v="3088"/>
    <n v="2640"/>
    <n v="16228"/>
    <n v="14708"/>
    <n v="34365"/>
    <n v="1145.5"/>
    <n v="31473"/>
    <n v="1049.0999999999999"/>
    <n v="1020"/>
    <n v="765"/>
    <n v="34365"/>
    <n v="31473"/>
    <m/>
    <m/>
    <m/>
    <m/>
    <m/>
    <m/>
    <m/>
    <m/>
    <n v="0"/>
    <n v="0"/>
    <n v="0"/>
    <n v="0"/>
    <m/>
    <m/>
    <n v="0"/>
    <n v="0"/>
  </r>
  <r>
    <x v="13"/>
    <s v="Tarleton State University"/>
    <m/>
    <n v="228529"/>
    <x v="2"/>
    <m/>
    <m/>
    <n v="0"/>
    <n v="0"/>
    <n v="123587"/>
    <n v="124099"/>
    <n v="29613"/>
    <n v="30112"/>
    <n v="132721"/>
    <n v="131580"/>
    <n v="285921"/>
    <n v="9530.7000000000007"/>
    <n v="285791"/>
    <n v="9526.3666666666668"/>
    <n v="0"/>
    <n v="0"/>
    <n v="285921"/>
    <n v="285791"/>
    <m/>
    <m/>
    <m/>
    <m/>
    <m/>
    <m/>
    <m/>
    <m/>
    <n v="0"/>
    <n v="0"/>
    <n v="0"/>
    <n v="0"/>
    <m/>
    <m/>
    <n v="0"/>
    <n v="0"/>
  </r>
  <r>
    <x v="13"/>
    <s v="Texas A&amp;M International University"/>
    <m/>
    <n v="226152"/>
    <x v="2"/>
    <m/>
    <m/>
    <n v="0"/>
    <n v="0"/>
    <n v="71731"/>
    <n v="78872"/>
    <n v="18928"/>
    <n v="16802"/>
    <n v="83693"/>
    <n v="86691"/>
    <n v="174352"/>
    <n v="5811.7333333333336"/>
    <n v="182365"/>
    <n v="6078.833333333333"/>
    <n v="9265"/>
    <n v="8749"/>
    <n v="174352"/>
    <n v="182365"/>
    <m/>
    <m/>
    <m/>
    <m/>
    <m/>
    <m/>
    <m/>
    <m/>
    <n v="0"/>
    <n v="0"/>
    <n v="0"/>
    <n v="0"/>
    <m/>
    <m/>
    <n v="0"/>
    <n v="0"/>
  </r>
  <r>
    <x v="13"/>
    <s v="Texas A&amp;M University-Commerce"/>
    <m/>
    <n v="224554"/>
    <x v="2"/>
    <m/>
    <m/>
    <n v="0"/>
    <n v="0"/>
    <n v="79589"/>
    <n v="80022"/>
    <n v="20261"/>
    <n v="20401"/>
    <n v="90349"/>
    <n v="91681"/>
    <n v="190199"/>
    <n v="6339.9666666666662"/>
    <n v="192104"/>
    <n v="6403.4666666666662"/>
    <n v="4098"/>
    <n v="4755"/>
    <n v="190199"/>
    <n v="192104"/>
    <m/>
    <m/>
    <m/>
    <m/>
    <m/>
    <m/>
    <m/>
    <m/>
    <n v="0"/>
    <n v="0"/>
    <n v="0"/>
    <n v="0"/>
    <m/>
    <m/>
    <n v="0"/>
    <n v="0"/>
  </r>
  <r>
    <x v="13"/>
    <s v="Texas A&amp;M University-Corpus Christi "/>
    <s v="Met the criteria for Four-Year 2 in 2019-20."/>
    <n v="224147"/>
    <x v="2"/>
    <m/>
    <m/>
    <n v="0"/>
    <n v="0"/>
    <n v="110629"/>
    <n v="104996"/>
    <n v="24904"/>
    <n v="26034"/>
    <n v="113588"/>
    <n v="108024"/>
    <n v="249121"/>
    <n v="8304.0333333333328"/>
    <n v="239054"/>
    <n v="7968.4666666666662"/>
    <n v="912"/>
    <n v="1705"/>
    <n v="249121"/>
    <n v="239054"/>
    <m/>
    <m/>
    <m/>
    <m/>
    <m/>
    <m/>
    <m/>
    <m/>
    <n v="0"/>
    <n v="0"/>
    <n v="0"/>
    <n v="0"/>
    <m/>
    <m/>
    <n v="0"/>
    <n v="0"/>
  </r>
  <r>
    <x v="13"/>
    <s v="Texas A&amp;M University-Kingsville"/>
    <m/>
    <n v="228705"/>
    <x v="2"/>
    <m/>
    <m/>
    <n v="0"/>
    <n v="0"/>
    <n v="72396"/>
    <n v="72436"/>
    <n v="12038"/>
    <n v="11297"/>
    <n v="81347"/>
    <n v="72881"/>
    <n v="165781"/>
    <n v="5526.0333333333338"/>
    <n v="156614"/>
    <n v="5220.4666666666662"/>
    <n v="11712"/>
    <n v="10516"/>
    <n v="165781"/>
    <n v="156614"/>
    <m/>
    <m/>
    <m/>
    <m/>
    <m/>
    <m/>
    <m/>
    <m/>
    <n v="0"/>
    <n v="0"/>
    <n v="0"/>
    <n v="0"/>
    <m/>
    <m/>
    <n v="0"/>
    <n v="0"/>
  </r>
  <r>
    <x v="13"/>
    <s v="Texas Southern University "/>
    <m/>
    <n v="229063"/>
    <x v="2"/>
    <m/>
    <m/>
    <n v="0"/>
    <n v="0"/>
    <n v="91250"/>
    <n v="87932"/>
    <n v="10763"/>
    <n v="11175"/>
    <n v="101449"/>
    <n v="93480"/>
    <n v="203462"/>
    <n v="6782.0666666666666"/>
    <n v="192587"/>
    <n v="6419.5666666666666"/>
    <n v="0"/>
    <n v="3"/>
    <n v="203462"/>
    <n v="192587"/>
    <m/>
    <m/>
    <m/>
    <m/>
    <m/>
    <m/>
    <m/>
    <m/>
    <n v="0"/>
    <n v="0"/>
    <n v="0"/>
    <n v="0"/>
    <m/>
    <m/>
    <n v="0"/>
    <n v="0"/>
  </r>
  <r>
    <x v="13"/>
    <s v="University of Houston-Clear Lake "/>
    <m/>
    <n v="225414"/>
    <x v="2"/>
    <m/>
    <m/>
    <n v="0"/>
    <n v="0"/>
    <n v="56603"/>
    <n v="60361"/>
    <n v="14841"/>
    <n v="17086"/>
    <n v="63823"/>
    <n v="65896"/>
    <n v="135267"/>
    <n v="4508.8999999999996"/>
    <n v="143343"/>
    <n v="4778.1000000000004"/>
    <n v="0"/>
    <n v="0"/>
    <n v="135267"/>
    <n v="143343"/>
    <m/>
    <m/>
    <m/>
    <m/>
    <m/>
    <m/>
    <m/>
    <m/>
    <n v="0"/>
    <n v="0"/>
    <n v="0"/>
    <n v="0"/>
    <m/>
    <m/>
    <n v="0"/>
    <n v="0"/>
  </r>
  <r>
    <x v="13"/>
    <s v="University of Texas - Rio Grande Valley"/>
    <m/>
    <n v="227368"/>
    <x v="2"/>
    <m/>
    <m/>
    <n v="0"/>
    <n v="0"/>
    <n v="276742"/>
    <n v="281152"/>
    <n v="74124"/>
    <n v="72151"/>
    <n v="305733"/>
    <n v="311726"/>
    <n v="656599"/>
    <n v="21886.633333333335"/>
    <n v="665029"/>
    <n v="22167.633333333335"/>
    <n v="16942"/>
    <n v="19152"/>
    <n v="656599"/>
    <n v="665029"/>
    <m/>
    <m/>
    <m/>
    <m/>
    <m/>
    <m/>
    <m/>
    <m/>
    <n v="0"/>
    <n v="0"/>
    <n v="0"/>
    <n v="0"/>
    <m/>
    <m/>
    <n v="0"/>
    <n v="0"/>
  </r>
  <r>
    <x v="13"/>
    <s v="University of Texas at Tyler"/>
    <m/>
    <n v="228802"/>
    <x v="2"/>
    <m/>
    <m/>
    <n v="0"/>
    <n v="0"/>
    <n v="74409"/>
    <n v="73082"/>
    <n v="14541"/>
    <n v="16088"/>
    <n v="79992"/>
    <n v="78733"/>
    <n v="168942"/>
    <n v="5631.4"/>
    <n v="167903"/>
    <n v="5596.7666666666664"/>
    <n v="4535"/>
    <n v="2153"/>
    <n v="168942"/>
    <n v="167903"/>
    <m/>
    <m/>
    <m/>
    <m/>
    <m/>
    <m/>
    <m/>
    <m/>
    <n v="0"/>
    <n v="0"/>
    <n v="0"/>
    <n v="0"/>
    <m/>
    <m/>
    <n v="0"/>
    <n v="0"/>
  </r>
  <r>
    <x v="13"/>
    <s v="University of Texas of the Permian Basin"/>
    <m/>
    <n v="229018"/>
    <x v="2"/>
    <m/>
    <m/>
    <n v="0"/>
    <n v="0"/>
    <n v="49116"/>
    <n v="43516"/>
    <n v="14803"/>
    <n v="17358"/>
    <n v="43457"/>
    <n v="40050"/>
    <n v="107376"/>
    <n v="3579.2"/>
    <n v="100924"/>
    <n v="3364.1333333333332"/>
    <n v="13605"/>
    <n v="7108"/>
    <n v="107376"/>
    <n v="100924"/>
    <m/>
    <m/>
    <m/>
    <m/>
    <m/>
    <m/>
    <m/>
    <m/>
    <n v="0"/>
    <n v="0"/>
    <n v="0"/>
    <n v="0"/>
    <m/>
    <m/>
    <n v="0"/>
    <n v="0"/>
  </r>
  <r>
    <x v="13"/>
    <s v="West Texas A&amp;M University"/>
    <m/>
    <n v="229814"/>
    <x v="2"/>
    <m/>
    <m/>
    <n v="0"/>
    <n v="0"/>
    <n v="81803"/>
    <n v="81596"/>
    <n v="14894"/>
    <n v="15477"/>
    <n v="90695"/>
    <n v="91069"/>
    <n v="187392"/>
    <n v="6246.4"/>
    <n v="188142"/>
    <n v="6271.4"/>
    <n v="0"/>
    <n v="0"/>
    <n v="187392"/>
    <n v="188142"/>
    <m/>
    <m/>
    <m/>
    <m/>
    <m/>
    <m/>
    <m/>
    <m/>
    <n v="0"/>
    <n v="0"/>
    <n v="0"/>
    <n v="0"/>
    <m/>
    <m/>
    <n v="0"/>
    <n v="0"/>
  </r>
  <r>
    <x v="13"/>
    <s v="Texas A &amp; M University - Central Texas"/>
    <s v="Met the criteria for Four-Year 3 in 2018-19 and 2019-20."/>
    <n v="483036"/>
    <x v="3"/>
    <m/>
    <m/>
    <n v="0"/>
    <n v="0"/>
    <n v="15543"/>
    <n v="16148"/>
    <n v="7622"/>
    <n v="7429"/>
    <n v="15740"/>
    <n v="16225"/>
    <n v="38905"/>
    <n v="1296.8333333333333"/>
    <n v="39802"/>
    <n v="1326.7333333333333"/>
    <n v="0"/>
    <n v="0"/>
    <n v="38905"/>
    <n v="39802"/>
    <m/>
    <m/>
    <m/>
    <m/>
    <m/>
    <m/>
    <m/>
    <m/>
    <n v="0"/>
    <n v="0"/>
    <n v="0"/>
    <n v="0"/>
    <m/>
    <m/>
    <n v="0"/>
    <n v="0"/>
  </r>
  <r>
    <x v="13"/>
    <s v="Texas A&amp;M -Texarkana"/>
    <m/>
    <n v="224545"/>
    <x v="3"/>
    <m/>
    <m/>
    <n v="0"/>
    <n v="0"/>
    <n v="18076"/>
    <n v="18043"/>
    <n v="4749"/>
    <n v="4431"/>
    <n v="19296"/>
    <n v="19678"/>
    <n v="42121"/>
    <n v="1404.0333333333333"/>
    <n v="42152"/>
    <n v="1405.0666666666666"/>
    <n v="0"/>
    <n v="0"/>
    <n v="42121"/>
    <n v="42152"/>
    <m/>
    <m/>
    <m/>
    <m/>
    <m/>
    <m/>
    <m/>
    <m/>
    <n v="0"/>
    <n v="0"/>
    <n v="0"/>
    <n v="0"/>
    <m/>
    <m/>
    <n v="0"/>
    <n v="0"/>
  </r>
  <r>
    <x v="13"/>
    <s v="University of Houston-Victoria"/>
    <m/>
    <n v="225502"/>
    <x v="3"/>
    <m/>
    <m/>
    <n v="0"/>
    <n v="0"/>
    <n v="30256"/>
    <n v="29444"/>
    <n v="8833"/>
    <n v="8975"/>
    <n v="32410"/>
    <n v="33068"/>
    <n v="71499"/>
    <n v="2383.3000000000002"/>
    <n v="71487"/>
    <n v="2382.9"/>
    <n v="561"/>
    <n v="891"/>
    <n v="71499"/>
    <n v="71487"/>
    <m/>
    <m/>
    <m/>
    <m/>
    <m/>
    <m/>
    <m/>
    <m/>
    <n v="0"/>
    <n v="0"/>
    <n v="0"/>
    <n v="0"/>
    <m/>
    <m/>
    <n v="0"/>
    <n v="0"/>
  </r>
  <r>
    <x v="13"/>
    <s v="Sul Ross State University-Rio Grande College"/>
    <m/>
    <s v="228501B"/>
    <x v="4"/>
    <m/>
    <m/>
    <n v="0"/>
    <n v="0"/>
    <n v="5208"/>
    <n v="5467"/>
    <n v="2733"/>
    <n v="2736"/>
    <n v="5965"/>
    <n v="5411"/>
    <n v="13906"/>
    <n v="463.53333333333336"/>
    <n v="13614"/>
    <n v="453.8"/>
    <n v="0"/>
    <n v="0"/>
    <n v="13906"/>
    <n v="13614"/>
    <m/>
    <m/>
    <m/>
    <m/>
    <m/>
    <m/>
    <m/>
    <m/>
    <n v="0"/>
    <n v="0"/>
    <n v="0"/>
    <n v="0"/>
    <m/>
    <m/>
    <n v="0"/>
    <n v="0"/>
  </r>
  <r>
    <x v="13"/>
    <s v="Texas A&amp;M University at Galveston"/>
    <m/>
    <n v="228714"/>
    <x v="4"/>
    <m/>
    <m/>
    <n v="0"/>
    <n v="0"/>
    <n v="26382"/>
    <n v="24783"/>
    <n v="3631"/>
    <n v="3917"/>
    <n v="28194"/>
    <n v="25492"/>
    <n v="58207"/>
    <n v="1940.2333333333333"/>
    <n v="54192"/>
    <n v="1806.4"/>
    <n v="0"/>
    <n v="0"/>
    <n v="58207"/>
    <n v="54192"/>
    <m/>
    <m/>
    <m/>
    <m/>
    <m/>
    <m/>
    <m/>
    <m/>
    <n v="0"/>
    <n v="0"/>
    <n v="0"/>
    <n v="0"/>
    <m/>
    <m/>
    <n v="0"/>
    <n v="0"/>
  </r>
  <r>
    <x v="13"/>
    <s v="Texas A&amp;M University-San Antonio"/>
    <s v="Met the criteria for Four-Year 4 in 2018-19 and 2019-20."/>
    <n v="870501"/>
    <x v="4"/>
    <m/>
    <m/>
    <n v="0"/>
    <n v="0"/>
    <n v="54951"/>
    <n v="56439"/>
    <n v="14336"/>
    <n v="13473"/>
    <n v="59167"/>
    <n v="61123"/>
    <n v="128454"/>
    <n v="4281.8"/>
    <n v="131035"/>
    <n v="4367.833333333333"/>
    <n v="0"/>
    <n v="567"/>
    <n v="128454"/>
    <n v="131035"/>
    <m/>
    <m/>
    <m/>
    <m/>
    <m/>
    <m/>
    <m/>
    <m/>
    <n v="0"/>
    <n v="0"/>
    <n v="0"/>
    <n v="0"/>
    <m/>
    <m/>
    <n v="0"/>
    <n v="0"/>
  </r>
  <r>
    <x v="13"/>
    <s v="University of Houston-Downtown"/>
    <s v="Reclassified: Met the criteria for Four-Year 4 in 2017-18 and 2018-19 and 2019-20."/>
    <n v="225432"/>
    <x v="3"/>
    <m/>
    <m/>
    <n v="0"/>
    <n v="0"/>
    <n v="108361"/>
    <n v="108080"/>
    <n v="32219"/>
    <n v="29669"/>
    <n v="115497"/>
    <n v="126358"/>
    <n v="256077"/>
    <n v="8535.9"/>
    <n v="264107"/>
    <n v="8803.5666666666675"/>
    <n v="24"/>
    <n v="3"/>
    <n v="256077"/>
    <n v="264107"/>
    <m/>
    <m/>
    <m/>
    <m/>
    <m/>
    <m/>
    <m/>
    <m/>
    <n v="0"/>
    <n v="0"/>
    <n v="0"/>
    <n v="0"/>
    <m/>
    <m/>
    <n v="0"/>
    <n v="0"/>
  </r>
  <r>
    <x v="13"/>
    <s v="Brazosport College "/>
    <m/>
    <n v="223506"/>
    <x v="12"/>
    <m/>
    <m/>
    <n v="30091"/>
    <n v="29043"/>
    <n v="11001"/>
    <n v="11286"/>
    <n v="3417"/>
    <n v="3169"/>
    <n v="31160"/>
    <n v="30298"/>
    <n v="75669"/>
    <n v="2522.3000000000002"/>
    <n v="73796"/>
    <n v="2459.8666666666668"/>
    <n v="10779"/>
    <n v="10466"/>
    <n v="75669"/>
    <n v="73796"/>
    <n v="5414"/>
    <n v="3958"/>
    <n v="7559"/>
    <n v="4688"/>
    <n v="5744"/>
    <n v="7316"/>
    <n v="2473"/>
    <n v="3476"/>
    <n v="21190"/>
    <n v="23.544444444444444"/>
    <n v="19438"/>
    <n v="21.597777777777779"/>
    <m/>
    <m/>
    <n v="0"/>
    <n v="0"/>
  </r>
  <r>
    <x v="13"/>
    <s v="Midland College "/>
    <m/>
    <n v="226806"/>
    <x v="12"/>
    <m/>
    <m/>
    <n v="42797"/>
    <n v="40161"/>
    <n v="13719"/>
    <n v="14542"/>
    <n v="0"/>
    <n v="0"/>
    <n v="40002"/>
    <n v="39025"/>
    <n v="96518"/>
    <n v="3217.2666666666669"/>
    <n v="93728"/>
    <n v="3124.2666666666669"/>
    <n v="16984"/>
    <n v="19308"/>
    <n v="96518"/>
    <n v="93728"/>
    <n v="44503"/>
    <n v="30196"/>
    <n v="35421"/>
    <n v="31994"/>
    <n v="22315"/>
    <n v="26943"/>
    <n v="43981"/>
    <n v="35554"/>
    <n v="146220"/>
    <n v="162.46666666666667"/>
    <n v="124687"/>
    <n v="138.54111111111112"/>
    <m/>
    <m/>
    <n v="0"/>
    <n v="0"/>
  </r>
  <r>
    <x v="13"/>
    <s v="South Texas College"/>
    <m/>
    <n v="409315"/>
    <x v="12"/>
    <m/>
    <m/>
    <n v="260773"/>
    <n v="270182"/>
    <n v="64899"/>
    <n v="73142"/>
    <n v="40538"/>
    <n v="0"/>
    <n v="263858"/>
    <n v="301381"/>
    <n v="630068"/>
    <n v="21002.266666666666"/>
    <n v="644705"/>
    <n v="21490.166666666668"/>
    <n v="188960"/>
    <n v="212363"/>
    <n v="630068"/>
    <n v="644705"/>
    <n v="48467"/>
    <n v="75779"/>
    <n v="54004"/>
    <n v="50543"/>
    <n v="39774"/>
    <n v="39508"/>
    <n v="54755"/>
    <n v="56458"/>
    <n v="197000"/>
    <n v="218.88888888888889"/>
    <n v="222288"/>
    <n v="246.98666666666668"/>
    <m/>
    <m/>
    <n v="0"/>
    <n v="0"/>
  </r>
  <r>
    <x v="13"/>
    <s v="Amarillo College "/>
    <m/>
    <n v="222576"/>
    <x v="6"/>
    <m/>
    <m/>
    <n v="86906"/>
    <n v="70858"/>
    <n v="41407"/>
    <n v="17868"/>
    <n v="0"/>
    <n v="0"/>
    <n v="81182"/>
    <n v="81490"/>
    <n v="209495"/>
    <n v="6983.166666666667"/>
    <n v="170216"/>
    <n v="5673.8666666666668"/>
    <n v="36866"/>
    <n v="24019"/>
    <n v="209495"/>
    <n v="170216"/>
    <n v="81154"/>
    <n v="86561"/>
    <n v="93423"/>
    <n v="90675"/>
    <n v="66935"/>
    <n v="69167"/>
    <n v="96879"/>
    <n v="99203"/>
    <n v="338391"/>
    <n v="375.99"/>
    <n v="345606"/>
    <n v="384.00666666666666"/>
    <m/>
    <m/>
    <n v="0"/>
    <n v="0"/>
  </r>
  <r>
    <x v="13"/>
    <s v="Austin Community College "/>
    <s v="Met the criteria for Two-Year with Bachelor's in 2019-20."/>
    <n v="222992"/>
    <x v="6"/>
    <m/>
    <m/>
    <n v="286370"/>
    <n v="287998"/>
    <n v="151045"/>
    <n v="150318"/>
    <n v="0"/>
    <n v="0"/>
    <n v="271868"/>
    <n v="273242"/>
    <n v="709283"/>
    <n v="23642.766666666666"/>
    <n v="711558"/>
    <n v="23718.6"/>
    <n v="90452"/>
    <n v="98636"/>
    <n v="709283"/>
    <n v="711558"/>
    <n v="148931"/>
    <n v="141019"/>
    <n v="113594"/>
    <n v="102843"/>
    <n v="220416"/>
    <n v="155536"/>
    <n v="123177"/>
    <n v="122477"/>
    <n v="606118"/>
    <n v="673.46444444444444"/>
    <n v="521875"/>
    <n v="579.86111111111109"/>
    <m/>
    <m/>
    <n v="0"/>
    <n v="0"/>
  </r>
  <r>
    <x v="13"/>
    <s v="Blinn College "/>
    <m/>
    <n v="223427"/>
    <x v="6"/>
    <m/>
    <m/>
    <n v="168343"/>
    <n v="171160"/>
    <n v="35714"/>
    <n v="36734"/>
    <n v="15620"/>
    <n v="17054"/>
    <n v="185278"/>
    <n v="188122"/>
    <n v="404955"/>
    <n v="13498.5"/>
    <n v="413070"/>
    <n v="13769"/>
    <n v="18770"/>
    <n v="18234"/>
    <n v="404955"/>
    <n v="413070"/>
    <n v="28913"/>
    <n v="26370"/>
    <n v="23204"/>
    <n v="16638"/>
    <n v="27744"/>
    <n v="24853"/>
    <n v="40048"/>
    <n v="25527"/>
    <n v="119909"/>
    <n v="133.23222222222222"/>
    <n v="93388"/>
    <n v="103.76444444444445"/>
    <m/>
    <m/>
    <n v="0"/>
    <n v="0"/>
  </r>
  <r>
    <x v="13"/>
    <s v="Brookhaven College (DCCCD)"/>
    <m/>
    <n v="223524"/>
    <x v="6"/>
    <m/>
    <m/>
    <n v="82151"/>
    <n v="76341"/>
    <n v="61257"/>
    <n v="57405"/>
    <n v="0"/>
    <n v="0"/>
    <n v="66067"/>
    <n v="68250"/>
    <n v="209475"/>
    <n v="6982.5"/>
    <n v="201996"/>
    <n v="6733.2"/>
    <n v="22174"/>
    <n v="23583"/>
    <n v="209475"/>
    <n v="201996"/>
    <n v="31852"/>
    <n v="36152"/>
    <n v="32343"/>
    <n v="33625"/>
    <n v="41671"/>
    <n v="41218"/>
    <n v="54983"/>
    <n v="47340"/>
    <n v="160849"/>
    <n v="178.7211111111111"/>
    <n v="158335"/>
    <n v="175.92777777777778"/>
    <m/>
    <m/>
    <n v="0"/>
    <n v="0"/>
  </r>
  <r>
    <x v="13"/>
    <s v="Central Texas College "/>
    <m/>
    <n v="223816"/>
    <x v="6"/>
    <m/>
    <m/>
    <n v="91002"/>
    <n v="94173"/>
    <n v="53273"/>
    <n v="56277"/>
    <n v="5403"/>
    <n v="6032"/>
    <n v="79645"/>
    <n v="75952"/>
    <n v="229323"/>
    <n v="7644.1"/>
    <n v="232434"/>
    <n v="7747.8"/>
    <n v="24914"/>
    <n v="32773"/>
    <n v="229323"/>
    <n v="232434"/>
    <n v="53563"/>
    <n v="61325"/>
    <n v="75921"/>
    <n v="104884"/>
    <n v="76149"/>
    <n v="86144"/>
    <n v="77066"/>
    <n v="74243"/>
    <n v="282699"/>
    <n v="314.11"/>
    <n v="326596"/>
    <n v="362.88444444444445"/>
    <m/>
    <m/>
    <n v="0"/>
    <n v="0"/>
  </r>
  <r>
    <x v="13"/>
    <s v="Collin County Community College District"/>
    <m/>
    <n v="247834"/>
    <x v="6"/>
    <m/>
    <m/>
    <n v="243636"/>
    <n v="262043"/>
    <n v="66690"/>
    <n v="67662"/>
    <n v="0"/>
    <n v="0"/>
    <n v="288022"/>
    <n v="295058"/>
    <n v="598348"/>
    <n v="19944.933333333334"/>
    <n v="624763"/>
    <n v="20825.433333333334"/>
    <n v="65343"/>
    <n v="83675"/>
    <n v="598348"/>
    <n v="624763"/>
    <n v="145433"/>
    <n v="147471"/>
    <n v="126949"/>
    <n v="144424"/>
    <n v="132252"/>
    <n v="113589"/>
    <n v="220249"/>
    <n v="222238"/>
    <n v="624883"/>
    <n v="694.31444444444446"/>
    <n v="627722"/>
    <n v="697.46888888888884"/>
    <m/>
    <m/>
    <n v="0"/>
    <n v="0"/>
  </r>
  <r>
    <x v="13"/>
    <s v="Del Mar College "/>
    <m/>
    <n v="224350"/>
    <x v="6"/>
    <m/>
    <m/>
    <n v="83963"/>
    <n v="84022"/>
    <n v="15964"/>
    <n v="15284"/>
    <n v="17620"/>
    <n v="16056"/>
    <n v="89977"/>
    <n v="91970"/>
    <n v="207524"/>
    <n v="6917.4666666666662"/>
    <n v="207332"/>
    <n v="6911.0666666666666"/>
    <n v="30094"/>
    <n v="32731"/>
    <n v="207524"/>
    <n v="207332"/>
    <n v="72166"/>
    <n v="185552"/>
    <n v="50489"/>
    <n v="92943"/>
    <n v="76090"/>
    <n v="97632"/>
    <n v="132904"/>
    <n v="212319"/>
    <n v="331649"/>
    <n v="368.49888888888887"/>
    <n v="588446"/>
    <n v="653.82888888888886"/>
    <m/>
    <m/>
    <n v="0"/>
    <n v="0"/>
  </r>
  <r>
    <x v="13"/>
    <s v="Eastfield College (DCCCD)"/>
    <m/>
    <n v="224572"/>
    <x v="6"/>
    <m/>
    <m/>
    <n v="120018"/>
    <n v="109621"/>
    <n v="67387"/>
    <n v="75260"/>
    <n v="0"/>
    <n v="0"/>
    <n v="81902"/>
    <n v="80052"/>
    <n v="269307"/>
    <n v="8976.9"/>
    <n v="264933"/>
    <n v="8831.1"/>
    <n v="62302"/>
    <n v="63812"/>
    <n v="269307"/>
    <n v="264933"/>
    <n v="36422"/>
    <n v="31308"/>
    <n v="42632"/>
    <n v="34626"/>
    <n v="41492"/>
    <n v="46440"/>
    <n v="63613"/>
    <n v="51570"/>
    <n v="184159"/>
    <n v="204.62111111111111"/>
    <n v="163944"/>
    <n v="182.16"/>
    <m/>
    <m/>
    <n v="0"/>
    <n v="0"/>
  </r>
  <r>
    <x v="13"/>
    <s v="El Centro College (DCCCD)"/>
    <m/>
    <n v="224615"/>
    <x v="6"/>
    <m/>
    <m/>
    <n v="74282"/>
    <n v="76431"/>
    <n v="31421"/>
    <n v="32522"/>
    <n v="0"/>
    <n v="0"/>
    <n v="63600"/>
    <n v="67189"/>
    <n v="169303"/>
    <n v="5643.4333333333334"/>
    <n v="176142"/>
    <n v="5871.4"/>
    <n v="32105"/>
    <n v="39103"/>
    <n v="169303"/>
    <n v="176142"/>
    <n v="71988"/>
    <n v="87409"/>
    <n v="119559"/>
    <n v="104706"/>
    <n v="82113"/>
    <n v="134576"/>
    <n v="79942"/>
    <n v="153645"/>
    <n v="353602"/>
    <n v="392.89111111111112"/>
    <n v="480336"/>
    <n v="533.70666666666671"/>
    <m/>
    <m/>
    <n v="0"/>
    <n v="0"/>
  </r>
  <r>
    <x v="13"/>
    <s v="El Paso County Community College District"/>
    <m/>
    <n v="224642"/>
    <x v="6"/>
    <m/>
    <m/>
    <n v="223381"/>
    <n v="213202"/>
    <n v="56208"/>
    <n v="53574"/>
    <n v="0"/>
    <n v="0"/>
    <n v="241306"/>
    <n v="238956"/>
    <n v="520895"/>
    <n v="17363.166666666668"/>
    <n v="505732"/>
    <n v="16857.733333333334"/>
    <n v="112330"/>
    <n v="111488"/>
    <n v="520895"/>
    <n v="505732"/>
    <n v="87833"/>
    <n v="87412"/>
    <n v="67691"/>
    <n v="69475"/>
    <n v="71043"/>
    <n v="67443"/>
    <n v="97250"/>
    <n v="85920"/>
    <n v="323817"/>
    <n v="359.79666666666668"/>
    <n v="310250"/>
    <n v="344.72222222222223"/>
    <m/>
    <m/>
    <n v="0"/>
    <n v="0"/>
  </r>
  <r>
    <x v="13"/>
    <s v="Houston Community College"/>
    <m/>
    <n v="225423"/>
    <x v="6"/>
    <m/>
    <m/>
    <n v="444796"/>
    <n v="450749"/>
    <n v="250964"/>
    <n v="232307"/>
    <n v="0"/>
    <n v="0"/>
    <n v="342783"/>
    <n v="336799"/>
    <n v="1038543"/>
    <n v="34618.1"/>
    <n v="1019855"/>
    <n v="33995.166666666664"/>
    <n v="102005"/>
    <n v="105757"/>
    <n v="1038543"/>
    <n v="1019855"/>
    <n v="472670"/>
    <n v="427303"/>
    <n v="389630"/>
    <n v="394718"/>
    <n v="478384"/>
    <n v="424225"/>
    <n v="596809"/>
    <n v="690814"/>
    <n v="1937493"/>
    <n v="2152.77"/>
    <n v="1937060"/>
    <n v="2152.2888888888888"/>
    <m/>
    <m/>
    <n v="0"/>
    <n v="0"/>
  </r>
  <r>
    <x v="13"/>
    <s v="Laredo Community College "/>
    <m/>
    <n v="226134"/>
    <x v="6"/>
    <m/>
    <m/>
    <n v="75309"/>
    <n v="70039"/>
    <n v="16857"/>
    <n v="14231"/>
    <n v="5603"/>
    <n v="5129"/>
    <n v="75905"/>
    <n v="77784"/>
    <n v="173674"/>
    <n v="5789.1333333333332"/>
    <n v="167183"/>
    <n v="5572.7666666666664"/>
    <n v="36837"/>
    <n v="38522"/>
    <n v="173674"/>
    <n v="167183"/>
    <n v="9320"/>
    <n v="9907"/>
    <n v="13439"/>
    <n v="22170"/>
    <n v="20870"/>
    <n v="21958"/>
    <n v="21627"/>
    <n v="30804"/>
    <n v="65256"/>
    <n v="72.506666666666661"/>
    <n v="84839"/>
    <n v="94.265555555555551"/>
    <m/>
    <m/>
    <n v="0"/>
    <n v="0"/>
  </r>
  <r>
    <x v="13"/>
    <s v="Lone Star College System District"/>
    <m/>
    <n v="227182"/>
    <x v="6"/>
    <m/>
    <m/>
    <n v="623892"/>
    <n v="534215"/>
    <n v="271052"/>
    <n v="262061"/>
    <n v="0"/>
    <n v="0"/>
    <n v="505376"/>
    <n v="511797"/>
    <n v="1400320"/>
    <n v="46677.333333333336"/>
    <n v="1308073"/>
    <n v="43602.433333333334"/>
    <n v="188396"/>
    <n v="204193"/>
    <n v="1400320"/>
    <n v="1308073"/>
    <n v="73735"/>
    <n v="63864"/>
    <n v="73597"/>
    <n v="62551"/>
    <n v="88885"/>
    <n v="60010"/>
    <n v="104805"/>
    <n v="89923"/>
    <n v="341022"/>
    <n v="378.91333333333336"/>
    <n v="276348"/>
    <n v="307.05333333333334"/>
    <m/>
    <m/>
    <n v="0"/>
    <n v="0"/>
  </r>
  <r>
    <x v="13"/>
    <s v="McLennan Community College "/>
    <m/>
    <n v="226578"/>
    <x v="6"/>
    <m/>
    <m/>
    <n v="74658"/>
    <n v="74502"/>
    <n v="18882"/>
    <n v="18486"/>
    <n v="10860"/>
    <n v="11407"/>
    <n v="76974"/>
    <n v="72581"/>
    <n v="181374"/>
    <n v="6045.8"/>
    <n v="176976"/>
    <n v="5899.2"/>
    <n v="21160"/>
    <n v="22068"/>
    <n v="181374"/>
    <n v="176976"/>
    <n v="33215"/>
    <n v="37337"/>
    <n v="20802"/>
    <n v="29247"/>
    <n v="55183"/>
    <n v="44206"/>
    <n v="42404"/>
    <n v="45704"/>
    <n v="151604"/>
    <n v="168.44888888888889"/>
    <n v="156494"/>
    <n v="173.88222222222223"/>
    <m/>
    <m/>
    <n v="0"/>
    <n v="0"/>
  </r>
  <r>
    <x v="13"/>
    <s v="Mountain View College (DCCCD)"/>
    <m/>
    <n v="226930"/>
    <x v="6"/>
    <m/>
    <m/>
    <n v="71246"/>
    <n v="72632"/>
    <n v="33584"/>
    <n v="34618"/>
    <n v="0"/>
    <n v="0"/>
    <n v="71459"/>
    <n v="76442"/>
    <n v="176289"/>
    <n v="5876.3"/>
    <n v="183692"/>
    <n v="6123.0666666666666"/>
    <n v="37228"/>
    <n v="40358"/>
    <n v="176289"/>
    <n v="183692"/>
    <n v="19922"/>
    <n v="30112"/>
    <n v="25916"/>
    <n v="33519"/>
    <n v="35403"/>
    <n v="39364"/>
    <n v="27279"/>
    <n v="36545"/>
    <n v="108520"/>
    <n v="120.57777777777778"/>
    <n v="139540"/>
    <n v="155.04444444444445"/>
    <m/>
    <m/>
    <n v="0"/>
    <n v="0"/>
  </r>
  <r>
    <x v="13"/>
    <s v="Navarro College "/>
    <m/>
    <n v="227146"/>
    <x v="6"/>
    <m/>
    <m/>
    <n v="77657"/>
    <n v="73051"/>
    <n v="12334"/>
    <n v="14379"/>
    <n v="10981"/>
    <n v="8637"/>
    <n v="76474"/>
    <n v="72821"/>
    <n v="177446"/>
    <n v="5914.8666666666668"/>
    <n v="168888"/>
    <n v="5629.6"/>
    <n v="39260"/>
    <n v="40886"/>
    <n v="177446"/>
    <n v="168888"/>
    <n v="53388"/>
    <n v="53442"/>
    <n v="38030"/>
    <n v="32959"/>
    <n v="64733"/>
    <n v="53490"/>
    <n v="46266"/>
    <n v="25050"/>
    <n v="202417"/>
    <n v="224.90777777777777"/>
    <n v="164941"/>
    <n v="183.26777777777778"/>
    <m/>
    <m/>
    <n v="0"/>
    <n v="0"/>
  </r>
  <r>
    <x v="13"/>
    <s v="North Central Texas Community College"/>
    <m/>
    <n v="224110"/>
    <x v="6"/>
    <m/>
    <m/>
    <n v="72892"/>
    <n v="77584"/>
    <n v="26541"/>
    <n v="27589"/>
    <n v="0"/>
    <n v="0"/>
    <n v="80559"/>
    <n v="72325"/>
    <n v="179992"/>
    <n v="5999.7333333333336"/>
    <n v="177498"/>
    <n v="5916.6"/>
    <n v="24383"/>
    <n v="26804"/>
    <n v="179992"/>
    <n v="177498"/>
    <n v="9579"/>
    <n v="9470"/>
    <n v="6810"/>
    <n v="5522"/>
    <n v="9232"/>
    <n v="5261"/>
    <n v="14528"/>
    <n v="11899"/>
    <n v="40149"/>
    <n v="44.61"/>
    <n v="32152"/>
    <n v="35.724444444444444"/>
    <m/>
    <m/>
    <n v="0"/>
    <n v="0"/>
  </r>
  <r>
    <x v="13"/>
    <s v="North Lake College (DCCCD)"/>
    <m/>
    <n v="227191"/>
    <x v="6"/>
    <m/>
    <m/>
    <n v="66268"/>
    <n v="64458"/>
    <n v="50904"/>
    <n v="47453"/>
    <n v="0"/>
    <n v="0"/>
    <n v="65553"/>
    <n v="55015"/>
    <n v="182725"/>
    <n v="6090.833333333333"/>
    <n v="166926"/>
    <n v="5564.2"/>
    <n v="18671"/>
    <n v="20395"/>
    <n v="182725"/>
    <n v="166926"/>
    <n v="166753"/>
    <n v="176016"/>
    <n v="119114"/>
    <n v="91267"/>
    <n v="96851"/>
    <n v="93231"/>
    <n v="221926"/>
    <n v="189515"/>
    <n v="604644"/>
    <n v="671.82666666666671"/>
    <n v="550029"/>
    <n v="611.14333333333332"/>
    <m/>
    <m/>
    <n v="0"/>
    <n v="0"/>
  </r>
  <r>
    <x v="13"/>
    <s v="Northwest Vista College (ACCD)"/>
    <m/>
    <n v="420398"/>
    <x v="6"/>
    <m/>
    <m/>
    <n v="126246"/>
    <n v="121783"/>
    <n v="43499"/>
    <n v="41892"/>
    <n v="0"/>
    <n v="0"/>
    <n v="124563"/>
    <n v="137401"/>
    <n v="294308"/>
    <n v="9810.2666666666664"/>
    <n v="301076"/>
    <n v="10035.866666666667"/>
    <n v="38869"/>
    <n v="39944"/>
    <n v="294308"/>
    <n v="301076"/>
    <n v="11992"/>
    <n v="12146"/>
    <n v="20718"/>
    <n v="15413"/>
    <n v="27124"/>
    <n v="15118"/>
    <n v="14070"/>
    <n v="19556"/>
    <n v="73904"/>
    <n v="82.115555555555559"/>
    <n v="62233"/>
    <n v="69.147777777777776"/>
    <m/>
    <m/>
    <n v="0"/>
    <n v="0"/>
  </r>
  <r>
    <x v="13"/>
    <s v="Palo Alto College (ACCD)"/>
    <m/>
    <n v="246354"/>
    <x v="6"/>
    <m/>
    <m/>
    <n v="70929"/>
    <n v="68749"/>
    <n v="25982"/>
    <n v="23353"/>
    <n v="0"/>
    <n v="0"/>
    <n v="68064"/>
    <n v="75026"/>
    <n v="164975"/>
    <n v="5499.166666666667"/>
    <n v="167128"/>
    <n v="5570.9333333333334"/>
    <n v="35472"/>
    <n v="35169"/>
    <n v="164975"/>
    <n v="167128"/>
    <n v="12988"/>
    <n v="14004"/>
    <n v="12734"/>
    <n v="19569"/>
    <n v="23047"/>
    <n v="8306"/>
    <n v="36484"/>
    <n v="18096"/>
    <n v="85253"/>
    <n v="94.725555555555559"/>
    <n v="59975"/>
    <n v="66.638888888888886"/>
    <m/>
    <m/>
    <n v="0"/>
    <n v="0"/>
  </r>
  <r>
    <x v="13"/>
    <s v="Richland College (DCCCD)"/>
    <m/>
    <n v="227766"/>
    <x v="6"/>
    <m/>
    <m/>
    <n v="140370"/>
    <n v="138811"/>
    <n v="78055"/>
    <n v="72761"/>
    <n v="0"/>
    <n v="0"/>
    <n v="116474"/>
    <n v="121369"/>
    <n v="334899"/>
    <n v="11163.3"/>
    <n v="332941"/>
    <n v="11098.033333333333"/>
    <n v="51845"/>
    <n v="58238"/>
    <n v="334899"/>
    <n v="332941"/>
    <n v="62795"/>
    <n v="72987"/>
    <n v="86458"/>
    <n v="83631"/>
    <n v="76562"/>
    <n v="89957"/>
    <n v="118781"/>
    <n v="127154"/>
    <n v="344596"/>
    <n v="382.88444444444445"/>
    <n v="373729"/>
    <n v="415.25444444444446"/>
    <m/>
    <m/>
    <n v="0"/>
    <n v="0"/>
  </r>
  <r>
    <x v="13"/>
    <s v="San Antonio College (ACCD)"/>
    <m/>
    <n v="227924"/>
    <x v="6"/>
    <m/>
    <m/>
    <n v="148829"/>
    <n v="130631"/>
    <n v="58912"/>
    <n v="53043"/>
    <n v="0"/>
    <n v="0"/>
    <n v="121420"/>
    <n v="139993"/>
    <n v="329161"/>
    <n v="10972.033333333333"/>
    <n v="323667"/>
    <n v="10788.9"/>
    <n v="30594"/>
    <n v="26563"/>
    <n v="329161"/>
    <n v="323667"/>
    <n v="20472"/>
    <n v="8547"/>
    <n v="24062"/>
    <n v="9036"/>
    <n v="14019"/>
    <n v="6552"/>
    <n v="14839"/>
    <n v="8522"/>
    <n v="73392"/>
    <n v="81.546666666666667"/>
    <n v="32657"/>
    <n v="36.285555555555554"/>
    <m/>
    <m/>
    <n v="0"/>
    <n v="0"/>
  </r>
  <r>
    <x v="13"/>
    <s v="San Jacinto College"/>
    <m/>
    <n v="227979"/>
    <x v="6"/>
    <m/>
    <m/>
    <n v="241794"/>
    <n v="258116"/>
    <n v="116176"/>
    <n v="87826"/>
    <n v="0"/>
    <n v="0"/>
    <n v="249625"/>
    <n v="267742"/>
    <n v="607595"/>
    <n v="20253.166666666668"/>
    <n v="613684"/>
    <n v="20456.133333333335"/>
    <n v="63508"/>
    <n v="75879"/>
    <n v="607595"/>
    <n v="613684"/>
    <n v="79537"/>
    <n v="75581"/>
    <n v="52855"/>
    <n v="39885"/>
    <n v="68394"/>
    <n v="47935"/>
    <n v="89362"/>
    <n v="69555"/>
    <n v="290148"/>
    <n v="322.38666666666666"/>
    <n v="232956"/>
    <n v="258.83999999999997"/>
    <m/>
    <m/>
    <n v="0"/>
    <n v="0"/>
  </r>
  <r>
    <x v="13"/>
    <s v="South Plains College "/>
    <m/>
    <n v="228158"/>
    <x v="6"/>
    <m/>
    <m/>
    <n v="81141"/>
    <n v="79435"/>
    <n v="13482"/>
    <n v="18397"/>
    <n v="6761"/>
    <n v="0"/>
    <n v="86395"/>
    <n v="85565"/>
    <n v="187779"/>
    <n v="6259.3"/>
    <n v="183397"/>
    <n v="6113.2333333333336"/>
    <n v="19702"/>
    <n v="23176"/>
    <n v="187779"/>
    <n v="183397"/>
    <n v="17145"/>
    <n v="13896"/>
    <n v="43838"/>
    <n v="12654"/>
    <n v="31831"/>
    <n v="14323"/>
    <n v="10861"/>
    <n v="15989"/>
    <n v="103675"/>
    <n v="115.19444444444444"/>
    <n v="56862"/>
    <n v="63.18"/>
    <m/>
    <m/>
    <n v="0"/>
    <n v="0"/>
  </r>
  <r>
    <x v="13"/>
    <s v="St. Philip's College (ACCD)"/>
    <m/>
    <n v="227854"/>
    <x v="6"/>
    <m/>
    <m/>
    <n v="87486"/>
    <n v="85933"/>
    <n v="33425"/>
    <n v="32095"/>
    <n v="0"/>
    <n v="0"/>
    <n v="72285"/>
    <n v="83369"/>
    <n v="193196"/>
    <n v="6439.8666666666668"/>
    <n v="201397"/>
    <n v="6713.2333333333336"/>
    <n v="45856"/>
    <n v="44470"/>
    <n v="193196"/>
    <n v="201397"/>
    <n v="24085"/>
    <n v="31830"/>
    <n v="25176"/>
    <n v="28785"/>
    <n v="35170"/>
    <n v="32729"/>
    <n v="43656"/>
    <n v="33033"/>
    <n v="128087"/>
    <n v="142.31888888888889"/>
    <n v="126377"/>
    <n v="140.41888888888889"/>
    <m/>
    <m/>
    <n v="0"/>
    <n v="0"/>
  </r>
  <r>
    <x v="13"/>
    <s v="Tarrant County College"/>
    <m/>
    <n v="228547"/>
    <x v="6"/>
    <m/>
    <m/>
    <n v="391548"/>
    <n v="359044"/>
    <n v="197301"/>
    <n v="189128"/>
    <n v="0"/>
    <n v="0"/>
    <n v="368581"/>
    <n v="346034"/>
    <n v="957430"/>
    <n v="31914.333333333332"/>
    <n v="894206"/>
    <n v="29806.866666666665"/>
    <n v="108127"/>
    <n v="115694"/>
    <n v="957430"/>
    <n v="894206"/>
    <n v="179295"/>
    <n v="165699"/>
    <n v="152099"/>
    <n v="172722"/>
    <n v="161617"/>
    <n v="130505"/>
    <n v="167690"/>
    <n v="145414"/>
    <n v="660701"/>
    <n v="734.11222222222227"/>
    <n v="614340"/>
    <n v="682.6"/>
    <m/>
    <m/>
    <n v="0"/>
    <n v="0"/>
  </r>
  <r>
    <x v="13"/>
    <s v="Trinity Valley Community College"/>
    <m/>
    <n v="225308"/>
    <x v="6"/>
    <m/>
    <m/>
    <n v="52652"/>
    <n v="54611"/>
    <n v="14181"/>
    <n v="12593"/>
    <n v="10539"/>
    <n v="8822"/>
    <n v="59180"/>
    <n v="55249"/>
    <n v="136552"/>
    <n v="4551.7333333333336"/>
    <n v="131275"/>
    <n v="4375.833333333333"/>
    <n v="31189"/>
    <n v="32626"/>
    <n v="136552"/>
    <n v="131275"/>
    <n v="88170"/>
    <n v="154804"/>
    <n v="129495"/>
    <n v="171591"/>
    <n v="58845"/>
    <n v="110745"/>
    <n v="208733"/>
    <n v="202166"/>
    <n v="485243"/>
    <n v="539.1588888888889"/>
    <n v="639306"/>
    <n v="710.34"/>
    <m/>
    <m/>
    <n v="0"/>
    <n v="0"/>
  </r>
  <r>
    <x v="13"/>
    <s v="Tyler Junior College "/>
    <s v="Met the criteria for Two-Year with Bachelor's in 2018-19 and 2019-20. "/>
    <n v="229355"/>
    <x v="6"/>
    <m/>
    <m/>
    <n v="105675"/>
    <n v="111328"/>
    <n v="32017"/>
    <n v="30475"/>
    <n v="6833"/>
    <n v="7278"/>
    <n v="101607"/>
    <n v="113617"/>
    <n v="246132"/>
    <n v="8204.4"/>
    <n v="262698"/>
    <n v="8756.6"/>
    <n v="29139"/>
    <n v="42383"/>
    <n v="246132"/>
    <n v="262698"/>
    <n v="31102"/>
    <n v="21022"/>
    <n v="29063"/>
    <n v="35753"/>
    <n v="15691"/>
    <n v="20396"/>
    <n v="47569"/>
    <n v="29702"/>
    <n v="123425"/>
    <n v="137.13888888888889"/>
    <n v="106873"/>
    <n v="118.74777777777778"/>
    <m/>
    <m/>
    <n v="0"/>
    <n v="0"/>
  </r>
  <r>
    <x v="13"/>
    <s v="Alvin Community College "/>
    <m/>
    <n v="222567"/>
    <x v="7"/>
    <m/>
    <m/>
    <n v="43066"/>
    <n v="43188"/>
    <n v="18880"/>
    <n v="18579"/>
    <n v="0"/>
    <n v="0"/>
    <n v="43240"/>
    <n v="45108"/>
    <n v="105186"/>
    <n v="3506.2"/>
    <n v="106875"/>
    <n v="3562.5"/>
    <n v="26168"/>
    <n v="29151"/>
    <n v="105186"/>
    <n v="106875"/>
    <n v="18814"/>
    <n v="19831"/>
    <n v="11096"/>
    <n v="9045"/>
    <n v="14208"/>
    <n v="15828"/>
    <n v="18492"/>
    <n v="24814"/>
    <n v="62610"/>
    <n v="69.566666666666663"/>
    <n v="69518"/>
    <n v="77.242222222222225"/>
    <m/>
    <m/>
    <n v="0"/>
    <n v="0"/>
  </r>
  <r>
    <x v="13"/>
    <s v="Angelina College "/>
    <m/>
    <n v="222822"/>
    <x v="7"/>
    <m/>
    <m/>
    <n v="37994"/>
    <n v="35984"/>
    <n v="7028"/>
    <n v="6219"/>
    <n v="3762"/>
    <n v="0"/>
    <n v="39010"/>
    <n v="40481"/>
    <n v="87794"/>
    <n v="2926.4666666666667"/>
    <n v="82684"/>
    <n v="2756.1333333333332"/>
    <n v="17232"/>
    <n v="16679"/>
    <n v="87794"/>
    <n v="82684"/>
    <n v="31413"/>
    <n v="67659"/>
    <n v="58663"/>
    <n v="15088"/>
    <n v="68440"/>
    <n v="47541"/>
    <n v="47572"/>
    <n v="30900"/>
    <n v="206088"/>
    <n v="228.98666666666668"/>
    <n v="161188"/>
    <n v="179.09777777777776"/>
    <m/>
    <m/>
    <n v="0"/>
    <n v="0"/>
  </r>
  <r>
    <x v="13"/>
    <s v="Cedar Valley College (DCCCD)"/>
    <m/>
    <n v="223773"/>
    <x v="7"/>
    <m/>
    <m/>
    <n v="51269"/>
    <n v="55167"/>
    <n v="33034"/>
    <n v="34177"/>
    <n v="0"/>
    <n v="0"/>
    <n v="42504"/>
    <n v="46970"/>
    <n v="126807"/>
    <n v="4226.8999999999996"/>
    <n v="136314"/>
    <n v="4543.8"/>
    <n v="22300"/>
    <n v="25347"/>
    <n v="126807"/>
    <n v="136314"/>
    <n v="48456"/>
    <n v="38445"/>
    <n v="100015"/>
    <n v="35226"/>
    <n v="151520"/>
    <n v="79272"/>
    <n v="47438"/>
    <n v="28540"/>
    <n v="347429"/>
    <n v="386.03222222222223"/>
    <n v="181483"/>
    <n v="201.64777777777778"/>
    <m/>
    <m/>
    <n v="0"/>
    <n v="0"/>
  </r>
  <r>
    <x v="13"/>
    <s v="Cisco Junior College"/>
    <m/>
    <n v="223898"/>
    <x v="7"/>
    <m/>
    <m/>
    <n v="29087"/>
    <n v="29132"/>
    <n v="6889"/>
    <n v="7205"/>
    <n v="2447"/>
    <n v="2759"/>
    <n v="30646"/>
    <n v="31306"/>
    <n v="69069"/>
    <n v="2302.3000000000002"/>
    <n v="70402"/>
    <n v="2346.7333333333331"/>
    <n v="9341"/>
    <n v="11425"/>
    <n v="69069"/>
    <n v="70402"/>
    <n v="1100"/>
    <n v="2440"/>
    <n v="1700"/>
    <n v="4100"/>
    <n v="2816"/>
    <n v="5644"/>
    <n v="3792"/>
    <n v="3576"/>
    <n v="9408"/>
    <n v="10.453333333333333"/>
    <n v="15760"/>
    <n v="17.511111111111113"/>
    <m/>
    <m/>
    <n v="0"/>
    <n v="0"/>
  </r>
  <r>
    <x v="13"/>
    <s v="Coastal Bend College"/>
    <m/>
    <n v="223320"/>
    <x v="7"/>
    <m/>
    <m/>
    <n v="34493"/>
    <n v="32249"/>
    <n v="8542"/>
    <n v="5501"/>
    <n v="2818"/>
    <n v="4472"/>
    <n v="33813"/>
    <n v="35495"/>
    <n v="79666"/>
    <n v="2655.5333333333333"/>
    <n v="77717"/>
    <n v="2590.5666666666666"/>
    <n v="19752"/>
    <n v="30911"/>
    <n v="79666"/>
    <n v="77717"/>
    <n v="10920"/>
    <n v="833"/>
    <n v="6514"/>
    <n v="4833"/>
    <n v="11450"/>
    <n v="3316"/>
    <n v="4940"/>
    <n v="7985"/>
    <n v="33824"/>
    <n v="37.582222222222221"/>
    <n v="16967"/>
    <n v="18.852222222222224"/>
    <m/>
    <m/>
    <n v="0"/>
    <n v="0"/>
  </r>
  <r>
    <x v="13"/>
    <s v="College of the Mainland"/>
    <m/>
    <n v="226408"/>
    <x v="7"/>
    <m/>
    <m/>
    <n v="33491"/>
    <n v="34846"/>
    <n v="9838"/>
    <n v="9804"/>
    <n v="0"/>
    <n v="0"/>
    <n v="40320"/>
    <n v="35499"/>
    <n v="83649"/>
    <n v="2788.3"/>
    <n v="80149"/>
    <n v="2671.6333333333332"/>
    <n v="18774"/>
    <n v="20845"/>
    <n v="83649"/>
    <n v="80149"/>
    <n v="51508"/>
    <n v="62428"/>
    <n v="15781"/>
    <n v="18192"/>
    <n v="27336"/>
    <n v="21742"/>
    <n v="20937"/>
    <n v="12985"/>
    <n v="115562"/>
    <n v="128.40222222222224"/>
    <n v="115347"/>
    <n v="128.16333333333333"/>
    <m/>
    <m/>
    <n v="0"/>
    <n v="0"/>
  </r>
  <r>
    <x v="13"/>
    <s v="Grayson County College "/>
    <m/>
    <n v="225070"/>
    <x v="7"/>
    <m/>
    <m/>
    <n v="34306"/>
    <n v="32945"/>
    <n v="7705"/>
    <n v="9225"/>
    <n v="0"/>
    <n v="0"/>
    <n v="40390"/>
    <n v="39104"/>
    <n v="82401"/>
    <n v="2746.7"/>
    <n v="81274"/>
    <n v="2709.1333333333332"/>
    <n v="12465"/>
    <n v="12344"/>
    <n v="82401"/>
    <n v="81274"/>
    <n v="14329"/>
    <n v="19002"/>
    <n v="10767"/>
    <n v="12055"/>
    <n v="18349"/>
    <n v="16365"/>
    <n v="17914"/>
    <n v="17687"/>
    <n v="61359"/>
    <n v="68.176666666666662"/>
    <n v="65109"/>
    <n v="72.343333333333334"/>
    <m/>
    <m/>
    <n v="0"/>
    <n v="0"/>
  </r>
  <r>
    <x v="13"/>
    <s v="Hill College"/>
    <m/>
    <n v="225371"/>
    <x v="7"/>
    <m/>
    <m/>
    <n v="34908"/>
    <n v="36210"/>
    <n v="10141"/>
    <n v="10205"/>
    <n v="3445"/>
    <n v="3361"/>
    <n v="36770"/>
    <n v="36221"/>
    <n v="85264"/>
    <n v="2842.1333333333332"/>
    <n v="85997"/>
    <n v="2866.5666666666666"/>
    <n v="13793"/>
    <n v="17013"/>
    <n v="85264"/>
    <n v="85997"/>
    <n v="19579"/>
    <n v="20870"/>
    <n v="24566"/>
    <n v="22290"/>
    <n v="27563"/>
    <n v="18012"/>
    <n v="22742"/>
    <n v="16688"/>
    <n v="94450"/>
    <n v="104.94444444444444"/>
    <n v="77860"/>
    <n v="86.511111111111106"/>
    <m/>
    <m/>
    <n v="0"/>
    <n v="0"/>
  </r>
  <r>
    <x v="13"/>
    <s v="Howard College (HCJCD)"/>
    <m/>
    <n v="225520"/>
    <x v="7"/>
    <m/>
    <m/>
    <n v="25996"/>
    <n v="26824"/>
    <n v="5217"/>
    <n v="4527"/>
    <n v="2074"/>
    <n v="1948"/>
    <n v="32920"/>
    <n v="31481"/>
    <n v="66207"/>
    <n v="2206.9"/>
    <n v="64780"/>
    <n v="2159.3333333333335"/>
    <n v="17371"/>
    <n v="18252"/>
    <n v="66207"/>
    <n v="64780"/>
    <n v="112699"/>
    <n v="118680"/>
    <n v="135796"/>
    <n v="152630"/>
    <n v="142645"/>
    <n v="96293"/>
    <n v="153367"/>
    <n v="128831"/>
    <n v="544507"/>
    <n v="605.00777777777773"/>
    <n v="496434"/>
    <n v="551.59333333333336"/>
    <m/>
    <m/>
    <n v="0"/>
    <n v="0"/>
  </r>
  <r>
    <x v="13"/>
    <s v="Kilgore College "/>
    <m/>
    <n v="226019"/>
    <x v="7"/>
    <m/>
    <m/>
    <n v="47274"/>
    <n v="44820"/>
    <n v="9164"/>
    <n v="9178"/>
    <n v="0"/>
    <n v="0"/>
    <n v="52094"/>
    <n v="38156"/>
    <n v="108532"/>
    <n v="3617.7333333333331"/>
    <n v="92154"/>
    <n v="3071.8"/>
    <n v="16777"/>
    <n v="17721"/>
    <n v="108532"/>
    <n v="92154"/>
    <n v="33584"/>
    <n v="113697"/>
    <n v="113124"/>
    <n v="72643"/>
    <n v="84101"/>
    <n v="139192"/>
    <n v="81957"/>
    <n v="101775"/>
    <n v="312766"/>
    <n v="347.51777777777778"/>
    <n v="427307"/>
    <n v="474.78555555555556"/>
    <m/>
    <m/>
    <n v="0"/>
    <n v="0"/>
  </r>
  <r>
    <x v="13"/>
    <s v="Lamar Institute of Technology"/>
    <m/>
    <n v="441760"/>
    <x v="7"/>
    <m/>
    <m/>
    <n v="25015"/>
    <n v="26426"/>
    <n v="4838"/>
    <n v="4355"/>
    <n v="0"/>
    <n v="0"/>
    <n v="31432"/>
    <n v="36543"/>
    <n v="61285"/>
    <n v="2042.8333333333333"/>
    <n v="67324"/>
    <n v="2244.1333333333332"/>
    <n v="4542"/>
    <n v="8770"/>
    <n v="61285"/>
    <n v="67324"/>
    <n v="46032"/>
    <n v="73761"/>
    <n v="55283"/>
    <n v="63497"/>
    <n v="67445"/>
    <n v="82543"/>
    <n v="83392"/>
    <n v="68305"/>
    <n v="252152"/>
    <n v="280.16888888888889"/>
    <n v="288106"/>
    <n v="320.1177777777778"/>
    <m/>
    <m/>
    <n v="0"/>
    <n v="0"/>
  </r>
  <r>
    <x v="13"/>
    <s v="Lee College "/>
    <m/>
    <n v="226204"/>
    <x v="7"/>
    <m/>
    <m/>
    <n v="59538"/>
    <n v="60295"/>
    <n v="25762"/>
    <n v="28308"/>
    <n v="2092"/>
    <n v="2929"/>
    <n v="58609"/>
    <n v="56105"/>
    <n v="146001"/>
    <n v="4866.7"/>
    <n v="147637"/>
    <n v="4921.2333333333336"/>
    <n v="18951"/>
    <n v="25021"/>
    <n v="146001"/>
    <n v="147637"/>
    <n v="16331"/>
    <n v="12680"/>
    <n v="15548"/>
    <n v="8758"/>
    <n v="24821"/>
    <n v="16125"/>
    <n v="24966"/>
    <n v="14706"/>
    <n v="81666"/>
    <n v="90.74"/>
    <n v="52269"/>
    <n v="58.076666666666668"/>
    <m/>
    <m/>
    <n v="0"/>
    <n v="0"/>
  </r>
  <r>
    <x v="13"/>
    <s v="Northeast Texas Community College "/>
    <m/>
    <n v="227225"/>
    <x v="7"/>
    <m/>
    <m/>
    <n v="25422"/>
    <n v="25735"/>
    <n v="9329"/>
    <n v="9279"/>
    <n v="0"/>
    <n v="0"/>
    <n v="28181"/>
    <n v="27985"/>
    <n v="62932"/>
    <n v="2097.7333333333331"/>
    <n v="62999"/>
    <n v="2099.9666666666667"/>
    <n v="10590"/>
    <n v="10764"/>
    <n v="62932"/>
    <n v="62999"/>
    <n v="4751"/>
    <n v="4935"/>
    <n v="4492"/>
    <n v="5567"/>
    <n v="6924"/>
    <n v="5127"/>
    <n v="9197"/>
    <n v="6596"/>
    <n v="25364"/>
    <n v="28.182222222222222"/>
    <n v="22225"/>
    <n v="24.694444444444443"/>
    <m/>
    <m/>
    <n v="0"/>
    <n v="0"/>
  </r>
  <r>
    <x v="13"/>
    <s v="Odessa College "/>
    <m/>
    <n v="227304"/>
    <x v="7"/>
    <m/>
    <m/>
    <n v="33023"/>
    <n v="51729"/>
    <n v="23072"/>
    <n v="6737"/>
    <n v="8045"/>
    <n v="7102"/>
    <n v="56954"/>
    <n v="57274"/>
    <n v="121094"/>
    <n v="4036.4666666666667"/>
    <n v="122842"/>
    <n v="4094.7333333333331"/>
    <n v="27173"/>
    <n v="32652"/>
    <n v="121094"/>
    <n v="122842"/>
    <n v="22916"/>
    <n v="45590"/>
    <n v="28353"/>
    <n v="50305"/>
    <n v="37529"/>
    <n v="55771"/>
    <n v="54424"/>
    <n v="55054"/>
    <n v="143222"/>
    <n v="159.13555555555556"/>
    <n v="206720"/>
    <n v="229.6888888888889"/>
    <m/>
    <m/>
    <n v="0"/>
    <n v="0"/>
  </r>
  <r>
    <x v="13"/>
    <s v="Paris Junior College"/>
    <m/>
    <n v="227401"/>
    <x v="7"/>
    <m/>
    <m/>
    <n v="37800"/>
    <n v="40023"/>
    <n v="10389"/>
    <n v="11005"/>
    <n v="0"/>
    <n v="0"/>
    <n v="48879"/>
    <n v="46976"/>
    <n v="97068"/>
    <n v="3235.6"/>
    <n v="98004"/>
    <n v="3266.8"/>
    <n v="21510"/>
    <n v="23465"/>
    <n v="97068"/>
    <n v="98004"/>
    <n v="23521"/>
    <n v="35342"/>
    <n v="31352"/>
    <n v="9765"/>
    <n v="11757"/>
    <n v="9049"/>
    <n v="12516"/>
    <n v="32400"/>
    <n v="79146"/>
    <n v="87.94"/>
    <n v="86556"/>
    <n v="96.173333333333332"/>
    <m/>
    <m/>
    <n v="0"/>
    <n v="0"/>
  </r>
  <r>
    <x v="13"/>
    <s v="Southwest Texas Junior College "/>
    <m/>
    <n v="228316"/>
    <x v="7"/>
    <m/>
    <m/>
    <n v="50323"/>
    <n v="53171"/>
    <n v="9817"/>
    <n v="10327"/>
    <n v="4229"/>
    <n v="5017"/>
    <n v="53064"/>
    <n v="53079"/>
    <n v="117433"/>
    <n v="3914.4333333333334"/>
    <n v="121594"/>
    <n v="4053.1333333333332"/>
    <n v="32306"/>
    <n v="40441"/>
    <n v="117433"/>
    <n v="121594"/>
    <n v="11255"/>
    <n v="5653"/>
    <n v="14662"/>
    <n v="20614"/>
    <n v="10622"/>
    <n v="21750"/>
    <n v="11235"/>
    <n v="18918"/>
    <n v="47774"/>
    <n v="53.082222222222221"/>
    <n v="66935"/>
    <n v="74.37222222222222"/>
    <m/>
    <m/>
    <n v="0"/>
    <n v="0"/>
  </r>
  <r>
    <x v="13"/>
    <s v="Temple College "/>
    <m/>
    <n v="228608"/>
    <x v="7"/>
    <m/>
    <m/>
    <n v="40920"/>
    <n v="39943"/>
    <n v="11147"/>
    <n v="10751"/>
    <n v="0"/>
    <n v="0"/>
    <n v="44783"/>
    <n v="43358"/>
    <n v="96850"/>
    <n v="3228.3333333333335"/>
    <n v="94052"/>
    <n v="3135.0666666666666"/>
    <n v="15952"/>
    <n v="16212"/>
    <n v="96850"/>
    <n v="94052"/>
    <n v="10932"/>
    <n v="4792"/>
    <n v="15624"/>
    <n v="25696"/>
    <n v="18981"/>
    <n v="9753"/>
    <n v="14582"/>
    <n v="21508"/>
    <n v="60119"/>
    <n v="66.798888888888882"/>
    <n v="61749"/>
    <n v="68.61"/>
    <m/>
    <m/>
    <n v="0"/>
    <n v="0"/>
  </r>
  <r>
    <x v="13"/>
    <s v="Texarkana College "/>
    <m/>
    <n v="228699"/>
    <x v="7"/>
    <m/>
    <m/>
    <n v="30933"/>
    <n v="31833"/>
    <n v="7457"/>
    <n v="7643"/>
    <n v="0"/>
    <n v="0"/>
    <n v="38916"/>
    <n v="36211"/>
    <n v="77306"/>
    <n v="2576.8666666666668"/>
    <n v="75687"/>
    <n v="2522.9"/>
    <n v="18312"/>
    <n v="18185"/>
    <n v="77306"/>
    <n v="75687"/>
    <n v="76268"/>
    <n v="67434"/>
    <n v="69339"/>
    <n v="79616"/>
    <n v="73125"/>
    <n v="81877"/>
    <n v="67498"/>
    <n v="76663"/>
    <n v="286230"/>
    <n v="318.03333333333336"/>
    <n v="305590"/>
    <n v="339.54444444444442"/>
    <m/>
    <m/>
    <n v="0"/>
    <n v="0"/>
  </r>
  <r>
    <x v="13"/>
    <s v="Texas Southmost College "/>
    <m/>
    <n v="229072"/>
    <x v="7"/>
    <m/>
    <m/>
    <n v="48202"/>
    <n v="52338"/>
    <n v="4269"/>
    <n v="6854"/>
    <n v="4628"/>
    <n v="4357"/>
    <n v="50474"/>
    <n v="59826"/>
    <n v="107573"/>
    <n v="3585.7666666666669"/>
    <n v="123375"/>
    <n v="4112.5"/>
    <n v="32019"/>
    <n v="42299"/>
    <n v="107573"/>
    <n v="123375"/>
    <n v="6400"/>
    <n v="12996"/>
    <n v="10338"/>
    <n v="20040"/>
    <n v="12334"/>
    <n v="13752"/>
    <n v="18763"/>
    <n v="19600"/>
    <n v="47835"/>
    <n v="53.15"/>
    <n v="66388"/>
    <n v="73.76444444444445"/>
    <m/>
    <m/>
    <n v="0"/>
    <n v="0"/>
  </r>
  <r>
    <x v="13"/>
    <s v="Texas State Technical College-Harlingen "/>
    <m/>
    <n v="229319"/>
    <x v="7"/>
    <m/>
    <m/>
    <n v="38004"/>
    <n v="32358"/>
    <n v="20102"/>
    <n v="17073"/>
    <n v="0"/>
    <n v="0"/>
    <n v="39305"/>
    <n v="36768"/>
    <n v="97411"/>
    <n v="3247.0333333333333"/>
    <n v="86199"/>
    <n v="2873.3"/>
    <n v="4406"/>
    <n v="1524"/>
    <n v="97411"/>
    <n v="86199"/>
    <n v="9598"/>
    <n v="12508"/>
    <n v="11299"/>
    <n v="13042"/>
    <n v="14799"/>
    <n v="12096"/>
    <n v="11954"/>
    <n v="11488"/>
    <n v="47650"/>
    <n v="52.944444444444443"/>
    <n v="49134"/>
    <n v="54.593333333333334"/>
    <m/>
    <m/>
    <n v="0"/>
    <n v="0"/>
  </r>
  <r>
    <x v="13"/>
    <s v="Texas State Technical College-Waco"/>
    <m/>
    <n v="228680"/>
    <x v="7"/>
    <m/>
    <m/>
    <n v="37581"/>
    <n v="34558"/>
    <n v="25906"/>
    <n v="26126"/>
    <n v="0"/>
    <n v="0"/>
    <n v="42391"/>
    <n v="41390"/>
    <n v="105878"/>
    <n v="3529.2666666666669"/>
    <n v="102074"/>
    <n v="3402.4666666666667"/>
    <n v="2019"/>
    <n v="1920"/>
    <n v="105878"/>
    <n v="102074"/>
    <m/>
    <n v="384"/>
    <m/>
    <n v="1920"/>
    <m/>
    <n v="1344"/>
    <m/>
    <n v="0"/>
    <n v="0"/>
    <n v="0"/>
    <n v="3648"/>
    <n v="4.0533333333333337"/>
    <m/>
    <m/>
    <n v="0"/>
    <n v="0"/>
  </r>
  <r>
    <x v="13"/>
    <s v="Vernon College "/>
    <m/>
    <n v="229504"/>
    <x v="7"/>
    <m/>
    <m/>
    <n v="24558"/>
    <n v="22882"/>
    <n v="2875"/>
    <n v="2567"/>
    <n v="4039"/>
    <n v="3613"/>
    <n v="26057"/>
    <n v="25219"/>
    <n v="57529"/>
    <n v="1917.6333333333334"/>
    <n v="54281"/>
    <n v="1809.3666666666666"/>
    <n v="7576"/>
    <n v="8235"/>
    <n v="57529"/>
    <n v="54281"/>
    <n v="85541"/>
    <n v="58227"/>
    <n v="53706"/>
    <n v="58552"/>
    <n v="28411"/>
    <n v="28434"/>
    <n v="81217"/>
    <n v="66305"/>
    <n v="248875"/>
    <n v="276.52777777777777"/>
    <n v="211518"/>
    <n v="235.02"/>
    <m/>
    <m/>
    <n v="0"/>
    <n v="0"/>
  </r>
  <r>
    <x v="13"/>
    <s v="Victoria College "/>
    <m/>
    <n v="229540"/>
    <x v="7"/>
    <m/>
    <m/>
    <n v="29151"/>
    <n v="26008"/>
    <n v="7931"/>
    <n v="7204"/>
    <n v="0"/>
    <n v="0"/>
    <n v="29926"/>
    <n v="28637"/>
    <n v="67008"/>
    <n v="2233.6"/>
    <n v="61849"/>
    <n v="2061.6333333333332"/>
    <n v="6802"/>
    <n v="6811"/>
    <n v="67008"/>
    <n v="61849"/>
    <n v="25198"/>
    <n v="35154"/>
    <n v="20231"/>
    <n v="18716"/>
    <n v="29734"/>
    <n v="21181"/>
    <n v="38044"/>
    <n v="31852"/>
    <n v="113207"/>
    <n v="125.78555555555556"/>
    <n v="106903"/>
    <n v="118.78111111111112"/>
    <m/>
    <m/>
    <n v="0"/>
    <n v="0"/>
  </r>
  <r>
    <x v="13"/>
    <s v="Weatherford College "/>
    <m/>
    <n v="229799"/>
    <x v="7"/>
    <m/>
    <m/>
    <n v="49180"/>
    <n v="47389"/>
    <n v="7530"/>
    <n v="7445"/>
    <n v="4796"/>
    <n v="5527"/>
    <n v="52829"/>
    <n v="48948"/>
    <n v="114335"/>
    <n v="3811.1666666666665"/>
    <n v="109309"/>
    <n v="3643.6333333333332"/>
    <n v="18680"/>
    <n v="18993"/>
    <n v="114335"/>
    <n v="109309"/>
    <n v="31961"/>
    <n v="31841"/>
    <n v="31171"/>
    <n v="36919"/>
    <n v="26631"/>
    <n v="22382"/>
    <n v="37330"/>
    <n v="29692"/>
    <n v="127093"/>
    <n v="141.21444444444444"/>
    <n v="120834"/>
    <n v="134.26"/>
    <m/>
    <m/>
    <n v="0"/>
    <n v="0"/>
  </r>
  <r>
    <x v="13"/>
    <s v="Wharton County Junior College "/>
    <m/>
    <n v="229841"/>
    <x v="7"/>
    <m/>
    <m/>
    <n v="58477"/>
    <n v="60208"/>
    <n v="10260"/>
    <n v="10674"/>
    <n v="5588"/>
    <n v="5552"/>
    <n v="64784"/>
    <n v="66772"/>
    <n v="139109"/>
    <n v="4636.9666666666662"/>
    <n v="143206"/>
    <n v="4773.5333333333338"/>
    <n v="6822"/>
    <n v="6588"/>
    <n v="139109"/>
    <n v="143206"/>
    <n v="7578"/>
    <n v="6457"/>
    <n v="10156"/>
    <n v="8028"/>
    <n v="8881"/>
    <n v="10972"/>
    <n v="10266"/>
    <n v="9537"/>
    <n v="36881"/>
    <n v="40.978888888888889"/>
    <n v="34994"/>
    <n v="38.882222222222225"/>
    <m/>
    <m/>
    <n v="0"/>
    <n v="0"/>
  </r>
  <r>
    <x v="13"/>
    <s v="Clarendon College "/>
    <m/>
    <n v="223922"/>
    <x v="8"/>
    <m/>
    <m/>
    <n v="13260"/>
    <n v="12969"/>
    <n v="3184"/>
    <n v="1053"/>
    <n v="705"/>
    <n v="2422"/>
    <n v="14474"/>
    <n v="13868"/>
    <n v="31623"/>
    <n v="1054.0999999999999"/>
    <n v="30312"/>
    <n v="1010.4"/>
    <n v="7376"/>
    <n v="7976"/>
    <n v="31623"/>
    <n v="30312"/>
    <n v="6932"/>
    <n v="2020"/>
    <n v="5144"/>
    <n v="2760"/>
    <n v="3968"/>
    <n v="1488"/>
    <n v="7072"/>
    <n v="992"/>
    <n v="23116"/>
    <n v="25.684444444444445"/>
    <n v="7260"/>
    <n v="8.0666666666666664"/>
    <m/>
    <m/>
    <n v="0"/>
    <n v="0"/>
  </r>
  <r>
    <x v="13"/>
    <s v="Frank Phillips College "/>
    <m/>
    <n v="224891"/>
    <x v="8"/>
    <m/>
    <m/>
    <n v="11397"/>
    <n v="12074"/>
    <n v="1541"/>
    <n v="1341"/>
    <n v="719"/>
    <n v="824"/>
    <n v="12131"/>
    <n v="13283"/>
    <n v="25788"/>
    <n v="859.6"/>
    <n v="27522"/>
    <n v="917.4"/>
    <n v="9935"/>
    <n v="10288"/>
    <n v="25788"/>
    <n v="27522"/>
    <n v="26198"/>
    <n v="11400"/>
    <n v="14538"/>
    <n v="7239"/>
    <n v="15723"/>
    <n v="11281"/>
    <n v="16650"/>
    <n v="18152"/>
    <n v="73109"/>
    <n v="81.232222222222219"/>
    <n v="48072"/>
    <n v="53.413333333333334"/>
    <m/>
    <m/>
    <n v="0"/>
    <n v="0"/>
  </r>
  <r>
    <x v="13"/>
    <s v="Galveston College "/>
    <m/>
    <n v="224961"/>
    <x v="8"/>
    <m/>
    <m/>
    <n v="17461"/>
    <n v="18693"/>
    <n v="3830"/>
    <n v="4078"/>
    <n v="3660"/>
    <n v="3643"/>
    <n v="20041"/>
    <n v="19847"/>
    <n v="44992"/>
    <n v="1499.7333333333333"/>
    <n v="46261"/>
    <n v="1542.0333333333333"/>
    <n v="4764"/>
    <n v="6212"/>
    <n v="44992"/>
    <n v="46261"/>
    <n v="18266"/>
    <n v="17406"/>
    <n v="4408"/>
    <n v="8028"/>
    <n v="8137"/>
    <n v="8069"/>
    <n v="19459"/>
    <n v="27676"/>
    <n v="50270"/>
    <n v="55.855555555555554"/>
    <n v="61179"/>
    <n v="67.976666666666674"/>
    <m/>
    <m/>
    <n v="0"/>
    <n v="0"/>
  </r>
  <r>
    <x v="13"/>
    <s v="Lamar State College-Orange"/>
    <m/>
    <n v="226107"/>
    <x v="8"/>
    <m/>
    <m/>
    <n v="17767"/>
    <n v="17896"/>
    <n v="5719"/>
    <n v="4696"/>
    <n v="0"/>
    <n v="0"/>
    <n v="20159"/>
    <n v="21186"/>
    <n v="43645"/>
    <n v="1454.8333333333333"/>
    <n v="43778"/>
    <n v="1459.2666666666667"/>
    <n v="5917"/>
    <n v="5942"/>
    <n v="43645"/>
    <n v="43778"/>
    <n v="3794"/>
    <n v="2534"/>
    <n v="4281"/>
    <n v="2009"/>
    <n v="5340"/>
    <n v="13824"/>
    <n v="3547"/>
    <n v="3025"/>
    <n v="16962"/>
    <n v="18.846666666666668"/>
    <n v="21392"/>
    <n v="23.768888888888888"/>
    <m/>
    <m/>
    <n v="0"/>
    <n v="0"/>
  </r>
  <r>
    <x v="13"/>
    <s v="Lamar State College-Port Arthur"/>
    <s v="Met the criteria for Two-Year 2 in 2019-20."/>
    <n v="226116"/>
    <x v="8"/>
    <m/>
    <m/>
    <n v="17970"/>
    <n v="21746"/>
    <n v="5962"/>
    <n v="5965"/>
    <n v="623"/>
    <n v="0"/>
    <n v="21947"/>
    <n v="24476"/>
    <n v="46502"/>
    <n v="1550.0666666666666"/>
    <n v="52187"/>
    <n v="1739.5666666666666"/>
    <n v="6636"/>
    <n v="8297"/>
    <n v="46502"/>
    <n v="52187"/>
    <n v="13241"/>
    <n v="68131"/>
    <n v="100280"/>
    <n v="62540"/>
    <n v="60687"/>
    <n v="55664"/>
    <n v="108518"/>
    <n v="66608"/>
    <n v="282726"/>
    <n v="314.14"/>
    <n v="252943"/>
    <n v="281.04777777777775"/>
    <m/>
    <m/>
    <n v="0"/>
    <n v="0"/>
  </r>
  <r>
    <x v="13"/>
    <s v="Northeast Lakeview College (ACCD)"/>
    <s v="Met the criteria for Two-Year 2 in 2018-19 and 2019-20."/>
    <n v="488730"/>
    <x v="8"/>
    <m/>
    <m/>
    <n v="23685"/>
    <n v="42436"/>
    <n v="8765"/>
    <n v="11929"/>
    <n v="0"/>
    <n v="0"/>
    <n v="40998"/>
    <n v="51705"/>
    <n v="73448"/>
    <n v="2448.2666666666669"/>
    <n v="106070"/>
    <n v="3535.6666666666665"/>
    <n v="4983"/>
    <n v="11300"/>
    <n v="73448"/>
    <n v="106070"/>
    <n v="4504"/>
    <n v="5504"/>
    <n v="4096"/>
    <n v="9140"/>
    <n v="8516"/>
    <n v="7072"/>
    <n v="7712"/>
    <n v="4168"/>
    <n v="24828"/>
    <n v="27.586666666666666"/>
    <n v="25884"/>
    <n v="28.76"/>
    <m/>
    <m/>
    <n v="0"/>
    <n v="0"/>
  </r>
  <r>
    <x v="13"/>
    <s v="Panola College"/>
    <m/>
    <n v="227386"/>
    <x v="8"/>
    <m/>
    <m/>
    <n v="24270"/>
    <n v="22498"/>
    <n v="3414"/>
    <n v="3321"/>
    <n v="2396"/>
    <n v="2457"/>
    <n v="25721"/>
    <n v="23667"/>
    <n v="55801"/>
    <n v="1860.0333333333333"/>
    <n v="51943"/>
    <n v="1731.4333333333334"/>
    <n v="8455"/>
    <n v="10417"/>
    <n v="55801"/>
    <n v="51943"/>
    <n v="15720"/>
    <n v="14463"/>
    <n v="13310"/>
    <n v="8466"/>
    <n v="15618"/>
    <n v="11658"/>
    <n v="14632"/>
    <n v="18428"/>
    <n v="59280"/>
    <n v="65.86666666666666"/>
    <n v="53015"/>
    <n v="58.905555555555559"/>
    <m/>
    <m/>
    <n v="0"/>
    <n v="0"/>
  </r>
  <r>
    <x v="13"/>
    <s v="Ranger College "/>
    <m/>
    <n v="227687"/>
    <x v="8"/>
    <m/>
    <m/>
    <n v="19553"/>
    <n v="19787"/>
    <n v="3568"/>
    <n v="3306"/>
    <n v="1088"/>
    <n v="1189"/>
    <n v="22255"/>
    <n v="21772"/>
    <n v="46464"/>
    <n v="1548.8"/>
    <n v="46054"/>
    <n v="1535.1333333333334"/>
    <n v="13430"/>
    <n v="13702"/>
    <n v="46464"/>
    <n v="46054"/>
    <n v="29072"/>
    <n v="21228"/>
    <n v="12428"/>
    <n v="8400"/>
    <n v="10878"/>
    <n v="15112"/>
    <n v="9044"/>
    <n v="6200"/>
    <n v="61422"/>
    <n v="68.24666666666667"/>
    <n v="50940"/>
    <n v="56.6"/>
    <m/>
    <m/>
    <n v="0"/>
    <n v="0"/>
  </r>
  <r>
    <x v="13"/>
    <s v="Southwest Collegiate Institute for the Deaf (HCJCD)"/>
    <m/>
    <n v="382911"/>
    <x v="8"/>
    <m/>
    <m/>
    <n v="988"/>
    <n v="867"/>
    <n v="12"/>
    <n v="9"/>
    <n v="0"/>
    <n v="0"/>
    <n v="975"/>
    <n v="667"/>
    <n v="1975"/>
    <n v="65.833333333333329"/>
    <n v="1543"/>
    <n v="51.43333333333333"/>
    <n v="0"/>
    <n v="0"/>
    <n v="1975"/>
    <n v="1543"/>
    <m/>
    <m/>
    <m/>
    <m/>
    <m/>
    <m/>
    <m/>
    <m/>
    <n v="0"/>
    <n v="0"/>
    <n v="0"/>
    <n v="0"/>
    <m/>
    <m/>
    <n v="0"/>
    <n v="0"/>
  </r>
  <r>
    <x v="13"/>
    <s v="Texas State Technical College-Fort Bend"/>
    <m/>
    <s v="N/A"/>
    <x v="8"/>
    <m/>
    <m/>
    <n v="3479"/>
    <n v="3766"/>
    <n v="2218"/>
    <n v="2494"/>
    <n v="0"/>
    <n v="0"/>
    <n v="4894"/>
    <n v="5387"/>
    <n v="10591"/>
    <n v="353.03333333333336"/>
    <n v="11647"/>
    <n v="388.23333333333335"/>
    <n v="60"/>
    <n v="187"/>
    <n v="10591"/>
    <n v="11647"/>
    <m/>
    <m/>
    <m/>
    <m/>
    <m/>
    <m/>
    <m/>
    <m/>
    <n v="0"/>
    <n v="0"/>
    <n v="0"/>
    <n v="0"/>
    <m/>
    <m/>
    <n v="0"/>
    <n v="0"/>
  </r>
  <r>
    <x v="13"/>
    <s v="Texas State Technical College-Marshall"/>
    <m/>
    <n v="408394"/>
    <x v="8"/>
    <m/>
    <m/>
    <n v="5174"/>
    <n v="4510"/>
    <n v="3247"/>
    <n v="2502"/>
    <n v="0"/>
    <n v="0"/>
    <n v="5381"/>
    <n v="5769"/>
    <n v="13802"/>
    <n v="460.06666666666666"/>
    <n v="12781"/>
    <n v="426.03333333333336"/>
    <n v="334"/>
    <n v="304"/>
    <n v="13802"/>
    <n v="12781"/>
    <m/>
    <m/>
    <m/>
    <m/>
    <m/>
    <m/>
    <m/>
    <m/>
    <n v="0"/>
    <n v="0"/>
    <n v="0"/>
    <n v="0"/>
    <m/>
    <m/>
    <n v="0"/>
    <n v="0"/>
  </r>
  <r>
    <x v="13"/>
    <s v="Texas State Technical College-North Texas"/>
    <m/>
    <s v="N/A"/>
    <x v="8"/>
    <m/>
    <m/>
    <n v="2293"/>
    <n v="1980"/>
    <n v="1632"/>
    <n v="1135"/>
    <n v="0"/>
    <n v="0"/>
    <n v="2737"/>
    <n v="2161"/>
    <n v="6662"/>
    <n v="222.06666666666666"/>
    <n v="5276"/>
    <n v="175.86666666666667"/>
    <n v="149"/>
    <n v="240"/>
    <n v="6662"/>
    <n v="5276"/>
    <m/>
    <m/>
    <m/>
    <m/>
    <m/>
    <m/>
    <m/>
    <m/>
    <n v="0"/>
    <n v="0"/>
    <n v="0"/>
    <n v="0"/>
    <m/>
    <m/>
    <n v="0"/>
    <n v="0"/>
  </r>
  <r>
    <x v="13"/>
    <s v="Texas State Technical College-West Texas"/>
    <m/>
    <n v="229328"/>
    <x v="8"/>
    <m/>
    <m/>
    <n v="9898"/>
    <n v="11349"/>
    <n v="7634"/>
    <n v="8379"/>
    <n v="0"/>
    <n v="0"/>
    <n v="13569"/>
    <n v="13630"/>
    <n v="31101"/>
    <n v="1036.7"/>
    <n v="33358"/>
    <n v="1111.9333333333334"/>
    <n v="2242"/>
    <m/>
    <n v="31101"/>
    <n v="33358"/>
    <n v="2380"/>
    <n v="420"/>
    <n v="1080"/>
    <n v="0"/>
    <n v="680"/>
    <n v="1060"/>
    <n v="600"/>
    <n v="1512"/>
    <n v="4740"/>
    <n v="5.2666666666666666"/>
    <n v="2992"/>
    <n v="3.3244444444444445"/>
    <m/>
    <m/>
    <n v="0"/>
    <n v="0"/>
  </r>
  <r>
    <x v="13"/>
    <s v="Western Texas College "/>
    <m/>
    <n v="229832"/>
    <x v="8"/>
    <m/>
    <m/>
    <n v="17510"/>
    <n v="16308"/>
    <n v="8240"/>
    <n v="7242"/>
    <n v="4365"/>
    <n v="3672"/>
    <n v="16456"/>
    <n v="15574"/>
    <n v="46571"/>
    <n v="1552.3666666666666"/>
    <n v="42796"/>
    <n v="1426.5333333333333"/>
    <n v="8983"/>
    <m/>
    <n v="46571"/>
    <n v="42796"/>
    <n v="24108"/>
    <n v="41850"/>
    <n v="24293"/>
    <n v="31427"/>
    <n v="4903"/>
    <n v="15782"/>
    <n v="25630"/>
    <n v="36778"/>
    <n v="78934"/>
    <n v="87.704444444444448"/>
    <n v="125837"/>
    <n v="139.81888888888889"/>
    <m/>
    <m/>
    <n v="0"/>
    <n v="0"/>
  </r>
  <r>
    <x v="13"/>
    <s v="Alamo Community College District (ACCD)"/>
    <m/>
    <m/>
    <x v="14"/>
    <m/>
    <m/>
    <n v="346004"/>
    <n v="294850"/>
    <n v="128393"/>
    <n v="106864"/>
    <n v="0"/>
    <n v="0"/>
    <n v="314047"/>
    <n v="329099"/>
    <n v="788444"/>
    <n v="26281.466666666667"/>
    <n v="730813"/>
    <n v="24360.433333333334"/>
    <n v="104935"/>
    <n v="77807"/>
    <n v="788444"/>
    <n v="730813"/>
    <n v="45452"/>
    <n v="26197"/>
    <n v="57514"/>
    <n v="33589"/>
    <n v="64190"/>
    <n v="28742"/>
    <n v="65393"/>
    <n v="32246"/>
    <n v="232549"/>
    <n v="258.38777777777779"/>
    <n v="120774"/>
    <n v="134.19333333333333"/>
    <m/>
    <m/>
    <n v="0"/>
    <n v="0"/>
  </r>
  <r>
    <x v="13"/>
    <s v="Dallas County Community College District (DCCCD)"/>
    <m/>
    <m/>
    <x v="14"/>
    <m/>
    <m/>
    <n v="483089"/>
    <n v="593461"/>
    <n v="289024"/>
    <n v="354196"/>
    <n v="0"/>
    <n v="0"/>
    <n v="393596"/>
    <n v="515287"/>
    <n v="1165709"/>
    <n v="38856.966666666667"/>
    <n v="1462944"/>
    <n v="48764.800000000003"/>
    <n v="187097"/>
    <n v="270836"/>
    <n v="1165709"/>
    <n v="1462944"/>
    <n v="369810"/>
    <n v="472429"/>
    <n v="400106"/>
    <n v="416600"/>
    <n v="338689"/>
    <n v="524058"/>
    <n v="539245"/>
    <n v="634309"/>
    <n v="1647850"/>
    <n v="1830.9444444444443"/>
    <n v="2047396"/>
    <n v="2274.8844444444444"/>
    <m/>
    <m/>
    <n v="0"/>
    <n v="0"/>
  </r>
  <r>
    <x v="13"/>
    <s v="Howard County Community/Junior College District (HCJCD)"/>
    <m/>
    <m/>
    <x v="14"/>
    <m/>
    <m/>
    <n v="25996"/>
    <n v="27691"/>
    <n v="5217"/>
    <n v="4536"/>
    <n v="2074"/>
    <n v="1948"/>
    <n v="32920"/>
    <n v="32148"/>
    <n v="66207"/>
    <n v="2206.9"/>
    <n v="66323"/>
    <n v="2210.7666666666669"/>
    <n v="17371"/>
    <n v="18252"/>
    <n v="66207"/>
    <n v="66323"/>
    <n v="112699"/>
    <n v="118680"/>
    <n v="135796"/>
    <n v="152630"/>
    <n v="142645"/>
    <n v="96293"/>
    <n v="153367"/>
    <n v="128831"/>
    <n v="544507"/>
    <n v="605.00777777777773"/>
    <n v="496434"/>
    <n v="551.59333333333336"/>
    <m/>
    <m/>
    <n v="0"/>
    <n v="0"/>
  </r>
  <r>
    <x v="13"/>
    <s v="University of North Texas at Dallas"/>
    <m/>
    <n v="443711"/>
    <x v="13"/>
    <m/>
    <m/>
    <n v="0"/>
    <n v="0"/>
    <n v="28533"/>
    <n v="30606"/>
    <n v="7679"/>
    <n v="7757"/>
    <n v="33061"/>
    <n v="35236"/>
    <n v="69273"/>
    <n v="2309.1"/>
    <n v="73599"/>
    <n v="2453.3000000000002"/>
    <n v="0"/>
    <m/>
    <n v="69273"/>
    <n v="73599"/>
    <m/>
    <m/>
    <m/>
    <m/>
    <m/>
    <m/>
    <m/>
    <m/>
    <n v="0"/>
    <n v="0"/>
    <n v="0"/>
    <n v="0"/>
    <m/>
    <m/>
    <n v="0"/>
    <n v="0"/>
  </r>
  <r>
    <x v="13"/>
    <s v="Alamo Community College District (ACCD)"/>
    <m/>
    <m/>
    <x v="15"/>
    <m/>
    <m/>
    <n v="23685"/>
    <n v="252414"/>
    <n v="8765"/>
    <n v="94935"/>
    <n v="0"/>
    <n v="0"/>
    <n v="40998"/>
    <n v="277394"/>
    <n v="73448"/>
    <n v="2448.2666666666669"/>
    <n v="624743"/>
    <n v="20824.766666666666"/>
    <n v="4983"/>
    <n v="66507"/>
    <n v="73448"/>
    <n v="624743"/>
    <n v="4504"/>
    <n v="20693"/>
    <n v="4096"/>
    <n v="24449"/>
    <n v="8516"/>
    <n v="21670"/>
    <n v="7712"/>
    <n v="28078"/>
    <n v="24828"/>
    <n v="27.586666666666666"/>
    <n v="94890"/>
    <n v="105.43333333333334"/>
    <m/>
    <m/>
    <n v="0"/>
    <n v="0"/>
  </r>
  <r>
    <x v="13"/>
    <s v="Dallas County Community College District (DCCCD)"/>
    <m/>
    <m/>
    <x v="15"/>
    <m/>
    <m/>
    <n v="122515"/>
    <n v="538294"/>
    <n v="66618"/>
    <n v="320019"/>
    <n v="0"/>
    <n v="0"/>
    <n v="113963"/>
    <n v="468317"/>
    <n v="303096"/>
    <n v="10103.200000000001"/>
    <n v="1326630"/>
    <n v="44221"/>
    <n v="59528"/>
    <n v="245489"/>
    <n v="303096"/>
    <n v="1326630"/>
    <n v="68378"/>
    <n v="433984"/>
    <n v="125931"/>
    <n v="381374"/>
    <n v="186923"/>
    <n v="444786"/>
    <n v="74717"/>
    <n v="605769"/>
    <n v="455949"/>
    <n v="506.61"/>
    <n v="1865913"/>
    <n v="2073.2366666666667"/>
    <m/>
    <m/>
    <n v="0"/>
    <n v="0"/>
  </r>
  <r>
    <x v="13"/>
    <s v="Dallas County Community College District (DCCCD)"/>
    <m/>
    <m/>
    <x v="16"/>
    <m/>
    <m/>
    <n v="605604"/>
    <n v="55167"/>
    <n v="355642"/>
    <n v="34177"/>
    <n v="0"/>
    <n v="0"/>
    <n v="507559"/>
    <n v="46970"/>
    <n v="1468805"/>
    <n v="48960.166666666664"/>
    <n v="136314"/>
    <n v="4543.8"/>
    <n v="246625"/>
    <n v="25347"/>
    <n v="1468805"/>
    <n v="136314"/>
    <n v="438188"/>
    <n v="38445"/>
    <n v="526037"/>
    <n v="35226"/>
    <n v="525612"/>
    <n v="79272"/>
    <n v="613962"/>
    <n v="28540"/>
    <n v="2103799"/>
    <n v="2337.5544444444445"/>
    <n v="181483"/>
    <n v="201.64777777777778"/>
    <m/>
    <m/>
    <n v="0"/>
    <n v="0"/>
  </r>
  <r>
    <x v="13"/>
    <s v="Howard County Community/Junior College District (HCJCD)"/>
    <m/>
    <m/>
    <x v="16"/>
    <m/>
    <m/>
    <n v="988"/>
    <n v="26824"/>
    <n v="12"/>
    <n v="4527"/>
    <n v="0"/>
    <n v="1948"/>
    <n v="975"/>
    <n v="31481"/>
    <n v="1975"/>
    <n v="65.833333333333329"/>
    <n v="64780"/>
    <n v="2159.3333333333335"/>
    <n v="0"/>
    <n v="18252"/>
    <n v="1975"/>
    <n v="64780"/>
    <n v="0"/>
    <n v="118680"/>
    <n v="0"/>
    <n v="152630"/>
    <n v="0"/>
    <n v="96293"/>
    <n v="0"/>
    <n v="128831"/>
    <n v="0"/>
    <n v="0"/>
    <n v="496434"/>
    <n v="551.59333333333336"/>
    <m/>
    <m/>
    <n v="0"/>
    <n v="0"/>
  </r>
  <r>
    <x v="13"/>
    <s v="Alamo Community College District (ACCD)"/>
    <m/>
    <m/>
    <x v="17"/>
    <m/>
    <m/>
    <n v="369689"/>
    <n v="42436"/>
    <n v="137158"/>
    <n v="11929"/>
    <n v="0"/>
    <n v="0"/>
    <n v="355045"/>
    <n v="51705"/>
    <n v="861892"/>
    <n v="28729.733333333334"/>
    <n v="106070"/>
    <n v="3535.6666666666665"/>
    <n v="109918"/>
    <n v="11300"/>
    <n v="861892"/>
    <n v="106070"/>
    <n v="49956"/>
    <n v="5504"/>
    <n v="61610"/>
    <n v="9140"/>
    <n v="72706"/>
    <n v="7072"/>
    <n v="73105"/>
    <n v="4168"/>
    <n v="257377"/>
    <n v="285.97444444444443"/>
    <n v="25884"/>
    <n v="28.76"/>
    <m/>
    <m/>
    <n v="0"/>
    <n v="0"/>
  </r>
  <r>
    <x v="13"/>
    <s v="Howard County Community/Junior College District (HCJCD)"/>
    <m/>
    <m/>
    <x v="17"/>
    <m/>
    <m/>
    <n v="26984"/>
    <n v="867"/>
    <n v="5229"/>
    <n v="9"/>
    <n v="2074"/>
    <n v="0"/>
    <n v="33895"/>
    <n v="667"/>
    <n v="68182"/>
    <n v="2272.7333333333331"/>
    <n v="1543"/>
    <n v="51.43333333333333"/>
    <n v="17371"/>
    <n v="0"/>
    <n v="68182"/>
    <n v="1543"/>
    <n v="112699"/>
    <n v="0"/>
    <n v="135796"/>
    <n v="0"/>
    <n v="142645"/>
    <n v="0"/>
    <n v="153367"/>
    <n v="0"/>
    <n v="544507"/>
    <n v="605.00777777777773"/>
    <n v="0"/>
    <n v="0"/>
    <m/>
    <m/>
    <n v="0"/>
    <n v="0"/>
  </r>
  <r>
    <x v="14"/>
    <s v="George Mason University "/>
    <m/>
    <n v="232186"/>
    <x v="0"/>
    <m/>
    <m/>
    <m/>
    <m/>
    <n v="319281"/>
    <n v="331742"/>
    <n v="58134"/>
    <n v="60579"/>
    <n v="348307.5"/>
    <n v="354280.5"/>
    <n v="725722.5"/>
    <n v="24190.75"/>
    <n v="746601.5"/>
    <n v="24886.716666666667"/>
    <n v="17469"/>
    <n v="19071"/>
    <n v="725722.5"/>
    <n v="746601.5"/>
    <m/>
    <m/>
    <m/>
    <m/>
    <m/>
    <m/>
    <m/>
    <m/>
    <n v="0"/>
    <n v="0"/>
    <n v="0"/>
    <n v="0"/>
    <m/>
    <m/>
    <n v="0"/>
    <n v="0"/>
  </r>
  <r>
    <x v="14"/>
    <s v="Old Dominion University "/>
    <m/>
    <n v="232982"/>
    <x v="0"/>
    <m/>
    <m/>
    <m/>
    <m/>
    <n v="216681"/>
    <n v="214868"/>
    <n v="51723"/>
    <n v="50618"/>
    <n v="238159"/>
    <n v="235382"/>
    <n v="506563"/>
    <n v="16885.433333333334"/>
    <n v="500868"/>
    <n v="16695.599999999999"/>
    <n v="98"/>
    <n v="57"/>
    <n v="506563"/>
    <n v="500868"/>
    <m/>
    <m/>
    <m/>
    <m/>
    <m/>
    <m/>
    <m/>
    <m/>
    <n v="0"/>
    <n v="0"/>
    <n v="0"/>
    <n v="0"/>
    <m/>
    <m/>
    <n v="0"/>
    <n v="0"/>
  </r>
  <r>
    <x v="14"/>
    <s v="University of Virginia"/>
    <m/>
    <n v="234076"/>
    <x v="0"/>
    <m/>
    <m/>
    <m/>
    <m/>
    <n v="235505"/>
    <n v="238170.5"/>
    <n v="16538.5"/>
    <n v="18999"/>
    <n v="245340.5"/>
    <n v="250197"/>
    <n v="497384"/>
    <n v="16579.466666666667"/>
    <n v="507366.5"/>
    <n v="16912.216666666667"/>
    <n v="0"/>
    <n v="0"/>
    <n v="497384"/>
    <n v="507366.5"/>
    <m/>
    <m/>
    <m/>
    <m/>
    <m/>
    <m/>
    <m/>
    <m/>
    <n v="0"/>
    <n v="0"/>
    <n v="0"/>
    <n v="0"/>
    <m/>
    <m/>
    <n v="0"/>
    <n v="0"/>
  </r>
  <r>
    <x v="14"/>
    <s v="Virginia Commonwealth University"/>
    <m/>
    <n v="234030"/>
    <x v="0"/>
    <m/>
    <m/>
    <m/>
    <m/>
    <n v="290194"/>
    <n v="287895.5"/>
    <n v="36343.5"/>
    <n v="33632.5"/>
    <n v="318408"/>
    <n v="310358"/>
    <n v="644945.5"/>
    <n v="21498.183333333334"/>
    <n v="631886"/>
    <n v="21062.866666666665"/>
    <n v="8116"/>
    <n v="7937"/>
    <n v="644945.5"/>
    <n v="631886"/>
    <m/>
    <m/>
    <m/>
    <m/>
    <m/>
    <m/>
    <m/>
    <m/>
    <n v="0"/>
    <n v="0"/>
    <n v="0"/>
    <n v="0"/>
    <m/>
    <m/>
    <n v="0"/>
    <n v="0"/>
  </r>
  <r>
    <x v="14"/>
    <s v="Virginia Tech "/>
    <m/>
    <n v="233921"/>
    <x v="0"/>
    <m/>
    <m/>
    <m/>
    <m/>
    <n v="401436"/>
    <n v="411483"/>
    <n v="27237"/>
    <n v="28196"/>
    <n v="426031"/>
    <n v="448243"/>
    <n v="854704"/>
    <n v="28490.133333333335"/>
    <n v="887922"/>
    <n v="29597.4"/>
    <n v="0"/>
    <n v="0"/>
    <n v="854704"/>
    <n v="887922"/>
    <m/>
    <m/>
    <m/>
    <m/>
    <m/>
    <m/>
    <m/>
    <m/>
    <n v="0"/>
    <n v="0"/>
    <n v="0"/>
    <n v="0"/>
    <m/>
    <m/>
    <n v="0"/>
    <n v="0"/>
  </r>
  <r>
    <x v="14"/>
    <s v="College of William &amp; Mary"/>
    <m/>
    <n v="231624"/>
    <x v="1"/>
    <m/>
    <m/>
    <m/>
    <m/>
    <n v="86380"/>
    <n v="86129.5"/>
    <n v="8915"/>
    <n v="8416"/>
    <n v="91145.5"/>
    <n v="89598"/>
    <n v="186440.5"/>
    <n v="6214.6833333333334"/>
    <n v="184143.5"/>
    <n v="6138.1166666666668"/>
    <n v="0"/>
    <n v="0"/>
    <n v="186440.5"/>
    <n v="184143.5"/>
    <m/>
    <m/>
    <m/>
    <m/>
    <m/>
    <m/>
    <m/>
    <m/>
    <n v="0"/>
    <n v="0"/>
    <n v="0"/>
    <n v="0"/>
    <m/>
    <m/>
    <n v="0"/>
    <n v="0"/>
  </r>
  <r>
    <x v="14"/>
    <s v="James Madison University"/>
    <m/>
    <n v="232423"/>
    <x v="2"/>
    <m/>
    <m/>
    <m/>
    <m/>
    <n v="270828"/>
    <n v="270251"/>
    <n v="31525"/>
    <n v="31946"/>
    <n v="290183"/>
    <n v="289383"/>
    <n v="592536"/>
    <n v="19751.2"/>
    <n v="591580"/>
    <n v="19719.333333333332"/>
    <n v="4949"/>
    <n v="4797"/>
    <n v="592536"/>
    <n v="591580"/>
    <m/>
    <m/>
    <m/>
    <m/>
    <m/>
    <m/>
    <m/>
    <m/>
    <n v="0"/>
    <n v="0"/>
    <n v="0"/>
    <n v="0"/>
    <m/>
    <m/>
    <n v="0"/>
    <n v="0"/>
  </r>
  <r>
    <x v="14"/>
    <s v="Longwood University "/>
    <s v="Met the criteria for Four-Year 5 in 2018-19 and 2019-20."/>
    <n v="232566"/>
    <x v="2"/>
    <m/>
    <m/>
    <m/>
    <m/>
    <n v="57425"/>
    <n v="54426"/>
    <n v="9097"/>
    <n v="8436"/>
    <n v="57618"/>
    <n v="52396"/>
    <n v="124140"/>
    <n v="4138"/>
    <n v="115258"/>
    <n v="3841.9333333333334"/>
    <n v="2785"/>
    <n v="3692"/>
    <n v="124140"/>
    <n v="115258"/>
    <m/>
    <m/>
    <m/>
    <m/>
    <m/>
    <m/>
    <m/>
    <m/>
    <n v="0"/>
    <n v="0"/>
    <n v="0"/>
    <n v="0"/>
    <m/>
    <m/>
    <n v="0"/>
    <n v="0"/>
  </r>
  <r>
    <x v="14"/>
    <s v="Norfolk State University "/>
    <s v="Met the criteria for Four-Year 4 in 2018-19 and 2019-20."/>
    <n v="232937"/>
    <x v="2"/>
    <m/>
    <m/>
    <m/>
    <m/>
    <n v="57119"/>
    <n v="59619"/>
    <n v="5505"/>
    <n v="5296"/>
    <n v="65258"/>
    <n v="72583"/>
    <n v="127882"/>
    <n v="4262.7333333333336"/>
    <n v="137498"/>
    <n v="4583.2666666666664"/>
    <n v="48"/>
    <n v="114"/>
    <n v="127882"/>
    <n v="137498"/>
    <m/>
    <m/>
    <m/>
    <m/>
    <m/>
    <m/>
    <m/>
    <m/>
    <n v="0"/>
    <n v="0"/>
    <n v="0"/>
    <n v="0"/>
    <m/>
    <m/>
    <n v="0"/>
    <n v="0"/>
  </r>
  <r>
    <x v="14"/>
    <s v="Radford University"/>
    <m/>
    <n v="233277"/>
    <x v="2"/>
    <m/>
    <m/>
    <m/>
    <m/>
    <n v="111758"/>
    <n v="107405.7"/>
    <n v="8908"/>
    <n v="8244"/>
    <n v="117088.7"/>
    <n v="117039"/>
    <n v="237754.7"/>
    <n v="7925.1566666666668"/>
    <n v="232688.7"/>
    <n v="7756.29"/>
    <n v="0"/>
    <n v="190"/>
    <n v="237754.7"/>
    <n v="232688.7"/>
    <m/>
    <m/>
    <m/>
    <m/>
    <m/>
    <m/>
    <m/>
    <m/>
    <n v="0"/>
    <n v="0"/>
    <n v="0"/>
    <n v="0"/>
    <m/>
    <m/>
    <n v="0"/>
    <n v="0"/>
  </r>
  <r>
    <x v="14"/>
    <s v="University of Mary Washington "/>
    <s v="Met the criteria for Four-Year 5 in 2018-19 and 2019-20."/>
    <n v="232681"/>
    <x v="2"/>
    <m/>
    <m/>
    <m/>
    <m/>
    <n v="56838"/>
    <n v="55598"/>
    <n v="5056"/>
    <n v="4385.2"/>
    <n v="60948"/>
    <n v="57520"/>
    <n v="122842"/>
    <n v="4094.7333333333331"/>
    <n v="117503.2"/>
    <n v="3916.7733333333331"/>
    <n v="36"/>
    <n v="41"/>
    <n v="122842"/>
    <n v="117503.2"/>
    <m/>
    <m/>
    <m/>
    <m/>
    <m/>
    <m/>
    <m/>
    <m/>
    <n v="0"/>
    <n v="0"/>
    <n v="0"/>
    <n v="0"/>
    <m/>
    <m/>
    <n v="0"/>
    <n v="0"/>
  </r>
  <r>
    <x v="14"/>
    <s v="Virginia State University "/>
    <m/>
    <n v="234155"/>
    <x v="2"/>
    <m/>
    <m/>
    <m/>
    <m/>
    <n v="57910"/>
    <n v="55400"/>
    <n v="4317"/>
    <n v="3597"/>
    <n v="60484"/>
    <n v="61113"/>
    <n v="122711"/>
    <n v="4090.3666666666668"/>
    <n v="120110"/>
    <n v="4003.6666666666665"/>
    <n v="0"/>
    <n v="0"/>
    <n v="122711"/>
    <n v="120110"/>
    <m/>
    <m/>
    <m/>
    <m/>
    <m/>
    <m/>
    <m/>
    <m/>
    <n v="0"/>
    <n v="0"/>
    <n v="0"/>
    <n v="0"/>
    <m/>
    <m/>
    <n v="0"/>
    <n v="0"/>
  </r>
  <r>
    <x v="14"/>
    <s v="Christopher Newport University"/>
    <m/>
    <n v="231712"/>
    <x v="4"/>
    <m/>
    <m/>
    <m/>
    <m/>
    <n v="68365"/>
    <n v="67359"/>
    <n v="1107"/>
    <n v="1199"/>
    <n v="72181"/>
    <n v="71353"/>
    <n v="141653"/>
    <n v="4721.7666666666664"/>
    <n v="139911"/>
    <n v="4663.7"/>
    <n v="135"/>
    <n v="69"/>
    <n v="141653"/>
    <n v="139911"/>
    <m/>
    <m/>
    <m/>
    <m/>
    <m/>
    <m/>
    <m/>
    <m/>
    <n v="0"/>
    <n v="0"/>
    <n v="0"/>
    <n v="0"/>
    <m/>
    <m/>
    <n v="0"/>
    <n v="0"/>
  </r>
  <r>
    <x v="14"/>
    <s v="University of Virginia's College at Wise "/>
    <m/>
    <n v="233897"/>
    <x v="5"/>
    <m/>
    <m/>
    <m/>
    <m/>
    <n v="20214"/>
    <n v="19984"/>
    <n v="5297"/>
    <n v="5739"/>
    <n v="20826"/>
    <n v="20107"/>
    <n v="46337"/>
    <n v="1544.5666666666666"/>
    <n v="45830"/>
    <n v="1527.6666666666667"/>
    <n v="541"/>
    <n v="210"/>
    <n v="46337"/>
    <n v="45830"/>
    <m/>
    <m/>
    <m/>
    <m/>
    <m/>
    <m/>
    <m/>
    <m/>
    <n v="0"/>
    <n v="0"/>
    <n v="0"/>
    <n v="0"/>
    <m/>
    <m/>
    <n v="0"/>
    <n v="0"/>
  </r>
  <r>
    <x v="14"/>
    <s v="J.S. Reynolds Community College"/>
    <m/>
    <n v="232414"/>
    <x v="6"/>
    <m/>
    <m/>
    <m/>
    <m/>
    <n v="69598"/>
    <n v="65842"/>
    <n v="26295"/>
    <n v="24828"/>
    <n v="72889"/>
    <n v="73376"/>
    <n v="168782"/>
    <n v="5626.0666666666666"/>
    <n v="164046"/>
    <n v="5468.2"/>
    <n v="35488"/>
    <n v="37438"/>
    <n v="168782"/>
    <n v="164046"/>
    <m/>
    <m/>
    <m/>
    <m/>
    <m/>
    <m/>
    <m/>
    <m/>
    <n v="0"/>
    <n v="0"/>
    <n v="0"/>
    <n v="0"/>
    <m/>
    <m/>
    <n v="0"/>
    <n v="0"/>
  </r>
  <r>
    <x v="14"/>
    <s v="John Tyler Community College"/>
    <m/>
    <n v="232450"/>
    <x v="6"/>
    <m/>
    <m/>
    <m/>
    <m/>
    <n v="70376"/>
    <n v="67858"/>
    <n v="18277"/>
    <n v="19524"/>
    <n v="75500"/>
    <n v="77954"/>
    <n v="164153"/>
    <n v="5471.7666666666664"/>
    <n v="165336"/>
    <n v="5511.2"/>
    <n v="57749"/>
    <n v="56531"/>
    <n v="164153"/>
    <n v="165336"/>
    <m/>
    <m/>
    <m/>
    <m/>
    <m/>
    <m/>
    <m/>
    <m/>
    <n v="0"/>
    <n v="0"/>
    <n v="0"/>
    <n v="0"/>
    <m/>
    <m/>
    <n v="0"/>
    <n v="0"/>
  </r>
  <r>
    <x v="14"/>
    <s v="Northern Virginia Community College "/>
    <m/>
    <n v="232946"/>
    <x v="6"/>
    <m/>
    <m/>
    <m/>
    <m/>
    <n v="398953"/>
    <n v="396630"/>
    <n v="126222"/>
    <n v="128474"/>
    <n v="426084"/>
    <n v="417201"/>
    <n v="951259"/>
    <n v="31708.633333333335"/>
    <n v="942305"/>
    <n v="31410.166666666668"/>
    <n v="144816"/>
    <n v="169234"/>
    <n v="951259"/>
    <n v="942305"/>
    <m/>
    <m/>
    <m/>
    <m/>
    <m/>
    <m/>
    <m/>
    <m/>
    <n v="0"/>
    <n v="0"/>
    <n v="0"/>
    <n v="0"/>
    <m/>
    <m/>
    <n v="0"/>
    <n v="0"/>
  </r>
  <r>
    <x v="14"/>
    <s v="Thomas Nelson Community College "/>
    <s v="Met the criteria for Two-Year 2 in 2019-20."/>
    <n v="233754"/>
    <x v="6"/>
    <m/>
    <m/>
    <m/>
    <m/>
    <n v="66078"/>
    <n v="63001"/>
    <n v="18698"/>
    <n v="19816"/>
    <n v="66038"/>
    <n v="62124"/>
    <n v="150814"/>
    <n v="5027.1333333333332"/>
    <n v="144941"/>
    <n v="4831.3666666666668"/>
    <n v="32269"/>
    <n v="34797"/>
    <n v="150814"/>
    <n v="144941"/>
    <m/>
    <m/>
    <m/>
    <m/>
    <m/>
    <m/>
    <m/>
    <m/>
    <n v="0"/>
    <n v="0"/>
    <n v="0"/>
    <n v="0"/>
    <m/>
    <m/>
    <n v="0"/>
    <n v="0"/>
  </r>
  <r>
    <x v="14"/>
    <s v="Tidewater Community College "/>
    <m/>
    <n v="233772"/>
    <x v="6"/>
    <m/>
    <m/>
    <m/>
    <m/>
    <n v="182023"/>
    <n v="168901"/>
    <n v="65586"/>
    <n v="67336"/>
    <n v="183173"/>
    <n v="167084"/>
    <n v="430782"/>
    <n v="14359.4"/>
    <n v="403321"/>
    <n v="13444.033333333333"/>
    <n v="36824"/>
    <n v="39929"/>
    <n v="430782"/>
    <n v="403321"/>
    <m/>
    <m/>
    <m/>
    <m/>
    <m/>
    <m/>
    <m/>
    <m/>
    <n v="0"/>
    <n v="0"/>
    <n v="0"/>
    <n v="0"/>
    <m/>
    <m/>
    <n v="0"/>
    <n v="0"/>
  </r>
  <r>
    <x v="14"/>
    <s v="Blue Ridge Community College "/>
    <m/>
    <n v="231536"/>
    <x v="7"/>
    <m/>
    <m/>
    <m/>
    <m/>
    <n v="29972"/>
    <n v="28432"/>
    <n v="7754"/>
    <n v="8066"/>
    <n v="34112"/>
    <n v="32435"/>
    <n v="71838"/>
    <n v="2394.6"/>
    <n v="68933"/>
    <n v="2297.7666666666669"/>
    <n v="18819"/>
    <n v="18672"/>
    <n v="71838"/>
    <n v="68933"/>
    <m/>
    <m/>
    <m/>
    <m/>
    <m/>
    <m/>
    <m/>
    <m/>
    <n v="0"/>
    <n v="0"/>
    <n v="0"/>
    <n v="0"/>
    <m/>
    <m/>
    <n v="0"/>
    <n v="0"/>
  </r>
  <r>
    <x v="14"/>
    <s v="Central Virginia Community College "/>
    <m/>
    <n v="231697"/>
    <x v="7"/>
    <m/>
    <m/>
    <m/>
    <m/>
    <n v="30922"/>
    <n v="29471"/>
    <n v="7351"/>
    <n v="7445"/>
    <n v="33917"/>
    <n v="32368"/>
    <n v="72190"/>
    <n v="2406.3333333333335"/>
    <n v="69284"/>
    <n v="2309.4666666666667"/>
    <n v="40769"/>
    <n v="41942"/>
    <n v="72190"/>
    <n v="69284"/>
    <m/>
    <m/>
    <m/>
    <m/>
    <m/>
    <m/>
    <m/>
    <m/>
    <n v="0"/>
    <n v="0"/>
    <n v="0"/>
    <n v="0"/>
    <m/>
    <m/>
    <n v="0"/>
    <n v="0"/>
  </r>
  <r>
    <x v="14"/>
    <s v="Germanna Community College"/>
    <m/>
    <n v="232195"/>
    <x v="7"/>
    <m/>
    <m/>
    <m/>
    <m/>
    <n v="51222"/>
    <n v="54169"/>
    <n v="15287"/>
    <n v="16690"/>
    <n v="59442"/>
    <n v="60281"/>
    <n v="125951"/>
    <n v="4198.3666666666668"/>
    <n v="131140"/>
    <n v="4371.333333333333"/>
    <n v="28057"/>
    <n v="30489"/>
    <n v="125951"/>
    <n v="131140"/>
    <m/>
    <m/>
    <m/>
    <m/>
    <m/>
    <m/>
    <m/>
    <m/>
    <n v="0"/>
    <n v="0"/>
    <n v="0"/>
    <n v="0"/>
    <m/>
    <m/>
    <n v="0"/>
    <n v="0"/>
  </r>
  <r>
    <x v="14"/>
    <s v="Lord Fairfax Community College"/>
    <m/>
    <n v="232575"/>
    <x v="7"/>
    <m/>
    <m/>
    <m/>
    <m/>
    <n v="50307"/>
    <n v="49530"/>
    <n v="11576"/>
    <n v="11344"/>
    <n v="57801"/>
    <n v="57466"/>
    <n v="119684"/>
    <n v="3989.4666666666667"/>
    <n v="118340"/>
    <n v="3944.6666666666665"/>
    <n v="71786"/>
    <n v="72475"/>
    <n v="119684"/>
    <n v="118340"/>
    <m/>
    <m/>
    <m/>
    <m/>
    <m/>
    <m/>
    <m/>
    <m/>
    <n v="0"/>
    <n v="0"/>
    <n v="0"/>
    <n v="0"/>
    <m/>
    <m/>
    <n v="0"/>
    <n v="0"/>
  </r>
  <r>
    <x v="14"/>
    <s v="New River Community College "/>
    <m/>
    <n v="232867"/>
    <x v="7"/>
    <m/>
    <m/>
    <m/>
    <m/>
    <n v="35915"/>
    <n v="32807"/>
    <n v="6412"/>
    <n v="6985"/>
    <n v="40127"/>
    <n v="39084"/>
    <n v="82454"/>
    <n v="2748.4666666666667"/>
    <n v="78876"/>
    <n v="2629.2"/>
    <n v="41196"/>
    <n v="39008"/>
    <n v="82454"/>
    <n v="78876"/>
    <m/>
    <m/>
    <m/>
    <m/>
    <m/>
    <m/>
    <m/>
    <m/>
    <n v="0"/>
    <n v="0"/>
    <n v="0"/>
    <n v="0"/>
    <m/>
    <m/>
    <n v="0"/>
    <n v="0"/>
  </r>
  <r>
    <x v="14"/>
    <s v="Piedmont Virginia Community College "/>
    <m/>
    <n v="233116"/>
    <x v="7"/>
    <m/>
    <m/>
    <m/>
    <m/>
    <n v="36696"/>
    <n v="33778"/>
    <n v="9617"/>
    <n v="9201"/>
    <n v="40917"/>
    <n v="40488"/>
    <n v="87230"/>
    <n v="2907.6666666666665"/>
    <n v="83467"/>
    <n v="2782.2333333333331"/>
    <n v="38851"/>
    <n v="38908"/>
    <n v="87230"/>
    <n v="83467"/>
    <m/>
    <m/>
    <m/>
    <m/>
    <m/>
    <m/>
    <m/>
    <m/>
    <n v="0"/>
    <n v="0"/>
    <n v="0"/>
    <n v="0"/>
    <m/>
    <m/>
    <n v="0"/>
    <n v="0"/>
  </r>
  <r>
    <x v="14"/>
    <s v="Southside Virginia Community College"/>
    <s v="Met the criteria for Two-Year 3 in 2019-20."/>
    <n v="233639"/>
    <x v="7"/>
    <m/>
    <m/>
    <m/>
    <m/>
    <n v="27740"/>
    <n v="25964"/>
    <n v="4657"/>
    <n v="4636"/>
    <n v="30377"/>
    <n v="28741"/>
    <n v="62774"/>
    <n v="2092.4666666666667"/>
    <n v="59341"/>
    <n v="1978.0333333333333"/>
    <n v="56880"/>
    <n v="52695"/>
    <n v="62774"/>
    <n v="59341"/>
    <m/>
    <m/>
    <m/>
    <m/>
    <m/>
    <m/>
    <m/>
    <m/>
    <n v="0"/>
    <n v="0"/>
    <n v="0"/>
    <n v="0"/>
    <m/>
    <m/>
    <n v="0"/>
    <n v="0"/>
  </r>
  <r>
    <x v="14"/>
    <s v="Virginia Western Community College "/>
    <m/>
    <n v="233949"/>
    <x v="7"/>
    <m/>
    <m/>
    <m/>
    <m/>
    <n v="48451"/>
    <n v="45483"/>
    <n v="12107"/>
    <n v="11786"/>
    <n v="54059"/>
    <n v="51394"/>
    <n v="114617"/>
    <n v="3820.5666666666666"/>
    <n v="108663"/>
    <n v="3622.1"/>
    <n v="47228"/>
    <n v="42365"/>
    <n v="114617"/>
    <n v="108663"/>
    <m/>
    <m/>
    <m/>
    <m/>
    <m/>
    <m/>
    <m/>
    <m/>
    <n v="0"/>
    <n v="0"/>
    <n v="0"/>
    <n v="0"/>
    <m/>
    <m/>
    <n v="0"/>
    <n v="0"/>
  </r>
  <r>
    <x v="14"/>
    <s v="D.S. Lancaster Community College "/>
    <m/>
    <n v="231873"/>
    <x v="8"/>
    <m/>
    <m/>
    <m/>
    <m/>
    <n v="8514"/>
    <n v="7634"/>
    <n v="1709"/>
    <n v="1364"/>
    <n v="9076"/>
    <n v="8844"/>
    <n v="19299"/>
    <n v="643.29999999999995"/>
    <n v="17842"/>
    <n v="594.73333333333335"/>
    <n v="9405"/>
    <n v="9159"/>
    <n v="19299"/>
    <n v="17842"/>
    <m/>
    <m/>
    <m/>
    <m/>
    <m/>
    <m/>
    <m/>
    <m/>
    <n v="0"/>
    <n v="0"/>
    <n v="0"/>
    <n v="0"/>
    <m/>
    <m/>
    <n v="0"/>
    <n v="0"/>
  </r>
  <r>
    <x v="14"/>
    <s v="Danville Community College "/>
    <m/>
    <n v="231882"/>
    <x v="8"/>
    <m/>
    <m/>
    <m/>
    <m/>
    <n v="23036"/>
    <n v="22528"/>
    <n v="5343"/>
    <n v="5711"/>
    <n v="24465"/>
    <n v="25680"/>
    <n v="52844"/>
    <n v="1761.4666666666667"/>
    <n v="53919"/>
    <n v="1797.3"/>
    <n v="27884"/>
    <n v="26334"/>
    <n v="52844"/>
    <n v="53919"/>
    <m/>
    <m/>
    <m/>
    <m/>
    <m/>
    <m/>
    <m/>
    <m/>
    <n v="0"/>
    <n v="0"/>
    <n v="0"/>
    <n v="0"/>
    <m/>
    <m/>
    <n v="0"/>
    <n v="0"/>
  </r>
  <r>
    <x v="14"/>
    <s v="Eastern Shore Community College"/>
    <m/>
    <n v="232052"/>
    <x v="8"/>
    <m/>
    <m/>
    <m/>
    <m/>
    <n v="4980"/>
    <n v="4613"/>
    <n v="707"/>
    <n v="814"/>
    <n v="5181"/>
    <n v="4972"/>
    <n v="10868"/>
    <n v="362.26666666666665"/>
    <n v="10399"/>
    <n v="346.63333333333333"/>
    <n v="5820"/>
    <n v="6051"/>
    <n v="10868"/>
    <n v="10399"/>
    <m/>
    <m/>
    <m/>
    <m/>
    <m/>
    <m/>
    <m/>
    <m/>
    <n v="0"/>
    <n v="0"/>
    <n v="0"/>
    <n v="0"/>
    <m/>
    <m/>
    <n v="0"/>
    <n v="0"/>
  </r>
  <r>
    <x v="14"/>
    <s v="Mountain Empire Community College"/>
    <m/>
    <n v="232788"/>
    <x v="8"/>
    <m/>
    <m/>
    <m/>
    <m/>
    <n v="19795"/>
    <n v="19771"/>
    <n v="4956"/>
    <n v="5223"/>
    <n v="21901"/>
    <n v="21954"/>
    <n v="46652"/>
    <n v="1555.0666666666666"/>
    <n v="46948"/>
    <n v="1564.9333333333334"/>
    <n v="26078"/>
    <n v="25482"/>
    <n v="46652"/>
    <n v="46948"/>
    <m/>
    <m/>
    <m/>
    <m/>
    <m/>
    <m/>
    <m/>
    <m/>
    <n v="0"/>
    <n v="0"/>
    <n v="0"/>
    <n v="0"/>
    <m/>
    <m/>
    <n v="0"/>
    <n v="0"/>
  </r>
  <r>
    <x v="14"/>
    <s v="Patrick Henry Community College "/>
    <m/>
    <n v="233019"/>
    <x v="8"/>
    <m/>
    <m/>
    <m/>
    <m/>
    <n v="21047"/>
    <n v="21431"/>
    <n v="3705"/>
    <n v="4562"/>
    <n v="25031"/>
    <n v="24493"/>
    <n v="49783"/>
    <n v="1659.4333333333334"/>
    <n v="50486"/>
    <n v="1682.8666666666666"/>
    <n v="27940"/>
    <n v="26448"/>
    <n v="49783"/>
    <n v="50486"/>
    <m/>
    <m/>
    <m/>
    <m/>
    <m/>
    <m/>
    <m/>
    <m/>
    <n v="0"/>
    <n v="0"/>
    <n v="0"/>
    <n v="0"/>
    <m/>
    <m/>
    <n v="0"/>
    <n v="0"/>
  </r>
  <r>
    <x v="14"/>
    <s v="Paul D. Camp Community College"/>
    <m/>
    <n v="233037"/>
    <x v="8"/>
    <m/>
    <m/>
    <m/>
    <m/>
    <n v="9696"/>
    <n v="9888"/>
    <n v="2844"/>
    <n v="3168"/>
    <n v="10880"/>
    <n v="10347"/>
    <n v="23420"/>
    <n v="780.66666666666663"/>
    <n v="23403"/>
    <n v="780.1"/>
    <n v="15053"/>
    <n v="15017"/>
    <n v="23420"/>
    <n v="23403"/>
    <m/>
    <m/>
    <m/>
    <m/>
    <m/>
    <m/>
    <m/>
    <m/>
    <n v="0"/>
    <n v="0"/>
    <n v="0"/>
    <n v="0"/>
    <m/>
    <m/>
    <n v="0"/>
    <n v="0"/>
  </r>
  <r>
    <x v="14"/>
    <s v="Rappahannock Community College"/>
    <m/>
    <n v="233310"/>
    <x v="8"/>
    <m/>
    <m/>
    <m/>
    <m/>
    <n v="22862"/>
    <n v="20918"/>
    <n v="5797"/>
    <n v="5806"/>
    <n v="25180"/>
    <n v="24082"/>
    <n v="53839"/>
    <n v="1794.6333333333334"/>
    <n v="50806"/>
    <n v="1693.5333333333333"/>
    <n v="44315"/>
    <n v="40765"/>
    <n v="53839"/>
    <n v="50806"/>
    <m/>
    <m/>
    <m/>
    <m/>
    <m/>
    <m/>
    <m/>
    <m/>
    <n v="0"/>
    <n v="0"/>
    <n v="0"/>
    <n v="0"/>
    <m/>
    <m/>
    <n v="0"/>
    <n v="0"/>
  </r>
  <r>
    <x v="14"/>
    <s v="Richard Bland College "/>
    <m/>
    <n v="233338"/>
    <x v="8"/>
    <m/>
    <m/>
    <m/>
    <m/>
    <n v="16772"/>
    <n v="16910"/>
    <n v="1166"/>
    <n v="1586"/>
    <n v="20013"/>
    <n v="19383"/>
    <n v="37951"/>
    <n v="1265.0333333333333"/>
    <n v="37879"/>
    <n v="1262.6333333333334"/>
    <n v="27380"/>
    <n v="27079"/>
    <n v="37951"/>
    <n v="37879"/>
    <m/>
    <m/>
    <m/>
    <m/>
    <m/>
    <m/>
    <m/>
    <m/>
    <n v="0"/>
    <n v="0"/>
    <n v="0"/>
    <n v="0"/>
    <m/>
    <m/>
    <n v="0"/>
    <n v="0"/>
  </r>
  <r>
    <x v="14"/>
    <s v="Southwest Virginia Community College "/>
    <m/>
    <n v="233648"/>
    <x v="8"/>
    <m/>
    <m/>
    <m/>
    <m/>
    <n v="18881"/>
    <n v="19005"/>
    <n v="6772"/>
    <n v="5520"/>
    <n v="22714"/>
    <n v="23028"/>
    <n v="48367"/>
    <n v="1612.2333333333333"/>
    <n v="47553"/>
    <n v="1585.1"/>
    <n v="17095"/>
    <n v="17717"/>
    <n v="48367"/>
    <n v="47553"/>
    <m/>
    <m/>
    <m/>
    <m/>
    <m/>
    <m/>
    <m/>
    <m/>
    <n v="0"/>
    <n v="0"/>
    <n v="0"/>
    <n v="0"/>
    <m/>
    <m/>
    <n v="0"/>
    <n v="0"/>
  </r>
  <r>
    <x v="14"/>
    <s v="Virginia Highlands Community College "/>
    <m/>
    <n v="233903"/>
    <x v="8"/>
    <m/>
    <m/>
    <m/>
    <m/>
    <n v="18616"/>
    <n v="18809"/>
    <n v="3667"/>
    <n v="3759"/>
    <n v="21502"/>
    <n v="21325"/>
    <n v="43785"/>
    <n v="1459.5"/>
    <n v="43893"/>
    <n v="1463.1"/>
    <n v="21131"/>
    <n v="20603"/>
    <n v="43785"/>
    <n v="43893"/>
    <m/>
    <m/>
    <m/>
    <m/>
    <m/>
    <m/>
    <m/>
    <m/>
    <n v="0"/>
    <n v="0"/>
    <n v="0"/>
    <n v="0"/>
    <m/>
    <m/>
    <n v="0"/>
    <n v="0"/>
  </r>
  <r>
    <x v="14"/>
    <s v="Wytheville Community College "/>
    <m/>
    <n v="234377"/>
    <x v="8"/>
    <m/>
    <m/>
    <m/>
    <m/>
    <n v="21216"/>
    <n v="20070"/>
    <n v="4911"/>
    <n v="4658"/>
    <n v="22057"/>
    <n v="21986"/>
    <n v="48184"/>
    <n v="1606.1333333333334"/>
    <n v="46714"/>
    <n v="1557.1333333333334"/>
    <n v="29655"/>
    <n v="27982"/>
    <n v="48184"/>
    <n v="46714"/>
    <m/>
    <m/>
    <m/>
    <m/>
    <m/>
    <m/>
    <m/>
    <m/>
    <n v="0"/>
    <n v="0"/>
    <n v="0"/>
    <n v="0"/>
    <m/>
    <m/>
    <n v="0"/>
    <n v="0"/>
  </r>
  <r>
    <x v="14"/>
    <s v="All Community Colleges except R. Bland"/>
    <m/>
    <s v="All CC - Bland"/>
    <x v="14"/>
    <m/>
    <m/>
    <m/>
    <m/>
    <n v="1245680"/>
    <n v="1226533"/>
    <n v="365339"/>
    <n v="376716"/>
    <n v="1340366"/>
    <n v="1326707"/>
    <n v="2951385"/>
    <n v="98379.5"/>
    <n v="2929956"/>
    <n v="97665.2"/>
    <n v="845453"/>
    <n v="890041"/>
    <n v="2951385"/>
    <n v="2929956"/>
    <m/>
    <m/>
    <m/>
    <m/>
    <m/>
    <m/>
    <m/>
    <m/>
    <n v="0"/>
    <n v="0"/>
    <n v="0"/>
    <n v="0"/>
    <m/>
    <m/>
    <n v="0"/>
    <n v="0"/>
  </r>
  <r>
    <x v="14"/>
    <m/>
    <s v="all 8's"/>
    <m/>
    <x v="15"/>
    <m/>
    <m/>
    <m/>
    <m/>
    <n v="787028"/>
    <n v="762232"/>
    <n v="255078"/>
    <n v="259978"/>
    <n v="823684"/>
    <n v="797739"/>
    <n v="1865790"/>
    <n v="62193"/>
    <n v="1819949"/>
    <n v="60664.966666666667"/>
    <n v="307146"/>
    <n v="337929"/>
    <n v="1865790"/>
    <n v="1819949"/>
    <m/>
    <m/>
    <m/>
    <m/>
    <m/>
    <m/>
    <m/>
    <m/>
    <n v="0"/>
    <n v="0"/>
    <n v="0"/>
    <n v="0"/>
    <m/>
    <m/>
    <n v="0"/>
    <n v="0"/>
  </r>
  <r>
    <x v="14"/>
    <m/>
    <s v="all 9's"/>
    <m/>
    <x v="16"/>
    <m/>
    <m/>
    <m/>
    <m/>
    <n v="334261"/>
    <n v="299634"/>
    <n v="80104"/>
    <n v="76153"/>
    <n v="375217"/>
    <n v="342257"/>
    <n v="789582"/>
    <n v="26319.4"/>
    <n v="718044"/>
    <n v="23934.799999999999"/>
    <n v="371470"/>
    <n v="336554"/>
    <n v="789582"/>
    <n v="718044"/>
    <m/>
    <m/>
    <m/>
    <m/>
    <m/>
    <m/>
    <m/>
    <m/>
    <n v="0"/>
    <n v="0"/>
    <n v="0"/>
    <n v="0"/>
    <m/>
    <m/>
    <n v="0"/>
    <n v="0"/>
  </r>
  <r>
    <x v="14"/>
    <s v="Richard Bland College B"/>
    <m/>
    <s v="233338"/>
    <x v="17"/>
    <m/>
    <m/>
    <m/>
    <m/>
    <n v="16772"/>
    <n v="16910"/>
    <n v="1166"/>
    <n v="1586"/>
    <n v="20013"/>
    <n v="19383"/>
    <n v="37951"/>
    <n v="1265.0333333333333"/>
    <n v="37879"/>
    <n v="1262.6333333333334"/>
    <n v="27380"/>
    <n v="27079"/>
    <n v="37951"/>
    <n v="37879"/>
    <m/>
    <m/>
    <m/>
    <m/>
    <m/>
    <m/>
    <m/>
    <m/>
    <n v="0"/>
    <n v="0"/>
    <n v="0"/>
    <n v="0"/>
    <m/>
    <m/>
    <n v="0"/>
    <n v="0"/>
  </r>
  <r>
    <x v="14"/>
    <m/>
    <s v="All'10's except R.B."/>
    <m/>
    <x v="17"/>
    <m/>
    <m/>
    <m/>
    <m/>
    <n v="145607"/>
    <n v="164667"/>
    <n v="35068"/>
    <n v="40585"/>
    <n v="163522"/>
    <n v="186711"/>
    <n v="344197"/>
    <n v="11473.233333333334"/>
    <n v="391963"/>
    <n v="13065.433333333332"/>
    <n v="196492"/>
    <n v="215558"/>
    <n v="344197"/>
    <n v="391963"/>
    <m/>
    <m/>
    <m/>
    <m/>
    <m/>
    <m/>
    <m/>
    <m/>
    <n v="0"/>
    <n v="0"/>
    <n v="0"/>
    <n v="0"/>
    <m/>
    <m/>
    <n v="0"/>
    <n v="0"/>
  </r>
  <r>
    <x v="15"/>
    <s v="West Virginia University"/>
    <m/>
    <n v="238032"/>
    <x v="0"/>
    <s v="sem"/>
    <s v="sem"/>
    <m/>
    <m/>
    <n v="283827"/>
    <n v="272304"/>
    <n v="45005"/>
    <n v="39413"/>
    <n v="293368"/>
    <n v="295898.5"/>
    <n v="622200"/>
    <n v="20740"/>
    <n v="607615.5"/>
    <n v="20253.849999999999"/>
    <n v="4945"/>
    <n v="5494"/>
    <n v="622200"/>
    <n v="607615.5"/>
    <m/>
    <m/>
    <m/>
    <m/>
    <m/>
    <m/>
    <m/>
    <m/>
    <n v="0"/>
    <n v="0"/>
    <n v="0"/>
    <n v="0"/>
    <m/>
    <m/>
    <n v="0"/>
    <n v="0"/>
  </r>
  <r>
    <x v="15"/>
    <s v="Marshall University "/>
    <m/>
    <n v="237525"/>
    <x v="2"/>
    <s v="sem"/>
    <s v="sem"/>
    <m/>
    <m/>
    <n v="117767"/>
    <n v="112777"/>
    <n v="11542"/>
    <n v="10949"/>
    <n v="125285"/>
    <n v="120831"/>
    <n v="254594"/>
    <n v="8486.4666666666672"/>
    <n v="244557"/>
    <n v="8151.9"/>
    <n v="13374"/>
    <n v="15505"/>
    <n v="254594"/>
    <n v="244557"/>
    <m/>
    <m/>
    <m/>
    <m/>
    <m/>
    <m/>
    <m/>
    <m/>
    <n v="0"/>
    <n v="0"/>
    <n v="0"/>
    <n v="0"/>
    <m/>
    <m/>
    <n v="0"/>
    <n v="0"/>
  </r>
  <r>
    <x v="15"/>
    <s v="Concord University "/>
    <m/>
    <n v="237330"/>
    <x v="4"/>
    <s v="sem"/>
    <s v="sem"/>
    <m/>
    <m/>
    <n v="23734"/>
    <n v="21786"/>
    <n v="2553"/>
    <n v="1814"/>
    <n v="24911"/>
    <n v="22807"/>
    <n v="51198"/>
    <n v="1706.6"/>
    <n v="46407"/>
    <n v="1546.9"/>
    <n v="585"/>
    <n v="419"/>
    <n v="51198"/>
    <n v="46407"/>
    <m/>
    <m/>
    <m/>
    <m/>
    <m/>
    <m/>
    <m/>
    <m/>
    <n v="0"/>
    <n v="0"/>
    <n v="0"/>
    <n v="0"/>
    <m/>
    <m/>
    <n v="0"/>
    <n v="0"/>
  </r>
  <r>
    <x v="15"/>
    <s v="Fairmont State University"/>
    <m/>
    <n v="237367"/>
    <x v="4"/>
    <s v="sem"/>
    <s v="sem"/>
    <m/>
    <m/>
    <n v="45385"/>
    <n v="44948"/>
    <n v="4210"/>
    <n v="3862"/>
    <n v="50233"/>
    <n v="47863"/>
    <n v="99828"/>
    <n v="3327.6"/>
    <n v="96673"/>
    <n v="3222.4333333333334"/>
    <n v="582"/>
    <n v="1138"/>
    <n v="99828"/>
    <n v="96673"/>
    <m/>
    <m/>
    <m/>
    <m/>
    <m/>
    <m/>
    <m/>
    <m/>
    <n v="0"/>
    <n v="0"/>
    <n v="0"/>
    <n v="0"/>
    <m/>
    <m/>
    <n v="0"/>
    <n v="0"/>
  </r>
  <r>
    <x v="15"/>
    <s v="Shepherd University "/>
    <m/>
    <n v="237792"/>
    <x v="4"/>
    <s v="sem"/>
    <s v="sem"/>
    <m/>
    <m/>
    <n v="38718.5"/>
    <n v="37523"/>
    <n v="3222"/>
    <n v="3764"/>
    <n v="42229"/>
    <n v="39624.5"/>
    <n v="84169.5"/>
    <n v="2805.65"/>
    <n v="80911.5"/>
    <n v="2697.05"/>
    <n v="629.5"/>
    <n v="1256"/>
    <n v="84169.5"/>
    <n v="80911.5"/>
    <m/>
    <m/>
    <m/>
    <m/>
    <m/>
    <m/>
    <m/>
    <m/>
    <n v="0"/>
    <n v="0"/>
    <n v="0"/>
    <n v="0"/>
    <m/>
    <m/>
    <n v="0"/>
    <n v="0"/>
  </r>
  <r>
    <x v="15"/>
    <s v="West Liberty University"/>
    <s v="Met the criteria for Four-Year 4 in 2019-20."/>
    <n v="237932"/>
    <x v="4"/>
    <s v="sem"/>
    <s v="sem"/>
    <m/>
    <m/>
    <n v="28467"/>
    <n v="28073"/>
    <n v="1340"/>
    <n v="1959"/>
    <n v="32011"/>
    <n v="31312"/>
    <n v="61818"/>
    <n v="2060.6"/>
    <n v="61344"/>
    <n v="2044.8"/>
    <n v="1593"/>
    <n v="1637"/>
    <n v="61818"/>
    <n v="61344"/>
    <m/>
    <m/>
    <m/>
    <m/>
    <m/>
    <m/>
    <m/>
    <m/>
    <n v="0"/>
    <n v="0"/>
    <n v="0"/>
    <n v="0"/>
    <m/>
    <m/>
    <n v="0"/>
    <n v="0"/>
  </r>
  <r>
    <x v="15"/>
    <s v="Bluefield State College "/>
    <m/>
    <n v="237215"/>
    <x v="5"/>
    <s v="sem"/>
    <s v="sem"/>
    <m/>
    <m/>
    <n v="16431"/>
    <n v="15388"/>
    <n v="1443"/>
    <n v="1266"/>
    <n v="16441"/>
    <n v="16030"/>
    <n v="34315"/>
    <n v="1143.8333333333333"/>
    <n v="32684"/>
    <n v="1089.4666666666667"/>
    <n v="329"/>
    <n v="569"/>
    <n v="34315"/>
    <n v="32684"/>
    <m/>
    <m/>
    <m/>
    <m/>
    <m/>
    <m/>
    <m/>
    <m/>
    <n v="0"/>
    <n v="0"/>
    <n v="0"/>
    <n v="0"/>
    <m/>
    <m/>
    <n v="0"/>
    <n v="0"/>
  </r>
  <r>
    <x v="15"/>
    <s v="Glenville State College "/>
    <m/>
    <n v="237385"/>
    <x v="5"/>
    <s v="sem"/>
    <s v="sem"/>
    <m/>
    <m/>
    <n v="15719.5"/>
    <n v="14895"/>
    <n v="1533.6"/>
    <n v="1887"/>
    <n v="17621"/>
    <n v="18286"/>
    <n v="34874.1"/>
    <n v="1162.47"/>
    <n v="35068"/>
    <n v="1168.9333333333334"/>
    <n v="2033"/>
    <n v="3467"/>
    <n v="34874.1"/>
    <n v="35068"/>
    <m/>
    <m/>
    <m/>
    <m/>
    <m/>
    <m/>
    <m/>
    <m/>
    <n v="0"/>
    <n v="0"/>
    <n v="0"/>
    <n v="0"/>
    <m/>
    <m/>
    <n v="0"/>
    <n v="0"/>
  </r>
  <r>
    <x v="15"/>
    <s v="West Virginia State University "/>
    <s v="Met the criteria for Four-Year 4 in 2019-20."/>
    <n v="237899"/>
    <x v="5"/>
    <s v="sem"/>
    <s v="sem"/>
    <m/>
    <m/>
    <n v="31779"/>
    <n v="30661"/>
    <n v="1874"/>
    <n v="1940"/>
    <n v="35137"/>
    <n v="36943"/>
    <n v="68790"/>
    <n v="2293"/>
    <n v="69544"/>
    <n v="2318.1333333333332"/>
    <n v="16011"/>
    <n v="18900"/>
    <n v="68790"/>
    <n v="69544"/>
    <m/>
    <m/>
    <m/>
    <m/>
    <m/>
    <m/>
    <m/>
    <m/>
    <n v="0"/>
    <n v="0"/>
    <n v="0"/>
    <n v="0"/>
    <m/>
    <m/>
    <n v="0"/>
    <n v="0"/>
  </r>
  <r>
    <x v="15"/>
    <s v="West Virginia University Institute of Technology"/>
    <m/>
    <n v="237950"/>
    <x v="5"/>
    <s v="sem"/>
    <s v="sem"/>
    <m/>
    <m/>
    <n v="17847"/>
    <n v="19102"/>
    <n v="1201"/>
    <n v="1112"/>
    <n v="20443"/>
    <n v="20198"/>
    <n v="39491"/>
    <n v="1316.3666666666666"/>
    <n v="40412"/>
    <n v="1347.0666666666666"/>
    <n v="3190"/>
    <n v="3842"/>
    <n v="39491"/>
    <n v="40412"/>
    <m/>
    <m/>
    <m/>
    <m/>
    <m/>
    <m/>
    <m/>
    <m/>
    <n v="0"/>
    <n v="0"/>
    <n v="0"/>
    <n v="0"/>
    <m/>
    <m/>
    <n v="0"/>
    <n v="0"/>
  </r>
  <r>
    <x v="15"/>
    <s v="Potomac State College of West Virginia University"/>
    <m/>
    <n v="237701"/>
    <x v="12"/>
    <s v="sem"/>
    <s v="sem"/>
    <m/>
    <m/>
    <n v="15052"/>
    <n v="15097"/>
    <n v="1123"/>
    <n v="955"/>
    <n v="17119"/>
    <n v="16496"/>
    <n v="33294"/>
    <n v="1109.8"/>
    <n v="32548"/>
    <n v="1084.9333333333334"/>
    <n v="2321"/>
    <n v="2437"/>
    <n v="33294"/>
    <n v="32548"/>
    <m/>
    <m/>
    <m/>
    <m/>
    <m/>
    <m/>
    <m/>
    <m/>
    <n v="0"/>
    <n v="0"/>
    <n v="0"/>
    <n v="0"/>
    <m/>
    <m/>
    <n v="0"/>
    <n v="0"/>
  </r>
  <r>
    <x v="15"/>
    <s v="West Virginia University at Parkersburg"/>
    <m/>
    <n v="237686"/>
    <x v="12"/>
    <s v="sem"/>
    <s v="sem"/>
    <m/>
    <m/>
    <n v="24030"/>
    <n v="23587"/>
    <n v="4215"/>
    <n v="3804"/>
    <n v="25597"/>
    <n v="26533"/>
    <n v="53842"/>
    <n v="1794.7333333333333"/>
    <n v="53924"/>
    <n v="1797.4666666666667"/>
    <n v="3721"/>
    <n v="7898"/>
    <n v="53842"/>
    <n v="53924"/>
    <m/>
    <m/>
    <m/>
    <m/>
    <m/>
    <m/>
    <m/>
    <m/>
    <n v="0"/>
    <n v="0"/>
    <n v="0"/>
    <n v="0"/>
    <m/>
    <m/>
    <n v="0"/>
    <n v="0"/>
  </r>
  <r>
    <x v="15"/>
    <s v="Blue Ridge Community &amp; Technical College"/>
    <s v="Reclassified: Met the criteria for Two-Year 2 in 2017-18, 2018-19, and 2019-20. "/>
    <n v="446774"/>
    <x v="7"/>
    <s v="sem"/>
    <s v="sem"/>
    <m/>
    <m/>
    <n v="27320.3"/>
    <n v="28981"/>
    <n v="3266"/>
    <n v="2760"/>
    <n v="34937.800000000003"/>
    <n v="33613.699999999997"/>
    <n v="65524.100000000006"/>
    <n v="2184.1366666666668"/>
    <n v="65354.7"/>
    <n v="2178.4899999999998"/>
    <n v="7318"/>
    <n v="8314"/>
    <n v="65524.100000000006"/>
    <n v="65354.7"/>
    <m/>
    <m/>
    <m/>
    <m/>
    <m/>
    <m/>
    <m/>
    <m/>
    <n v="0"/>
    <n v="0"/>
    <n v="0"/>
    <n v="0"/>
    <m/>
    <m/>
    <n v="0"/>
    <n v="0"/>
  </r>
  <r>
    <x v="15"/>
    <s v="BridgeValley Community &amp; Technical College"/>
    <m/>
    <n v="484932"/>
    <x v="8"/>
    <s v="sem"/>
    <s v="sem"/>
    <m/>
    <m/>
    <n v="17736"/>
    <n v="16609"/>
    <n v="1810"/>
    <n v="1302"/>
    <n v="18833"/>
    <n v="19840"/>
    <n v="38379"/>
    <n v="1279.3"/>
    <n v="37751"/>
    <n v="1258.3666666666666"/>
    <n v="284"/>
    <n v="58"/>
    <n v="38379"/>
    <n v="37751"/>
    <m/>
    <m/>
    <m/>
    <m/>
    <m/>
    <m/>
    <m/>
    <m/>
    <n v="0"/>
    <n v="0"/>
    <n v="0"/>
    <n v="0"/>
    <m/>
    <m/>
    <n v="0"/>
    <n v="0"/>
  </r>
  <r>
    <x v="15"/>
    <s v="Eastern West Virginia Community &amp; Technical College"/>
    <m/>
    <n v="438708"/>
    <x v="8"/>
    <s v="sem"/>
    <s v="sem"/>
    <m/>
    <m/>
    <n v="3703"/>
    <n v="3217"/>
    <n v="477"/>
    <n v="330"/>
    <n v="3678"/>
    <n v="4060"/>
    <n v="7858"/>
    <n v="261.93333333333334"/>
    <n v="7607"/>
    <n v="253.56666666666666"/>
    <n v="1560"/>
    <n v="1478"/>
    <n v="7858"/>
    <n v="7607"/>
    <m/>
    <m/>
    <m/>
    <m/>
    <m/>
    <m/>
    <m/>
    <m/>
    <n v="0"/>
    <n v="0"/>
    <n v="0"/>
    <n v="0"/>
    <m/>
    <m/>
    <n v="0"/>
    <n v="0"/>
  </r>
  <r>
    <x v="15"/>
    <s v="Mountwest Community &amp; Technical College"/>
    <m/>
    <n v="444954"/>
    <x v="8"/>
    <s v="sem"/>
    <s v="sem"/>
    <m/>
    <m/>
    <n v="17422"/>
    <n v="17701"/>
    <n v="3572"/>
    <n v="4217"/>
    <n v="19384"/>
    <n v="19143"/>
    <n v="40378"/>
    <n v="1345.9333333333334"/>
    <n v="41061"/>
    <n v="1368.7"/>
    <n v="2378"/>
    <n v="3136"/>
    <n v="40378"/>
    <n v="41061"/>
    <m/>
    <m/>
    <m/>
    <m/>
    <m/>
    <m/>
    <m/>
    <m/>
    <n v="0"/>
    <n v="0"/>
    <n v="0"/>
    <n v="0"/>
    <m/>
    <m/>
    <n v="0"/>
    <n v="0"/>
  </r>
  <r>
    <x v="15"/>
    <s v="New River Community &amp; Technical College"/>
    <m/>
    <n v="447582"/>
    <x v="8"/>
    <s v="sem"/>
    <s v="sem"/>
    <m/>
    <m/>
    <n v="11545"/>
    <n v="10659"/>
    <n v="2492"/>
    <n v="2595"/>
    <n v="12325"/>
    <n v="12437"/>
    <n v="26362"/>
    <n v="878.73333333333335"/>
    <n v="25691"/>
    <n v="856.36666666666667"/>
    <n v="1874"/>
    <n v="2447"/>
    <n v="26362"/>
    <n v="25691"/>
    <m/>
    <m/>
    <m/>
    <m/>
    <m/>
    <m/>
    <m/>
    <m/>
    <n v="0"/>
    <n v="0"/>
    <n v="0"/>
    <n v="0"/>
    <m/>
    <m/>
    <n v="0"/>
    <n v="0"/>
  </r>
  <r>
    <x v="15"/>
    <s v="Pierpont Community &amp; Technical College"/>
    <m/>
    <n v="443492"/>
    <x v="8"/>
    <s v="sem"/>
    <s v="sem"/>
    <m/>
    <m/>
    <n v="16601"/>
    <n v="16003"/>
    <n v="1519"/>
    <n v="1807"/>
    <n v="19418"/>
    <n v="20230"/>
    <n v="37538"/>
    <n v="1251.2666666666667"/>
    <n v="38040"/>
    <n v="1268"/>
    <n v="4462"/>
    <n v="4262"/>
    <n v="37538"/>
    <n v="38040"/>
    <m/>
    <m/>
    <m/>
    <m/>
    <m/>
    <m/>
    <m/>
    <m/>
    <n v="0"/>
    <n v="0"/>
    <n v="0"/>
    <n v="0"/>
    <m/>
    <m/>
    <n v="0"/>
    <n v="0"/>
  </r>
  <r>
    <x v="15"/>
    <s v="Southern West Virginia Community &amp; Technical College "/>
    <m/>
    <n v="237817"/>
    <x v="8"/>
    <s v="sem"/>
    <s v="sem"/>
    <m/>
    <m/>
    <n v="16446"/>
    <n v="14689"/>
    <n v="965"/>
    <n v="1047"/>
    <n v="16865"/>
    <n v="16756"/>
    <n v="34276"/>
    <n v="1142.5333333333333"/>
    <n v="32492"/>
    <n v="1083.0666666666666"/>
    <n v="865"/>
    <n v="1232"/>
    <n v="34276"/>
    <n v="32492"/>
    <m/>
    <m/>
    <m/>
    <m/>
    <m/>
    <m/>
    <m/>
    <m/>
    <n v="0"/>
    <n v="0"/>
    <n v="0"/>
    <n v="0"/>
    <m/>
    <m/>
    <n v="0"/>
    <n v="0"/>
  </r>
  <r>
    <x v="15"/>
    <s v="West Virginia Northern Community College"/>
    <m/>
    <n v="238014"/>
    <x v="8"/>
    <s v="sem"/>
    <s v="sem"/>
    <m/>
    <m/>
    <n v="14000.6"/>
    <n v="13346.4"/>
    <n v="3405"/>
    <n v="2648"/>
    <n v="14740"/>
    <n v="14318.2"/>
    <n v="32145.599999999999"/>
    <n v="1071.52"/>
    <n v="30312.6"/>
    <n v="1010.42"/>
    <n v="4545"/>
    <n v="4139"/>
    <n v="32145.599999999999"/>
    <n v="30312.6"/>
    <m/>
    <m/>
    <m/>
    <m/>
    <m/>
    <m/>
    <m/>
    <m/>
    <n v="0"/>
    <n v="0"/>
    <n v="0"/>
    <n v="0"/>
    <m/>
    <m/>
    <n v="0"/>
    <n v="0"/>
  </r>
  <r>
    <x v="15"/>
    <m/>
    <m/>
    <m/>
    <x v="11"/>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FE10988-B35E-4E7F-B7AE-6E9C14D91AE4}" name="PivotTable3" cacheId="20" dataOnRows="1" applyNumberFormats="0" applyBorderFormats="0" applyFontFormats="0" applyPatternFormats="0" applyAlignmentFormats="0" applyWidthHeightFormats="1" dataCaption="Values" updatedVersion="6" minRefreshableVersion="3" useAutoFormatting="1" itemPrintTitles="1" createdVersion="6" indent="0" outline="1" outlineData="1">
  <location ref="A2:AD208" firstHeaderRow="1" firstDataRow="3" firstDataCol="2"/>
  <pivotFields count="58">
    <pivotField axis="axisRow" outline="0" subtotalTop="0" showAll="0">
      <items count="17">
        <item x="0"/>
        <item x="1"/>
        <item x="2"/>
        <item x="3"/>
        <item x="4"/>
        <item x="5"/>
        <item x="6"/>
        <item x="7"/>
        <item x="8"/>
        <item x="9"/>
        <item x="10"/>
        <item x="11"/>
        <item x="12"/>
        <item x="13"/>
        <item x="14"/>
        <item x="15"/>
        <item t="default"/>
      </items>
    </pivotField>
    <pivotField subtotalTop="0" showAll="0"/>
    <pivotField subtotalTop="0" showAll="0"/>
    <pivotField subtotalTop="0" showAll="0"/>
    <pivotField axis="axisCol" outline="0" subtotalTop="0" showAll="0" includeNewItemsInFilter="1">
      <items count="20">
        <item x="0"/>
        <item x="1"/>
        <item x="2"/>
        <item x="3"/>
        <item x="4"/>
        <item x="5"/>
        <item x="12"/>
        <item x="6"/>
        <item x="7"/>
        <item x="8"/>
        <item x="14"/>
        <item x="9"/>
        <item x="10"/>
        <item m="1" x="18"/>
        <item x="15"/>
        <item x="16"/>
        <item x="17"/>
        <item x="11"/>
        <item x="13"/>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3" subtotalTop="0" showAll="0"/>
    <pivotField dataField="1" numFmtId="3" subtotalTop="0" showAll="0"/>
    <pivotField numFmtId="3" subtotalTop="0" showAll="0"/>
    <pivotField dataField="1" numFmtId="3" subtotalTop="0" showAll="0"/>
    <pivotField subtotalTop="0" showAll="0"/>
    <pivotField subtotalTop="0" showAll="0"/>
    <pivotField numFmtId="3" subtotalTop="0" showAll="0"/>
    <pivotField numFmtId="3"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3" subtotalTop="0" showAll="0"/>
    <pivotField dataField="1" numFmtId="3" subtotalTop="0" showAll="0"/>
    <pivotField subtotalTop="0" showAll="0"/>
    <pivotField dataField="1" subtotalTop="0" showAll="0"/>
    <pivotField subtotalTop="0" showAll="0"/>
    <pivotField subtotalTop="0" showAll="0"/>
    <pivotField numFmtId="3" subtotalTop="0" showAll="0"/>
    <pivotField numFmtId="3"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3" subtotalTop="0" showAll="0"/>
    <pivotField dataField="1" numFmtId="3" subtotalTop="0" showAll="0"/>
    <pivotField numFmtId="3" subtotalTop="0" showAll="0"/>
    <pivotField dataField="1" numFmtId="3" subtotalTop="0" showAll="0"/>
    <pivotField dataField="1" numFmtId="3" subtotalTop="0" showAll="0"/>
    <pivotField dataField="1" subtotalTop="0" showAll="0"/>
    <pivotField dataField="1" dragToRow="0" dragToCol="0" dragToPage="0" showAll="0" defaultSubtotal="0"/>
    <pivotField axis="axisCol" subtotalCaption="? Total" outline="0" showAll="0" includeNewItemsInFilter="1">
      <items count="11">
        <item n="Four-Year" x="5"/>
        <item n="Two-Year" x="6"/>
        <item x="0"/>
        <item n="Technical" x="7"/>
        <item x="1"/>
        <item x="2"/>
        <item x="3"/>
        <item x="4"/>
        <item x="8"/>
        <item x="9"/>
        <item t="default"/>
      </items>
    </pivotField>
    <pivotField dataField="1" dragToRow="0" dragToCol="0" dragToPage="0" showAll="0" defaultSubtotal="0"/>
    <pivotField dataField="1" dragToRow="0" dragToCol="0" dragToPage="0" showAll="0" defaultSubtotal="0"/>
    <pivotField dataField="1" dragToRow="0" dragToCol="0" dragToPage="0" showAll="0" defaultSubtotal="0"/>
  </pivotFields>
  <rowFields count="2">
    <field x="0"/>
    <field x="-2"/>
  </rowFields>
  <rowItems count="204">
    <i>
      <x/>
      <x/>
    </i>
    <i r="1" i="1">
      <x v="1"/>
    </i>
    <i r="1" i="2">
      <x v="2"/>
    </i>
    <i r="1" i="3">
      <x v="3"/>
    </i>
    <i r="1" i="4">
      <x v="4"/>
    </i>
    <i r="1" i="5">
      <x v="5"/>
    </i>
    <i r="1" i="6">
      <x v="6"/>
    </i>
    <i r="1" i="7">
      <x v="7"/>
    </i>
    <i r="1" i="8">
      <x v="8"/>
    </i>
    <i r="1" i="9">
      <x v="9"/>
    </i>
    <i r="1" i="10">
      <x v="10"/>
    </i>
    <i r="1" i="11">
      <x v="11"/>
    </i>
    <i>
      <x v="1"/>
      <x/>
    </i>
    <i r="1" i="1">
      <x v="1"/>
    </i>
    <i r="1" i="2">
      <x v="2"/>
    </i>
    <i r="1" i="3">
      <x v="3"/>
    </i>
    <i r="1" i="4">
      <x v="4"/>
    </i>
    <i r="1" i="5">
      <x v="5"/>
    </i>
    <i r="1" i="6">
      <x v="6"/>
    </i>
    <i r="1" i="7">
      <x v="7"/>
    </i>
    <i r="1" i="8">
      <x v="8"/>
    </i>
    <i r="1" i="9">
      <x v="9"/>
    </i>
    <i r="1" i="10">
      <x v="10"/>
    </i>
    <i r="1" i="11">
      <x v="11"/>
    </i>
    <i>
      <x v="2"/>
      <x/>
    </i>
    <i r="1" i="1">
      <x v="1"/>
    </i>
    <i r="1" i="2">
      <x v="2"/>
    </i>
    <i r="1" i="3">
      <x v="3"/>
    </i>
    <i r="1" i="4">
      <x v="4"/>
    </i>
    <i r="1" i="5">
      <x v="5"/>
    </i>
    <i r="1" i="6">
      <x v="6"/>
    </i>
    <i r="1" i="7">
      <x v="7"/>
    </i>
    <i r="1" i="8">
      <x v="8"/>
    </i>
    <i r="1" i="9">
      <x v="9"/>
    </i>
    <i r="1" i="10">
      <x v="10"/>
    </i>
    <i r="1" i="11">
      <x v="11"/>
    </i>
    <i>
      <x v="3"/>
      <x/>
    </i>
    <i r="1" i="1">
      <x v="1"/>
    </i>
    <i r="1" i="2">
      <x v="2"/>
    </i>
    <i r="1" i="3">
      <x v="3"/>
    </i>
    <i r="1" i="4">
      <x v="4"/>
    </i>
    <i r="1" i="5">
      <x v="5"/>
    </i>
    <i r="1" i="6">
      <x v="6"/>
    </i>
    <i r="1" i="7">
      <x v="7"/>
    </i>
    <i r="1" i="8">
      <x v="8"/>
    </i>
    <i r="1" i="9">
      <x v="9"/>
    </i>
    <i r="1" i="10">
      <x v="10"/>
    </i>
    <i r="1" i="11">
      <x v="11"/>
    </i>
    <i>
      <x v="4"/>
      <x/>
    </i>
    <i r="1" i="1">
      <x v="1"/>
    </i>
    <i r="1" i="2">
      <x v="2"/>
    </i>
    <i r="1" i="3">
      <x v="3"/>
    </i>
    <i r="1" i="4">
      <x v="4"/>
    </i>
    <i r="1" i="5">
      <x v="5"/>
    </i>
    <i r="1" i="6">
      <x v="6"/>
    </i>
    <i r="1" i="7">
      <x v="7"/>
    </i>
    <i r="1" i="8">
      <x v="8"/>
    </i>
    <i r="1" i="9">
      <x v="9"/>
    </i>
    <i r="1" i="10">
      <x v="10"/>
    </i>
    <i r="1" i="11">
      <x v="11"/>
    </i>
    <i>
      <x v="5"/>
      <x/>
    </i>
    <i r="1" i="1">
      <x v="1"/>
    </i>
    <i r="1" i="2">
      <x v="2"/>
    </i>
    <i r="1" i="3">
      <x v="3"/>
    </i>
    <i r="1" i="4">
      <x v="4"/>
    </i>
    <i r="1" i="5">
      <x v="5"/>
    </i>
    <i r="1" i="6">
      <x v="6"/>
    </i>
    <i r="1" i="7">
      <x v="7"/>
    </i>
    <i r="1" i="8">
      <x v="8"/>
    </i>
    <i r="1" i="9">
      <x v="9"/>
    </i>
    <i r="1" i="10">
      <x v="10"/>
    </i>
    <i r="1" i="11">
      <x v="11"/>
    </i>
    <i>
      <x v="6"/>
      <x/>
    </i>
    <i r="1" i="1">
      <x v="1"/>
    </i>
    <i r="1" i="2">
      <x v="2"/>
    </i>
    <i r="1" i="3">
      <x v="3"/>
    </i>
    <i r="1" i="4">
      <x v="4"/>
    </i>
    <i r="1" i="5">
      <x v="5"/>
    </i>
    <i r="1" i="6">
      <x v="6"/>
    </i>
    <i r="1" i="7">
      <x v="7"/>
    </i>
    <i r="1" i="8">
      <x v="8"/>
    </i>
    <i r="1" i="9">
      <x v="9"/>
    </i>
    <i r="1" i="10">
      <x v="10"/>
    </i>
    <i r="1" i="11">
      <x v="11"/>
    </i>
    <i>
      <x v="7"/>
      <x/>
    </i>
    <i r="1" i="1">
      <x v="1"/>
    </i>
    <i r="1" i="2">
      <x v="2"/>
    </i>
    <i r="1" i="3">
      <x v="3"/>
    </i>
    <i r="1" i="4">
      <x v="4"/>
    </i>
    <i r="1" i="5">
      <x v="5"/>
    </i>
    <i r="1" i="6">
      <x v="6"/>
    </i>
    <i r="1" i="7">
      <x v="7"/>
    </i>
    <i r="1" i="8">
      <x v="8"/>
    </i>
    <i r="1" i="9">
      <x v="9"/>
    </i>
    <i r="1" i="10">
      <x v="10"/>
    </i>
    <i r="1" i="11">
      <x v="11"/>
    </i>
    <i>
      <x v="8"/>
      <x/>
    </i>
    <i r="1" i="1">
      <x v="1"/>
    </i>
    <i r="1" i="2">
      <x v="2"/>
    </i>
    <i r="1" i="3">
      <x v="3"/>
    </i>
    <i r="1" i="4">
      <x v="4"/>
    </i>
    <i r="1" i="5">
      <x v="5"/>
    </i>
    <i r="1" i="6">
      <x v="6"/>
    </i>
    <i r="1" i="7">
      <x v="7"/>
    </i>
    <i r="1" i="8">
      <x v="8"/>
    </i>
    <i r="1" i="9">
      <x v="9"/>
    </i>
    <i r="1" i="10">
      <x v="10"/>
    </i>
    <i r="1" i="11">
      <x v="11"/>
    </i>
    <i>
      <x v="9"/>
      <x/>
    </i>
    <i r="1" i="1">
      <x v="1"/>
    </i>
    <i r="1" i="2">
      <x v="2"/>
    </i>
    <i r="1" i="3">
      <x v="3"/>
    </i>
    <i r="1" i="4">
      <x v="4"/>
    </i>
    <i r="1" i="5">
      <x v="5"/>
    </i>
    <i r="1" i="6">
      <x v="6"/>
    </i>
    <i r="1" i="7">
      <x v="7"/>
    </i>
    <i r="1" i="8">
      <x v="8"/>
    </i>
    <i r="1" i="9">
      <x v="9"/>
    </i>
    <i r="1" i="10">
      <x v="10"/>
    </i>
    <i r="1" i="11">
      <x v="11"/>
    </i>
    <i>
      <x v="10"/>
      <x/>
    </i>
    <i r="1" i="1">
      <x v="1"/>
    </i>
    <i r="1" i="2">
      <x v="2"/>
    </i>
    <i r="1" i="3">
      <x v="3"/>
    </i>
    <i r="1" i="4">
      <x v="4"/>
    </i>
    <i r="1" i="5">
      <x v="5"/>
    </i>
    <i r="1" i="6">
      <x v="6"/>
    </i>
    <i r="1" i="7">
      <x v="7"/>
    </i>
    <i r="1" i="8">
      <x v="8"/>
    </i>
    <i r="1" i="9">
      <x v="9"/>
    </i>
    <i r="1" i="10">
      <x v="10"/>
    </i>
    <i r="1" i="11">
      <x v="11"/>
    </i>
    <i>
      <x v="11"/>
      <x/>
    </i>
    <i r="1" i="1">
      <x v="1"/>
    </i>
    <i r="1" i="2">
      <x v="2"/>
    </i>
    <i r="1" i="3">
      <x v="3"/>
    </i>
    <i r="1" i="4">
      <x v="4"/>
    </i>
    <i r="1" i="5">
      <x v="5"/>
    </i>
    <i r="1" i="6">
      <x v="6"/>
    </i>
    <i r="1" i="7">
      <x v="7"/>
    </i>
    <i r="1" i="8">
      <x v="8"/>
    </i>
    <i r="1" i="9">
      <x v="9"/>
    </i>
    <i r="1" i="10">
      <x v="10"/>
    </i>
    <i r="1" i="11">
      <x v="11"/>
    </i>
    <i>
      <x v="12"/>
      <x/>
    </i>
    <i r="1" i="1">
      <x v="1"/>
    </i>
    <i r="1" i="2">
      <x v="2"/>
    </i>
    <i r="1" i="3">
      <x v="3"/>
    </i>
    <i r="1" i="4">
      <x v="4"/>
    </i>
    <i r="1" i="5">
      <x v="5"/>
    </i>
    <i r="1" i="6">
      <x v="6"/>
    </i>
    <i r="1" i="7">
      <x v="7"/>
    </i>
    <i r="1" i="8">
      <x v="8"/>
    </i>
    <i r="1" i="9">
      <x v="9"/>
    </i>
    <i r="1" i="10">
      <x v="10"/>
    </i>
    <i r="1" i="11">
      <x v="11"/>
    </i>
    <i>
      <x v="13"/>
      <x/>
    </i>
    <i r="1" i="1">
      <x v="1"/>
    </i>
    <i r="1" i="2">
      <x v="2"/>
    </i>
    <i r="1" i="3">
      <x v="3"/>
    </i>
    <i r="1" i="4">
      <x v="4"/>
    </i>
    <i r="1" i="5">
      <x v="5"/>
    </i>
    <i r="1" i="6">
      <x v="6"/>
    </i>
    <i r="1" i="7">
      <x v="7"/>
    </i>
    <i r="1" i="8">
      <x v="8"/>
    </i>
    <i r="1" i="9">
      <x v="9"/>
    </i>
    <i r="1" i="10">
      <x v="10"/>
    </i>
    <i r="1" i="11">
      <x v="11"/>
    </i>
    <i>
      <x v="14"/>
      <x/>
    </i>
    <i r="1" i="1">
      <x v="1"/>
    </i>
    <i r="1" i="2">
      <x v="2"/>
    </i>
    <i r="1" i="3">
      <x v="3"/>
    </i>
    <i r="1" i="4">
      <x v="4"/>
    </i>
    <i r="1" i="5">
      <x v="5"/>
    </i>
    <i r="1" i="6">
      <x v="6"/>
    </i>
    <i r="1" i="7">
      <x v="7"/>
    </i>
    <i r="1" i="8">
      <x v="8"/>
    </i>
    <i r="1" i="9">
      <x v="9"/>
    </i>
    <i r="1" i="10">
      <x v="10"/>
    </i>
    <i r="1" i="11">
      <x v="11"/>
    </i>
    <i>
      <x v="15"/>
      <x/>
    </i>
    <i r="1" i="1">
      <x v="1"/>
    </i>
    <i r="1" i="2">
      <x v="2"/>
    </i>
    <i r="1" i="3">
      <x v="3"/>
    </i>
    <i r="1" i="4">
      <x v="4"/>
    </i>
    <i r="1" i="5">
      <x v="5"/>
    </i>
    <i r="1" i="6">
      <x v="6"/>
    </i>
    <i r="1" i="7">
      <x v="7"/>
    </i>
    <i r="1" i="8">
      <x v="8"/>
    </i>
    <i r="1" i="9">
      <x v="9"/>
    </i>
    <i r="1" i="10">
      <x v="10"/>
    </i>
    <i r="1" i="11">
      <x v="11"/>
    </i>
    <i t="grand">
      <x/>
    </i>
    <i t="grand" i="1">
      <x/>
    </i>
    <i t="grand" i="2">
      <x/>
    </i>
    <i t="grand" i="3">
      <x/>
    </i>
    <i t="grand" i="4">
      <x/>
    </i>
    <i t="grand" i="5">
      <x/>
    </i>
    <i t="grand" i="6">
      <x/>
    </i>
    <i t="grand" i="7">
      <x/>
    </i>
    <i t="grand" i="8">
      <x/>
    </i>
    <i t="grand" i="9">
      <x/>
    </i>
    <i t="grand" i="10">
      <x/>
    </i>
    <i t="grand" i="11">
      <x/>
    </i>
  </rowItems>
  <colFields count="2">
    <field x="54"/>
    <field x="4"/>
  </colFields>
  <colItems count="28">
    <i>
      <x/>
      <x/>
    </i>
    <i r="1">
      <x v="1"/>
    </i>
    <i r="1">
      <x v="2"/>
    </i>
    <i r="1">
      <x v="3"/>
    </i>
    <i r="1">
      <x v="4"/>
    </i>
    <i r="1">
      <x v="5"/>
    </i>
    <i t="default">
      <x/>
    </i>
    <i>
      <x v="1"/>
      <x v="6"/>
    </i>
    <i r="1">
      <x v="7"/>
    </i>
    <i r="1">
      <x v="8"/>
    </i>
    <i r="1">
      <x v="9"/>
    </i>
    <i t="default">
      <x v="1"/>
    </i>
    <i>
      <x v="2"/>
      <x v="10"/>
    </i>
    <i t="default">
      <x v="2"/>
    </i>
    <i>
      <x v="3"/>
      <x v="11"/>
    </i>
    <i r="1">
      <x v="12"/>
    </i>
    <i t="default">
      <x v="3"/>
    </i>
    <i>
      <x v="5"/>
      <x v="14"/>
    </i>
    <i t="default">
      <x v="5"/>
    </i>
    <i>
      <x v="6"/>
      <x v="15"/>
    </i>
    <i t="default">
      <x v="6"/>
    </i>
    <i>
      <x v="7"/>
      <x v="16"/>
    </i>
    <i t="default">
      <x v="7"/>
    </i>
    <i>
      <x v="8"/>
      <x v="17"/>
    </i>
    <i t="default">
      <x v="8"/>
    </i>
    <i>
      <x v="9"/>
      <x v="18"/>
    </i>
    <i t="default">
      <x v="9"/>
    </i>
    <i t="grand">
      <x/>
    </i>
  </colItems>
  <dataFields count="12">
    <dataField name="Sum of Old-Total Undg SCH FTE" fld="16" baseField="0" baseItem="0" numFmtId="3"/>
    <dataField name="Sum of New-Total Undg SCH FTE" fld="18" baseField="0" baseItem="0" numFmtId="3"/>
    <dataField name="Sum of % Change Undergrad SCH FTE" fld="57" baseField="0" baseItem="0" numFmtId="3"/>
    <dataField name="Sum of Old-Total Undg CH FTE" fld="32" baseField="0" baseItem="0" numFmtId="3"/>
    <dataField name="Sum of New-Total Undg CH FTE" fld="34" baseField="0" baseItem="0" numFmtId="3"/>
    <dataField name="Sum of % Change Undergrad CH FTE" fld="56" baseField="0" baseItem="0" numFmtId="3"/>
    <dataField name="Sum of Old-Total Grad FTE" fld="48" baseField="0" baseItem="0" numFmtId="3"/>
    <dataField name="Sum of New-Total Grad FTE" fld="50" baseField="0" baseItem="0" numFmtId="3"/>
    <dataField name="Sum of % Change Graduate FTE" fld="55" baseField="0" baseItem="0" numFmtId="3"/>
    <dataField name="Sum of Old Grand Total FTE" fld="51" baseField="0" baseItem="0" numFmtId="3"/>
    <dataField name="Sum of New Grand Total FTE" fld="52" baseField="0" baseItem="0" numFmtId="3"/>
    <dataField name="Sum of % Change Grand Total FTE" fld="53" baseField="0" baseItem="0" numFmtId="3"/>
  </dataFields>
  <formats count="14">
    <format dxfId="2185">
      <pivotArea field="54" grandRow="1" outline="0" collapsedLevelsAreSubtotals="1" axis="axisCol" fieldPosition="0">
        <references count="3">
          <reference field="4294967294" count="1" selected="0">
            <x v="5"/>
          </reference>
          <reference field="4" count="1" selected="0">
            <x v="6"/>
          </reference>
          <reference field="54" count="1" selected="0">
            <x v="1"/>
          </reference>
        </references>
      </pivotArea>
    </format>
    <format dxfId="2184">
      <pivotArea field="54" grandRow="1" outline="0" collapsedLevelsAreSubtotals="1" axis="axisCol" fieldPosition="0">
        <references count="3">
          <reference field="4294967294" count="1" selected="0">
            <x v="5"/>
          </reference>
          <reference field="4" count="1" selected="0">
            <x v="10"/>
          </reference>
          <reference field="54" count="1" selected="0">
            <x v="2"/>
          </reference>
        </references>
      </pivotArea>
    </format>
    <format dxfId="2183">
      <pivotArea collapsedLevelsAreSubtotals="1" fieldPosition="0">
        <references count="4">
          <reference field="4294967294" count="1">
            <x v="5"/>
          </reference>
          <reference field="0" count="1" selected="0">
            <x v="13"/>
          </reference>
          <reference field="4" count="1" selected="0">
            <x v="6"/>
          </reference>
          <reference field="54" count="1" selected="0">
            <x v="1"/>
          </reference>
        </references>
      </pivotArea>
    </format>
    <format dxfId="2182">
      <pivotArea collapsedLevelsAreSubtotals="1" fieldPosition="0">
        <references count="4">
          <reference field="4294967294" count="1">
            <x v="5"/>
          </reference>
          <reference field="0" count="1" selected="0">
            <x v="13"/>
          </reference>
          <reference field="4" count="1" selected="0">
            <x v="8"/>
          </reference>
          <reference field="54" count="1" selected="0">
            <x v="1"/>
          </reference>
        </references>
      </pivotArea>
    </format>
    <format dxfId="2181">
      <pivotArea collapsedLevelsAreSubtotals="1" fieldPosition="0">
        <references count="4">
          <reference field="4294967294" count="1">
            <x v="8"/>
          </reference>
          <reference field="0" count="1" selected="0">
            <x v="9"/>
          </reference>
          <reference field="4" count="1" selected="0">
            <x v="3"/>
          </reference>
          <reference field="54" count="1" selected="0">
            <x v="0"/>
          </reference>
        </references>
      </pivotArea>
    </format>
    <format dxfId="2180">
      <pivotArea collapsedLevelsAreSubtotals="1" fieldPosition="0">
        <references count="4">
          <reference field="4294967294" count="1">
            <x v="8"/>
          </reference>
          <reference field="0" count="1" selected="0">
            <x v="8"/>
          </reference>
          <reference field="4" count="1" selected="0">
            <x v="4"/>
          </reference>
          <reference field="54" count="1" selected="0">
            <x v="0"/>
          </reference>
        </references>
      </pivotArea>
    </format>
    <format dxfId="2179">
      <pivotArea collapsedLevelsAreSubtotals="1" fieldPosition="0">
        <references count="4">
          <reference field="4294967294" count="1">
            <x v="8"/>
          </reference>
          <reference field="0" count="1" selected="0">
            <x v="6"/>
          </reference>
          <reference field="4" count="1" selected="0">
            <x v="4"/>
          </reference>
          <reference field="54" count="1" selected="0">
            <x v="0"/>
          </reference>
        </references>
      </pivotArea>
    </format>
    <format dxfId="2178">
      <pivotArea collapsedLevelsAreSubtotals="1" fieldPosition="0">
        <references count="4">
          <reference field="4294967294" count="1">
            <x v="11"/>
          </reference>
          <reference field="0" count="1" selected="0">
            <x v="6"/>
          </reference>
          <reference field="4" count="1" selected="0">
            <x v="4"/>
          </reference>
          <reference field="54" count="1" selected="0">
            <x v="0"/>
          </reference>
        </references>
      </pivotArea>
    </format>
    <format dxfId="2177">
      <pivotArea collapsedLevelsAreSubtotals="1" fieldPosition="0">
        <references count="4">
          <reference field="4294967294" count="1">
            <x v="8"/>
          </reference>
          <reference field="0" count="1" selected="0">
            <x v="6"/>
          </reference>
          <reference field="4" count="1" selected="0">
            <x v="3"/>
          </reference>
          <reference field="54" count="1" selected="0">
            <x v="0"/>
          </reference>
        </references>
      </pivotArea>
    </format>
    <format dxfId="2176">
      <pivotArea collapsedLevelsAreSubtotals="1" fieldPosition="0">
        <references count="4">
          <reference field="4294967294" count="1">
            <x v="8"/>
          </reference>
          <reference field="0" count="1" selected="0">
            <x v="4"/>
          </reference>
          <reference field="4" count="1" selected="0">
            <x v="4"/>
          </reference>
          <reference field="54" count="1" selected="0">
            <x v="0"/>
          </reference>
        </references>
      </pivotArea>
    </format>
    <format dxfId="2175">
      <pivotArea collapsedLevelsAreSubtotals="1" fieldPosition="0">
        <references count="4">
          <reference field="4294967294" count="1">
            <x v="8"/>
          </reference>
          <reference field="0" count="1" selected="0">
            <x v="2"/>
          </reference>
          <reference field="4" count="1" selected="0">
            <x v="2"/>
          </reference>
          <reference field="54" count="1" selected="0">
            <x v="0"/>
          </reference>
        </references>
      </pivotArea>
    </format>
    <format dxfId="2174">
      <pivotArea collapsedLevelsAreSubtotals="1" fieldPosition="0">
        <references count="4">
          <reference field="4294967294" count="1">
            <x v="11"/>
          </reference>
          <reference field="0" count="1" selected="0">
            <x v="4"/>
          </reference>
          <reference field="4" count="1" selected="0">
            <x v="7"/>
          </reference>
          <reference field="54" count="1" selected="0">
            <x v="1"/>
          </reference>
        </references>
      </pivotArea>
    </format>
    <format dxfId="2173">
      <pivotArea collapsedLevelsAreSubtotals="1" fieldPosition="0">
        <references count="4">
          <reference field="4294967294" count="1">
            <x v="11"/>
          </reference>
          <reference field="0" count="1" selected="0">
            <x v="5"/>
          </reference>
          <reference field="4" count="1" selected="0">
            <x v="7"/>
          </reference>
          <reference field="54" count="1" selected="0">
            <x v="1"/>
          </reference>
        </references>
      </pivotArea>
    </format>
    <format dxfId="2172">
      <pivotArea collapsedLevelsAreSubtotals="1" fieldPosition="0">
        <references count="4">
          <reference field="4294967294" count="1">
            <x v="2"/>
          </reference>
          <reference field="0" count="1" selected="0">
            <x v="4"/>
          </reference>
          <reference field="4" count="1" selected="0">
            <x v="7"/>
          </reference>
          <reference field="54" count="1" selected="0">
            <x v="1"/>
          </reference>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EDCF439-AE07-4230-BA64-8BDAEC0792DE}" name="PivotTable3" cacheId="24" dataOnRows="1" applyNumberFormats="0" applyBorderFormats="0" applyFontFormats="0" applyPatternFormats="0" applyAlignmentFormats="0" applyWidthHeightFormats="1" dataCaption="Data" updatedVersion="6" minRefreshableVersion="3" asteriskTotals="1" showMemberPropertyTips="0" useAutoFormatting="1" colGrandTotals="0" itemPrintTitles="1" createdVersion="3" indent="0" compact="0" compactData="0" gridDropZones="1">
  <location ref="A3:AC124" firstHeaderRow="1" firstDataRow="3" firstDataCol="2"/>
  <pivotFields count="47">
    <pivotField axis="axisRow" compact="0" outline="0" subtotalTop="0" showAll="0" includeNewItemsInFilter="1" sortType="ascending">
      <items count="17">
        <item x="0"/>
        <item x="1"/>
        <item x="2"/>
        <item x="3"/>
        <item x="4"/>
        <item x="5"/>
        <item x="6"/>
        <item x="7"/>
        <item x="8"/>
        <item x="9"/>
        <item x="10"/>
        <item x="11"/>
        <item x="12"/>
        <item x="13"/>
        <item x="14"/>
        <item x="15"/>
        <item t="default"/>
      </items>
    </pivotField>
    <pivotField compact="0" outline="0" subtotalTop="0" showAll="0" includeNewItemsInFilter="1"/>
    <pivotField compact="0" outline="0" showAll="0" defaultSubtotal="0"/>
    <pivotField compact="0" outline="0" subtotalTop="0" showAll="0" includeNewItemsInFilter="1"/>
    <pivotField axis="axisCol" compact="0" outline="0" subtotalTop="0" showAll="0" includeNewItemsInFilter="1">
      <items count="21">
        <item x="0"/>
        <item x="1"/>
        <item x="2"/>
        <item x="3"/>
        <item x="4"/>
        <item x="5"/>
        <item x="12"/>
        <item x="6"/>
        <item x="7"/>
        <item x="8"/>
        <item x="14"/>
        <item x="9"/>
        <item x="10"/>
        <item m="1" x="18"/>
        <item x="13"/>
        <item m="1" x="19"/>
        <item x="15"/>
        <item x="16"/>
        <item x="17"/>
        <item x="11"/>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numFmtId="3" outline="0" subtotalTop="0" showAll="0" includeNewItemsInFilter="1"/>
    <pivotField compact="0" numFmtId="3" outline="0" subtotalTop="0" showAll="0" includeNewItemsInFilter="1"/>
    <pivotField compact="0" numFmtId="3" outline="0" subtotalTop="0" showAll="0" includeNewItemsInFilter="1"/>
    <pivotField compact="0" outline="0" subtotalTop="0" showAll="0" includeNewItemsInFilter="1"/>
    <pivotField compact="0" outline="0" subtotalTop="0" showAll="0" includeNewItemsInFilter="1"/>
    <pivotField compact="0" numFmtId="3"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numFmtId="3" outline="0" subtotalTop="0" showAll="0" includeNewItemsInFilter="1"/>
    <pivotField compact="0" numFmtId="3" outline="0" subtotalTop="0" showAll="0" includeNewItemsInFilter="1"/>
    <pivotField compact="0" numFmtId="3" outline="0" subtotalTop="0" showAll="0" includeNewItemsInFilter="1"/>
    <pivotField compact="0" outline="0" subtotalTop="0" showAll="0" includeNewItemsInFilter="1"/>
    <pivotField compact="0" outline="0" subtotalTop="0" showAll="0" includeNewItemsInFilter="1"/>
    <pivotField compact="0" numFmtId="3" outline="0" showAll="0" defaultSubtotal="0"/>
    <pivotField compact="0" numFmtId="3" outline="0" showAll="0"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axis="axisCol" compact="0" outline="0" subtotalTop="0" showAll="0" includeNewItemsInFilter="1">
      <items count="11">
        <item n="Four-Year" x="2"/>
        <item n="Two-Year" x="3"/>
        <item x="1"/>
        <item n="Technical" x="4"/>
        <item x="0"/>
        <item x="5"/>
        <item x="6"/>
        <item x="7"/>
        <item x="8"/>
        <item x="9"/>
        <item t="default"/>
      </items>
    </pivotField>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dragToRow="0" dragToCol="0" dragToPage="0" showAll="0" defaultSubtotal="0"/>
  </pivotFields>
  <rowFields count="2">
    <field x="0"/>
    <field x="-2"/>
  </rowFields>
  <rowItems count="119">
    <i>
      <x/>
      <x/>
    </i>
    <i r="1" i="1">
      <x v="1"/>
    </i>
    <i r="1" i="2">
      <x v="2"/>
    </i>
    <i r="1" i="3">
      <x v="3"/>
    </i>
    <i r="1" i="4">
      <x v="4"/>
    </i>
    <i r="1" i="5">
      <x v="5"/>
    </i>
    <i r="1" i="6">
      <x v="6"/>
    </i>
    <i>
      <x v="1"/>
      <x/>
    </i>
    <i r="1" i="1">
      <x v="1"/>
    </i>
    <i r="1" i="2">
      <x v="2"/>
    </i>
    <i r="1" i="3">
      <x v="3"/>
    </i>
    <i r="1" i="4">
      <x v="4"/>
    </i>
    <i r="1" i="5">
      <x v="5"/>
    </i>
    <i r="1" i="6">
      <x v="6"/>
    </i>
    <i>
      <x v="2"/>
      <x/>
    </i>
    <i r="1" i="1">
      <x v="1"/>
    </i>
    <i r="1" i="2">
      <x v="2"/>
    </i>
    <i r="1" i="3">
      <x v="3"/>
    </i>
    <i r="1" i="4">
      <x v="4"/>
    </i>
    <i r="1" i="5">
      <x v="5"/>
    </i>
    <i r="1" i="6">
      <x v="6"/>
    </i>
    <i>
      <x v="3"/>
      <x/>
    </i>
    <i r="1" i="1">
      <x v="1"/>
    </i>
    <i r="1" i="2">
      <x v="2"/>
    </i>
    <i r="1" i="3">
      <x v="3"/>
    </i>
    <i r="1" i="4">
      <x v="4"/>
    </i>
    <i r="1" i="5">
      <x v="5"/>
    </i>
    <i r="1" i="6">
      <x v="6"/>
    </i>
    <i>
      <x v="4"/>
      <x/>
    </i>
    <i r="1" i="1">
      <x v="1"/>
    </i>
    <i r="1" i="2">
      <x v="2"/>
    </i>
    <i r="1" i="3">
      <x v="3"/>
    </i>
    <i r="1" i="4">
      <x v="4"/>
    </i>
    <i r="1" i="5">
      <x v="5"/>
    </i>
    <i r="1" i="6">
      <x v="6"/>
    </i>
    <i>
      <x v="5"/>
      <x/>
    </i>
    <i r="1" i="1">
      <x v="1"/>
    </i>
    <i r="1" i="2">
      <x v="2"/>
    </i>
    <i r="1" i="3">
      <x v="3"/>
    </i>
    <i r="1" i="4">
      <x v="4"/>
    </i>
    <i r="1" i="5">
      <x v="5"/>
    </i>
    <i r="1" i="6">
      <x v="6"/>
    </i>
    <i>
      <x v="6"/>
      <x/>
    </i>
    <i r="1" i="1">
      <x v="1"/>
    </i>
    <i r="1" i="2">
      <x v="2"/>
    </i>
    <i r="1" i="3">
      <x v="3"/>
    </i>
    <i r="1" i="4">
      <x v="4"/>
    </i>
    <i r="1" i="5">
      <x v="5"/>
    </i>
    <i r="1" i="6">
      <x v="6"/>
    </i>
    <i>
      <x v="7"/>
      <x/>
    </i>
    <i r="1" i="1">
      <x v="1"/>
    </i>
    <i r="1" i="2">
      <x v="2"/>
    </i>
    <i r="1" i="3">
      <x v="3"/>
    </i>
    <i r="1" i="4">
      <x v="4"/>
    </i>
    <i r="1" i="5">
      <x v="5"/>
    </i>
    <i r="1" i="6">
      <x v="6"/>
    </i>
    <i>
      <x v="8"/>
      <x/>
    </i>
    <i r="1" i="1">
      <x v="1"/>
    </i>
    <i r="1" i="2">
      <x v="2"/>
    </i>
    <i r="1" i="3">
      <x v="3"/>
    </i>
    <i r="1" i="4">
      <x v="4"/>
    </i>
    <i r="1" i="5">
      <x v="5"/>
    </i>
    <i r="1" i="6">
      <x v="6"/>
    </i>
    <i>
      <x v="9"/>
      <x/>
    </i>
    <i r="1" i="1">
      <x v="1"/>
    </i>
    <i r="1" i="2">
      <x v="2"/>
    </i>
    <i r="1" i="3">
      <x v="3"/>
    </i>
    <i r="1" i="4">
      <x v="4"/>
    </i>
    <i r="1" i="5">
      <x v="5"/>
    </i>
    <i r="1" i="6">
      <x v="6"/>
    </i>
    <i>
      <x v="10"/>
      <x/>
    </i>
    <i r="1" i="1">
      <x v="1"/>
    </i>
    <i r="1" i="2">
      <x v="2"/>
    </i>
    <i r="1" i="3">
      <x v="3"/>
    </i>
    <i r="1" i="4">
      <x v="4"/>
    </i>
    <i r="1" i="5">
      <x v="5"/>
    </i>
    <i r="1" i="6">
      <x v="6"/>
    </i>
    <i>
      <x v="11"/>
      <x/>
    </i>
    <i r="1" i="1">
      <x v="1"/>
    </i>
    <i r="1" i="2">
      <x v="2"/>
    </i>
    <i r="1" i="3">
      <x v="3"/>
    </i>
    <i r="1" i="4">
      <x v="4"/>
    </i>
    <i r="1" i="5">
      <x v="5"/>
    </i>
    <i r="1" i="6">
      <x v="6"/>
    </i>
    <i>
      <x v="12"/>
      <x/>
    </i>
    <i r="1" i="1">
      <x v="1"/>
    </i>
    <i r="1" i="2">
      <x v="2"/>
    </i>
    <i r="1" i="3">
      <x v="3"/>
    </i>
    <i r="1" i="4">
      <x v="4"/>
    </i>
    <i r="1" i="5">
      <x v="5"/>
    </i>
    <i r="1" i="6">
      <x v="6"/>
    </i>
    <i>
      <x v="13"/>
      <x/>
    </i>
    <i r="1" i="1">
      <x v="1"/>
    </i>
    <i r="1" i="2">
      <x v="2"/>
    </i>
    <i r="1" i="3">
      <x v="3"/>
    </i>
    <i r="1" i="4">
      <x v="4"/>
    </i>
    <i r="1" i="5">
      <x v="5"/>
    </i>
    <i r="1" i="6">
      <x v="6"/>
    </i>
    <i>
      <x v="14"/>
      <x/>
    </i>
    <i r="1" i="1">
      <x v="1"/>
    </i>
    <i r="1" i="2">
      <x v="2"/>
    </i>
    <i r="1" i="3">
      <x v="3"/>
    </i>
    <i r="1" i="4">
      <x v="4"/>
    </i>
    <i r="1" i="5">
      <x v="5"/>
    </i>
    <i r="1" i="6">
      <x v="6"/>
    </i>
    <i>
      <x v="15"/>
      <x/>
    </i>
    <i r="1" i="1">
      <x v="1"/>
    </i>
    <i r="1" i="2">
      <x v="2"/>
    </i>
    <i r="1" i="3">
      <x v="3"/>
    </i>
    <i r="1" i="4">
      <x v="4"/>
    </i>
    <i r="1" i="5">
      <x v="5"/>
    </i>
    <i r="1" i="6">
      <x v="6"/>
    </i>
    <i t="grand">
      <x/>
    </i>
    <i t="grand" i="1">
      <x/>
    </i>
    <i t="grand" i="2">
      <x/>
    </i>
    <i t="grand" i="3">
      <x/>
    </i>
    <i t="grand" i="4">
      <x/>
    </i>
    <i t="grand" i="5">
      <x/>
    </i>
    <i t="grand" i="6">
      <x/>
    </i>
  </rowItems>
  <colFields count="2">
    <field x="43"/>
    <field x="4"/>
  </colFields>
  <colItems count="27">
    <i>
      <x/>
      <x/>
    </i>
    <i r="1">
      <x v="1"/>
    </i>
    <i r="1">
      <x v="2"/>
    </i>
    <i r="1">
      <x v="3"/>
    </i>
    <i r="1">
      <x v="4"/>
    </i>
    <i r="1">
      <x v="5"/>
    </i>
    <i t="default">
      <x/>
    </i>
    <i>
      <x v="1"/>
      <x v="6"/>
    </i>
    <i r="1">
      <x v="7"/>
    </i>
    <i r="1">
      <x v="8"/>
    </i>
    <i r="1">
      <x v="9"/>
    </i>
    <i t="default">
      <x v="1"/>
    </i>
    <i>
      <x v="2"/>
      <x v="10"/>
    </i>
    <i t="default">
      <x v="2"/>
    </i>
    <i>
      <x v="3"/>
      <x v="11"/>
    </i>
    <i r="1">
      <x v="12"/>
    </i>
    <i t="default">
      <x v="3"/>
    </i>
    <i>
      <x v="4"/>
      <x v="14"/>
    </i>
    <i t="default">
      <x v="4"/>
    </i>
    <i>
      <x v="6"/>
      <x v="16"/>
    </i>
    <i t="default">
      <x v="6"/>
    </i>
    <i>
      <x v="7"/>
      <x v="17"/>
    </i>
    <i t="default">
      <x v="7"/>
    </i>
    <i>
      <x v="8"/>
      <x v="18"/>
    </i>
    <i t="default">
      <x v="8"/>
    </i>
    <i>
      <x v="9"/>
      <x v="19"/>
    </i>
    <i t="default">
      <x v="9"/>
    </i>
  </colItems>
  <dataFields count="7">
    <dataField name="Sum of Old-Total UGH" fld="44" baseField="0" baseItem="0" numFmtId="3"/>
    <dataField name="Sum of Old-Total HSH" fld="45" baseField="0" baseItem="0" numFmtId="3"/>
    <dataField name="Sum of Old-HS % of Total" fld="42" baseField="0" baseItem="0" numFmtId="3"/>
    <dataField name="Sum of New-Total UGH" fld="40" baseField="0" baseItem="0" numFmtId="3"/>
    <dataField name="Sum of New-Total HSH" fld="39" baseField="0" baseItem="0" numFmtId="3"/>
    <dataField name="Sum of New-HS % of Total" fld="41" baseField="0" baseItem="0" numFmtId="3"/>
    <dataField name=" HS Percentage-point Change" fld="46" baseField="0" baseItem="0" numFmtId="3"/>
  </dataFields>
  <formats count="259">
    <format dxfId="2171">
      <pivotArea dataOnly="0" labelOnly="1" outline="0" fieldPosition="0">
        <references count="1">
          <reference field="0" count="1">
            <x v="4"/>
          </reference>
        </references>
      </pivotArea>
    </format>
    <format dxfId="2170">
      <pivotArea type="all" dataOnly="0" outline="0" fieldPosition="0"/>
    </format>
    <format dxfId="2169">
      <pivotArea dataOnly="0" labelOnly="1" outline="0" fieldPosition="0">
        <references count="2">
          <reference field="4294967294" count="1">
            <x v="0"/>
          </reference>
          <reference field="0" count="1" selected="0">
            <x v="4"/>
          </reference>
        </references>
      </pivotArea>
    </format>
    <format dxfId="2168">
      <pivotArea dataOnly="0" labelOnly="1" outline="0" fieldPosition="0">
        <references count="2">
          <reference field="4294967294" count="1">
            <x v="2"/>
          </reference>
          <reference field="0" count="1" selected="0">
            <x v="4"/>
          </reference>
        </references>
      </pivotArea>
    </format>
    <format dxfId="2167">
      <pivotArea dataOnly="0" labelOnly="1" outline="0" fieldPosition="0">
        <references count="2">
          <reference field="4294967294" count="1">
            <x v="5"/>
          </reference>
          <reference field="0" count="1" selected="0">
            <x v="4"/>
          </reference>
        </references>
      </pivotArea>
    </format>
    <format dxfId="2166">
      <pivotArea field="0" grandRow="1" outline="0" collapsedLevelsAreSubtotals="1" axis="axisRow" fieldPosition="0">
        <references count="1">
          <reference field="4294967294" count="1" selected="0">
            <x v="2"/>
          </reference>
        </references>
      </pivotArea>
    </format>
    <format dxfId="2165">
      <pivotArea field="0" grandRow="1" outline="0" collapsedLevelsAreSubtotals="1" axis="axisRow" fieldPosition="0">
        <references count="1">
          <reference field="4294967294" count="1" selected="0">
            <x v="2"/>
          </reference>
        </references>
      </pivotArea>
    </format>
    <format dxfId="2164">
      <pivotArea field="43" grandRow="1" outline="0" collapsedLevelsAreSubtotals="1" axis="axisCol" fieldPosition="0">
        <references count="3">
          <reference field="4294967294" count="1" selected="0">
            <x v="5"/>
          </reference>
          <reference field="4" count="1" selected="0">
            <x v="3"/>
          </reference>
          <reference field="43" count="1" selected="0">
            <x v="0"/>
          </reference>
        </references>
      </pivotArea>
    </format>
    <format dxfId="2163">
      <pivotArea outline="0" collapsedLevelsAreSubtotals="1" fieldPosition="0">
        <references count="4">
          <reference field="4294967294" count="1" selected="0">
            <x v="2"/>
          </reference>
          <reference field="0" count="1" selected="0">
            <x v="4"/>
          </reference>
          <reference field="4" count="1" selected="0">
            <x v="3"/>
          </reference>
          <reference field="43" count="1" selected="0">
            <x v="0"/>
          </reference>
        </references>
      </pivotArea>
    </format>
    <format dxfId="2162">
      <pivotArea field="0" dataOnly="0" labelOnly="1" grandRow="1" outline="0" axis="axisRow" fieldPosition="0">
        <references count="1">
          <reference field="4294967294" count="1" selected="0">
            <x v="0"/>
          </reference>
        </references>
      </pivotArea>
    </format>
    <format dxfId="2161">
      <pivotArea field="0" dataOnly="0" labelOnly="1" grandRow="1" outline="0" axis="axisRow" fieldPosition="0">
        <references count="1">
          <reference field="4294967294" count="1" selected="0">
            <x v="1"/>
          </reference>
        </references>
      </pivotArea>
    </format>
    <format dxfId="2160">
      <pivotArea field="0" dataOnly="0" labelOnly="1" grandRow="1" outline="0" axis="axisRow" fieldPosition="0">
        <references count="1">
          <reference field="4294967294" count="1" selected="0">
            <x v="2"/>
          </reference>
        </references>
      </pivotArea>
    </format>
    <format dxfId="2159">
      <pivotArea field="0" dataOnly="0" labelOnly="1" grandRow="1" outline="0" axis="axisRow" fieldPosition="0">
        <references count="1">
          <reference field="4294967294" count="1" selected="0">
            <x v="3"/>
          </reference>
        </references>
      </pivotArea>
    </format>
    <format dxfId="2158">
      <pivotArea field="0" dataOnly="0" labelOnly="1" grandRow="1" outline="0" axis="axisRow" fieldPosition="0">
        <references count="1">
          <reference field="4294967294" count="1" selected="0">
            <x v="4"/>
          </reference>
        </references>
      </pivotArea>
    </format>
    <format dxfId="2157">
      <pivotArea field="0" dataOnly="0" labelOnly="1" grandRow="1" outline="0" axis="axisRow" fieldPosition="0">
        <references count="1">
          <reference field="4294967294" count="1" selected="0">
            <x v="5"/>
          </reference>
        </references>
      </pivotArea>
    </format>
    <format dxfId="2156">
      <pivotArea field="0" dataOnly="0" labelOnly="1" grandRow="1" outline="0" axis="axisRow" fieldPosition="0">
        <references count="1">
          <reference field="4294967294" count="1" selected="0">
            <x v="6"/>
          </reference>
        </references>
      </pivotArea>
    </format>
    <format dxfId="2155">
      <pivotArea field="43" grandRow="1" outline="0" collapsedLevelsAreSubtotals="1" axis="axisCol" fieldPosition="0">
        <references count="3">
          <reference field="4294967294" count="1" selected="0">
            <x v="6"/>
          </reference>
          <reference field="4" count="1" selected="0">
            <x v="0"/>
          </reference>
          <reference field="43" count="1" selected="0">
            <x v="0"/>
          </reference>
        </references>
      </pivotArea>
    </format>
    <format dxfId="2154">
      <pivotArea field="43" grandRow="1" outline="0" collapsedLevelsAreSubtotals="1" axis="axisCol" fieldPosition="0">
        <references count="3">
          <reference field="4294967294" count="1" selected="0">
            <x v="6"/>
          </reference>
          <reference field="4" count="5" selected="0">
            <x v="1"/>
            <x v="2"/>
            <x v="3"/>
            <x v="4"/>
            <x v="5"/>
          </reference>
          <reference field="43" count="1" selected="0">
            <x v="0"/>
          </reference>
        </references>
      </pivotArea>
    </format>
    <format dxfId="2153">
      <pivotArea field="43" grandRow="1" outline="0" collapsedLevelsAreSubtotals="1" axis="axisCol" fieldPosition="0">
        <references count="2">
          <reference field="4294967294" count="1" selected="0">
            <x v="6"/>
          </reference>
          <reference field="43" count="1" selected="0" defaultSubtotal="1">
            <x v="0"/>
          </reference>
        </references>
      </pivotArea>
    </format>
    <format dxfId="2152">
      <pivotArea field="43" grandRow="1" outline="0" collapsedLevelsAreSubtotals="1" axis="axisCol" fieldPosition="0">
        <references count="2">
          <reference field="4294967294" count="1" selected="0">
            <x v="6"/>
          </reference>
          <reference field="43" count="3" selected="0" defaultSubtotal="1">
            <x v="1"/>
            <x v="3"/>
            <x v="4"/>
          </reference>
        </references>
      </pivotArea>
    </format>
    <format dxfId="2151">
      <pivotArea field="0" dataOnly="0" labelOnly="1" grandRow="1" outline="0" axis="axisRow" fieldPosition="0">
        <references count="1">
          <reference field="4294967294" count="1" selected="0">
            <x v="0"/>
          </reference>
        </references>
      </pivotArea>
    </format>
    <format dxfId="2150">
      <pivotArea field="0" dataOnly="0" labelOnly="1" grandRow="1" outline="0" axis="axisRow" fieldPosition="0">
        <references count="1">
          <reference field="4294967294" count="1" selected="0">
            <x v="1"/>
          </reference>
        </references>
      </pivotArea>
    </format>
    <format dxfId="2149">
      <pivotArea field="0" dataOnly="0" labelOnly="1" grandRow="1" outline="0" axis="axisRow" fieldPosition="0">
        <references count="1">
          <reference field="4294967294" count="1" selected="0">
            <x v="2"/>
          </reference>
        </references>
      </pivotArea>
    </format>
    <format dxfId="2148">
      <pivotArea field="0" dataOnly="0" labelOnly="1" grandRow="1" outline="0" axis="axisRow" fieldPosition="0">
        <references count="1">
          <reference field="4294967294" count="1" selected="0">
            <x v="3"/>
          </reference>
        </references>
      </pivotArea>
    </format>
    <format dxfId="2147">
      <pivotArea field="0" dataOnly="0" labelOnly="1" grandRow="1" outline="0" axis="axisRow" fieldPosition="0">
        <references count="1">
          <reference field="4294967294" count="1" selected="0">
            <x v="4"/>
          </reference>
        </references>
      </pivotArea>
    </format>
    <format dxfId="2146">
      <pivotArea field="0" dataOnly="0" labelOnly="1" grandRow="1" outline="0" axis="axisRow" fieldPosition="0">
        <references count="1">
          <reference field="4294967294" count="1" selected="0">
            <x v="5"/>
          </reference>
        </references>
      </pivotArea>
    </format>
    <format dxfId="2145">
      <pivotArea field="0" dataOnly="0" labelOnly="1" grandRow="1" outline="0" axis="axisRow" fieldPosition="0">
        <references count="1">
          <reference field="4294967294" count="1" selected="0">
            <x v="6"/>
          </reference>
        </references>
      </pivotArea>
    </format>
    <format dxfId="2144">
      <pivotArea field="43" grandRow="1" outline="0" collapsedLevelsAreSubtotals="1" axis="axisCol" fieldPosition="0">
        <references count="3">
          <reference field="4294967294" count="1" selected="0">
            <x v="6"/>
          </reference>
          <reference field="4" count="2" selected="0">
            <x v="12"/>
            <x v="13"/>
          </reference>
          <reference field="43" count="1" selected="0">
            <x v="3"/>
          </reference>
        </references>
      </pivotArea>
    </format>
    <format dxfId="2143">
      <pivotArea field="43" grandRow="1" outline="0" collapsedLevelsAreSubtotals="1" axis="axisCol" fieldPosition="0">
        <references count="2">
          <reference field="4294967294" count="1" selected="0">
            <x v="6"/>
          </reference>
          <reference field="43" count="1" selected="0" defaultSubtotal="1">
            <x v="3"/>
          </reference>
        </references>
      </pivotArea>
    </format>
    <format dxfId="2142">
      <pivotArea field="43" grandRow="1" outline="0" collapsedLevelsAreSubtotals="1" axis="axisCol" fieldPosition="0">
        <references count="2">
          <reference field="4294967294" count="1" selected="0">
            <x v="6"/>
          </reference>
          <reference field="43" count="1" selected="0" defaultSubtotal="1">
            <x v="4"/>
          </reference>
        </references>
      </pivotArea>
    </format>
    <format dxfId="2141">
      <pivotArea field="43" grandRow="1" outline="0" collapsedLevelsAreSubtotals="1" axis="axisCol" fieldPosition="0">
        <references count="2">
          <reference field="4294967294" count="1" selected="0">
            <x v="6"/>
          </reference>
          <reference field="43" count="2" selected="0" defaultSubtotal="1">
            <x v="0"/>
            <x v="1"/>
          </reference>
        </references>
      </pivotArea>
    </format>
    <format dxfId="2140">
      <pivotArea field="43" grandRow="1" outline="0" collapsedLevelsAreSubtotals="1" axis="axisCol" fieldPosition="0">
        <references count="3">
          <reference field="4294967294" count="1" selected="0">
            <x v="6"/>
          </reference>
          <reference field="4" count="1" selected="0">
            <x v="11"/>
          </reference>
          <reference field="43" count="1" selected="0">
            <x v="3"/>
          </reference>
        </references>
      </pivotArea>
    </format>
    <format dxfId="2139">
      <pivotArea outline="0" collapsedLevelsAreSubtotals="1" fieldPosition="0">
        <references count="1">
          <reference field="43" count="3" selected="0" defaultSubtotal="1">
            <x v="0"/>
            <x v="1"/>
            <x v="3"/>
          </reference>
        </references>
      </pivotArea>
    </format>
    <format dxfId="2138">
      <pivotArea field="0" grandRow="1" outline="0" collapsedLevelsAreSubtotals="1" axis="axisRow" fieldPosition="0">
        <references count="1">
          <reference field="4294967294" count="1" selected="0">
            <x v="6"/>
          </reference>
        </references>
      </pivotArea>
    </format>
    <format dxfId="2137">
      <pivotArea field="0" dataOnly="0" labelOnly="1" grandRow="1" outline="0" offset="IV256" axis="axisRow" fieldPosition="0">
        <references count="1">
          <reference field="4294967294" count="1" selected="0">
            <x v="0"/>
          </reference>
        </references>
      </pivotArea>
    </format>
    <format dxfId="2136">
      <pivotArea field="0" dataOnly="0" labelOnly="1" grandRow="1" outline="0" offset="IV256" axis="axisRow" fieldPosition="0">
        <references count="1">
          <reference field="4294967294" count="1" selected="0">
            <x v="1"/>
          </reference>
        </references>
      </pivotArea>
    </format>
    <format dxfId="2135">
      <pivotArea field="0" dataOnly="0" labelOnly="1" grandRow="1" outline="0" offset="IV256" axis="axisRow" fieldPosition="0">
        <references count="1">
          <reference field="4294967294" count="1" selected="0">
            <x v="2"/>
          </reference>
        </references>
      </pivotArea>
    </format>
    <format dxfId="2134">
      <pivotArea field="0" dataOnly="0" labelOnly="1" grandRow="1" outline="0" offset="IV256" axis="axisRow" fieldPosition="0">
        <references count="1">
          <reference field="4294967294" count="1" selected="0">
            <x v="3"/>
          </reference>
        </references>
      </pivotArea>
    </format>
    <format dxfId="2133">
      <pivotArea field="0" dataOnly="0" labelOnly="1" grandRow="1" outline="0" offset="IV256" axis="axisRow" fieldPosition="0">
        <references count="1">
          <reference field="4294967294" count="1" selected="0">
            <x v="4"/>
          </reference>
        </references>
      </pivotArea>
    </format>
    <format dxfId="2132">
      <pivotArea field="0" dataOnly="0" labelOnly="1" grandRow="1" outline="0" offset="IV256" axis="axisRow" fieldPosition="0">
        <references count="1">
          <reference field="4294967294" count="1" selected="0">
            <x v="5"/>
          </reference>
        </references>
      </pivotArea>
    </format>
    <format dxfId="2131">
      <pivotArea field="0" dataOnly="0" labelOnly="1" grandRow="1" outline="0" offset="IV256" axis="axisRow" fieldPosition="0">
        <references count="1">
          <reference field="4294967294" count="1" selected="0">
            <x v="6"/>
          </reference>
        </references>
      </pivotArea>
    </format>
    <format dxfId="2130">
      <pivotArea outline="0" collapsedLevelsAreSubtotals="1" fieldPosition="0">
        <references count="3">
          <reference field="4294967294" count="1" selected="0">
            <x v="2"/>
          </reference>
          <reference field="0" count="1" selected="0">
            <x v="4"/>
          </reference>
          <reference field="43" count="3" selected="0" defaultSubtotal="1">
            <x v="0"/>
            <x v="1"/>
            <x v="2"/>
          </reference>
        </references>
      </pivotArea>
    </format>
    <format dxfId="2129">
      <pivotArea outline="0" collapsedLevelsAreSubtotals="1" fieldPosition="0">
        <references count="4">
          <reference field="4294967294" count="1" selected="0">
            <x v="2"/>
          </reference>
          <reference field="0" count="1" selected="0">
            <x v="4"/>
          </reference>
          <reference field="4" count="1" selected="0">
            <x v="11"/>
          </reference>
          <reference field="43" count="1" selected="0">
            <x v="3"/>
          </reference>
        </references>
      </pivotArea>
    </format>
    <format dxfId="2128">
      <pivotArea outline="0" collapsedLevelsAreSubtotals="1" fieldPosition="0">
        <references count="3">
          <reference field="4294967294" count="2" selected="0">
            <x v="5"/>
            <x v="6"/>
          </reference>
          <reference field="0" count="1" selected="0">
            <x v="4"/>
          </reference>
          <reference field="43" count="3" selected="0" defaultSubtotal="1">
            <x v="0"/>
            <x v="1"/>
            <x v="2"/>
          </reference>
        </references>
      </pivotArea>
    </format>
    <format dxfId="2127">
      <pivotArea outline="0" collapsedLevelsAreSubtotals="1" fieldPosition="0">
        <references count="4">
          <reference field="4294967294" count="2" selected="0">
            <x v="5"/>
            <x v="6"/>
          </reference>
          <reference field="0" count="1" selected="0">
            <x v="4"/>
          </reference>
          <reference field="4" count="1" selected="0">
            <x v="11"/>
          </reference>
          <reference field="43" count="1" selected="0">
            <x v="3"/>
          </reference>
        </references>
      </pivotArea>
    </format>
    <format dxfId="2126">
      <pivotArea outline="0" collapsedLevelsAreSubtotals="1" fieldPosition="0">
        <references count="2">
          <reference field="4" count="1" selected="0">
            <x v="12"/>
          </reference>
          <reference field="43" count="1" selected="0">
            <x v="3"/>
          </reference>
        </references>
      </pivotArea>
    </format>
    <format dxfId="2125">
      <pivotArea outline="0" collapsedLevelsAreSubtotals="1" fieldPosition="0">
        <references count="1">
          <reference field="43" count="1" selected="0" defaultSubtotal="1">
            <x v="3"/>
          </reference>
        </references>
      </pivotArea>
    </format>
    <format dxfId="2124">
      <pivotArea outline="0" collapsedLevelsAreSubtotals="1" fieldPosition="0">
        <references count="4">
          <reference field="4294967294" count="1" selected="0">
            <x v="6"/>
          </reference>
          <reference field="0" count="1" selected="0">
            <x v="0"/>
          </reference>
          <reference field="4" count="1" selected="0">
            <x v="12"/>
          </reference>
          <reference field="43" count="1" selected="0">
            <x v="3"/>
          </reference>
        </references>
      </pivotArea>
    </format>
    <format dxfId="2123">
      <pivotArea outline="0" collapsedLevelsAreSubtotals="1" fieldPosition="0">
        <references count="4">
          <reference field="4294967294" count="1" selected="0">
            <x v="6"/>
          </reference>
          <reference field="0" count="1" selected="0">
            <x v="4"/>
          </reference>
          <reference field="4" count="2" selected="0">
            <x v="6"/>
            <x v="7"/>
          </reference>
          <reference field="43" count="1" selected="0">
            <x v="1"/>
          </reference>
        </references>
      </pivotArea>
    </format>
    <format dxfId="2122">
      <pivotArea outline="0" collapsedLevelsAreSubtotals="1" fieldPosition="0">
        <references count="4">
          <reference field="4294967294" count="1" selected="0">
            <x v="6"/>
          </reference>
          <reference field="0" count="1" selected="0">
            <x v="5"/>
          </reference>
          <reference field="4" count="2" selected="0">
            <x v="8"/>
            <x v="9"/>
          </reference>
          <reference field="43" count="1" selected="0">
            <x v="1"/>
          </reference>
        </references>
      </pivotArea>
    </format>
    <format dxfId="2121">
      <pivotArea outline="0" collapsedLevelsAreSubtotals="1" fieldPosition="0">
        <references count="4">
          <reference field="4294967294" count="1" selected="0">
            <x v="6"/>
          </reference>
          <reference field="0" count="1" selected="0">
            <x v="10"/>
          </reference>
          <reference field="4" count="1" selected="0">
            <x v="8"/>
          </reference>
          <reference field="43" count="1" selected="0">
            <x v="1"/>
          </reference>
        </references>
      </pivotArea>
    </format>
    <format dxfId="2120">
      <pivotArea outline="0" collapsedLevelsAreSubtotals="1" fieldPosition="0">
        <references count="4">
          <reference field="4294967294" count="1" selected="0">
            <x v="6"/>
          </reference>
          <reference field="0" count="1" selected="0">
            <x v="13"/>
          </reference>
          <reference field="4" count="1" selected="0">
            <x v="10"/>
          </reference>
          <reference field="43" count="1" selected="0">
            <x v="2"/>
          </reference>
        </references>
      </pivotArea>
    </format>
    <format dxfId="2119">
      <pivotArea outline="0" collapsedLevelsAreSubtotals="1" fieldPosition="0">
        <references count="4">
          <reference field="4294967294" count="1" selected="0">
            <x v="6"/>
          </reference>
          <reference field="0" count="1" selected="0">
            <x v="14"/>
          </reference>
          <reference field="4" count="1" selected="0">
            <x v="10"/>
          </reference>
          <reference field="43" count="1" selected="0">
            <x v="2"/>
          </reference>
        </references>
      </pivotArea>
    </format>
    <format dxfId="2118">
      <pivotArea field="0" dataOnly="0" labelOnly="1" grandRow="1" outline="0" offset="A256" axis="axisRow" fieldPosition="0">
        <references count="1">
          <reference field="4294967294" count="1" selected="0">
            <x v="0"/>
          </reference>
        </references>
      </pivotArea>
    </format>
    <format dxfId="2117">
      <pivotArea field="0" dataOnly="0" labelOnly="1" grandRow="1" outline="0" offset="A256" axis="axisRow" fieldPosition="0">
        <references count="1">
          <reference field="4294967294" count="1" selected="0">
            <x v="1"/>
          </reference>
        </references>
      </pivotArea>
    </format>
    <format dxfId="2116">
      <pivotArea field="0" dataOnly="0" labelOnly="1" grandRow="1" outline="0" offset="A256" axis="axisRow" fieldPosition="0">
        <references count="1">
          <reference field="4294967294" count="1" selected="0">
            <x v="2"/>
          </reference>
        </references>
      </pivotArea>
    </format>
    <format dxfId="2115">
      <pivotArea field="0" dataOnly="0" labelOnly="1" grandRow="1" outline="0" offset="A256" axis="axisRow" fieldPosition="0">
        <references count="1">
          <reference field="4294967294" count="1" selected="0">
            <x v="3"/>
          </reference>
        </references>
      </pivotArea>
    </format>
    <format dxfId="2114">
      <pivotArea field="0" dataOnly="0" labelOnly="1" grandRow="1" outline="0" offset="A256" axis="axisRow" fieldPosition="0">
        <references count="1">
          <reference field="4294967294" count="1" selected="0">
            <x v="4"/>
          </reference>
        </references>
      </pivotArea>
    </format>
    <format dxfId="2113">
      <pivotArea field="0" dataOnly="0" labelOnly="1" grandRow="1" outline="0" offset="A256" axis="axisRow" fieldPosition="0">
        <references count="1">
          <reference field="4294967294" count="1" selected="0">
            <x v="5"/>
          </reference>
        </references>
      </pivotArea>
    </format>
    <format dxfId="2112">
      <pivotArea field="0" dataOnly="0" labelOnly="1" grandRow="1" outline="0" offset="A256" axis="axisRow" fieldPosition="0">
        <references count="1">
          <reference field="4294967294" count="1" selected="0">
            <x v="6"/>
          </reference>
        </references>
      </pivotArea>
    </format>
    <format dxfId="2111">
      <pivotArea field="43" grandRow="1" outline="0" collapsedLevelsAreSubtotals="1" axis="axisCol" fieldPosition="0">
        <references count="2">
          <reference field="4294967294" count="7" selected="0">
            <x v="0"/>
            <x v="1"/>
            <x v="2"/>
            <x v="3"/>
            <x v="4"/>
            <x v="5"/>
            <x v="6"/>
          </reference>
          <reference field="43" count="4" selected="0" defaultSubtotal="1">
            <x v="0"/>
            <x v="1"/>
            <x v="2"/>
            <x v="3"/>
          </reference>
        </references>
      </pivotArea>
    </format>
    <format dxfId="2110">
      <pivotArea field="0" dataOnly="0" labelOnly="1" grandRow="1" outline="0" axis="axisRow" fieldPosition="0">
        <references count="1">
          <reference field="4294967294" count="1" selected="0">
            <x v="0"/>
          </reference>
        </references>
      </pivotArea>
    </format>
    <format dxfId="2109">
      <pivotArea field="0" dataOnly="0" labelOnly="1" grandRow="1" outline="0" axis="axisRow" fieldPosition="0">
        <references count="1">
          <reference field="4294967294" count="1" selected="0">
            <x v="1"/>
          </reference>
        </references>
      </pivotArea>
    </format>
    <format dxfId="2108">
      <pivotArea field="0" dataOnly="0" labelOnly="1" grandRow="1" outline="0" axis="axisRow" fieldPosition="0">
        <references count="1">
          <reference field="4294967294" count="1" selected="0">
            <x v="2"/>
          </reference>
        </references>
      </pivotArea>
    </format>
    <format dxfId="2107">
      <pivotArea field="0" dataOnly="0" labelOnly="1" grandRow="1" outline="0" axis="axisRow" fieldPosition="0">
        <references count="1">
          <reference field="4294967294" count="1" selected="0">
            <x v="3"/>
          </reference>
        </references>
      </pivotArea>
    </format>
    <format dxfId="2106">
      <pivotArea field="0" dataOnly="0" labelOnly="1" grandRow="1" outline="0" axis="axisRow" fieldPosition="0">
        <references count="1">
          <reference field="4294967294" count="1" selected="0">
            <x v="4"/>
          </reference>
        </references>
      </pivotArea>
    </format>
    <format dxfId="2105">
      <pivotArea field="0" dataOnly="0" labelOnly="1" grandRow="1" outline="0" axis="axisRow" fieldPosition="0">
        <references count="1">
          <reference field="4294967294" count="1" selected="0">
            <x v="5"/>
          </reference>
        </references>
      </pivotArea>
    </format>
    <format dxfId="2104">
      <pivotArea field="0" dataOnly="0" labelOnly="1" grandRow="1" outline="0" axis="axisRow" fieldPosition="0">
        <references count="1">
          <reference field="4294967294" count="1" selected="0">
            <x v="6"/>
          </reference>
        </references>
      </pivotArea>
    </format>
    <format dxfId="2103">
      <pivotArea outline="0" collapsedLevelsAreSubtotals="1" fieldPosition="0">
        <references count="3">
          <reference field="4294967294" count="7" selected="0">
            <x v="0"/>
            <x v="1"/>
            <x v="2"/>
            <x v="3"/>
            <x v="4"/>
            <x v="5"/>
            <x v="6"/>
          </reference>
          <reference field="0" count="1" selected="0">
            <x v="12"/>
          </reference>
          <reference field="43" count="4" selected="0" defaultSubtotal="1">
            <x v="5"/>
            <x v="6"/>
            <x v="7"/>
            <x v="8"/>
          </reference>
        </references>
      </pivotArea>
    </format>
    <format dxfId="2102">
      <pivotArea outline="0" collapsedLevelsAreSubtotals="1" fieldPosition="0">
        <references count="4">
          <reference field="4294967294" count="1" selected="0">
            <x v="6"/>
          </reference>
          <reference field="0" count="1" selected="0">
            <x v="6"/>
          </reference>
          <reference field="4" count="4" selected="0">
            <x v="2"/>
            <x v="3"/>
            <x v="4"/>
            <x v="5"/>
          </reference>
          <reference field="43" count="1" selected="0">
            <x v="0"/>
          </reference>
        </references>
      </pivotArea>
    </format>
    <format dxfId="2101">
      <pivotArea outline="0" collapsedLevelsAreSubtotals="1" fieldPosition="0">
        <references count="4">
          <reference field="4294967294" count="1" selected="0">
            <x v="6"/>
          </reference>
          <reference field="0" count="1" selected="0">
            <x v="6"/>
          </reference>
          <reference field="4" count="1" selected="0">
            <x v="11"/>
          </reference>
          <reference field="43" count="1" selected="0">
            <x v="3"/>
          </reference>
        </references>
      </pivotArea>
    </format>
    <format dxfId="2100">
      <pivotArea outline="0" collapsedLevelsAreSubtotals="1" fieldPosition="0">
        <references count="4">
          <reference field="4294967294" count="1" selected="0">
            <x v="5"/>
          </reference>
          <reference field="0" count="1" selected="0">
            <x v="1"/>
          </reference>
          <reference field="4" count="1" selected="0">
            <x v="0"/>
          </reference>
          <reference field="43" count="1" selected="0">
            <x v="0"/>
          </reference>
        </references>
      </pivotArea>
    </format>
    <format dxfId="2099">
      <pivotArea outline="0" collapsedLevelsAreSubtotals="1" fieldPosition="0">
        <references count="4">
          <reference field="4294967294" count="1" selected="0">
            <x v="5"/>
          </reference>
          <reference field="0" count="1" selected="0">
            <x v="9"/>
          </reference>
          <reference field="4" count="1" selected="0">
            <x v="0"/>
          </reference>
          <reference field="43" count="1" selected="0">
            <x v="0"/>
          </reference>
        </references>
      </pivotArea>
    </format>
    <format dxfId="2098">
      <pivotArea outline="0" collapsedLevelsAreSubtotals="1" fieldPosition="0">
        <references count="4">
          <reference field="4294967294" count="1" selected="0">
            <x v="5"/>
          </reference>
          <reference field="0" count="1" selected="0">
            <x v="13"/>
          </reference>
          <reference field="4" count="1" selected="0">
            <x v="0"/>
          </reference>
          <reference field="43" count="1" selected="0">
            <x v="0"/>
          </reference>
        </references>
      </pivotArea>
    </format>
    <format dxfId="2097">
      <pivotArea outline="0" collapsedLevelsAreSubtotals="1" fieldPosition="0">
        <references count="4">
          <reference field="4294967294" count="1" selected="0">
            <x v="5"/>
          </reference>
          <reference field="0" count="1" selected="0">
            <x v="14"/>
          </reference>
          <reference field="4" count="1" selected="0">
            <x v="3"/>
          </reference>
          <reference field="43" count="1" selected="0">
            <x v="0"/>
          </reference>
        </references>
      </pivotArea>
    </format>
    <format dxfId="2096">
      <pivotArea outline="0" collapsedLevelsAreSubtotals="1" fieldPosition="0">
        <references count="4">
          <reference field="4294967294" count="1" selected="0">
            <x v="5"/>
          </reference>
          <reference field="0" count="1" selected="0">
            <x v="14"/>
          </reference>
          <reference field="4" count="1" selected="0">
            <x v="4"/>
          </reference>
          <reference field="43" count="1" selected="0">
            <x v="0"/>
          </reference>
        </references>
      </pivotArea>
    </format>
    <format dxfId="2095">
      <pivotArea outline="0" collapsedLevelsAreSubtotals="1" fieldPosition="0">
        <references count="4">
          <reference field="4294967294" count="1" selected="0">
            <x v="5"/>
          </reference>
          <reference field="0" count="1" selected="0">
            <x v="14"/>
          </reference>
          <reference field="4" count="1" selected="0">
            <x v="5"/>
          </reference>
          <reference field="43" count="1" selected="0">
            <x v="0"/>
          </reference>
        </references>
      </pivotArea>
    </format>
    <format dxfId="2094">
      <pivotArea outline="0" collapsedLevelsAreSubtotals="1" fieldPosition="0">
        <references count="4">
          <reference field="4294967294" count="1" selected="0">
            <x v="5"/>
          </reference>
          <reference field="0" count="1" selected="0">
            <x v="15"/>
          </reference>
          <reference field="4" count="1" selected="0">
            <x v="4"/>
          </reference>
          <reference field="43" count="1" selected="0">
            <x v="0"/>
          </reference>
        </references>
      </pivotArea>
    </format>
    <format dxfId="2093">
      <pivotArea outline="0" collapsedLevelsAreSubtotals="1" fieldPosition="0">
        <references count="4">
          <reference field="4294967294" count="1" selected="0">
            <x v="2"/>
          </reference>
          <reference field="0" count="1" selected="0">
            <x v="15"/>
          </reference>
          <reference field="4" count="1" selected="0">
            <x v="4"/>
          </reference>
          <reference field="43" count="1" selected="0">
            <x v="0"/>
          </reference>
        </references>
      </pivotArea>
    </format>
    <format dxfId="2092">
      <pivotArea outline="0" collapsedLevelsAreSubtotals="1" fieldPosition="0">
        <references count="3">
          <reference field="4294967294" count="7" selected="0">
            <x v="0"/>
            <x v="1"/>
            <x v="2"/>
            <x v="3"/>
            <x v="4"/>
            <x v="5"/>
            <x v="6"/>
          </reference>
          <reference field="0" count="0" selected="0"/>
          <reference field="43" count="4" selected="0" defaultSubtotal="1">
            <x v="0"/>
            <x v="1"/>
            <x v="2"/>
            <x v="3"/>
          </reference>
        </references>
      </pivotArea>
    </format>
    <format dxfId="2091">
      <pivotArea field="43" type="button" dataOnly="0" labelOnly="1" outline="0" axis="axisCol" fieldPosition="0"/>
    </format>
    <format dxfId="2090">
      <pivotArea field="4" type="button" dataOnly="0" labelOnly="1" outline="0" axis="axisCol" fieldPosition="1"/>
    </format>
    <format dxfId="2089">
      <pivotArea type="topRight" dataOnly="0" labelOnly="1" outline="0" fieldPosition="0"/>
    </format>
    <format dxfId="2088">
      <pivotArea dataOnly="0" labelOnly="1" outline="0" fieldPosition="0">
        <references count="1">
          <reference field="43" count="4">
            <x v="0"/>
            <x v="1"/>
            <x v="2"/>
            <x v="3"/>
          </reference>
        </references>
      </pivotArea>
    </format>
    <format dxfId="2087">
      <pivotArea dataOnly="0" labelOnly="1" outline="0" fieldPosition="0">
        <references count="1">
          <reference field="43" count="4" defaultSubtotal="1">
            <x v="0"/>
            <x v="1"/>
            <x v="2"/>
            <x v="3"/>
          </reference>
        </references>
      </pivotArea>
    </format>
    <format dxfId="2086">
      <pivotArea dataOnly="0" labelOnly="1" outline="0" fieldPosition="0">
        <references count="2">
          <reference field="4" count="6">
            <x v="0"/>
            <x v="1"/>
            <x v="2"/>
            <x v="3"/>
            <x v="4"/>
            <x v="5"/>
          </reference>
          <reference field="43" count="1" selected="0">
            <x v="0"/>
          </reference>
        </references>
      </pivotArea>
    </format>
    <format dxfId="2085">
      <pivotArea dataOnly="0" labelOnly="1" outline="0" fieldPosition="0">
        <references count="2">
          <reference field="4" count="4">
            <x v="6"/>
            <x v="7"/>
            <x v="8"/>
            <x v="9"/>
          </reference>
          <reference field="43" count="1" selected="0">
            <x v="1"/>
          </reference>
        </references>
      </pivotArea>
    </format>
    <format dxfId="2084">
      <pivotArea dataOnly="0" labelOnly="1" outline="0" fieldPosition="0">
        <references count="2">
          <reference field="4" count="1">
            <x v="10"/>
          </reference>
          <reference field="43" count="1" selected="0">
            <x v="2"/>
          </reference>
        </references>
      </pivotArea>
    </format>
    <format dxfId="2083">
      <pivotArea dataOnly="0" labelOnly="1" outline="0" fieldPosition="0">
        <references count="2">
          <reference field="4" count="2">
            <x v="11"/>
            <x v="12"/>
          </reference>
          <reference field="43" count="1" selected="0">
            <x v="3"/>
          </reference>
        </references>
      </pivotArea>
    </format>
    <format dxfId="2082">
      <pivotArea outline="0" collapsedLevelsAreSubtotals="1" fieldPosition="0">
        <references count="4">
          <reference field="4294967294" count="1" selected="0">
            <x v="6"/>
          </reference>
          <reference field="0" count="1" selected="0">
            <x v="0"/>
          </reference>
          <reference field="4" count="1" selected="0">
            <x v="4"/>
          </reference>
          <reference field="43" count="1" selected="0">
            <x v="0"/>
          </reference>
        </references>
      </pivotArea>
    </format>
    <format dxfId="2081">
      <pivotArea outline="0" collapsedLevelsAreSubtotals="1" fieldPosition="0">
        <references count="4">
          <reference field="4294967294" count="1" selected="0">
            <x v="6"/>
          </reference>
          <reference field="0" count="1" selected="0">
            <x v="1"/>
          </reference>
          <reference field="4" count="1" selected="0">
            <x v="9"/>
          </reference>
          <reference field="43" count="1" selected="0">
            <x v="1"/>
          </reference>
        </references>
      </pivotArea>
    </format>
    <format dxfId="2080">
      <pivotArea outline="0" collapsedLevelsAreSubtotals="1" fieldPosition="0">
        <references count="4">
          <reference field="4294967294" count="1" selected="0">
            <x v="6"/>
          </reference>
          <reference field="0" count="1" selected="0">
            <x v="1"/>
          </reference>
          <reference field="4" count="1" selected="0">
            <x v="8"/>
          </reference>
          <reference field="43" count="1" selected="0">
            <x v="1"/>
          </reference>
        </references>
      </pivotArea>
    </format>
    <format dxfId="2079">
      <pivotArea outline="0" collapsedLevelsAreSubtotals="1" fieldPosition="0">
        <references count="4">
          <reference field="4294967294" count="1" selected="0">
            <x v="6"/>
          </reference>
          <reference field="0" count="1" selected="0">
            <x v="1"/>
          </reference>
          <reference field="4" count="1" selected="0">
            <x v="7"/>
          </reference>
          <reference field="43" count="1" selected="0">
            <x v="1"/>
          </reference>
        </references>
      </pivotArea>
    </format>
    <format dxfId="2078">
      <pivotArea outline="0" collapsedLevelsAreSubtotals="1" fieldPosition="0">
        <references count="4">
          <reference field="4294967294" count="1" selected="0">
            <x v="6"/>
          </reference>
          <reference field="0" count="1" selected="0">
            <x v="6"/>
          </reference>
          <reference field="4" count="2" selected="0">
            <x v="8"/>
            <x v="9"/>
          </reference>
          <reference field="43" count="1" selected="0">
            <x v="1"/>
          </reference>
        </references>
      </pivotArea>
    </format>
    <format dxfId="2077">
      <pivotArea outline="0" collapsedLevelsAreSubtotals="1" fieldPosition="0">
        <references count="4">
          <reference field="4294967294" count="1" selected="0">
            <x v="6"/>
          </reference>
          <reference field="0" count="1" selected="0">
            <x v="6"/>
          </reference>
          <reference field="4" count="1" selected="0">
            <x v="2"/>
          </reference>
          <reference field="43" count="1" selected="0">
            <x v="0"/>
          </reference>
        </references>
      </pivotArea>
    </format>
    <format dxfId="2076">
      <pivotArea outline="0" collapsedLevelsAreSubtotals="1" fieldPosition="0">
        <references count="4">
          <reference field="4294967294" count="1" selected="0">
            <x v="6"/>
          </reference>
          <reference field="0" count="1" selected="0">
            <x v="10"/>
          </reference>
          <reference field="4" count="1" selected="0">
            <x v="9"/>
          </reference>
          <reference field="43" count="1" selected="0">
            <x v="1"/>
          </reference>
        </references>
      </pivotArea>
    </format>
    <format dxfId="2075">
      <pivotArea outline="0" collapsedLevelsAreSubtotals="1" fieldPosition="0">
        <references count="4">
          <reference field="4294967294" count="1" selected="0">
            <x v="6"/>
          </reference>
          <reference field="0" count="1" selected="0">
            <x v="11"/>
          </reference>
          <reference field="4" count="1" selected="0">
            <x v="8"/>
          </reference>
          <reference field="43" count="1" selected="0">
            <x v="1"/>
          </reference>
        </references>
      </pivotArea>
    </format>
    <format dxfId="2074">
      <pivotArea outline="0" collapsedLevelsAreSubtotals="1" fieldPosition="0">
        <references count="4">
          <reference field="4294967294" count="1" selected="0">
            <x v="6"/>
          </reference>
          <reference field="0" count="1" selected="0">
            <x v="12"/>
          </reference>
          <reference field="4" count="1" selected="0">
            <x v="8"/>
          </reference>
          <reference field="43" count="1" selected="0">
            <x v="1"/>
          </reference>
        </references>
      </pivotArea>
    </format>
    <format dxfId="2073">
      <pivotArea outline="0" collapsedLevelsAreSubtotals="1" fieldPosition="0">
        <references count="4">
          <reference field="4294967294" count="1" selected="0">
            <x v="6"/>
          </reference>
          <reference field="0" count="1" selected="0">
            <x v="13"/>
          </reference>
          <reference field="4" count="1" selected="0">
            <x v="9"/>
          </reference>
          <reference field="43" count="1" selected="0">
            <x v="1"/>
          </reference>
        </references>
      </pivotArea>
    </format>
    <format dxfId="2072">
      <pivotArea outline="0" collapsedLevelsAreSubtotals="1" fieldPosition="0">
        <references count="4">
          <reference field="4294967294" count="1" selected="0">
            <x v="6"/>
          </reference>
          <reference field="0" count="1" selected="0">
            <x v="14"/>
          </reference>
          <reference field="4" count="2" selected="0">
            <x v="8"/>
            <x v="9"/>
          </reference>
          <reference field="43" count="1" selected="0">
            <x v="1"/>
          </reference>
        </references>
      </pivotArea>
    </format>
    <format dxfId="2071">
      <pivotArea outline="0" collapsedLevelsAreSubtotals="1" fieldPosition="0">
        <references count="4">
          <reference field="4294967294" count="1" selected="0">
            <x v="6"/>
          </reference>
          <reference field="0" count="1" selected="0">
            <x v="0"/>
          </reference>
          <reference field="4" count="1" selected="0">
            <x v="4"/>
          </reference>
          <reference field="43" count="1" selected="0">
            <x v="0"/>
          </reference>
        </references>
      </pivotArea>
    </format>
    <format dxfId="2070">
      <pivotArea outline="0" collapsedLevelsAreSubtotals="1" fieldPosition="0">
        <references count="4">
          <reference field="4294967294" count="1" selected="0">
            <x v="6"/>
          </reference>
          <reference field="0" count="1" selected="0">
            <x v="0"/>
          </reference>
          <reference field="4" count="1" selected="0">
            <x v="3"/>
          </reference>
          <reference field="43" count="1" selected="0">
            <x v="0"/>
          </reference>
        </references>
      </pivotArea>
    </format>
    <format dxfId="2069">
      <pivotArea outline="0" collapsedLevelsAreSubtotals="1" fieldPosition="0">
        <references count="4">
          <reference field="4294967294" count="1" selected="0">
            <x v="6"/>
          </reference>
          <reference field="0" count="1" selected="0">
            <x v="0"/>
          </reference>
          <reference field="4" count="1" selected="0">
            <x v="12"/>
          </reference>
          <reference field="43" count="1" selected="0">
            <x v="3"/>
          </reference>
        </references>
      </pivotArea>
    </format>
    <format dxfId="2068">
      <pivotArea outline="0" collapsedLevelsAreSubtotals="1" fieldPosition="0">
        <references count="1">
          <reference field="43" count="4" selected="0" defaultSubtotal="1">
            <x v="0"/>
            <x v="1"/>
            <x v="2"/>
            <x v="3"/>
          </reference>
        </references>
      </pivotArea>
    </format>
    <format dxfId="2067">
      <pivotArea type="origin" dataOnly="0" labelOnly="1" outline="0" fieldPosition="0"/>
    </format>
    <format dxfId="2066">
      <pivotArea field="43" type="button" dataOnly="0" labelOnly="1" outline="0" axis="axisCol" fieldPosition="0"/>
    </format>
    <format dxfId="2065">
      <pivotArea field="4" type="button" dataOnly="0" labelOnly="1" outline="0" axis="axisCol" fieldPosition="1"/>
    </format>
    <format dxfId="2064">
      <pivotArea type="topRight" dataOnly="0" labelOnly="1" outline="0" offset="A1:O1" fieldPosition="0"/>
    </format>
    <format dxfId="2063">
      <pivotArea field="0" type="button" dataOnly="0" labelOnly="1" outline="0" axis="axisRow" fieldPosition="0"/>
    </format>
    <format dxfId="2062">
      <pivotArea field="-2" type="button" dataOnly="0" labelOnly="1" outline="0" axis="axisRow" fieldPosition="1"/>
    </format>
    <format dxfId="2061">
      <pivotArea dataOnly="0" labelOnly="1" outline="0" fieldPosition="0">
        <references count="1">
          <reference field="0" count="0"/>
        </references>
      </pivotArea>
    </format>
    <format dxfId="2060">
      <pivotArea field="0" dataOnly="0" labelOnly="1" grandRow="1" outline="0" axis="axisRow" fieldPosition="0">
        <references count="1">
          <reference field="4294967294" count="1" selected="0">
            <x v="0"/>
          </reference>
        </references>
      </pivotArea>
    </format>
    <format dxfId="2059">
      <pivotArea field="0" dataOnly="0" labelOnly="1" grandRow="1" outline="0" axis="axisRow" fieldPosition="0">
        <references count="1">
          <reference field="4294967294" count="1" selected="0">
            <x v="1"/>
          </reference>
        </references>
      </pivotArea>
    </format>
    <format dxfId="2058">
      <pivotArea field="0" dataOnly="0" labelOnly="1" grandRow="1" outline="0" axis="axisRow" fieldPosition="0">
        <references count="1">
          <reference field="4294967294" count="1" selected="0">
            <x v="2"/>
          </reference>
        </references>
      </pivotArea>
    </format>
    <format dxfId="2057">
      <pivotArea field="0" dataOnly="0" labelOnly="1" grandRow="1" outline="0" axis="axisRow" fieldPosition="0">
        <references count="1">
          <reference field="4294967294" count="1" selected="0">
            <x v="3"/>
          </reference>
        </references>
      </pivotArea>
    </format>
    <format dxfId="2056">
      <pivotArea field="0" dataOnly="0" labelOnly="1" grandRow="1" outline="0" axis="axisRow" fieldPosition="0">
        <references count="1">
          <reference field="4294967294" count="1" selected="0">
            <x v="4"/>
          </reference>
        </references>
      </pivotArea>
    </format>
    <format dxfId="2055">
      <pivotArea field="0" dataOnly="0" labelOnly="1" grandRow="1" outline="0" axis="axisRow" fieldPosition="0">
        <references count="1">
          <reference field="4294967294" count="1" selected="0">
            <x v="5"/>
          </reference>
        </references>
      </pivotArea>
    </format>
    <format dxfId="2054">
      <pivotArea field="0" dataOnly="0" labelOnly="1" grandRow="1" outline="0" axis="axisRow" fieldPosition="0">
        <references count="1">
          <reference field="4294967294" count="1" selected="0">
            <x v="6"/>
          </reference>
        </references>
      </pivotArea>
    </format>
    <format dxfId="2053">
      <pivotArea field="0" dataOnly="0" labelOnly="1" grandRow="1" outline="0" axis="axisRow" fieldPosition="0">
        <references count="1">
          <reference field="4294967294" count="1" selected="0">
            <x v="0"/>
          </reference>
        </references>
      </pivotArea>
    </format>
    <format dxfId="2052">
      <pivotArea field="0" dataOnly="0" labelOnly="1" grandRow="1" outline="0" axis="axisRow" fieldPosition="0">
        <references count="1">
          <reference field="4294967294" count="1" selected="0">
            <x v="1"/>
          </reference>
        </references>
      </pivotArea>
    </format>
    <format dxfId="2051">
      <pivotArea field="0" dataOnly="0" labelOnly="1" grandRow="1" outline="0" axis="axisRow" fieldPosition="0">
        <references count="1">
          <reference field="4294967294" count="1" selected="0">
            <x v="2"/>
          </reference>
        </references>
      </pivotArea>
    </format>
    <format dxfId="2050">
      <pivotArea field="0" dataOnly="0" labelOnly="1" grandRow="1" outline="0" axis="axisRow" fieldPosition="0">
        <references count="1">
          <reference field="4294967294" count="1" selected="0">
            <x v="3"/>
          </reference>
        </references>
      </pivotArea>
    </format>
    <format dxfId="2049">
      <pivotArea field="0" dataOnly="0" labelOnly="1" grandRow="1" outline="0" axis="axisRow" fieldPosition="0">
        <references count="1">
          <reference field="4294967294" count="1" selected="0">
            <x v="4"/>
          </reference>
        </references>
      </pivotArea>
    </format>
    <format dxfId="2048">
      <pivotArea field="0" dataOnly="0" labelOnly="1" grandRow="1" outline="0" axis="axisRow" fieldPosition="0">
        <references count="1">
          <reference field="4294967294" count="1" selected="0">
            <x v="5"/>
          </reference>
        </references>
      </pivotArea>
    </format>
    <format dxfId="2047">
      <pivotArea field="0" dataOnly="0" labelOnly="1" grandRow="1" outline="0" axis="axisRow" fieldPosition="0">
        <references count="1">
          <reference field="4294967294" count="1" selected="0">
            <x v="6"/>
          </reference>
        </references>
      </pivotArea>
    </format>
    <format dxfId="2046">
      <pivotArea field="0" dataOnly="0" labelOnly="1" grandRow="1" outline="0" axis="axisRow" fieldPosition="0">
        <references count="1">
          <reference field="4294967294" count="1" selected="0">
            <x v="0"/>
          </reference>
        </references>
      </pivotArea>
    </format>
    <format dxfId="2045">
      <pivotArea field="0" dataOnly="0" labelOnly="1" grandRow="1" outline="0" axis="axisRow" fieldPosition="0">
        <references count="1">
          <reference field="4294967294" count="1" selected="0">
            <x v="1"/>
          </reference>
        </references>
      </pivotArea>
    </format>
    <format dxfId="2044">
      <pivotArea field="0" dataOnly="0" labelOnly="1" grandRow="1" outline="0" axis="axisRow" fieldPosition="0">
        <references count="1">
          <reference field="4294967294" count="1" selected="0">
            <x v="2"/>
          </reference>
        </references>
      </pivotArea>
    </format>
    <format dxfId="2043">
      <pivotArea field="0" dataOnly="0" labelOnly="1" grandRow="1" outline="0" axis="axisRow" fieldPosition="0">
        <references count="1">
          <reference field="4294967294" count="1" selected="0">
            <x v="3"/>
          </reference>
        </references>
      </pivotArea>
    </format>
    <format dxfId="2042">
      <pivotArea field="0" dataOnly="0" labelOnly="1" grandRow="1" outline="0" axis="axisRow" fieldPosition="0">
        <references count="1">
          <reference field="4294967294" count="1" selected="0">
            <x v="4"/>
          </reference>
        </references>
      </pivotArea>
    </format>
    <format dxfId="2041">
      <pivotArea field="0" dataOnly="0" labelOnly="1" grandRow="1" outline="0" axis="axisRow" fieldPosition="0">
        <references count="1">
          <reference field="4294967294" count="1" selected="0">
            <x v="5"/>
          </reference>
        </references>
      </pivotArea>
    </format>
    <format dxfId="2040">
      <pivotArea field="0" dataOnly="0" labelOnly="1" grandRow="1" outline="0" axis="axisRow" fieldPosition="0">
        <references count="1">
          <reference field="4294967294" count="1" selected="0">
            <x v="6"/>
          </reference>
        </references>
      </pivotArea>
    </format>
    <format dxfId="2039">
      <pivotArea field="0" dataOnly="0" labelOnly="1" grandRow="1" outline="0" axis="axisRow" fieldPosition="0">
        <references count="1">
          <reference field="4294967294" count="1" selected="0">
            <x v="0"/>
          </reference>
        </references>
      </pivotArea>
    </format>
    <format dxfId="2038">
      <pivotArea field="0" dataOnly="0" labelOnly="1" grandRow="1" outline="0" axis="axisRow" fieldPosition="0">
        <references count="1">
          <reference field="4294967294" count="1" selected="0">
            <x v="1"/>
          </reference>
        </references>
      </pivotArea>
    </format>
    <format dxfId="2037">
      <pivotArea field="0" dataOnly="0" labelOnly="1" grandRow="1" outline="0" axis="axisRow" fieldPosition="0">
        <references count="1">
          <reference field="4294967294" count="1" selected="0">
            <x v="2"/>
          </reference>
        </references>
      </pivotArea>
    </format>
    <format dxfId="2036">
      <pivotArea field="0" dataOnly="0" labelOnly="1" grandRow="1" outline="0" axis="axisRow" fieldPosition="0">
        <references count="1">
          <reference field="4294967294" count="1" selected="0">
            <x v="3"/>
          </reference>
        </references>
      </pivotArea>
    </format>
    <format dxfId="2035">
      <pivotArea field="0" dataOnly="0" labelOnly="1" grandRow="1" outline="0" axis="axisRow" fieldPosition="0">
        <references count="1">
          <reference field="4294967294" count="1" selected="0">
            <x v="4"/>
          </reference>
        </references>
      </pivotArea>
    </format>
    <format dxfId="2034">
      <pivotArea field="0" dataOnly="0" labelOnly="1" grandRow="1" outline="0" axis="axisRow" fieldPosition="0">
        <references count="1">
          <reference field="4294967294" count="1" selected="0">
            <x v="5"/>
          </reference>
        </references>
      </pivotArea>
    </format>
    <format dxfId="2033">
      <pivotArea field="0" dataOnly="0" labelOnly="1" grandRow="1" outline="0" axis="axisRow" fieldPosition="0">
        <references count="1">
          <reference field="4294967294" count="1" selected="0">
            <x v="6"/>
          </reference>
        </references>
      </pivotArea>
    </format>
    <format dxfId="2032">
      <pivotArea field="0" dataOnly="0" labelOnly="1" grandRow="1" outline="0" axis="axisRow" fieldPosition="0">
        <references count="1">
          <reference field="4294967294" count="1" selected="0">
            <x v="0"/>
          </reference>
        </references>
      </pivotArea>
    </format>
    <format dxfId="2031">
      <pivotArea field="0" dataOnly="0" labelOnly="1" grandRow="1" outline="0" axis="axisRow" fieldPosition="0">
        <references count="1">
          <reference field="4294967294" count="1" selected="0">
            <x v="1"/>
          </reference>
        </references>
      </pivotArea>
    </format>
    <format dxfId="2030">
      <pivotArea field="0" dataOnly="0" labelOnly="1" grandRow="1" outline="0" axis="axisRow" fieldPosition="0">
        <references count="1">
          <reference field="4294967294" count="1" selected="0">
            <x v="2"/>
          </reference>
        </references>
      </pivotArea>
    </format>
    <format dxfId="2029">
      <pivotArea field="0" dataOnly="0" labelOnly="1" grandRow="1" outline="0" axis="axisRow" fieldPosition="0">
        <references count="1">
          <reference field="4294967294" count="1" selected="0">
            <x v="3"/>
          </reference>
        </references>
      </pivotArea>
    </format>
    <format dxfId="2028">
      <pivotArea field="0" dataOnly="0" labelOnly="1" grandRow="1" outline="0" axis="axisRow" fieldPosition="0">
        <references count="1">
          <reference field="4294967294" count="1" selected="0">
            <x v="4"/>
          </reference>
        </references>
      </pivotArea>
    </format>
    <format dxfId="2027">
      <pivotArea field="0" dataOnly="0" labelOnly="1" grandRow="1" outline="0" axis="axisRow" fieldPosition="0">
        <references count="1">
          <reference field="4294967294" count="1" selected="0">
            <x v="5"/>
          </reference>
        </references>
      </pivotArea>
    </format>
    <format dxfId="2026">
      <pivotArea field="0" dataOnly="0" labelOnly="1" grandRow="1" outline="0" axis="axisRow" fieldPosition="0">
        <references count="1">
          <reference field="4294967294" count="1" selected="0">
            <x v="6"/>
          </reference>
        </references>
      </pivotArea>
    </format>
    <format dxfId="2025">
      <pivotArea field="0" dataOnly="0" labelOnly="1" grandRow="1" outline="0" axis="axisRow" fieldPosition="0">
        <references count="1">
          <reference field="4294967294" count="1" selected="0">
            <x v="0"/>
          </reference>
        </references>
      </pivotArea>
    </format>
    <format dxfId="2024">
      <pivotArea field="0" dataOnly="0" labelOnly="1" grandRow="1" outline="0" axis="axisRow" fieldPosition="0">
        <references count="1">
          <reference field="4294967294" count="1" selected="0">
            <x v="1"/>
          </reference>
        </references>
      </pivotArea>
    </format>
    <format dxfId="2023">
      <pivotArea field="0" dataOnly="0" labelOnly="1" grandRow="1" outline="0" axis="axisRow" fieldPosition="0">
        <references count="1">
          <reference field="4294967294" count="1" selected="0">
            <x v="2"/>
          </reference>
        </references>
      </pivotArea>
    </format>
    <format dxfId="2022">
      <pivotArea field="0" dataOnly="0" labelOnly="1" grandRow="1" outline="0" axis="axisRow" fieldPosition="0">
        <references count="1">
          <reference field="4294967294" count="1" selected="0">
            <x v="3"/>
          </reference>
        </references>
      </pivotArea>
    </format>
    <format dxfId="2021">
      <pivotArea field="0" dataOnly="0" labelOnly="1" grandRow="1" outline="0" axis="axisRow" fieldPosition="0">
        <references count="1">
          <reference field="4294967294" count="1" selected="0">
            <x v="4"/>
          </reference>
        </references>
      </pivotArea>
    </format>
    <format dxfId="2020">
      <pivotArea field="0" dataOnly="0" labelOnly="1" grandRow="1" outline="0" axis="axisRow" fieldPosition="0">
        <references count="1">
          <reference field="4294967294" count="1" selected="0">
            <x v="5"/>
          </reference>
        </references>
      </pivotArea>
    </format>
    <format dxfId="2019">
      <pivotArea field="0" dataOnly="0" labelOnly="1" grandRow="1" outline="0" axis="axisRow" fieldPosition="0">
        <references count="1">
          <reference field="4294967294" count="1" selected="0">
            <x v="6"/>
          </reference>
        </references>
      </pivotArea>
    </format>
    <format dxfId="2018">
      <pivotArea field="0" dataOnly="0" labelOnly="1" grandRow="1" outline="0" axis="axisRow" fieldPosition="0">
        <references count="1">
          <reference field="4294967294" count="1" selected="0">
            <x v="0"/>
          </reference>
        </references>
      </pivotArea>
    </format>
    <format dxfId="2017">
      <pivotArea field="0" dataOnly="0" labelOnly="1" grandRow="1" outline="0" axis="axisRow" fieldPosition="0">
        <references count="1">
          <reference field="4294967294" count="1" selected="0">
            <x v="1"/>
          </reference>
        </references>
      </pivotArea>
    </format>
    <format dxfId="2016">
      <pivotArea field="0" dataOnly="0" labelOnly="1" grandRow="1" outline="0" axis="axisRow" fieldPosition="0">
        <references count="1">
          <reference field="4294967294" count="1" selected="0">
            <x v="2"/>
          </reference>
        </references>
      </pivotArea>
    </format>
    <format dxfId="2015">
      <pivotArea field="0" dataOnly="0" labelOnly="1" grandRow="1" outline="0" axis="axisRow" fieldPosition="0">
        <references count="1">
          <reference field="4294967294" count="1" selected="0">
            <x v="3"/>
          </reference>
        </references>
      </pivotArea>
    </format>
    <format dxfId="2014">
      <pivotArea field="0" dataOnly="0" labelOnly="1" grandRow="1" outline="0" axis="axisRow" fieldPosition="0">
        <references count="1">
          <reference field="4294967294" count="1" selected="0">
            <x v="4"/>
          </reference>
        </references>
      </pivotArea>
    </format>
    <format dxfId="2013">
      <pivotArea field="0" dataOnly="0" labelOnly="1" grandRow="1" outline="0" axis="axisRow" fieldPosition="0">
        <references count="1">
          <reference field="4294967294" count="1" selected="0">
            <x v="5"/>
          </reference>
        </references>
      </pivotArea>
    </format>
    <format dxfId="2012">
      <pivotArea field="0" dataOnly="0" labelOnly="1" grandRow="1" outline="0" axis="axisRow" fieldPosition="0">
        <references count="1">
          <reference field="4294967294" count="1" selected="0">
            <x v="6"/>
          </reference>
        </references>
      </pivotArea>
    </format>
    <format dxfId="2011">
      <pivotArea dataOnly="0" labelOnly="1" outline="0" fieldPosition="0">
        <references count="2">
          <reference field="4294967294" count="7">
            <x v="0"/>
            <x v="1"/>
            <x v="2"/>
            <x v="3"/>
            <x v="4"/>
            <x v="5"/>
            <x v="6"/>
          </reference>
          <reference field="0" count="1" selected="0">
            <x v="0"/>
          </reference>
        </references>
      </pivotArea>
    </format>
    <format dxfId="2010">
      <pivotArea dataOnly="0" labelOnly="1" outline="0" fieldPosition="0">
        <references count="2">
          <reference field="4294967294" count="7">
            <x v="0"/>
            <x v="1"/>
            <x v="2"/>
            <x v="3"/>
            <x v="4"/>
            <x v="5"/>
            <x v="6"/>
          </reference>
          <reference field="0" count="1" selected="0">
            <x v="1"/>
          </reference>
        </references>
      </pivotArea>
    </format>
    <format dxfId="2009">
      <pivotArea dataOnly="0" labelOnly="1" outline="0" fieldPosition="0">
        <references count="2">
          <reference field="4294967294" count="7">
            <x v="0"/>
            <x v="1"/>
            <x v="2"/>
            <x v="3"/>
            <x v="4"/>
            <x v="5"/>
            <x v="6"/>
          </reference>
          <reference field="0" count="1" selected="0">
            <x v="2"/>
          </reference>
        </references>
      </pivotArea>
    </format>
    <format dxfId="2008">
      <pivotArea dataOnly="0" labelOnly="1" outline="0" fieldPosition="0">
        <references count="2">
          <reference field="4294967294" count="7">
            <x v="0"/>
            <x v="1"/>
            <x v="2"/>
            <x v="3"/>
            <x v="4"/>
            <x v="5"/>
            <x v="6"/>
          </reference>
          <reference field="0" count="1" selected="0">
            <x v="3"/>
          </reference>
        </references>
      </pivotArea>
    </format>
    <format dxfId="2007">
      <pivotArea dataOnly="0" labelOnly="1" outline="0" fieldPosition="0">
        <references count="2">
          <reference field="4294967294" count="7">
            <x v="0"/>
            <x v="1"/>
            <x v="2"/>
            <x v="3"/>
            <x v="4"/>
            <x v="5"/>
            <x v="6"/>
          </reference>
          <reference field="0" count="1" selected="0">
            <x v="4"/>
          </reference>
        </references>
      </pivotArea>
    </format>
    <format dxfId="2006">
      <pivotArea dataOnly="0" labelOnly="1" outline="0" fieldPosition="0">
        <references count="2">
          <reference field="4294967294" count="7">
            <x v="0"/>
            <x v="1"/>
            <x v="2"/>
            <x v="3"/>
            <x v="4"/>
            <x v="5"/>
            <x v="6"/>
          </reference>
          <reference field="0" count="1" selected="0">
            <x v="5"/>
          </reference>
        </references>
      </pivotArea>
    </format>
    <format dxfId="2005">
      <pivotArea dataOnly="0" labelOnly="1" outline="0" fieldPosition="0">
        <references count="2">
          <reference field="4294967294" count="7">
            <x v="0"/>
            <x v="1"/>
            <x v="2"/>
            <x v="3"/>
            <x v="4"/>
            <x v="5"/>
            <x v="6"/>
          </reference>
          <reference field="0" count="1" selected="0">
            <x v="6"/>
          </reference>
        </references>
      </pivotArea>
    </format>
    <format dxfId="2004">
      <pivotArea dataOnly="0" labelOnly="1" outline="0" fieldPosition="0">
        <references count="2">
          <reference field="4294967294" count="7">
            <x v="0"/>
            <x v="1"/>
            <x v="2"/>
            <x v="3"/>
            <x v="4"/>
            <x v="5"/>
            <x v="6"/>
          </reference>
          <reference field="0" count="1" selected="0">
            <x v="7"/>
          </reference>
        </references>
      </pivotArea>
    </format>
    <format dxfId="2003">
      <pivotArea dataOnly="0" labelOnly="1" outline="0" fieldPosition="0">
        <references count="2">
          <reference field="4294967294" count="7">
            <x v="0"/>
            <x v="1"/>
            <x v="2"/>
            <x v="3"/>
            <x v="4"/>
            <x v="5"/>
            <x v="6"/>
          </reference>
          <reference field="0" count="1" selected="0">
            <x v="8"/>
          </reference>
        </references>
      </pivotArea>
    </format>
    <format dxfId="2002">
      <pivotArea dataOnly="0" labelOnly="1" outline="0" fieldPosition="0">
        <references count="2">
          <reference field="4294967294" count="7">
            <x v="0"/>
            <x v="1"/>
            <x v="2"/>
            <x v="3"/>
            <x v="4"/>
            <x v="5"/>
            <x v="6"/>
          </reference>
          <reference field="0" count="1" selected="0">
            <x v="9"/>
          </reference>
        </references>
      </pivotArea>
    </format>
    <format dxfId="2001">
      <pivotArea dataOnly="0" labelOnly="1" outline="0" fieldPosition="0">
        <references count="2">
          <reference field="4294967294" count="7">
            <x v="0"/>
            <x v="1"/>
            <x v="2"/>
            <x v="3"/>
            <x v="4"/>
            <x v="5"/>
            <x v="6"/>
          </reference>
          <reference field="0" count="1" selected="0">
            <x v="10"/>
          </reference>
        </references>
      </pivotArea>
    </format>
    <format dxfId="2000">
      <pivotArea dataOnly="0" labelOnly="1" outline="0" fieldPosition="0">
        <references count="2">
          <reference field="4294967294" count="7">
            <x v="0"/>
            <x v="1"/>
            <x v="2"/>
            <x v="3"/>
            <x v="4"/>
            <x v="5"/>
            <x v="6"/>
          </reference>
          <reference field="0" count="1" selected="0">
            <x v="11"/>
          </reference>
        </references>
      </pivotArea>
    </format>
    <format dxfId="1999">
      <pivotArea dataOnly="0" labelOnly="1" outline="0" fieldPosition="0">
        <references count="2">
          <reference field="4294967294" count="7">
            <x v="0"/>
            <x v="1"/>
            <x v="2"/>
            <x v="3"/>
            <x v="4"/>
            <x v="5"/>
            <x v="6"/>
          </reference>
          <reference field="0" count="1" selected="0">
            <x v="12"/>
          </reference>
        </references>
      </pivotArea>
    </format>
    <format dxfId="1998">
      <pivotArea dataOnly="0" labelOnly="1" outline="0" fieldPosition="0">
        <references count="2">
          <reference field="4294967294" count="7">
            <x v="0"/>
            <x v="1"/>
            <x v="2"/>
            <x v="3"/>
            <x v="4"/>
            <x v="5"/>
            <x v="6"/>
          </reference>
          <reference field="0" count="1" selected="0">
            <x v="13"/>
          </reference>
        </references>
      </pivotArea>
    </format>
    <format dxfId="1997">
      <pivotArea dataOnly="0" labelOnly="1" outline="0" fieldPosition="0">
        <references count="2">
          <reference field="4294967294" count="7">
            <x v="0"/>
            <x v="1"/>
            <x v="2"/>
            <x v="3"/>
            <x v="4"/>
            <x v="5"/>
            <x v="6"/>
          </reference>
          <reference field="0" count="1" selected="0">
            <x v="14"/>
          </reference>
        </references>
      </pivotArea>
    </format>
    <format dxfId="1996">
      <pivotArea dataOnly="0" labelOnly="1" outline="0" fieldPosition="0">
        <references count="2">
          <reference field="4294967294" count="7">
            <x v="0"/>
            <x v="1"/>
            <x v="2"/>
            <x v="3"/>
            <x v="4"/>
            <x v="5"/>
            <x v="6"/>
          </reference>
          <reference field="0" count="1" selected="0">
            <x v="15"/>
          </reference>
        </references>
      </pivotArea>
    </format>
    <format dxfId="1995">
      <pivotArea dataOnly="0" labelOnly="1" outline="0" fieldPosition="0">
        <references count="1">
          <reference field="43" count="4">
            <x v="0"/>
            <x v="1"/>
            <x v="2"/>
            <x v="3"/>
          </reference>
        </references>
      </pivotArea>
    </format>
    <format dxfId="1994">
      <pivotArea dataOnly="0" labelOnly="1" outline="0" fieldPosition="0">
        <references count="1">
          <reference field="43" count="4" defaultSubtotal="1">
            <x v="0"/>
            <x v="1"/>
            <x v="2"/>
            <x v="3"/>
          </reference>
        </references>
      </pivotArea>
    </format>
    <format dxfId="1993">
      <pivotArea dataOnly="0" labelOnly="1" outline="0" fieldPosition="0">
        <references count="2">
          <reference field="4" count="6">
            <x v="0"/>
            <x v="1"/>
            <x v="2"/>
            <x v="3"/>
            <x v="4"/>
            <x v="5"/>
          </reference>
          <reference field="43" count="1" selected="0">
            <x v="0"/>
          </reference>
        </references>
      </pivotArea>
    </format>
    <format dxfId="1992">
      <pivotArea dataOnly="0" labelOnly="1" outline="0" fieldPosition="0">
        <references count="2">
          <reference field="4" count="4">
            <x v="6"/>
            <x v="7"/>
            <x v="8"/>
            <x v="9"/>
          </reference>
          <reference field="43" count="1" selected="0">
            <x v="1"/>
          </reference>
        </references>
      </pivotArea>
    </format>
    <format dxfId="1991">
      <pivotArea dataOnly="0" labelOnly="1" outline="0" fieldPosition="0">
        <references count="2">
          <reference field="4" count="1">
            <x v="10"/>
          </reference>
          <reference field="43" count="1" selected="0">
            <x v="2"/>
          </reference>
        </references>
      </pivotArea>
    </format>
    <format dxfId="1990">
      <pivotArea dataOnly="0" labelOnly="1" outline="0" fieldPosition="0">
        <references count="2">
          <reference field="4" count="2">
            <x v="11"/>
            <x v="12"/>
          </reference>
          <reference field="43" count="1" selected="0">
            <x v="3"/>
          </reference>
        </references>
      </pivotArea>
    </format>
    <format dxfId="1989">
      <pivotArea outline="0" collapsedLevelsAreSubtotals="1" fieldPosition="0">
        <references count="4">
          <reference field="4294967294" count="1" selected="0">
            <x v="6"/>
          </reference>
          <reference field="0" count="1" selected="0">
            <x v="0"/>
          </reference>
          <reference field="4" count="1" selected="0">
            <x v="3"/>
          </reference>
          <reference field="43" count="1" selected="0">
            <x v="0"/>
          </reference>
        </references>
      </pivotArea>
    </format>
    <format dxfId="1988">
      <pivotArea outline="0" collapsedLevelsAreSubtotals="1" fieldPosition="0">
        <references count="3">
          <reference field="4294967294" count="1" selected="0">
            <x v="6"/>
          </reference>
          <reference field="0" count="1" selected="0">
            <x v="0"/>
          </reference>
          <reference field="43" count="1" selected="0" defaultSubtotal="1">
            <x v="3"/>
          </reference>
        </references>
      </pivotArea>
    </format>
    <format dxfId="1987">
      <pivotArea outline="0" collapsedLevelsAreSubtotals="1" fieldPosition="0">
        <references count="3">
          <reference field="4294967294" count="1" selected="0">
            <x v="6"/>
          </reference>
          <reference field="0" count="1" selected="0">
            <x v="0"/>
          </reference>
          <reference field="43" count="1" selected="0" defaultSubtotal="1">
            <x v="3"/>
          </reference>
        </references>
      </pivotArea>
    </format>
    <format dxfId="1986">
      <pivotArea outline="0" collapsedLevelsAreSubtotals="1" fieldPosition="0">
        <references count="4">
          <reference field="4294967294" count="1" selected="0">
            <x v="6"/>
          </reference>
          <reference field="0" count="1" selected="0">
            <x v="0"/>
          </reference>
          <reference field="4" count="1" selected="0">
            <x v="12"/>
          </reference>
          <reference field="43" count="1" selected="0">
            <x v="3"/>
          </reference>
        </references>
      </pivotArea>
    </format>
    <format dxfId="1985">
      <pivotArea outline="0" collapsedLevelsAreSubtotals="1" fieldPosition="0">
        <references count="4">
          <reference field="4294967294" count="1" selected="0">
            <x v="2"/>
          </reference>
          <reference field="0" count="1" selected="0">
            <x v="5"/>
          </reference>
          <reference field="4" count="1" selected="0">
            <x v="8"/>
          </reference>
          <reference field="43" count="1" selected="0">
            <x v="1"/>
          </reference>
        </references>
      </pivotArea>
    </format>
    <format dxfId="1984">
      <pivotArea outline="0" collapsedLevelsAreSubtotals="1" fieldPosition="0">
        <references count="4">
          <reference field="4294967294" count="1" selected="0">
            <x v="5"/>
          </reference>
          <reference field="0" count="1" selected="0">
            <x v="5"/>
          </reference>
          <reference field="4" count="1" selected="0">
            <x v="9"/>
          </reference>
          <reference field="43" count="1" selected="0">
            <x v="1"/>
          </reference>
        </references>
      </pivotArea>
    </format>
    <format dxfId="1983">
      <pivotArea outline="0" collapsedLevelsAreSubtotals="1" fieldPosition="0">
        <references count="4">
          <reference field="4294967294" count="1" selected="0">
            <x v="5"/>
          </reference>
          <reference field="0" count="1" selected="0">
            <x v="5"/>
          </reference>
          <reference field="4" count="1" selected="0">
            <x v="8"/>
          </reference>
          <reference field="43" count="1" selected="0">
            <x v="1"/>
          </reference>
        </references>
      </pivotArea>
    </format>
    <format dxfId="1982">
      <pivotArea outline="0" collapsedLevelsAreSubtotals="1" fieldPosition="0">
        <references count="4">
          <reference field="4294967294" count="1" selected="0">
            <x v="2"/>
          </reference>
          <reference field="0" count="1" selected="0">
            <x v="5"/>
          </reference>
          <reference field="4" count="1" selected="0">
            <x v="8"/>
          </reference>
          <reference field="43" count="1" selected="0">
            <x v="1"/>
          </reference>
        </references>
      </pivotArea>
    </format>
    <format dxfId="1981">
      <pivotArea outline="0" collapsedLevelsAreSubtotals="1" fieldPosition="0">
        <references count="4">
          <reference field="4294967294" count="1" selected="0">
            <x v="5"/>
          </reference>
          <reference field="0" count="1" selected="0">
            <x v="6"/>
          </reference>
          <reference field="4" count="1" selected="0">
            <x v="11"/>
          </reference>
          <reference field="43" count="1" selected="0">
            <x v="3"/>
          </reference>
        </references>
      </pivotArea>
    </format>
    <format dxfId="1980">
      <pivotArea outline="0" collapsedLevelsAreSubtotals="1" fieldPosition="0">
        <references count="4">
          <reference field="4294967294" count="1" selected="0">
            <x v="2"/>
          </reference>
          <reference field="0" count="1" selected="0">
            <x v="10"/>
          </reference>
          <reference field="4" count="1" selected="0">
            <x v="9"/>
          </reference>
          <reference field="43" count="1" selected="0">
            <x v="1"/>
          </reference>
        </references>
      </pivotArea>
    </format>
    <format dxfId="1979">
      <pivotArea outline="0" collapsedLevelsAreSubtotals="1" fieldPosition="0">
        <references count="4">
          <reference field="4294967294" count="1" selected="0">
            <x v="6"/>
          </reference>
          <reference field="0" count="1" selected="0">
            <x v="10"/>
          </reference>
          <reference field="4" count="1" selected="0">
            <x v="9"/>
          </reference>
          <reference field="43" count="1" selected="0">
            <x v="1"/>
          </reference>
        </references>
      </pivotArea>
    </format>
    <format dxfId="1978">
      <pivotArea outline="0" collapsedLevelsAreSubtotals="1" fieldPosition="0">
        <references count="4">
          <reference field="4294967294" count="1" selected="0">
            <x v="5"/>
          </reference>
          <reference field="0" count="1" selected="0">
            <x v="11"/>
          </reference>
          <reference field="4" count="1" selected="0">
            <x v="9"/>
          </reference>
          <reference field="43" count="1" selected="0">
            <x v="1"/>
          </reference>
        </references>
      </pivotArea>
    </format>
    <format dxfId="1977">
      <pivotArea outline="0" collapsedLevelsAreSubtotals="1" fieldPosition="0">
        <references count="4">
          <reference field="4294967294" count="1" selected="0">
            <x v="5"/>
          </reference>
          <reference field="0" count="1" selected="0">
            <x v="12"/>
          </reference>
          <reference field="4" count="1" selected="0">
            <x v="8"/>
          </reference>
          <reference field="43" count="1" selected="0">
            <x v="1"/>
          </reference>
        </references>
      </pivotArea>
    </format>
    <format dxfId="1976">
      <pivotArea outline="0" collapsedLevelsAreSubtotals="1" fieldPosition="0">
        <references count="4">
          <reference field="4294967294" count="1" selected="0">
            <x v="5"/>
          </reference>
          <reference field="0" count="1" selected="0">
            <x v="14"/>
          </reference>
          <reference field="4" count="1" selected="0">
            <x v="10"/>
          </reference>
          <reference field="43" count="1" selected="0">
            <x v="2"/>
          </reference>
        </references>
      </pivotArea>
    </format>
    <format dxfId="1975">
      <pivotArea outline="0" collapsedLevelsAreSubtotals="1" fieldPosition="0">
        <references count="3">
          <reference field="4294967294" count="1" selected="0">
            <x v="5"/>
          </reference>
          <reference field="0" count="1" selected="0">
            <x v="14"/>
          </reference>
          <reference field="43" count="1" selected="0" defaultSubtotal="1">
            <x v="2"/>
          </reference>
        </references>
      </pivotArea>
    </format>
    <format dxfId="1974">
      <pivotArea outline="0" collapsedLevelsAreSubtotals="1" fieldPosition="0">
        <references count="3">
          <reference field="4294967294" count="1" selected="0">
            <x v="5"/>
          </reference>
          <reference field="0" count="1" selected="0">
            <x v="14"/>
          </reference>
          <reference field="43" count="1" selected="0" defaultSubtotal="1">
            <x v="2"/>
          </reference>
        </references>
      </pivotArea>
    </format>
    <format dxfId="1973">
      <pivotArea outline="0" collapsedLevelsAreSubtotals="1" fieldPosition="0">
        <references count="4">
          <reference field="4294967294" count="1" selected="0">
            <x v="6"/>
          </reference>
          <reference field="0" count="1" selected="0">
            <x v="0"/>
          </reference>
          <reference field="4" count="1" selected="0">
            <x v="3"/>
          </reference>
          <reference field="43" count="1" selected="0">
            <x v="0"/>
          </reference>
        </references>
      </pivotArea>
    </format>
    <format dxfId="1972">
      <pivotArea outline="0" collapsedLevelsAreSubtotals="1" fieldPosition="0">
        <references count="4">
          <reference field="4294967294" count="1" selected="0">
            <x v="5"/>
          </reference>
          <reference field="0" count="1" selected="0">
            <x v="5"/>
          </reference>
          <reference field="4" count="2" selected="0">
            <x v="8"/>
            <x v="9"/>
          </reference>
          <reference field="43" count="1" selected="0">
            <x v="1"/>
          </reference>
        </references>
      </pivotArea>
    </format>
    <format dxfId="1971">
      <pivotArea outline="0" collapsedLevelsAreSubtotals="1" fieldPosition="0">
        <references count="4">
          <reference field="4294967294" count="1" selected="0">
            <x v="6"/>
          </reference>
          <reference field="0" count="1" selected="0">
            <x v="5"/>
          </reference>
          <reference field="4" count="1" selected="0">
            <x v="9"/>
          </reference>
          <reference field="43" count="1" selected="0">
            <x v="1"/>
          </reference>
        </references>
      </pivotArea>
    </format>
    <format dxfId="1970">
      <pivotArea outline="0" collapsedLevelsAreSubtotals="1" fieldPosition="0">
        <references count="4">
          <reference field="4294967294" count="1" selected="0">
            <x v="6"/>
          </reference>
          <reference field="0" count="1" selected="0">
            <x v="6"/>
          </reference>
          <reference field="4" count="1" selected="0">
            <x v="11"/>
          </reference>
          <reference field="43" count="1" selected="0">
            <x v="3"/>
          </reference>
        </references>
      </pivotArea>
    </format>
    <format dxfId="1969">
      <pivotArea outline="0" collapsedLevelsAreSubtotals="1" fieldPosition="0">
        <references count="4">
          <reference field="4294967294" count="1" selected="0">
            <x v="6"/>
          </reference>
          <reference field="0" count="1" selected="0">
            <x v="6"/>
          </reference>
          <reference field="4" count="1" selected="0">
            <x v="9"/>
          </reference>
          <reference field="43" count="1" selected="0">
            <x v="1"/>
          </reference>
        </references>
      </pivotArea>
    </format>
    <format dxfId="1968">
      <pivotArea outline="0" collapsedLevelsAreSubtotals="1" fieldPosition="0">
        <references count="4">
          <reference field="4294967294" count="1" selected="0">
            <x v="5"/>
          </reference>
          <reference field="0" count="1" selected="0">
            <x v="12"/>
          </reference>
          <reference field="4" count="1" selected="0">
            <x v="8"/>
          </reference>
          <reference field="43" count="1" selected="0">
            <x v="1"/>
          </reference>
        </references>
      </pivotArea>
    </format>
    <format dxfId="1967">
      <pivotArea outline="0" collapsedLevelsAreSubtotals="1" fieldPosition="0">
        <references count="4">
          <reference field="4294967294" count="1" selected="0">
            <x v="6"/>
          </reference>
          <reference field="0" count="1" selected="0">
            <x v="12"/>
          </reference>
          <reference field="4" count="1" selected="0">
            <x v="8"/>
          </reference>
          <reference field="43" count="1" selected="0">
            <x v="1"/>
          </reference>
        </references>
      </pivotArea>
    </format>
    <format dxfId="1966">
      <pivotArea outline="0" collapsedLevelsAreSubtotals="1" fieldPosition="0">
        <references count="1">
          <reference field="43" count="4" selected="0" defaultSubtotal="1">
            <x v="0"/>
            <x v="1"/>
            <x v="2"/>
            <x v="3"/>
          </reference>
        </references>
      </pivotArea>
    </format>
    <format dxfId="1965">
      <pivotArea dataOnly="0" labelOnly="1" outline="0" offset="IV256" fieldPosition="0">
        <references count="1">
          <reference field="43" count="1" defaultSubtotal="1">
            <x v="0"/>
          </reference>
        </references>
      </pivotArea>
    </format>
    <format dxfId="1964">
      <pivotArea dataOnly="0" labelOnly="1" outline="0" offset="IV256" fieldPosition="0">
        <references count="1">
          <reference field="43" count="1" defaultSubtotal="1">
            <x v="1"/>
          </reference>
        </references>
      </pivotArea>
    </format>
    <format dxfId="1963">
      <pivotArea dataOnly="0" labelOnly="1" outline="0" offset="IV256" fieldPosition="0">
        <references count="1">
          <reference field="43" count="1" defaultSubtotal="1">
            <x v="2"/>
          </reference>
        </references>
      </pivotArea>
    </format>
    <format dxfId="1962">
      <pivotArea dataOnly="0" labelOnly="1" outline="0" offset="IV256" fieldPosition="0">
        <references count="1">
          <reference field="43" count="1" defaultSubtotal="1">
            <x v="3"/>
          </reference>
        </references>
      </pivotArea>
    </format>
    <format dxfId="1961">
      <pivotArea dataOnly="0" labelOnly="1" outline="0" fieldPosition="0">
        <references count="2">
          <reference field="4" count="6">
            <x v="0"/>
            <x v="1"/>
            <x v="2"/>
            <x v="3"/>
            <x v="4"/>
            <x v="5"/>
          </reference>
          <reference field="43" count="1" selected="0">
            <x v="0"/>
          </reference>
        </references>
      </pivotArea>
    </format>
    <format dxfId="1960">
      <pivotArea dataOnly="0" labelOnly="1" outline="0" fieldPosition="0">
        <references count="2">
          <reference field="4" count="4">
            <x v="6"/>
            <x v="7"/>
            <x v="8"/>
            <x v="9"/>
          </reference>
          <reference field="43" count="1" selected="0">
            <x v="1"/>
          </reference>
        </references>
      </pivotArea>
    </format>
    <format dxfId="1959">
      <pivotArea dataOnly="0" labelOnly="1" outline="0" fieldPosition="0">
        <references count="2">
          <reference field="4" count="1">
            <x v="10"/>
          </reference>
          <reference field="43" count="1" selected="0">
            <x v="2"/>
          </reference>
        </references>
      </pivotArea>
    </format>
    <format dxfId="1958">
      <pivotArea dataOnly="0" labelOnly="1" outline="0" fieldPosition="0">
        <references count="2">
          <reference field="4" count="2">
            <x v="11"/>
            <x v="12"/>
          </reference>
          <reference field="43" count="1" selected="0">
            <x v="3"/>
          </reference>
        </references>
      </pivotArea>
    </format>
    <format dxfId="1957">
      <pivotArea outline="0" collapsedLevelsAreSubtotals="1" fieldPosition="0">
        <references count="4">
          <reference field="4294967294" count="1" selected="0">
            <x v="6"/>
          </reference>
          <reference field="0" count="1" selected="0">
            <x v="1"/>
          </reference>
          <reference field="4" count="1" selected="0">
            <x v="1"/>
          </reference>
          <reference field="43" count="1" selected="0">
            <x v="0"/>
          </reference>
        </references>
      </pivotArea>
    </format>
    <format dxfId="1956">
      <pivotArea outline="0" collapsedLevelsAreSubtotals="1" fieldPosition="0">
        <references count="4">
          <reference field="4294967294" count="1" selected="0">
            <x v="6"/>
          </reference>
          <reference field="0" count="1" selected="0">
            <x v="1"/>
          </reference>
          <reference field="4" count="1" selected="0">
            <x v="4"/>
          </reference>
          <reference field="43" count="1" selected="0">
            <x v="0"/>
          </reference>
        </references>
      </pivotArea>
    </format>
    <format dxfId="1955">
      <pivotArea outline="0" collapsedLevelsAreSubtotals="1" fieldPosition="0">
        <references count="4">
          <reference field="4294967294" count="1" selected="0">
            <x v="6"/>
          </reference>
          <reference field="0" count="1" selected="0">
            <x v="1"/>
          </reference>
          <reference field="4" count="1" selected="0">
            <x v="5"/>
          </reference>
          <reference field="43" count="1" selected="0">
            <x v="0"/>
          </reference>
        </references>
      </pivotArea>
    </format>
    <format dxfId="1954">
      <pivotArea outline="0" collapsedLevelsAreSubtotals="1" fieldPosition="0">
        <references count="4">
          <reference field="4294967294" count="1" selected="0">
            <x v="2"/>
          </reference>
          <reference field="0" count="1" selected="0">
            <x v="1"/>
          </reference>
          <reference field="4" count="1" selected="0">
            <x v="1"/>
          </reference>
          <reference field="43" count="1" selected="0">
            <x v="0"/>
          </reference>
        </references>
      </pivotArea>
    </format>
    <format dxfId="1953">
      <pivotArea outline="0" collapsedLevelsAreSubtotals="1" fieldPosition="0">
        <references count="4">
          <reference field="4294967294" count="1" selected="0">
            <x v="5"/>
          </reference>
          <reference field="0" count="1" selected="0">
            <x v="1"/>
          </reference>
          <reference field="4" count="1" selected="0">
            <x v="1"/>
          </reference>
          <reference field="43" count="1" selected="0">
            <x v="0"/>
          </reference>
        </references>
      </pivotArea>
    </format>
    <format dxfId="1952">
      <pivotArea outline="0" collapsedLevelsAreSubtotals="1" fieldPosition="0">
        <references count="4">
          <reference field="4294967294" count="1" selected="0">
            <x v="5"/>
          </reference>
          <reference field="0" count="1" selected="0">
            <x v="1"/>
          </reference>
          <reference field="4" count="1" selected="0">
            <x v="4"/>
          </reference>
          <reference field="43" count="1" selected="0">
            <x v="0"/>
          </reference>
        </references>
      </pivotArea>
    </format>
    <format dxfId="1951">
      <pivotArea outline="0" collapsedLevelsAreSubtotals="1" fieldPosition="0">
        <references count="4">
          <reference field="4294967294" count="1" selected="0">
            <x v="5"/>
          </reference>
          <reference field="0" count="1" selected="0">
            <x v="1"/>
          </reference>
          <reference field="4" count="1" selected="0">
            <x v="8"/>
          </reference>
          <reference field="43" count="1" selected="0">
            <x v="1"/>
          </reference>
        </references>
      </pivotArea>
    </format>
    <format dxfId="1950">
      <pivotArea outline="0" collapsedLevelsAreSubtotals="1" fieldPosition="0">
        <references count="4">
          <reference field="4294967294" count="1" selected="0">
            <x v="2"/>
          </reference>
          <reference field="0" count="1" selected="0">
            <x v="1"/>
          </reference>
          <reference field="4" count="1" selected="0">
            <x v="9"/>
          </reference>
          <reference field="43" count="1" selected="0">
            <x v="1"/>
          </reference>
        </references>
      </pivotArea>
    </format>
    <format dxfId="1949">
      <pivotArea outline="0" collapsedLevelsAreSubtotals="1" fieldPosition="0">
        <references count="4">
          <reference field="4294967294" count="1" selected="0">
            <x v="5"/>
          </reference>
          <reference field="0" count="1" selected="0">
            <x v="1"/>
          </reference>
          <reference field="4" count="1" selected="0">
            <x v="9"/>
          </reference>
          <reference field="43" count="1" selected="0">
            <x v="1"/>
          </reference>
        </references>
      </pivotArea>
    </format>
    <format dxfId="1948">
      <pivotArea outline="0" collapsedLevelsAreSubtotals="1" fieldPosition="0">
        <references count="4">
          <reference field="4294967294" count="1" selected="0">
            <x v="2"/>
          </reference>
          <reference field="0" count="1" selected="0">
            <x v="3"/>
          </reference>
          <reference field="4" count="1" selected="0">
            <x v="8"/>
          </reference>
          <reference field="43" count="1" selected="0">
            <x v="1"/>
          </reference>
        </references>
      </pivotArea>
    </format>
    <format dxfId="1947">
      <pivotArea outline="0" collapsedLevelsAreSubtotals="1" fieldPosition="0">
        <references count="4">
          <reference field="4294967294" count="1" selected="0">
            <x v="5"/>
          </reference>
          <reference field="0" count="1" selected="0">
            <x v="3"/>
          </reference>
          <reference field="4" count="1" selected="0">
            <x v="8"/>
          </reference>
          <reference field="43" count="1" selected="0">
            <x v="1"/>
          </reference>
        </references>
      </pivotArea>
    </format>
    <format dxfId="1946">
      <pivotArea outline="0" collapsedLevelsAreSubtotals="1" fieldPosition="0">
        <references count="4">
          <reference field="4294967294" count="1" selected="0">
            <x v="6"/>
          </reference>
          <reference field="0" count="1" selected="0">
            <x v="3"/>
          </reference>
          <reference field="4" count="1" selected="0">
            <x v="8"/>
          </reference>
          <reference field="43" count="1" selected="0">
            <x v="1"/>
          </reference>
        </references>
      </pivotArea>
    </format>
    <format dxfId="1945">
      <pivotArea outline="0" collapsedLevelsAreSubtotals="1" fieldPosition="0">
        <references count="4">
          <reference field="4294967294" count="1" selected="0">
            <x v="6"/>
          </reference>
          <reference field="0" count="1" selected="0">
            <x v="4"/>
          </reference>
          <reference field="4" count="1" selected="0">
            <x v="8"/>
          </reference>
          <reference field="43" count="1" selected="0">
            <x v="1"/>
          </reference>
        </references>
      </pivotArea>
    </format>
    <format dxfId="1944">
      <pivotArea outline="0" collapsedLevelsAreSubtotals="1" fieldPosition="0">
        <references count="4">
          <reference field="4294967294" count="1" selected="0">
            <x v="6"/>
          </reference>
          <reference field="0" count="1" selected="0">
            <x v="4"/>
          </reference>
          <reference field="4" count="1" selected="0">
            <x v="11"/>
          </reference>
          <reference field="43" count="1" selected="0">
            <x v="3"/>
          </reference>
        </references>
      </pivotArea>
    </format>
    <format dxfId="1943">
      <pivotArea outline="0" collapsedLevelsAreSubtotals="1" fieldPosition="0">
        <references count="4">
          <reference field="4294967294" count="1" selected="0">
            <x v="6"/>
          </reference>
          <reference field="0" count="1" selected="0">
            <x v="5"/>
          </reference>
          <reference field="4" count="1" selected="0">
            <x v="11"/>
          </reference>
          <reference field="43" count="1" selected="0">
            <x v="3"/>
          </reference>
        </references>
      </pivotArea>
    </format>
    <format dxfId="1942">
      <pivotArea outline="0" collapsedLevelsAreSubtotals="1" fieldPosition="0">
        <references count="4">
          <reference field="4294967294" count="1" selected="0">
            <x v="6"/>
          </reference>
          <reference field="0" count="1" selected="0">
            <x v="6"/>
          </reference>
          <reference field="4" count="1" selected="0">
            <x v="5"/>
          </reference>
          <reference field="43" count="1" selected="0">
            <x v="0"/>
          </reference>
        </references>
      </pivotArea>
    </format>
    <format dxfId="1941">
      <pivotArea outline="0" collapsedLevelsAreSubtotals="1" fieldPosition="0">
        <references count="4">
          <reference field="4294967294" count="1" selected="0">
            <x v="2"/>
          </reference>
          <reference field="0" count="1" selected="0">
            <x v="6"/>
          </reference>
          <reference field="4" count="1" selected="0">
            <x v="5"/>
          </reference>
          <reference field="43" count="1" selected="0">
            <x v="0"/>
          </reference>
        </references>
      </pivotArea>
    </format>
    <format dxfId="1940">
      <pivotArea outline="0" collapsedLevelsAreSubtotals="1" fieldPosition="0">
        <references count="4">
          <reference field="4294967294" count="1" selected="0">
            <x v="5"/>
          </reference>
          <reference field="0" count="1" selected="0">
            <x v="6"/>
          </reference>
          <reference field="4" count="1" selected="0">
            <x v="5"/>
          </reference>
          <reference field="43" count="1" selected="0">
            <x v="0"/>
          </reference>
        </references>
      </pivotArea>
    </format>
    <format dxfId="1939">
      <pivotArea outline="0" collapsedLevelsAreSubtotals="1" fieldPosition="0">
        <references count="4">
          <reference field="4294967294" count="1" selected="0">
            <x v="2"/>
          </reference>
          <reference field="0" count="1" selected="0">
            <x v="6"/>
          </reference>
          <reference field="4" count="1" selected="0">
            <x v="9"/>
          </reference>
          <reference field="43" count="1" selected="0">
            <x v="1"/>
          </reference>
        </references>
      </pivotArea>
    </format>
    <format dxfId="1938">
      <pivotArea outline="0" collapsedLevelsAreSubtotals="1" fieldPosition="0">
        <references count="4">
          <reference field="4294967294" count="1" selected="0">
            <x v="5"/>
          </reference>
          <reference field="0" count="1" selected="0">
            <x v="6"/>
          </reference>
          <reference field="4" count="1" selected="0">
            <x v="9"/>
          </reference>
          <reference field="43" count="1" selected="0">
            <x v="1"/>
          </reference>
        </references>
      </pivotArea>
    </format>
    <format dxfId="1937">
      <pivotArea outline="0" collapsedLevelsAreSubtotals="1" fieldPosition="0">
        <references count="4">
          <reference field="4294967294" count="1" selected="0">
            <x v="6"/>
          </reference>
          <reference field="0" count="1" selected="0">
            <x v="9"/>
          </reference>
          <reference field="4" count="1" selected="0">
            <x v="3"/>
          </reference>
          <reference field="43" count="1" selected="0">
            <x v="0"/>
          </reference>
        </references>
      </pivotArea>
    </format>
    <format dxfId="1936">
      <pivotArea outline="0" collapsedLevelsAreSubtotals="1" fieldPosition="0">
        <references count="4">
          <reference field="4294967294" count="1" selected="0">
            <x v="6"/>
          </reference>
          <reference field="0" count="1" selected="0">
            <x v="9"/>
          </reference>
          <reference field="4" count="1" selected="0">
            <x v="8"/>
          </reference>
          <reference field="43" count="1" selected="0">
            <x v="1"/>
          </reference>
        </references>
      </pivotArea>
    </format>
    <format dxfId="1935">
      <pivotArea outline="0" collapsedLevelsAreSubtotals="1" fieldPosition="0">
        <references count="4">
          <reference field="4294967294" count="1" selected="0">
            <x v="6"/>
          </reference>
          <reference field="0" count="1" selected="0">
            <x v="9"/>
          </reference>
          <reference field="4" count="1" selected="0">
            <x v="9"/>
          </reference>
          <reference field="43" count="1" selected="0">
            <x v="1"/>
          </reference>
        </references>
      </pivotArea>
    </format>
    <format dxfId="1934">
      <pivotArea outline="0" collapsedLevelsAreSubtotals="1" fieldPosition="0">
        <references count="4">
          <reference field="4294967294" count="1" selected="0">
            <x v="2"/>
          </reference>
          <reference field="0" count="1" selected="0">
            <x v="11"/>
          </reference>
          <reference field="4" count="1" selected="0">
            <x v="4"/>
          </reference>
          <reference field="43" count="1" selected="0">
            <x v="0"/>
          </reference>
        </references>
      </pivotArea>
    </format>
    <format dxfId="1933">
      <pivotArea outline="0" collapsedLevelsAreSubtotals="1" fieldPosition="0">
        <references count="4">
          <reference field="4294967294" count="1" selected="0">
            <x v="5"/>
          </reference>
          <reference field="0" count="1" selected="0">
            <x v="11"/>
          </reference>
          <reference field="4" count="1" selected="0">
            <x v="4"/>
          </reference>
          <reference field="43" count="1" selected="0">
            <x v="0"/>
          </reference>
        </references>
      </pivotArea>
    </format>
    <format dxfId="1932">
      <pivotArea outline="0" collapsedLevelsAreSubtotals="1" fieldPosition="0">
        <references count="4">
          <reference field="4294967294" count="1" selected="0">
            <x v="6"/>
          </reference>
          <reference field="0" count="1" selected="0">
            <x v="11"/>
          </reference>
          <reference field="4" count="1" selected="0">
            <x v="5"/>
          </reference>
          <reference field="43" count="1" selected="0">
            <x v="0"/>
          </reference>
        </references>
      </pivotArea>
    </format>
    <format dxfId="1931">
      <pivotArea outline="0" collapsedLevelsAreSubtotals="1" fieldPosition="0">
        <references count="4">
          <reference field="4294967294" count="1" selected="0">
            <x v="6"/>
          </reference>
          <reference field="0" count="1" selected="0">
            <x v="11"/>
          </reference>
          <reference field="4" count="1" selected="0">
            <x v="9"/>
          </reference>
          <reference field="43" count="1" selected="0">
            <x v="1"/>
          </reference>
        </references>
      </pivotArea>
    </format>
    <format dxfId="1930">
      <pivotArea outline="0" collapsedLevelsAreSubtotals="1" fieldPosition="0">
        <references count="4">
          <reference field="4294967294" count="1" selected="0">
            <x v="5"/>
          </reference>
          <reference field="0" count="1" selected="0">
            <x v="12"/>
          </reference>
          <reference field="4" count="1" selected="0">
            <x v="0"/>
          </reference>
          <reference field="43" count="1" selected="0">
            <x v="0"/>
          </reference>
        </references>
      </pivotArea>
    </format>
    <format dxfId="1929">
      <pivotArea outline="0" collapsedLevelsAreSubtotals="1" fieldPosition="0">
        <references count="4">
          <reference field="4294967294" count="1" selected="0">
            <x v="6"/>
          </reference>
          <reference field="0" count="1" selected="0">
            <x v="12"/>
          </reference>
          <reference field="4" count="1" selected="0">
            <x v="0"/>
          </reference>
          <reference field="43" count="1" selected="0">
            <x v="0"/>
          </reference>
        </references>
      </pivotArea>
    </format>
    <format dxfId="1928">
      <pivotArea outline="0" collapsedLevelsAreSubtotals="1" fieldPosition="0">
        <references count="4">
          <reference field="4294967294" count="1" selected="0">
            <x v="2"/>
          </reference>
          <reference field="0" count="1" selected="0">
            <x v="13"/>
          </reference>
          <reference field="4" count="1" selected="0">
            <x v="2"/>
          </reference>
          <reference field="43" count="1" selected="0">
            <x v="0"/>
          </reference>
        </references>
      </pivotArea>
    </format>
    <format dxfId="1927">
      <pivotArea outline="0" collapsedLevelsAreSubtotals="1" fieldPosition="0">
        <references count="4">
          <reference field="4294967294" count="1" selected="0">
            <x v="5"/>
          </reference>
          <reference field="0" count="1" selected="0">
            <x v="13"/>
          </reference>
          <reference field="4" count="1" selected="0">
            <x v="2"/>
          </reference>
          <reference field="43" count="1" selected="0">
            <x v="0"/>
          </reference>
        </references>
      </pivotArea>
    </format>
    <format dxfId="1926">
      <pivotArea outline="0" collapsedLevelsAreSubtotals="1" fieldPosition="0">
        <references count="4">
          <reference field="4294967294" count="1" selected="0">
            <x v="2"/>
          </reference>
          <reference field="0" count="1" selected="0">
            <x v="13"/>
          </reference>
          <reference field="4" count="1" selected="0">
            <x v="6"/>
          </reference>
          <reference field="43" count="1" selected="0">
            <x v="1"/>
          </reference>
        </references>
      </pivotArea>
    </format>
    <format dxfId="1925">
      <pivotArea outline="0" collapsedLevelsAreSubtotals="1" fieldPosition="0">
        <references count="4">
          <reference field="4294967294" count="1" selected="0">
            <x v="5"/>
          </reference>
          <reference field="0" count="1" selected="0">
            <x v="13"/>
          </reference>
          <reference field="4" count="1" selected="0">
            <x v="6"/>
          </reference>
          <reference field="43" count="1" selected="0">
            <x v="1"/>
          </reference>
        </references>
      </pivotArea>
    </format>
    <format dxfId="1924">
      <pivotArea outline="0" collapsedLevelsAreSubtotals="1" fieldPosition="0">
        <references count="4">
          <reference field="4294967294" count="1" selected="0">
            <x v="6"/>
          </reference>
          <reference field="0" count="1" selected="0">
            <x v="13"/>
          </reference>
          <reference field="4" count="1" selected="0">
            <x v="6"/>
          </reference>
          <reference field="43" count="1" selected="0">
            <x v="1"/>
          </reference>
        </references>
      </pivotArea>
    </format>
    <format dxfId="1923">
      <pivotArea outline="0" collapsedLevelsAreSubtotals="1" fieldPosition="0">
        <references count="4">
          <reference field="4294967294" count="1" selected="0">
            <x v="6"/>
          </reference>
          <reference field="0" count="1" selected="0">
            <x v="14"/>
          </reference>
          <reference field="4" count="1" selected="0">
            <x v="8"/>
          </reference>
          <reference field="43" count="1" selected="0">
            <x v="1"/>
          </reference>
        </references>
      </pivotArea>
    </format>
    <format dxfId="1922">
      <pivotArea outline="0" collapsedLevelsAreSubtotals="1" fieldPosition="0">
        <references count="4">
          <reference field="4294967294" count="1" selected="0">
            <x v="6"/>
          </reference>
          <reference field="0" count="1" selected="0">
            <x v="14"/>
          </reference>
          <reference field="4" count="1" selected="0">
            <x v="9"/>
          </reference>
          <reference field="43" count="1" selected="0">
            <x v="1"/>
          </reference>
        </references>
      </pivotArea>
    </format>
    <format dxfId="1921">
      <pivotArea outline="0" collapsedLevelsAreSubtotals="1" fieldPosition="0">
        <references count="4">
          <reference field="4294967294" count="1" selected="0">
            <x v="2"/>
          </reference>
          <reference field="0" count="1" selected="0">
            <x v="1"/>
          </reference>
          <reference field="4" count="1" selected="0">
            <x v="5"/>
          </reference>
          <reference field="43" count="1" selected="0">
            <x v="0"/>
          </reference>
        </references>
      </pivotArea>
    </format>
    <format dxfId="1920">
      <pivotArea outline="0" collapsedLevelsAreSubtotals="1" fieldPosition="0">
        <references count="4">
          <reference field="4294967294" count="1" selected="0">
            <x v="5"/>
          </reference>
          <reference field="0" count="1" selected="0">
            <x v="1"/>
          </reference>
          <reference field="4" count="1" selected="0">
            <x v="5"/>
          </reference>
          <reference field="43" count="1" selected="0">
            <x v="0"/>
          </reference>
        </references>
      </pivotArea>
    </format>
    <format dxfId="1919">
      <pivotArea outline="0" fieldPosition="0">
        <references count="4">
          <reference field="4294967294" count="1" selected="0">
            <x v="2"/>
          </reference>
          <reference field="0" count="1" selected="0">
            <x v="14"/>
          </reference>
          <reference field="4" count="2" selected="0">
            <x v="8"/>
            <x v="9"/>
          </reference>
          <reference field="43" count="1" selected="0">
            <x v="1"/>
          </reference>
        </references>
      </pivotArea>
    </format>
    <format dxfId="1918">
      <pivotArea outline="0" fieldPosition="0">
        <references count="4">
          <reference field="4294967294" count="1" selected="0">
            <x v="5"/>
          </reference>
          <reference field="0" count="1" selected="0">
            <x v="14"/>
          </reference>
          <reference field="4" count="2" selected="0">
            <x v="8"/>
            <x v="9"/>
          </reference>
          <reference field="43" count="1" selected="0">
            <x v="1"/>
          </reference>
        </references>
      </pivotArea>
    </format>
    <format dxfId="1917">
      <pivotArea outline="0" fieldPosition="0">
        <references count="4">
          <reference field="4294967294" count="1" selected="0">
            <x v="5"/>
          </reference>
          <reference field="0" count="1" selected="0">
            <x v="9"/>
          </reference>
          <reference field="4" count="2" selected="0">
            <x v="8"/>
            <x v="9"/>
          </reference>
          <reference field="43" count="1" selected="0">
            <x v="1"/>
          </reference>
        </references>
      </pivotArea>
    </format>
    <format dxfId="1916">
      <pivotArea outline="0" fieldPosition="0">
        <references count="4">
          <reference field="4294967294" count="1" selected="0">
            <x v="2"/>
          </reference>
          <reference field="0" count="1" selected="0">
            <x v="9"/>
          </reference>
          <reference field="4" count="2" selected="0">
            <x v="8"/>
            <x v="9"/>
          </reference>
          <reference field="43" count="1" selected="0">
            <x v="1"/>
          </reference>
        </references>
      </pivotArea>
    </format>
    <format dxfId="1915">
      <pivotArea outline="0" fieldPosition="0">
        <references count="4">
          <reference field="4294967294" count="1" selected="0">
            <x v="2"/>
          </reference>
          <reference field="0" count="1" selected="0">
            <x v="1"/>
          </reference>
          <reference field="4" count="1" selected="0">
            <x v="4"/>
          </reference>
          <reference field="43" count="1" selected="0">
            <x v="0"/>
          </reference>
        </references>
      </pivotArea>
    </format>
    <format dxfId="1914">
      <pivotArea outline="0" fieldPosition="0">
        <references count="3">
          <reference field="4294967294" count="1" selected="0">
            <x v="2"/>
          </reference>
          <reference field="0" count="1" selected="0">
            <x v="1"/>
          </reference>
          <reference field="43" count="1" selected="0" defaultSubtotal="1">
            <x v="1"/>
          </reference>
        </references>
      </pivotArea>
    </format>
    <format dxfId="1913">
      <pivotArea outline="0" fieldPosition="0">
        <references count="4">
          <reference field="4294967294" count="1" selected="0">
            <x v="2"/>
          </reference>
          <reference field="0" count="1" selected="0">
            <x v="1"/>
          </reference>
          <reference field="4" count="1" selected="0">
            <x v="8"/>
          </reference>
          <reference field="43" count="1" selected="0">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SCH15ug1" connectionId="15" xr16:uid="{240AB046-274D-4D72-88B5-5C5A26DA5EAE}"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ual07_3" connectionId="9" xr16:uid="{4712915F-4140-4F42-9703-84A1697842CF}" autoFormatId="16" applyNumberFormats="0" applyBorderFormats="0" applyFontFormats="1" applyPatternFormats="1"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Dual07_1" connectionId="9" xr16:uid="{AFB892CA-FB3A-4D42-B71B-F8C40645A949}"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queryTable" Target="../queryTables/queryTable3.xml"/><Relationship Id="rId4" Type="http://schemas.openxmlformats.org/officeDocument/2006/relationships/queryTable" Target="../queryTables/queryTable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6"/>
  </sheetPr>
  <dimension ref="A1:CJ244"/>
  <sheetViews>
    <sheetView showZeros="0" tabSelected="1" view="pageBreakPreview" zoomScaleNormal="80" zoomScaleSheetLayoutView="100" workbookViewId="0">
      <selection activeCell="C8" sqref="C8"/>
    </sheetView>
  </sheetViews>
  <sheetFormatPr defaultColWidth="9.33203125" defaultRowHeight="12.5"/>
  <cols>
    <col min="1" max="1" width="16.77734375" style="15" customWidth="1"/>
    <col min="2" max="2" width="12.109375" style="15" customWidth="1"/>
    <col min="3" max="3" width="12" style="15" customWidth="1"/>
    <col min="4" max="4" width="12.109375" style="15" customWidth="1"/>
    <col min="5" max="5" width="11.6640625" style="15" customWidth="1"/>
    <col min="6" max="6" width="12.77734375" style="15" customWidth="1"/>
    <col min="7" max="7" width="11.6640625" style="15" customWidth="1"/>
    <col min="8" max="8" width="11.77734375" style="15" customWidth="1"/>
    <col min="9" max="9" width="11.6640625" style="15" customWidth="1"/>
    <col min="10" max="10" width="11.109375" style="15" customWidth="1"/>
    <col min="11" max="11" width="11.6640625" style="15" customWidth="1"/>
    <col min="12" max="12" width="9" style="15" customWidth="1"/>
    <col min="13" max="13" width="9.6640625" style="15" customWidth="1"/>
    <col min="14" max="14" width="12.109375" style="15" bestFit="1" customWidth="1"/>
    <col min="15" max="15" width="9.6640625" style="15" customWidth="1"/>
    <col min="16" max="16" width="12" style="15" customWidth="1"/>
    <col min="17" max="17" width="12.33203125" style="15" customWidth="1"/>
    <col min="18" max="18" width="14.6640625" style="15" customWidth="1"/>
    <col min="19" max="19" width="15.6640625" style="15" customWidth="1"/>
    <col min="20" max="20" width="13.6640625" style="15" customWidth="1"/>
    <col min="21" max="21" width="13.77734375" style="15" customWidth="1"/>
    <col min="22" max="22" width="12.33203125" style="15" customWidth="1"/>
    <col min="23" max="23" width="12.77734375" style="15" customWidth="1"/>
    <col min="24" max="24" width="11.33203125" style="15" customWidth="1"/>
    <col min="25" max="26" width="13.33203125" style="15" customWidth="1"/>
    <col min="27" max="27" width="12.109375" style="15" customWidth="1"/>
    <col min="28" max="28" width="12.44140625" style="15" customWidth="1"/>
    <col min="29" max="29" width="16.33203125" style="15" customWidth="1"/>
    <col min="30" max="30" width="9.77734375" style="15" customWidth="1"/>
    <col min="31" max="31" width="11.44140625" style="15" customWidth="1"/>
    <col min="32" max="32" width="10.77734375" style="15" customWidth="1"/>
    <col min="33" max="33" width="10" style="15" customWidth="1"/>
    <col min="34" max="34" width="11.109375" style="15" customWidth="1"/>
    <col min="35" max="35" width="13.109375" style="15" customWidth="1"/>
    <col min="36" max="36" width="13.44140625" style="15" customWidth="1"/>
    <col min="37" max="37" width="9.44140625" style="15" customWidth="1"/>
    <col min="38" max="38" width="12.44140625" style="15" customWidth="1"/>
    <col min="39" max="39" width="10" style="15" customWidth="1"/>
    <col min="40" max="40" width="11.44140625" style="15" customWidth="1"/>
    <col min="41" max="41" width="13.44140625" style="15" customWidth="1"/>
    <col min="42" max="42" width="12" style="15" customWidth="1"/>
    <col min="43" max="43" width="13" style="15" customWidth="1"/>
    <col min="44" max="44" width="17.44140625" style="15" customWidth="1"/>
    <col min="45" max="45" width="9.44140625" style="15" bestFit="1" customWidth="1"/>
    <col min="46" max="46" width="11" style="15" customWidth="1"/>
    <col min="47" max="48" width="9.33203125" style="15"/>
    <col min="49" max="49" width="11.109375" style="15" customWidth="1"/>
    <col min="50" max="50" width="9.33203125" style="15"/>
    <col min="51" max="52" width="15.109375" style="15" customWidth="1"/>
    <col min="53" max="56" width="9.33203125" style="15"/>
    <col min="57" max="57" width="12.33203125" style="15" customWidth="1"/>
    <col min="58" max="16384" width="9.33203125" style="15"/>
  </cols>
  <sheetData>
    <row r="1" spans="1:50" ht="18">
      <c r="A1" s="184" t="s">
        <v>755</v>
      </c>
      <c r="B1" s="185"/>
      <c r="C1" s="185"/>
      <c r="D1" s="185"/>
      <c r="E1" s="185"/>
      <c r="F1" s="185"/>
      <c r="G1" s="185"/>
      <c r="H1" s="185"/>
      <c r="I1" s="185"/>
      <c r="J1" s="185"/>
      <c r="K1" s="185"/>
      <c r="L1" s="185"/>
      <c r="M1" s="185"/>
      <c r="N1" s="186"/>
      <c r="O1" s="187"/>
    </row>
    <row r="2" spans="1:50" ht="13.5" customHeight="1">
      <c r="A2" s="188"/>
      <c r="B2" s="188"/>
      <c r="C2" s="188"/>
      <c r="D2" s="188"/>
      <c r="E2" s="188"/>
      <c r="F2" s="188"/>
      <c r="G2" s="188"/>
      <c r="H2" s="188"/>
      <c r="I2" s="188"/>
      <c r="J2" s="188"/>
      <c r="K2" s="188"/>
      <c r="L2" s="188"/>
      <c r="M2" s="188"/>
      <c r="N2" s="189"/>
      <c r="O2" s="187"/>
    </row>
    <row r="3" spans="1:50" ht="15.5">
      <c r="A3" s="190" t="s">
        <v>756</v>
      </c>
      <c r="B3" s="187"/>
      <c r="C3" s="187"/>
      <c r="D3" s="187"/>
      <c r="E3" s="187"/>
      <c r="F3" s="187"/>
      <c r="G3" s="187"/>
      <c r="H3" s="187"/>
      <c r="I3" s="187"/>
      <c r="J3" s="187"/>
      <c r="K3" s="187"/>
      <c r="L3" s="187"/>
      <c r="M3" s="187"/>
      <c r="N3" s="187"/>
      <c r="O3" s="189"/>
    </row>
    <row r="4" spans="1:50" ht="15.5">
      <c r="A4" s="190" t="s">
        <v>948</v>
      </c>
      <c r="B4" s="187"/>
      <c r="C4" s="187"/>
      <c r="D4" s="187"/>
      <c r="E4" s="187"/>
      <c r="F4" s="187"/>
      <c r="G4" s="187"/>
      <c r="H4" s="187"/>
      <c r="I4" s="187"/>
      <c r="J4" s="187"/>
      <c r="K4" s="187"/>
      <c r="L4" s="187"/>
      <c r="M4" s="187"/>
      <c r="N4" s="191"/>
      <c r="O4" s="187"/>
    </row>
    <row r="5" spans="1:50" ht="12.75" customHeight="1">
      <c r="Q5" s="30" t="s">
        <v>757</v>
      </c>
      <c r="AI5" s="129" t="s">
        <v>758</v>
      </c>
      <c r="AR5" s="129" t="s">
        <v>758</v>
      </c>
    </row>
    <row r="6" spans="1:50" ht="15" customHeight="1">
      <c r="A6" s="192"/>
      <c r="B6" s="193" t="s">
        <v>749</v>
      </c>
      <c r="C6" s="194"/>
      <c r="D6" s="194"/>
      <c r="E6" s="194"/>
      <c r="F6" s="194"/>
      <c r="G6" s="194"/>
      <c r="H6" s="195"/>
      <c r="I6" s="196"/>
      <c r="J6" s="196"/>
      <c r="K6" s="196"/>
      <c r="L6" s="196"/>
      <c r="M6" s="196"/>
      <c r="N6" s="196"/>
      <c r="O6" s="196"/>
      <c r="Q6" s="129" t="s">
        <v>759</v>
      </c>
      <c r="AI6" s="32" t="s">
        <v>760</v>
      </c>
      <c r="AR6" s="32" t="s">
        <v>760</v>
      </c>
    </row>
    <row r="7" spans="1:50" ht="17.25" customHeight="1">
      <c r="A7" s="197"/>
      <c r="B7" s="198">
        <v>1</v>
      </c>
      <c r="C7" s="187"/>
      <c r="D7" s="199">
        <v>2</v>
      </c>
      <c r="E7" s="187"/>
      <c r="F7" s="199">
        <v>3</v>
      </c>
      <c r="G7" s="187"/>
      <c r="H7" s="199">
        <v>4</v>
      </c>
      <c r="I7" s="200"/>
      <c r="J7" s="199">
        <v>5</v>
      </c>
      <c r="K7" s="200"/>
      <c r="L7" s="199">
        <v>6</v>
      </c>
      <c r="M7" s="200"/>
      <c r="N7" s="199" t="s">
        <v>761</v>
      </c>
      <c r="O7" s="200"/>
      <c r="P7" s="201"/>
      <c r="Q7" s="202"/>
      <c r="R7" s="202" t="s">
        <v>762</v>
      </c>
      <c r="S7" s="202"/>
      <c r="T7" s="203">
        <v>2</v>
      </c>
      <c r="U7" s="202"/>
      <c r="V7" s="203">
        <v>3</v>
      </c>
      <c r="W7" s="202"/>
      <c r="X7" s="203">
        <v>4</v>
      </c>
      <c r="Y7" s="202"/>
      <c r="Z7" s="203">
        <v>5</v>
      </c>
      <c r="AA7" s="202"/>
      <c r="AB7" s="203">
        <v>6</v>
      </c>
      <c r="AC7" s="202"/>
      <c r="AD7" s="203" t="s">
        <v>763</v>
      </c>
      <c r="AE7" s="202"/>
      <c r="AI7" s="204" t="s">
        <v>762</v>
      </c>
      <c r="AJ7" s="204">
        <v>2</v>
      </c>
      <c r="AK7" s="204">
        <v>3</v>
      </c>
      <c r="AL7" s="204">
        <v>4</v>
      </c>
      <c r="AM7" s="204">
        <v>5</v>
      </c>
      <c r="AN7" s="204">
        <v>6</v>
      </c>
      <c r="AO7" s="204" t="s">
        <v>761</v>
      </c>
      <c r="AR7" s="204" t="s">
        <v>762</v>
      </c>
      <c r="AS7" s="204">
        <v>2</v>
      </c>
      <c r="AT7" s="204">
        <v>3</v>
      </c>
      <c r="AU7" s="204">
        <v>4</v>
      </c>
      <c r="AV7" s="204">
        <v>5</v>
      </c>
      <c r="AW7" s="204">
        <v>6</v>
      </c>
      <c r="AX7" s="204" t="s">
        <v>761</v>
      </c>
    </row>
    <row r="8" spans="1:50" ht="77.25" customHeight="1">
      <c r="A8" s="205"/>
      <c r="B8" s="206" t="s">
        <v>764</v>
      </c>
      <c r="C8" s="207" t="s">
        <v>765</v>
      </c>
      <c r="D8" s="208" t="s">
        <v>764</v>
      </c>
      <c r="E8" s="207" t="s">
        <v>765</v>
      </c>
      <c r="F8" s="208" t="s">
        <v>764</v>
      </c>
      <c r="G8" s="207" t="s">
        <v>765</v>
      </c>
      <c r="H8" s="208" t="s">
        <v>764</v>
      </c>
      <c r="I8" s="207" t="s">
        <v>765</v>
      </c>
      <c r="J8" s="208" t="s">
        <v>764</v>
      </c>
      <c r="K8" s="207" t="s">
        <v>765</v>
      </c>
      <c r="L8" s="208" t="s">
        <v>764</v>
      </c>
      <c r="M8" s="207" t="s">
        <v>765</v>
      </c>
      <c r="N8" s="208" t="s">
        <v>764</v>
      </c>
      <c r="O8" s="207" t="s">
        <v>765</v>
      </c>
      <c r="P8" s="201"/>
      <c r="Q8" s="209"/>
      <c r="R8" s="210" t="s">
        <v>766</v>
      </c>
      <c r="S8" s="210" t="s">
        <v>767</v>
      </c>
      <c r="T8" s="211" t="s">
        <v>766</v>
      </c>
      <c r="U8" s="210" t="s">
        <v>767</v>
      </c>
      <c r="V8" s="211" t="s">
        <v>766</v>
      </c>
      <c r="W8" s="210" t="s">
        <v>767</v>
      </c>
      <c r="X8" s="211" t="s">
        <v>766</v>
      </c>
      <c r="Y8" s="210" t="s">
        <v>767</v>
      </c>
      <c r="Z8" s="211" t="s">
        <v>766</v>
      </c>
      <c r="AA8" s="210" t="s">
        <v>767</v>
      </c>
      <c r="AB8" s="211" t="s">
        <v>766</v>
      </c>
      <c r="AC8" s="210" t="s">
        <v>767</v>
      </c>
      <c r="AD8" s="211" t="s">
        <v>766</v>
      </c>
      <c r="AE8" s="210" t="s">
        <v>767</v>
      </c>
      <c r="AI8" s="212" t="s">
        <v>768</v>
      </c>
      <c r="AJ8" s="212" t="s">
        <v>768</v>
      </c>
      <c r="AK8" s="212" t="s">
        <v>768</v>
      </c>
      <c r="AL8" s="212" t="s">
        <v>768</v>
      </c>
      <c r="AM8" s="212" t="s">
        <v>768</v>
      </c>
      <c r="AN8" s="212" t="s">
        <v>768</v>
      </c>
      <c r="AO8" s="212" t="s">
        <v>768</v>
      </c>
      <c r="AR8" s="212" t="s">
        <v>768</v>
      </c>
      <c r="AS8" s="212" t="s">
        <v>768</v>
      </c>
      <c r="AT8" s="212" t="s">
        <v>768</v>
      </c>
      <c r="AU8" s="212" t="s">
        <v>768</v>
      </c>
      <c r="AV8" s="212" t="s">
        <v>768</v>
      </c>
      <c r="AW8" s="212" t="s">
        <v>768</v>
      </c>
      <c r="AX8" s="212" t="s">
        <v>768</v>
      </c>
    </row>
    <row r="9" spans="1:50" ht="15" customHeight="1">
      <c r="A9" s="15" t="s">
        <v>769</v>
      </c>
      <c r="B9" s="213">
        <f>+GETPIVOTDATA("Sum of New-Total Undg SCH FTE",'FTE Pivot for regular counts'!$A$2,"Category",1,"Category2","Group1")</f>
        <v>876558.08333333337</v>
      </c>
      <c r="C9" s="214"/>
      <c r="D9" s="215">
        <f>+GETPIVOTDATA("Sum of New-Total Undg SCH FTE",'FTE Pivot for regular counts'!$A$2,"Category",2,"Category2","Four-Year")</f>
        <v>199807.55100000004</v>
      </c>
      <c r="E9" s="214"/>
      <c r="F9" s="216">
        <f>+GETPIVOTDATA("Sum of New-Total Undg SCH FTE",'FTE Pivot for regular counts'!$A$2,"Category",3,"Category2","Four-Year")</f>
        <v>524585.39666666661</v>
      </c>
      <c r="G9" s="214"/>
      <c r="H9" s="216">
        <f>+GETPIVOTDATA("Sum of New-Total Undg SCH FTE",'FTE Pivot for regular counts'!$A$2,"Category",4,"Category2","Four-Year")</f>
        <v>146934.99</v>
      </c>
      <c r="I9" s="214"/>
      <c r="J9" s="216">
        <f>+GETPIVOTDATA("Sum of New-Total Undg SCH FTE",'FTE Pivot for regular counts'!$A$2,"Category",5,"Category2","Four-Year")</f>
        <v>61313.916666666664</v>
      </c>
      <c r="K9" s="214"/>
      <c r="L9" s="216">
        <f>+GETPIVOTDATA("Sum of New-Total Undg SCH FTE",'FTE Pivot for regular counts'!$A$2,"Category",6,"Category2","Four-Year")</f>
        <v>72558.383333333346</v>
      </c>
      <c r="M9" s="214"/>
      <c r="N9" s="216">
        <f>+GETPIVOTDATA("Sum of New-Total Undg SCH FTE",'FTE Pivot for regular counts'!$A$2,"Category2","Four-Year")</f>
        <v>1881758.321</v>
      </c>
      <c r="O9" s="214"/>
      <c r="Q9" s="15" t="s">
        <v>769</v>
      </c>
      <c r="R9" s="217"/>
      <c r="S9" s="218">
        <f>(C9-R9)*100</f>
        <v>0</v>
      </c>
      <c r="T9" s="219"/>
      <c r="U9" s="218">
        <f>(E9-T9)*100</f>
        <v>0</v>
      </c>
      <c r="V9" s="219"/>
      <c r="W9" s="218">
        <f>(G9-V9)*100</f>
        <v>0</v>
      </c>
      <c r="X9" s="219"/>
      <c r="Y9" s="218">
        <f>(I9-X9)*100</f>
        <v>0</v>
      </c>
      <c r="Z9" s="219"/>
      <c r="AA9" s="218">
        <f>(K9-Z9)*100</f>
        <v>0</v>
      </c>
      <c r="AB9" s="219"/>
      <c r="AC9" s="218">
        <f>(M9-AB9)*100</f>
        <v>0</v>
      </c>
      <c r="AD9" s="219"/>
      <c r="AE9" s="218">
        <f>(O9-AD9)*100</f>
        <v>0</v>
      </c>
      <c r="AF9" s="15" t="s">
        <v>769</v>
      </c>
      <c r="AH9" s="220" t="s">
        <v>769</v>
      </c>
      <c r="AQ9" s="220" t="s">
        <v>769</v>
      </c>
    </row>
    <row r="10" spans="1:50" ht="12.75" customHeight="1">
      <c r="B10" s="221"/>
      <c r="C10" s="222" t="s">
        <v>838</v>
      </c>
      <c r="D10" s="223"/>
      <c r="E10" s="222" t="s">
        <v>839</v>
      </c>
      <c r="F10" s="223"/>
      <c r="G10" s="222" t="s">
        <v>840</v>
      </c>
      <c r="H10" s="223"/>
      <c r="I10" s="222" t="s">
        <v>841</v>
      </c>
      <c r="J10" s="223"/>
      <c r="K10" s="222" t="s">
        <v>842</v>
      </c>
      <c r="L10" s="223"/>
      <c r="M10" s="222" t="s">
        <v>843</v>
      </c>
      <c r="N10" s="223"/>
      <c r="O10" s="222" t="s">
        <v>844</v>
      </c>
      <c r="R10" s="224" t="s">
        <v>770</v>
      </c>
      <c r="S10" s="225"/>
      <c r="T10" s="226" t="s">
        <v>771</v>
      </c>
      <c r="U10" s="225"/>
      <c r="V10" s="226" t="s">
        <v>772</v>
      </c>
      <c r="W10" s="225"/>
      <c r="X10" s="226" t="s">
        <v>773</v>
      </c>
      <c r="Y10" s="225"/>
      <c r="Z10" s="226" t="s">
        <v>774</v>
      </c>
      <c r="AA10" s="225"/>
      <c r="AB10" s="226" t="s">
        <v>775</v>
      </c>
      <c r="AC10" s="225"/>
      <c r="AD10" s="226" t="s">
        <v>776</v>
      </c>
      <c r="AE10" s="225"/>
      <c r="AH10" s="220"/>
      <c r="AQ10" s="220"/>
    </row>
    <row r="11" spans="1:50" ht="15" customHeight="1">
      <c r="A11" s="15" t="s">
        <v>777</v>
      </c>
      <c r="B11" s="227">
        <f>+GETPIVOTDATA("Sum of New-Total Undg SCH FTE",'FTE Pivot for regular counts'!$A$2,"State","AL","Category",1,"Category2","Four-Year")</f>
        <v>65781.366666666669</v>
      </c>
      <c r="C11" s="228">
        <f>+GETPIVOTDATA("Sum of New-HS % of Total",'Pivot-HS Student % of Undergrad'!$A$3,"State","AL","Category",1,"Category2","Four-Year")</f>
        <v>5.7473215566110156E-3</v>
      </c>
      <c r="D11" s="216">
        <f>+GETPIVOTDATA("Sum of New-Total Undg SCH FTE",'FTE Pivot for regular counts'!$A$2,"State","AL","Category",2,"Category2","Four-Year")</f>
        <v>15493.333333333334</v>
      </c>
      <c r="E11" s="228">
        <f>+GETPIVOTDATA("Sum of New-HS % of Total",'Pivot-HS Student % of Undergrad'!$A$3,"State","AL","Category",2,"Category2","Four-Year")</f>
        <v>4.4427710843373495E-3</v>
      </c>
      <c r="F11" s="216">
        <f>+GETPIVOTDATA("Sum of New-Total Undg SCH FTE",'FTE Pivot for regular counts'!$A$2,"State","AL","Category",3,"Category2","Four-Year")</f>
        <v>27118.033333333333</v>
      </c>
      <c r="G11" s="228">
        <f>+GETPIVOTDATA("Sum of New-HS % of Total",'Pivot-HS Student % of Undergrad'!$A$3,"State","AL","Category",3,"Category2","Four-Year")</f>
        <v>1.1340547065237032E-2</v>
      </c>
      <c r="H11" s="216">
        <f>+GETPIVOTDATA("Sum of New-Total Undg SCH FTE",'FTE Pivot for regular counts'!$A$2,"State","AL","Category",4,"Category2","Four-Year")</f>
        <v>7664.9333333333334</v>
      </c>
      <c r="I11" s="228">
        <f>+GETPIVOTDATA("Sum of New-HS % of Total",'Pivot-HS Student % of Undergrad'!$A$3,"State","AL","Category",4,"Category2","Four-Year")</f>
        <v>1.5568737279732809E-3</v>
      </c>
      <c r="J11" s="216">
        <f>+GETPIVOTDATA("Sum of New-Total Undg SCH FTE",'FTE Pivot for regular counts'!$A$2,"State","AL","Category",5,"Category2","Four-Year")</f>
        <v>4179.7</v>
      </c>
      <c r="K11" s="228">
        <f>+GETPIVOTDATA("Sum of New-HS % of Total",'Pivot-HS Student % of Undergrad'!$A$3,"State","AL","Category",5,"Category2","Four-Year")</f>
        <v>3.5887743139459772E-3</v>
      </c>
      <c r="L11" s="216">
        <f>+GETPIVOTDATA("Sum of New-Total Undg SCH FTE",'FTE Pivot for regular counts'!$A$2,"State","AL","Category",6,"Category2","Four-Year")</f>
        <v>2136.4333333333334</v>
      </c>
      <c r="M11" s="228">
        <f>+GETPIVOTDATA("Sum of New-HS % of Total",'Pivot-HS Student % of Undergrad'!$A$3,"State","AL","Category",6,"Category2","Four-Year")</f>
        <v>0</v>
      </c>
      <c r="N11" s="216">
        <f>+GETPIVOTDATA("Sum of New-Total Undg SCH FTE",'FTE Pivot for regular counts'!$A$2,"State","AL","Category2","Four-Year")</f>
        <v>122373.8</v>
      </c>
      <c r="O11" s="228">
        <f>+GETPIVOTDATA("Sum of New-HS % of Total",'Pivot-HS Student % of Undergrad'!$A$3,"State","AL","Category2","Group1")</f>
        <v>6.3850813382167314E-3</v>
      </c>
      <c r="Q11" s="15" t="s">
        <v>777</v>
      </c>
      <c r="R11" s="229">
        <f>+GETPIVOTDATA("Sum of Old-HS % of Total",'Pivot-HS Student % of Undergrad'!$A$3,"State","AL","Category",1,"Category2","Four-Year")</f>
        <v>4.4652521643423213E-3</v>
      </c>
      <c r="S11" s="230">
        <f>(C11-R11)*100</f>
        <v>0.12820693922686943</v>
      </c>
      <c r="T11" s="219">
        <f>+GETPIVOTDATA("Sum of Old-HS % of Total",'Pivot-HS Student % of Undergrad'!$A$3,"State","AL","Category",2,"Category2","Four-Year")</f>
        <v>3.6020293002169356E-3</v>
      </c>
      <c r="U11" s="230">
        <f t="shared" ref="U11:U29" si="0">(E11-T11)*100</f>
        <v>8.4074178412041387E-2</v>
      </c>
      <c r="V11" s="219">
        <f>GETPIVOTDATA("Sum of Old-HS % of Total",'Pivot-HS Student % of Undergrad'!$A$3,"State","AL","Category",3,"Category2","Four-Year")</f>
        <v>1.0635175541915896E-2</v>
      </c>
      <c r="W11" s="230">
        <f t="shared" ref="W11:W29" si="1">(G11-V11)*100</f>
        <v>7.053715233211362E-2</v>
      </c>
      <c r="X11" s="219">
        <f>+GETPIVOTDATA("Sum of Old-HS % of Total",'Pivot-HS Student % of Undergrad'!$A$3,"State","AL","Category",4,"Category2","Four-Year")</f>
        <v>1.9837425767594659E-3</v>
      </c>
      <c r="Y11" s="230">
        <f t="shared" ref="Y11:Y29" si="2">(I11-X11)*100</f>
        <v>-4.2686884878618492E-2</v>
      </c>
      <c r="Z11" s="219">
        <f>+GETPIVOTDATA("Sum of Old-HS % of Total",'Pivot-HS Student % of Undergrad'!$A$3,"State","AL","Category",5,"Category2","Four-Year")</f>
        <v>4.6913026770846675E-3</v>
      </c>
      <c r="AA11" s="230">
        <f t="shared" ref="AA11:AA29" si="3">(K11-Z11)*100</f>
        <v>-0.11025283631386903</v>
      </c>
      <c r="AB11" s="219">
        <f>+GETPIVOTDATA("Sum of Old-HS % of Total",'Pivot-HS Student % of Undergrad'!$A$3,"State","AL","Category",6,"Category2","Four-Year")</f>
        <v>0</v>
      </c>
      <c r="AC11" s="230">
        <f t="shared" ref="AC11:AC29" si="4">(M11-AB11)*100</f>
        <v>0</v>
      </c>
      <c r="AD11" s="219">
        <f>+GETPIVOTDATA("Sum of Old-HS % of Total",'Pivot-HS Student % of Undergrad'!$A$3,"State","AL","Category2","Four-Year")</f>
        <v>5.4393779750234938E-3</v>
      </c>
      <c r="AE11" s="230">
        <f t="shared" ref="AE11:AE29" si="5">(O11-AD11)*100</f>
        <v>9.4570336319323767E-2</v>
      </c>
      <c r="AF11" s="15" t="s">
        <v>777</v>
      </c>
      <c r="AH11" s="220" t="s">
        <v>777</v>
      </c>
      <c r="AI11" s="231">
        <f>C11*100</f>
        <v>0.57473215566110158</v>
      </c>
      <c r="AJ11" s="231">
        <f>E11*100</f>
        <v>0.44427710843373497</v>
      </c>
      <c r="AK11" s="231">
        <f>G11*100</f>
        <v>1.1340547065237032</v>
      </c>
      <c r="AL11" s="231">
        <f>I11*100</f>
        <v>0.15568737279732808</v>
      </c>
      <c r="AM11" s="231">
        <f>K11*100</f>
        <v>0.35887743139459771</v>
      </c>
      <c r="AN11" s="231">
        <f>M11*100</f>
        <v>0</v>
      </c>
      <c r="AO11" s="231">
        <f>O11*100</f>
        <v>0.63850813382167315</v>
      </c>
      <c r="AQ11" s="220" t="s">
        <v>777</v>
      </c>
      <c r="AR11" s="231">
        <f>R11*100</f>
        <v>0.44652521643423215</v>
      </c>
      <c r="AS11" s="231">
        <f>T11*100</f>
        <v>0.36020293002169357</v>
      </c>
      <c r="AT11" s="231">
        <f>V11*100</f>
        <v>1.0635175541915896</v>
      </c>
      <c r="AU11" s="231">
        <f>X11*100</f>
        <v>0.19837425767594657</v>
      </c>
      <c r="AV11" s="231">
        <f>Z11*100</f>
        <v>0.46913026770846677</v>
      </c>
      <c r="AW11" s="231">
        <f>AB11*100</f>
        <v>0</v>
      </c>
      <c r="AX11" s="231">
        <f>AD11*100</f>
        <v>0.54393779750234938</v>
      </c>
    </row>
    <row r="12" spans="1:50" ht="15" customHeight="1">
      <c r="A12" s="15" t="s">
        <v>778</v>
      </c>
      <c r="B12" s="227">
        <f>+GETPIVOTDATA("Sum of New-Total Undg SCH FTE",'FTE Pivot for regular counts'!$A$2,"State","AR","Category",1,"Category2","Four-Year")</f>
        <v>22125.8</v>
      </c>
      <c r="C12" s="228">
        <f>+GETPIVOTDATA("Sum of New-HS % of Total",'Pivot-HS Student % of Undergrad'!$A$3,"State","AR","Category",1,"Category2","Four-Year")</f>
        <v>2.9241880519574434E-3</v>
      </c>
      <c r="D12" s="216">
        <f>+GETPIVOTDATA("Sum of New-Total Undg SCH FTE",'FTE Pivot for regular counts'!$A$2,"State","AR","Category",2,"Category2","Four-Year")</f>
        <v>5840.7333333333336</v>
      </c>
      <c r="E12" s="228">
        <f>+GETPIVOTDATA("Sum of New-HS % of Total",'Pivot-HS Student % of Undergrad'!$A$3,"State","AR","Category",2,"Category2","Four-Year")</f>
        <v>6.8963942883884438E-2</v>
      </c>
      <c r="F12" s="216">
        <f>+GETPIVOTDATA("Sum of New-Total Undg SCH FTE",'FTE Pivot for regular counts'!$A$2,"State","AR","Category",3,"Category2","Four-Year")</f>
        <v>24861.866666666669</v>
      </c>
      <c r="G12" s="228">
        <f>+GETPIVOTDATA("Sum of New-HS % of Total",'Pivot-HS Student % of Undergrad'!$A$3,"State","AR","Category",3,"Category2","Four-Year")</f>
        <v>4.8962534322979236E-2</v>
      </c>
      <c r="H12" s="216">
        <f>+GETPIVOTDATA("Sum of New-Total Undg SCH FTE",'FTE Pivot for regular counts'!$A$2,"State","AR","Category",4,"Category2","Four-Year")</f>
        <v>8551.7999999999993</v>
      </c>
      <c r="I12" s="228">
        <f>+GETPIVOTDATA("Sum of New-HS % of Total",'Pivot-HS Student % of Undergrad'!$A$3,"State","AR","Category",4,"Category2","Four-Year")</f>
        <v>4.2447204097383007E-2</v>
      </c>
      <c r="J12" s="216">
        <f>+GETPIVOTDATA("Sum of New-Total Undg SCH FTE",'FTE Pivot for regular counts'!$A$2,"State","AR","Category",5,"Category2","Four-Year")</f>
        <v>0</v>
      </c>
      <c r="K12" s="228">
        <f>+GETPIVOTDATA("Sum of New-HS % of Total",'Pivot-HS Student % of Undergrad'!$A$3,"State","AR","Category",5,"Category2","Four-Year")</f>
        <v>0</v>
      </c>
      <c r="L12" s="216">
        <f>+GETPIVOTDATA("Sum of New-Total Undg SCH FTE",'FTE Pivot for regular counts'!$A$2,"State","AR","Category",6,"Category2","Four-Year")</f>
        <v>7353.2999999999993</v>
      </c>
      <c r="M12" s="228">
        <f>+GETPIVOTDATA("Sum of New-HS % of Total",'Pivot-HS Student % of Undergrad'!$A$3,"State","AR","Category",6,"Category2","Four-Year")</f>
        <v>7.3613207675465434E-2</v>
      </c>
      <c r="N12" s="216">
        <f>+GETPIVOTDATA("Sum of New-Total Undg SCH FTE",'FTE Pivot for regular counts'!$A$2,"State","AR","Category2","Four-Year")</f>
        <v>68733.5</v>
      </c>
      <c r="O12" s="228">
        <f>+GETPIVOTDATA("Sum of New-HS % of Total",'Pivot-HS Student % of Undergrad'!$A$3,"State","AR","Category2","Group1")</f>
        <v>3.766867684607942E-2</v>
      </c>
      <c r="Q12" s="15" t="s">
        <v>778</v>
      </c>
      <c r="R12" s="229">
        <f>+GETPIVOTDATA("Sum of Old-HS % of Total",'Pivot-HS Student % of Undergrad'!$A$3,"State","AR","Category",1,"Category2","Four-Year")</f>
        <v>3.3600618935095781E-3</v>
      </c>
      <c r="S12" s="232">
        <f>(C12-R12)*100</f>
        <v>-4.3587384155213467E-2</v>
      </c>
      <c r="T12" s="219">
        <f>+GETPIVOTDATA("Sum of Old-HS % of Total",'Pivot-HS Student % of Undergrad'!$A$3,"State","AR","Category",2,"Category2","Four-Year")</f>
        <v>9.3130996242658595E-2</v>
      </c>
      <c r="U12" s="230">
        <f t="shared" si="0"/>
        <v>-2.4167053358774155</v>
      </c>
      <c r="V12" s="219">
        <f>+GETPIVOTDATA("Sum of Old-HS % of Total",'Pivot-HS Student % of Undergrad'!$A$3,"State","AR","Category",3,"Category2","Four-Year")</f>
        <v>4.4449743775869729E-2</v>
      </c>
      <c r="W12" s="230">
        <f t="shared" si="1"/>
        <v>0.45127905471095064</v>
      </c>
      <c r="X12" s="219">
        <f>+GETPIVOTDATA("Sum of Old-HS % of Total",'Pivot-HS Student % of Undergrad'!$A$3,"State","AR","Category",4,"Category2","Four-Year")</f>
        <v>3.8901742310009167E-2</v>
      </c>
      <c r="Y12" s="230">
        <f t="shared" si="2"/>
        <v>0.35454617873738392</v>
      </c>
      <c r="Z12" s="219">
        <f>+GETPIVOTDATA("Sum of Old-HS % of Total",'Pivot-HS Student % of Undergrad'!$A$3,"State","AR","Category",5,"Category2","Four-Year")</f>
        <v>0</v>
      </c>
      <c r="AA12" s="230">
        <f t="shared" si="3"/>
        <v>0</v>
      </c>
      <c r="AB12" s="219">
        <f>+GETPIVOTDATA("Sum of Old-HS % of Total",'Pivot-HS Student % of Undergrad'!$A$3,"State","AR","Category",6,"Category2","Four-Year")</f>
        <v>7.0499705542347371E-2</v>
      </c>
      <c r="AC12" s="230">
        <f t="shared" si="4"/>
        <v>0.31135021331180623</v>
      </c>
      <c r="AD12" s="219">
        <f>+GETPIVOTDATA("Sum of Old-HS % of Total",'Pivot-HS Student % of Undergrad'!$A$3,"State","AR","Category2","Four-Year")</f>
        <v>3.8039535813113069E-2</v>
      </c>
      <c r="AE12" s="230">
        <f t="shared" si="5"/>
        <v>-3.7085896703364929E-2</v>
      </c>
      <c r="AF12" s="15" t="s">
        <v>778</v>
      </c>
      <c r="AH12" s="220" t="s">
        <v>778</v>
      </c>
      <c r="AI12" s="231">
        <f t="shared" ref="AI12:AI29" si="6">C12*100</f>
        <v>0.29241880519574437</v>
      </c>
      <c r="AJ12" s="231">
        <f t="shared" ref="AJ12:AJ29" si="7">E12*100</f>
        <v>6.8963942883884437</v>
      </c>
      <c r="AK12" s="231">
        <f t="shared" ref="AK12:AK29" si="8">G12*100</f>
        <v>4.8962534322979234</v>
      </c>
      <c r="AL12" s="231">
        <f t="shared" ref="AL12:AL29" si="9">I12*100</f>
        <v>4.2447204097383011</v>
      </c>
      <c r="AM12" s="231">
        <f t="shared" ref="AM12:AM29" si="10">K12*100</f>
        <v>0</v>
      </c>
      <c r="AN12" s="231">
        <f t="shared" ref="AN12:AN29" si="11">M12*100</f>
        <v>7.3613207675465437</v>
      </c>
      <c r="AO12" s="231">
        <f t="shared" ref="AO12:AO29" si="12">O12*100</f>
        <v>3.7668676846079419</v>
      </c>
      <c r="AQ12" s="220" t="s">
        <v>778</v>
      </c>
      <c r="AR12" s="231">
        <f t="shared" ref="AR12:AR29" si="13">R12*100</f>
        <v>0.33600618935095783</v>
      </c>
      <c r="AS12" s="231">
        <f t="shared" ref="AS12:AS29" si="14">T12*100</f>
        <v>9.3130996242658597</v>
      </c>
      <c r="AT12" s="231">
        <f t="shared" ref="AT12:AT29" si="15">V12*100</f>
        <v>4.4449743775869726</v>
      </c>
      <c r="AU12" s="231">
        <f t="shared" ref="AU12:AU29" si="16">X12*100</f>
        <v>3.8901742310009166</v>
      </c>
      <c r="AV12" s="231">
        <f t="shared" ref="AV12:AV29" si="17">Z12*100</f>
        <v>0</v>
      </c>
      <c r="AW12" s="231">
        <f t="shared" ref="AW12:AW29" si="18">AB12*100</f>
        <v>7.0499705542347373</v>
      </c>
      <c r="AX12" s="231">
        <f t="shared" ref="AX12:AX29" si="19">AD12*100</f>
        <v>3.803953581311307</v>
      </c>
    </row>
    <row r="13" spans="1:50" ht="15" customHeight="1">
      <c r="A13" s="15" t="s">
        <v>779</v>
      </c>
      <c r="B13" s="227">
        <f>+GETPIVOTDATA("Sum of New-Total Undg SCH FTE",'FTE Pivot for regular counts'!$A$2,"State","DE","Category",1,"Category2","Four-Year")</f>
        <v>19976.366666666665</v>
      </c>
      <c r="C13" s="228">
        <f>+GETPIVOTDATA("Sum of New-HS % of Total",'Pivot-HS Student % of Undergrad'!$A$3,"State","DE","Category",1,"Category2","Four-Year")</f>
        <v>0</v>
      </c>
      <c r="D13" s="216">
        <f>+GETPIVOTDATA("Sum of New-Total Undg SCH FTE",'FTE Pivot for regular counts'!$A$2,"State","DE","Category",2,"Category2","Four-Year")</f>
        <v>0</v>
      </c>
      <c r="E13" s="228">
        <f>+GETPIVOTDATA("Sum of New-HS % of Total",'Pivot-HS Student % of Undergrad'!$A$3,"State","DE","Category",2,"Category2","Four-Year")</f>
        <v>0</v>
      </c>
      <c r="F13" s="216">
        <f>+GETPIVOTDATA("Sum of New-Total Undg SCH FTE",'FTE Pivot for regular counts'!$A$2,"State","DE","Category",3,"Category2","Four-Year")</f>
        <v>4272.7</v>
      </c>
      <c r="G13" s="228">
        <f>+GETPIVOTDATA("Sum of New-HS % of Total",'Pivot-HS Student % of Undergrad'!$A$3,"State","DE","Category",3,"Category2","Four-Year")</f>
        <v>0</v>
      </c>
      <c r="H13" s="216">
        <f>+GETPIVOTDATA("Sum of New-Total Undg SCH FTE",'FTE Pivot for regular counts'!$A$2,"State","DE","Category",4,"Category2","Four-Year")</f>
        <v>0</v>
      </c>
      <c r="I13" s="228">
        <f>GETPIVOTDATA("Sum of New-HS % of Total",'Pivot-HS Student % of Undergrad'!$A$3,"State","DE","Category",4,"Category2","Four-Year")</f>
        <v>0</v>
      </c>
      <c r="J13" s="216">
        <f>+GETPIVOTDATA("Sum of New-Total Undg SCH FTE",'FTE Pivot for regular counts'!$A$2,"State","DE","Category",5,"Category2","Four-Year")</f>
        <v>0</v>
      </c>
      <c r="K13" s="228">
        <f>+GETPIVOTDATA("Sum of New-HS % of Total",'Pivot-HS Student % of Undergrad'!$A$3,"State","DE","Category",5,"Category2","Four-Year")</f>
        <v>0</v>
      </c>
      <c r="L13" s="216">
        <f>+GETPIVOTDATA("Sum of New-Total Undg SCH FTE",'FTE Pivot for regular counts'!$A$2,"State","DE","Category",6,"Category2","Four-Year")</f>
        <v>0</v>
      </c>
      <c r="M13" s="228">
        <f>+GETPIVOTDATA("Sum of New-HS % of Total",'Pivot-HS Student % of Undergrad'!$A$3,"State","DE","Category",6,"Category2","Four-Year")</f>
        <v>0</v>
      </c>
      <c r="N13" s="216">
        <f>+GETPIVOTDATA("Sum of New-Total Undg SCH FTE",'FTE Pivot for regular counts'!$A$2,"State","DE","Category2","Four-Year")</f>
        <v>24249.066666666666</v>
      </c>
      <c r="O13" s="228">
        <f>+GETPIVOTDATA("Sum of New-HS % of Total",'Pivot-HS Student % of Undergrad'!$A$3,"State","DE","Category2","Group1")</f>
        <v>0</v>
      </c>
      <c r="Q13" s="15" t="s">
        <v>779</v>
      </c>
      <c r="R13" s="229">
        <f>+GETPIVOTDATA("Sum of Old-HS % of Total",'Pivot-HS Student % of Undergrad'!$A$3,"State","DE","Category",1,"Category2","Four-Year")</f>
        <v>0</v>
      </c>
      <c r="S13" s="230">
        <f>(C13-R13)*100</f>
        <v>0</v>
      </c>
      <c r="T13" s="219">
        <f>+GETPIVOTDATA("Sum of Old-HS % of Total",'Pivot-HS Student % of Undergrad'!$A$3,"State","DE","Category",2,"Category2","Four-Year")</f>
        <v>0</v>
      </c>
      <c r="U13" s="230">
        <f t="shared" si="0"/>
        <v>0</v>
      </c>
      <c r="V13" s="219">
        <f>+GETPIVOTDATA("Sum of Old-HS % of Total",'Pivot-HS Student % of Undergrad'!$A$3,"State","DE","Category",3,"Category2","Four-Year")</f>
        <v>0</v>
      </c>
      <c r="W13" s="230">
        <f t="shared" si="1"/>
        <v>0</v>
      </c>
      <c r="X13" s="219">
        <f>+GETPIVOTDATA("Sum of Old-HS % of Total",'Pivot-HS Student % of Undergrad'!$A$3,"State","DE","Category",4,"Category2","Four-Year")</f>
        <v>0</v>
      </c>
      <c r="Y13" s="230">
        <f t="shared" si="2"/>
        <v>0</v>
      </c>
      <c r="Z13" s="219">
        <f>+GETPIVOTDATA("Sum of Old-HS % of Total",'Pivot-HS Student % of Undergrad'!$A$3,"State","DE","Category",5,"Category2","Four-Year")</f>
        <v>0</v>
      </c>
      <c r="AA13" s="230">
        <f t="shared" si="3"/>
        <v>0</v>
      </c>
      <c r="AB13" s="219">
        <f>+GETPIVOTDATA("Sum of Old-HS % of Total",'Pivot-HS Student % of Undergrad'!$A$3,"State","DE","Category",6,"Category2","Four-Year")</f>
        <v>0</v>
      </c>
      <c r="AC13" s="230">
        <f t="shared" si="4"/>
        <v>0</v>
      </c>
      <c r="AD13" s="219">
        <f>+GETPIVOTDATA("Sum of Old-HS % of Total",'Pivot-HS Student % of Undergrad'!$A$3,"State","DE","Category2","Four-Year")</f>
        <v>0</v>
      </c>
      <c r="AE13" s="230">
        <f t="shared" si="5"/>
        <v>0</v>
      </c>
      <c r="AF13" s="15" t="s">
        <v>779</v>
      </c>
      <c r="AH13" s="220" t="s">
        <v>779</v>
      </c>
      <c r="AI13" s="231">
        <f t="shared" si="6"/>
        <v>0</v>
      </c>
      <c r="AJ13" s="231">
        <f t="shared" si="7"/>
        <v>0</v>
      </c>
      <c r="AK13" s="231">
        <f t="shared" si="8"/>
        <v>0</v>
      </c>
      <c r="AL13" s="231">
        <f t="shared" si="9"/>
        <v>0</v>
      </c>
      <c r="AM13" s="231">
        <f t="shared" si="10"/>
        <v>0</v>
      </c>
      <c r="AN13" s="231">
        <f t="shared" si="11"/>
        <v>0</v>
      </c>
      <c r="AO13" s="231">
        <f t="shared" si="12"/>
        <v>0</v>
      </c>
      <c r="AQ13" s="220" t="s">
        <v>779</v>
      </c>
      <c r="AR13" s="231">
        <f t="shared" si="13"/>
        <v>0</v>
      </c>
      <c r="AS13" s="231">
        <f t="shared" si="14"/>
        <v>0</v>
      </c>
      <c r="AT13" s="231">
        <f t="shared" si="15"/>
        <v>0</v>
      </c>
      <c r="AU13" s="231">
        <f t="shared" si="16"/>
        <v>0</v>
      </c>
      <c r="AV13" s="231">
        <f t="shared" si="17"/>
        <v>0</v>
      </c>
      <c r="AW13" s="231">
        <f t="shared" si="18"/>
        <v>0</v>
      </c>
      <c r="AX13" s="231">
        <f t="shared" si="19"/>
        <v>0</v>
      </c>
    </row>
    <row r="14" spans="1:50" ht="15" customHeight="1">
      <c r="A14" s="15" t="s">
        <v>780</v>
      </c>
      <c r="B14" s="227">
        <f>+GETPIVOTDATA("Sum of New-Total Undg SCH FTE",'FTE Pivot for regular counts'!$A$2,"State","FL","Category",1,"Category2","Four-Year")</f>
        <v>0</v>
      </c>
      <c r="C14" s="228">
        <f>+GETPIVOTDATA("Sum of New-HS % of Total",'Pivot-HS Student % of Undergrad'!$A$3,"State","FL","Category",1,"Category2","Four-Year")</f>
        <v>0</v>
      </c>
      <c r="D14" s="216">
        <f>+GETPIVOTDATA("Sum of New-Total Undg SCH FTE",'FTE Pivot for regular counts'!$A$2,"State","FL","Category",2,"Category2","Four-Year")</f>
        <v>0</v>
      </c>
      <c r="E14" s="228">
        <f>+GETPIVOTDATA("Sum of New-HS % of Total",'Pivot-HS Student % of Undergrad'!$A$3,"State","FL","Category",2,"Category2","Four-Year")</f>
        <v>0</v>
      </c>
      <c r="F14" s="216">
        <f>+GETPIVOTDATA("Sum of New-Total Undg SCH FTE",'FTE Pivot for regular counts'!$A$2,"State","FL","Category",3,"Category2","Four-Year")</f>
        <v>0</v>
      </c>
      <c r="G14" s="228">
        <f>+GETPIVOTDATA("Sum of New-HS % of Total",'Pivot-HS Student % of Undergrad'!$A$3,"State","FL","Category",3,"Category2","Four-Year")</f>
        <v>0</v>
      </c>
      <c r="H14" s="216">
        <f>+GETPIVOTDATA("Sum of New-Total Undg SCH FTE",'FTE Pivot for regular counts'!$A$2,"State","FL","Category",4,"Category2","Four-Year")</f>
        <v>0</v>
      </c>
      <c r="I14" s="228">
        <f>+GETPIVOTDATA("Sum of New-HS % of Total",'Pivot-HS Student % of Undergrad'!$A$3,"State","FL","Category",4,"Category2","Four-Year")</f>
        <v>0</v>
      </c>
      <c r="J14" s="216">
        <f>+GETPIVOTDATA("Sum of New-Total Undg SCH FTE",'FTE Pivot for regular counts'!$A$2,"State","FL","Category",5,"Category2","Four-Year")</f>
        <v>0</v>
      </c>
      <c r="K14" s="228">
        <f>+GETPIVOTDATA("Sum of New-HS % of Total",'Pivot-HS Student % of Undergrad'!$A$3,"State","FL","Category",5,"Category2","Four-Year")</f>
        <v>0</v>
      </c>
      <c r="L14" s="216">
        <f>+GETPIVOTDATA("Sum of New-Total Undg SCH FTE",'FTE Pivot for regular counts'!$A$2,"State","FL","Category",6,"Category2","Four-Year")</f>
        <v>0</v>
      </c>
      <c r="M14" s="228">
        <f>+GETPIVOTDATA("Sum of New-HS % of Total",'Pivot-HS Student % of Undergrad'!$A$3,"State","FL","Category",6,"Category2","Four-Year")</f>
        <v>0</v>
      </c>
      <c r="N14" s="216">
        <f>+GETPIVOTDATA("Sum of New-Total Undg SCH FTE",'FTE Pivot for regular counts'!$A$2,"State","FL","Category2","Four-Year")</f>
        <v>0</v>
      </c>
      <c r="O14" s="228">
        <f>+GETPIVOTDATA("Sum of New-HS % of Total",'Pivot-HS Student % of Undergrad'!$A$3,"State","FL","Category2","Group1")</f>
        <v>0</v>
      </c>
      <c r="Q14" s="15" t="s">
        <v>780</v>
      </c>
      <c r="R14" s="229">
        <f>+GETPIVOTDATA("Sum of Old-HS % of Total",'Pivot-HS Student % of Undergrad'!$A$3,"State","FL","Category",1,"Category2","Four-Year")</f>
        <v>0</v>
      </c>
      <c r="S14" s="230">
        <f>(C14-R14)*100</f>
        <v>0</v>
      </c>
      <c r="T14" s="219">
        <f>+GETPIVOTDATA("Sum of Old-HS % of Total",'Pivot-HS Student % of Undergrad'!$A$3,"State","FL","Category",2,"Category2","Four-Year")</f>
        <v>0</v>
      </c>
      <c r="U14" s="230">
        <f t="shared" si="0"/>
        <v>0</v>
      </c>
      <c r="V14" s="219">
        <f>+GETPIVOTDATA("Sum of Old-HS % of Total",'Pivot-HS Student % of Undergrad'!$A$3,"State","FL","Category",3,"Category2","Four-Year")</f>
        <v>0</v>
      </c>
      <c r="W14" s="232">
        <f t="shared" si="1"/>
        <v>0</v>
      </c>
      <c r="X14" s="219">
        <f>+GETPIVOTDATA("Sum of Old-HS % of Total",'Pivot-HS Student % of Undergrad'!$A$3,"State","FL","Category",4,"Category2","Four-Year")</f>
        <v>0</v>
      </c>
      <c r="Y14" s="230">
        <f t="shared" si="2"/>
        <v>0</v>
      </c>
      <c r="Z14" s="219">
        <f>+GETPIVOTDATA("Sum of Old-HS % of Total",'Pivot-HS Student % of Undergrad'!$A$3,"State","FL","Category",5,"Category2","Four-Year")</f>
        <v>0</v>
      </c>
      <c r="AA14" s="230">
        <f t="shared" si="3"/>
        <v>0</v>
      </c>
      <c r="AB14" s="219">
        <f>+GETPIVOTDATA("Sum of Old-HS % of Total",'Pivot-HS Student % of Undergrad'!$A$3,"State","FL","Category",6,"Category2","Four-Year")</f>
        <v>0</v>
      </c>
      <c r="AC14" s="230">
        <f t="shared" si="4"/>
        <v>0</v>
      </c>
      <c r="AD14" s="219">
        <f>+GETPIVOTDATA("Sum of Old-HS % of Total",'Pivot-HS Student % of Undergrad'!$A$3,"State","FL","Category2","Four-Year")</f>
        <v>0</v>
      </c>
      <c r="AE14" s="230">
        <f t="shared" si="5"/>
        <v>0</v>
      </c>
      <c r="AF14" s="15" t="s">
        <v>780</v>
      </c>
      <c r="AH14" s="220" t="s">
        <v>780</v>
      </c>
      <c r="AI14" s="231">
        <f t="shared" si="6"/>
        <v>0</v>
      </c>
      <c r="AJ14" s="231">
        <f t="shared" si="7"/>
        <v>0</v>
      </c>
      <c r="AK14" s="231">
        <f t="shared" si="8"/>
        <v>0</v>
      </c>
      <c r="AL14" s="231">
        <f t="shared" si="9"/>
        <v>0</v>
      </c>
      <c r="AM14" s="231">
        <f t="shared" si="10"/>
        <v>0</v>
      </c>
      <c r="AN14" s="231">
        <f t="shared" si="11"/>
        <v>0</v>
      </c>
      <c r="AO14" s="231">
        <f t="shared" si="12"/>
        <v>0</v>
      </c>
      <c r="AQ14" s="220" t="s">
        <v>780</v>
      </c>
      <c r="AR14" s="231">
        <f t="shared" si="13"/>
        <v>0</v>
      </c>
      <c r="AS14" s="231">
        <f t="shared" si="14"/>
        <v>0</v>
      </c>
      <c r="AT14" s="231">
        <f t="shared" si="15"/>
        <v>0</v>
      </c>
      <c r="AU14" s="231">
        <f t="shared" si="16"/>
        <v>0</v>
      </c>
      <c r="AV14" s="231">
        <f t="shared" si="17"/>
        <v>0</v>
      </c>
      <c r="AW14" s="231">
        <f t="shared" si="18"/>
        <v>0</v>
      </c>
      <c r="AX14" s="231">
        <f t="shared" si="19"/>
        <v>0</v>
      </c>
    </row>
    <row r="15" spans="1:50" ht="15" customHeight="1">
      <c r="B15" s="227"/>
      <c r="C15" s="228"/>
      <c r="D15" s="216"/>
      <c r="E15" s="228"/>
      <c r="F15" s="216"/>
      <c r="G15" s="228"/>
      <c r="H15" s="216"/>
      <c r="I15" s="228"/>
      <c r="J15" s="216"/>
      <c r="K15" s="228"/>
      <c r="L15" s="216"/>
      <c r="M15" s="228"/>
      <c r="N15" s="216"/>
      <c r="O15" s="228"/>
      <c r="R15" s="229"/>
      <c r="S15" s="230"/>
      <c r="T15" s="219"/>
      <c r="U15" s="230"/>
      <c r="V15" s="219"/>
      <c r="W15" s="230"/>
      <c r="X15" s="219"/>
      <c r="Y15" s="230"/>
      <c r="Z15" s="219"/>
      <c r="AA15" s="230"/>
      <c r="AB15" s="219"/>
      <c r="AC15" s="230"/>
      <c r="AD15" s="219"/>
      <c r="AE15" s="230"/>
      <c r="AH15" s="220"/>
      <c r="AI15" s="231">
        <f t="shared" si="6"/>
        <v>0</v>
      </c>
      <c r="AJ15" s="231">
        <f t="shared" si="7"/>
        <v>0</v>
      </c>
      <c r="AK15" s="231">
        <f t="shared" si="8"/>
        <v>0</v>
      </c>
      <c r="AL15" s="231">
        <f t="shared" si="9"/>
        <v>0</v>
      </c>
      <c r="AM15" s="231">
        <f t="shared" si="10"/>
        <v>0</v>
      </c>
      <c r="AN15" s="231">
        <f t="shared" si="11"/>
        <v>0</v>
      </c>
      <c r="AO15" s="231">
        <f t="shared" si="12"/>
        <v>0</v>
      </c>
      <c r="AQ15" s="220"/>
      <c r="AR15" s="231">
        <f t="shared" si="13"/>
        <v>0</v>
      </c>
      <c r="AS15" s="231">
        <f t="shared" si="14"/>
        <v>0</v>
      </c>
      <c r="AT15" s="231">
        <f t="shared" si="15"/>
        <v>0</v>
      </c>
      <c r="AU15" s="231">
        <f t="shared" si="16"/>
        <v>0</v>
      </c>
      <c r="AV15" s="231">
        <f t="shared" si="17"/>
        <v>0</v>
      </c>
      <c r="AW15" s="231">
        <f t="shared" si="18"/>
        <v>0</v>
      </c>
      <c r="AX15" s="231">
        <f t="shared" si="19"/>
        <v>0</v>
      </c>
    </row>
    <row r="16" spans="1:50" ht="15" customHeight="1">
      <c r="A16" s="15" t="s">
        <v>781</v>
      </c>
      <c r="B16" s="227">
        <f>GETPIVOTDATA("Sum of New-Total Undg SCH FTE",'FTE Pivot for regular counts'!$A$2,"State","GA","Category",1,"Category2","Four-Year")</f>
        <v>67281.533333333326</v>
      </c>
      <c r="C16" s="228">
        <f>+GETPIVOTDATA("Sum of New-HS % of Total",'Pivot-HS Student % of Undergrad'!$A$3,"State","GA","Category",1,"Category2","Four-Year")</f>
        <v>1.353739460951643E-2</v>
      </c>
      <c r="D16" s="216">
        <f>+GETPIVOTDATA("Sum of New-Total Undg SCH FTE",'FTE Pivot for regular counts'!$A$2,"State","GA","Category",2,"Category2","Four-Year")</f>
        <v>15204.251</v>
      </c>
      <c r="E16" s="228">
        <f>+GETPIVOTDATA("Sum of New-HS % of Total",'Pivot-HS Student % of Undergrad'!$A$3,"State","GA","Category",2,"Category2","Four-Year")</f>
        <v>9.1487571469321301E-3</v>
      </c>
      <c r="F16" s="216">
        <f>+GETPIVOTDATA("Sum of New-Total Undg SCH FTE",'FTE Pivot for regular counts'!$A$2,"State","GA","Category",3,"Category2","Four-Year")</f>
        <v>68859.233333333337</v>
      </c>
      <c r="G16" s="228">
        <f>+GETPIVOTDATA("Sum of New-HS % of Total",'Pivot-HS Student % of Undergrad'!$A$3,"State","GA","Category",3,"Category2","Four-Year")</f>
        <v>1.7676157687882089E-2</v>
      </c>
      <c r="H16" s="216">
        <f>+GETPIVOTDATA("Sum of New-Total Undg SCH FTE",'FTE Pivot for regular counts'!$A$2,"State","GA","Category",4,"Category2","Four-Year")</f>
        <v>46795.933333333334</v>
      </c>
      <c r="I16" s="228">
        <f>+GETPIVOTDATA("Sum of New-HS % of Total",'Pivot-HS Student % of Undergrad'!$A$3,"State","GA","Category",4,"Category2","Four-Year")</f>
        <v>4.0631023493494449E-2</v>
      </c>
      <c r="J16" s="216">
        <f>+GETPIVOTDATA("Sum of New-Total Undg SCH FTE",'FTE Pivot for regular counts'!$A$2,"State","GA","Category",5,"Category2","Four-Year")</f>
        <v>3454.2666666666669</v>
      </c>
      <c r="K16" s="228">
        <f>+GETPIVOTDATA("Sum of New-HS % of Total",'Pivot-HS Student % of Undergrad'!$A$3,"State","GA","Category",5,"Category2","Four-Year")</f>
        <v>2.0062145366117265E-2</v>
      </c>
      <c r="L16" s="216">
        <f>+GETPIVOTDATA("Sum of New-Total Undg SCH FTE",'FTE Pivot for regular counts'!$A$2,"State","GA","Category",6,"Category2","Four-Year")</f>
        <v>29356.566666666669</v>
      </c>
      <c r="M16" s="228">
        <f>+GETPIVOTDATA("Sum of New-HS % of Total",'Pivot-HS Student % of Undergrad'!$A$3,"State","GA","Category",6,"Category2","Four-Year")</f>
        <v>5.2886520562690685E-2</v>
      </c>
      <c r="N16" s="216">
        <f>+GETPIVOTDATA("Sum of New-Total Undg SCH FTE",'FTE Pivot for regular counts'!$A$2,"State","GA","Category2","Four-Year")</f>
        <v>230951.78433333334</v>
      </c>
      <c r="O16" s="228">
        <f>+GETPIVOTDATA("Sum of New-HS % of Total",'Pivot-HS Student % of Undergrad'!$A$3,"State","GA","Category2","Group1")</f>
        <v>2.5071538994084958E-2</v>
      </c>
      <c r="Q16" s="15" t="s">
        <v>781</v>
      </c>
      <c r="R16" s="229">
        <f>+GETPIVOTDATA("Sum of Old-HS % of Total",'Pivot-HS Student % of Undergrad'!$A$3,"State","GA","Category",1,"Category2","Four-Year")</f>
        <v>1.3961312112628113E-2</v>
      </c>
      <c r="S16" s="230">
        <f>(C16-R16)*100</f>
        <v>-4.2391750311168361E-2</v>
      </c>
      <c r="T16" s="219">
        <f>+GETPIVOTDATA("Sum of Old-HS % of Total",'Pivot-HS Student % of Undergrad'!$A$3,"State","GA","Category",2,"Category2","Four-Year")</f>
        <v>9.9711256535747333E-3</v>
      </c>
      <c r="U16" s="230">
        <f t="shared" si="0"/>
        <v>-8.2236850664260328E-2</v>
      </c>
      <c r="V16" s="219">
        <f>+GETPIVOTDATA("Sum of Old-HS % of Total",'Pivot-HS Student % of Undergrad'!$A$3,"State","GA","Category",3,"Category2","Four-Year")</f>
        <v>1.53237619449304E-2</v>
      </c>
      <c r="W16" s="230">
        <f t="shared" si="1"/>
        <v>0.23523957429516901</v>
      </c>
      <c r="X16" s="219">
        <f>+GETPIVOTDATA("Sum of Old-HS % of Total",'Pivot-HS Student % of Undergrad'!$A$3,"State","GA","Category",4,"Category2","Four-Year")</f>
        <v>3.9234641458691086E-2</v>
      </c>
      <c r="Y16" s="230">
        <f t="shared" si="2"/>
        <v>0.13963820348033631</v>
      </c>
      <c r="Z16" s="219">
        <f>+GETPIVOTDATA("Sum of Old-HS % of Total",'Pivot-HS Student % of Undergrad'!$A$3,"State","GA","Category",5,"Category2","Four-Year")</f>
        <v>2.2760970400439014E-2</v>
      </c>
      <c r="AA16" s="230">
        <f t="shared" si="3"/>
        <v>-0.2698825034321749</v>
      </c>
      <c r="AB16" s="219">
        <f>+GETPIVOTDATA("Sum of Old-HS % of Total",'Pivot-HS Student % of Undergrad'!$A$3,"State","GA","Category",6,"Category2","Four-Year")</f>
        <v>5.4691003894515727E-2</v>
      </c>
      <c r="AC16" s="230">
        <f t="shared" si="4"/>
        <v>-0.18044833318250422</v>
      </c>
      <c r="AD16" s="219">
        <f>+GETPIVOTDATA("Sum of Old-HS % of Total",'Pivot-HS Student % of Undergrad'!$A$3,"State","GA","Category2","Four-Year")</f>
        <v>2.4722499379700884E-2</v>
      </c>
      <c r="AE16" s="230">
        <f t="shared" si="5"/>
        <v>3.4903961438407377E-2</v>
      </c>
      <c r="AF16" s="15" t="s">
        <v>781</v>
      </c>
      <c r="AH16" s="220" t="s">
        <v>781</v>
      </c>
      <c r="AI16" s="231">
        <f t="shared" si="6"/>
        <v>1.3537394609516429</v>
      </c>
      <c r="AJ16" s="231">
        <f t="shared" si="7"/>
        <v>0.91487571469321305</v>
      </c>
      <c r="AK16" s="231">
        <f t="shared" si="8"/>
        <v>1.767615768788209</v>
      </c>
      <c r="AL16" s="231">
        <f t="shared" si="9"/>
        <v>4.0631023493494451</v>
      </c>
      <c r="AM16" s="231">
        <f t="shared" si="10"/>
        <v>2.0062145366117266</v>
      </c>
      <c r="AN16" s="231">
        <f t="shared" si="11"/>
        <v>5.2886520562690684</v>
      </c>
      <c r="AO16" s="231">
        <f t="shared" si="12"/>
        <v>2.5071538994084959</v>
      </c>
      <c r="AQ16" s="220" t="s">
        <v>781</v>
      </c>
      <c r="AR16" s="231">
        <f t="shared" si="13"/>
        <v>1.3961312112628113</v>
      </c>
      <c r="AS16" s="231">
        <f t="shared" si="14"/>
        <v>0.99711256535747328</v>
      </c>
      <c r="AT16" s="231">
        <f t="shared" si="15"/>
        <v>1.5323761944930399</v>
      </c>
      <c r="AU16" s="231">
        <f t="shared" si="16"/>
        <v>3.9234641458691084</v>
      </c>
      <c r="AV16" s="231">
        <f t="shared" si="17"/>
        <v>2.2760970400439016</v>
      </c>
      <c r="AW16" s="231">
        <f t="shared" si="18"/>
        <v>5.4691003894515724</v>
      </c>
      <c r="AX16" s="231">
        <f t="shared" si="19"/>
        <v>2.4722499379700884</v>
      </c>
    </row>
    <row r="17" spans="1:50" ht="15" customHeight="1">
      <c r="A17" s="15" t="s">
        <v>782</v>
      </c>
      <c r="B17" s="227">
        <f>+GETPIVOTDATA("Sum of New-Total Undg SCH FTE",'FTE Pivot for regular counts'!$A$2,"State","KY","Category",1,"Category2","Four-Year")</f>
        <v>32759.333333333332</v>
      </c>
      <c r="C17" s="228">
        <f>+GETPIVOTDATA("Sum of New-HS % of Total",'Pivot-HS Student % of Undergrad'!$A$3,"State","KY","Category",1,"Category2","Four-Year")</f>
        <v>5.8619426524756301E-3</v>
      </c>
      <c r="D17" s="216">
        <f>+GETPIVOTDATA("Sum of New-Total Undg SCH FTE",'FTE Pivot for regular counts'!$A$2,"State","KY","Category",2,"Category2","Four-Year")</f>
        <v>0</v>
      </c>
      <c r="E17" s="228">
        <f>+GETPIVOTDATA("Sum of New-HS % of Total",'Pivot-HS Student % of Undergrad'!$A$3,"State","KY","Category",2,"Category2","Four-Year")</f>
        <v>0</v>
      </c>
      <c r="F17" s="216">
        <f>+GETPIVOTDATA("Sum of New-Total Undg SCH FTE",'FTE Pivot for regular counts'!$A$2,"State","KY","Category",3,"Category2","Four-Year")</f>
        <v>45990.100000000006</v>
      </c>
      <c r="G17" s="228">
        <f>+GETPIVOTDATA("Sum of New-HS % of Total",'Pivot-HS Student % of Undergrad'!$A$3,"State","KY","Category",3,"Category2","Four-Year")</f>
        <v>5.8461494973918303E-2</v>
      </c>
      <c r="H17" s="216">
        <f>+GETPIVOTDATA("Sum of New-Total Undg SCH FTE",'FTE Pivot for regular counts'!$A$2,"State","KY","Category",4,"Category2","Four-Year")</f>
        <v>1546.1333333333334</v>
      </c>
      <c r="I17" s="228">
        <f>+GETPIVOTDATA("Sum of New-HS % of Total",'Pivot-HS Student % of Undergrad'!$A$3,"State","KY","Category",4,"Category2","Four-Year")</f>
        <v>0.14606329768885823</v>
      </c>
      <c r="J17" s="216">
        <f>+GETPIVOTDATA("Sum of New-Total Undg SCH FTE",'FTE Pivot for regular counts'!$A$2,"State","KY","Category",5,"Category2","Four-Year")</f>
        <v>0</v>
      </c>
      <c r="K17" s="228">
        <f>+GETPIVOTDATA("Sum of New-HS % of Total",'Pivot-HS Student % of Undergrad'!$A$3,"State","KY","Category",5,"Category2","Four-Year")</f>
        <v>0</v>
      </c>
      <c r="L17" s="216">
        <f>+GETPIVOTDATA("Sum of New-Total Undg SCH FTE",'FTE Pivot for regular counts'!$A$2,"State","KY","Category",6,"Category2","Four-Year")</f>
        <v>0</v>
      </c>
      <c r="M17" s="228">
        <f>+GETPIVOTDATA("Sum of New-HS % of Total",'Pivot-HS Student % of Undergrad'!$A$3,"State","KY","Category",6,"Category2","Four-Year")</f>
        <v>0</v>
      </c>
      <c r="N17" s="216">
        <f>+GETPIVOTDATA("Sum of New-Total Undg SCH FTE",'FTE Pivot for regular counts'!$A$2,"State","KY","Category2","Four-Year")</f>
        <v>80295.566666666666</v>
      </c>
      <c r="O17" s="228">
        <f>+GETPIVOTDATA("Sum of New-HS % of Total",'Pivot-HS Student % of Undergrad'!$A$3,"State","KY","Category2","Group1")</f>
        <v>3.8688520370780119E-2</v>
      </c>
      <c r="Q17" s="15" t="s">
        <v>782</v>
      </c>
      <c r="R17" s="229">
        <f>+GETPIVOTDATA("Sum of Old-HS % of Total",'Pivot-HS Student % of Undergrad'!$A$3,"State","KY","Category",1,"Category2","Four-Year")</f>
        <v>4.9684300833332494E-3</v>
      </c>
      <c r="S17" s="230">
        <f>(C17-R17)*100</f>
        <v>8.9351256914238078E-2</v>
      </c>
      <c r="T17" s="219">
        <f>+GETPIVOTDATA("Sum of Old-HS % of Total",'Pivot-HS Student % of Undergrad'!$A$3,"State","KY","Category",2,"Category2","Four-Year")</f>
        <v>0</v>
      </c>
      <c r="U17" s="230">
        <f t="shared" si="0"/>
        <v>0</v>
      </c>
      <c r="V17" s="219">
        <f>+GETPIVOTDATA("Sum of Old-HS % of Total",'Pivot-HS Student % of Undergrad'!$A$3,"State","KY","Category",3,"Category2","Four-Year")</f>
        <v>5.6866974006571827E-2</v>
      </c>
      <c r="W17" s="230">
        <f t="shared" si="1"/>
        <v>0.15945209673464758</v>
      </c>
      <c r="X17" s="219">
        <f>+GETPIVOTDATA("Sum of Old-HS % of Total",'Pivot-HS Student % of Undergrad'!$A$3,"State","KY","Category",4,"Category2","Four-Year")</f>
        <v>0.14725011956001913</v>
      </c>
      <c r="Y17" s="230">
        <f t="shared" si="2"/>
        <v>-0.1186821871160898</v>
      </c>
      <c r="Z17" s="219">
        <f>+GETPIVOTDATA("Sum of Old-HS % of Total",'Pivot-HS Student % of Undergrad'!$A$3,"State","KY","Category",5,"Category2","Four-Year")</f>
        <v>0</v>
      </c>
      <c r="AA17" s="230">
        <f t="shared" si="3"/>
        <v>0</v>
      </c>
      <c r="AB17" s="219">
        <f>+GETPIVOTDATA("Sum of Old-HS % of Total",'Pivot-HS Student % of Undergrad'!$A$3,"State","KY","Category",6,"Category2","Four-Year")</f>
        <v>0</v>
      </c>
      <c r="AC17" s="230">
        <f t="shared" si="4"/>
        <v>0</v>
      </c>
      <c r="AD17" s="219">
        <f>+GETPIVOTDATA("Sum of Old-HS % of Total",'Pivot-HS Student % of Undergrad'!$A$3,"State","KY","Category2","Four-Year")</f>
        <v>3.7835265921827087E-2</v>
      </c>
      <c r="AE17" s="230">
        <f t="shared" si="5"/>
        <v>8.5325444895303221E-2</v>
      </c>
      <c r="AF17" s="15" t="s">
        <v>782</v>
      </c>
      <c r="AH17" s="220" t="s">
        <v>782</v>
      </c>
      <c r="AI17" s="231">
        <f t="shared" si="6"/>
        <v>0.58619426524756302</v>
      </c>
      <c r="AJ17" s="231">
        <f t="shared" si="7"/>
        <v>0</v>
      </c>
      <c r="AK17" s="231">
        <f t="shared" si="8"/>
        <v>5.8461494973918304</v>
      </c>
      <c r="AL17" s="231">
        <f t="shared" si="9"/>
        <v>14.606329768885823</v>
      </c>
      <c r="AM17" s="231">
        <f t="shared" si="10"/>
        <v>0</v>
      </c>
      <c r="AN17" s="231">
        <f t="shared" si="11"/>
        <v>0</v>
      </c>
      <c r="AO17" s="231">
        <f t="shared" si="12"/>
        <v>3.8688520370780117</v>
      </c>
      <c r="AQ17" s="220" t="s">
        <v>782</v>
      </c>
      <c r="AR17" s="231">
        <f t="shared" si="13"/>
        <v>0.49684300833332495</v>
      </c>
      <c r="AS17" s="231">
        <f t="shared" si="14"/>
        <v>0</v>
      </c>
      <c r="AT17" s="231">
        <f t="shared" si="15"/>
        <v>5.6866974006571827</v>
      </c>
      <c r="AU17" s="231">
        <f t="shared" si="16"/>
        <v>14.725011956001913</v>
      </c>
      <c r="AV17" s="231">
        <f t="shared" si="17"/>
        <v>0</v>
      </c>
      <c r="AW17" s="231">
        <f t="shared" si="18"/>
        <v>0</v>
      </c>
      <c r="AX17" s="231">
        <f t="shared" si="19"/>
        <v>3.7835265921827088</v>
      </c>
    </row>
    <row r="18" spans="1:50" ht="15" customHeight="1">
      <c r="A18" s="15" t="s">
        <v>783</v>
      </c>
      <c r="B18" s="227">
        <f>+GETPIVOTDATA("Sum of New-Total Undg SCH FTE",'FTE Pivot for regular counts'!$A$2,"State","LA","Category",1,"Category2","Four-Year")</f>
        <v>23384.066666666666</v>
      </c>
      <c r="C18" s="228">
        <f>+GETPIVOTDATA("Sum of New-HS % of Total",'Pivot-HS Student % of Undergrad'!$A$3,"State","LA","Category",1,"Category2","Four-Year")</f>
        <v>1.890318478964309E-2</v>
      </c>
      <c r="D18" s="216">
        <f>+GETPIVOTDATA("Sum of New-Total Undg SCH FTE",'FTE Pivot for regular counts'!$A$2,"State","LA","Category",2,"Category2","Four-Year")</f>
        <v>27295.933333333334</v>
      </c>
      <c r="E18" s="228">
        <f>+GETPIVOTDATA("Sum of New-HS % of Total",'Pivot-HS Student % of Undergrad'!$A$3,"State","LA","Category",2,"Category2","Four-Year")</f>
        <v>3.688950002320248E-2</v>
      </c>
      <c r="F18" s="216">
        <f>+GETPIVOTDATA("Sum of New-Total Undg SCH FTE",'FTE Pivot for regular counts'!$A$2,"State","LA","Category",3,"Category2","Four-Year")</f>
        <v>28277.933333333331</v>
      </c>
      <c r="G18" s="228">
        <f>+GETPIVOTDATA("Sum of New-HS % of Total",'Pivot-HS Student % of Undergrad'!$A$3,"State","LA","Category",3,"Category2","Four-Year")</f>
        <v>5.6262951795157119E-2</v>
      </c>
      <c r="H18" s="216">
        <f>+GETPIVOTDATA("Sum of New-Total Undg SCH FTE",'FTE Pivot for regular counts'!$A$2,"State","LA","Category",4,"Category2","Four-Year")</f>
        <v>19325.599999999999</v>
      </c>
      <c r="I18" s="228">
        <f>+GETPIVOTDATA("Sum of New-HS % of Total",'Pivot-HS Student % of Undergrad'!$A$3,"State","LA","Category",4,"Category2","Four-Year")</f>
        <v>3.8894868292144447E-2</v>
      </c>
      <c r="J18" s="216">
        <f>+GETPIVOTDATA("Sum of New-Total Undg SCH FTE",'FTE Pivot for regular counts'!$A$2,"State","LA","Category",5,"Category2","Four-Year")</f>
        <v>1542.5666666666666</v>
      </c>
      <c r="K18" s="228">
        <f>+GETPIVOTDATA("Sum of New-HS % of Total",'Pivot-HS Student % of Undergrad'!$A$3,"State","LA","Category",5,"Category2","Four-Year")</f>
        <v>3.2283855911143765E-2</v>
      </c>
      <c r="L18" s="216">
        <f>+GETPIVOTDATA("Sum of New-Total Undg SCH FTE",'FTE Pivot for regular counts'!$A$2,"State","LA","Category",6,"Category2","Four-Year")</f>
        <v>2500.3333333333335</v>
      </c>
      <c r="M18" s="228">
        <f>+GETPIVOTDATA("Sum of New-HS % of Total",'Pivot-HS Student % of Undergrad'!$A$3,"State","LA","Category",6,"Category2","Four-Year")</f>
        <v>7.4656712438341558E-2</v>
      </c>
      <c r="N18" s="216">
        <f>+GETPIVOTDATA("Sum of New-Total Undg SCH FTE",'FTE Pivot for regular counts'!$A$2,"State","LA","Category2","Four-Year")</f>
        <v>102326.43333333332</v>
      </c>
      <c r="O18" s="228">
        <f>+GETPIVOTDATA("Sum of New-HS % of Total",'Pivot-HS Student % of Undergrad'!$A$3,"State","LA","Category2","Group1")</f>
        <v>3.9365194982202381E-2</v>
      </c>
      <c r="Q18" s="15" t="s">
        <v>783</v>
      </c>
      <c r="R18" s="229">
        <f>+GETPIVOTDATA("Sum of Old-HS % of Total",'Pivot-HS Student % of Undergrad'!$A$3,"State","LA","Category",1,"Category2","Four-Year")</f>
        <v>1.5438401266505294E-2</v>
      </c>
      <c r="S18" s="230">
        <f>(C18-R18)*100</f>
        <v>0.3464783523137796</v>
      </c>
      <c r="T18" s="219">
        <f>+GETPIVOTDATA("Sum of Old-HS % of Total",'Pivot-HS Student % of Undergrad'!$A$3,"State","LA","Category",2,"Category2","Four-Year")</f>
        <v>3.9224646243956308E-2</v>
      </c>
      <c r="U18" s="230">
        <f t="shared" si="0"/>
        <v>-0.23351462207538282</v>
      </c>
      <c r="V18" s="219">
        <f>+GETPIVOTDATA("Sum of Old-HS % of Total",'Pivot-HS Student % of Undergrad'!$A$3,"State","LA","Category",3,"Category2","Four-Year")</f>
        <v>6.1339248624251448E-2</v>
      </c>
      <c r="W18" s="230">
        <f t="shared" si="1"/>
        <v>-0.50762968290943289</v>
      </c>
      <c r="X18" s="219">
        <f>+GETPIVOTDATA("Sum of Old-HS % of Total",'Pivot-HS Student % of Undergrad'!$A$3,"State","LA","Category",4,"Category2","Four-Year")</f>
        <v>2.51253222198644E-2</v>
      </c>
      <c r="Y18" s="230">
        <f t="shared" si="2"/>
        <v>1.3769546072280048</v>
      </c>
      <c r="Z18" s="219">
        <f>+GETPIVOTDATA("Sum of Old-HS % of Total",'Pivot-HS Student % of Undergrad'!$A$3,"State","LA","Category",5,"Category2","Four-Year")</f>
        <v>2.8662617111088234E-2</v>
      </c>
      <c r="AA18" s="230">
        <f t="shared" si="3"/>
        <v>0.36212388000555312</v>
      </c>
      <c r="AB18" s="219">
        <f>+GETPIVOTDATA("Sum of Old-HS % of Total",'Pivot-HS Student % of Undergrad'!$A$3,"State","LA","Category",6,"Category2","Four-Year")</f>
        <v>8.4591617409994629E-2</v>
      </c>
      <c r="AC18" s="230">
        <f t="shared" si="4"/>
        <v>-0.99349049716530713</v>
      </c>
      <c r="AD18" s="219">
        <f>+GETPIVOTDATA("Sum of Old-HS % of Total",'Pivot-HS Student % of Undergrad'!$A$3,"State","LA","Category2","Four-Year")</f>
        <v>3.8294290697606738E-2</v>
      </c>
      <c r="AE18" s="230">
        <f t="shared" si="5"/>
        <v>0.10709042845956432</v>
      </c>
      <c r="AF18" s="15" t="s">
        <v>783</v>
      </c>
      <c r="AH18" s="220" t="s">
        <v>783</v>
      </c>
      <c r="AI18" s="231">
        <f t="shared" si="6"/>
        <v>1.890318478964309</v>
      </c>
      <c r="AJ18" s="231">
        <f t="shared" si="7"/>
        <v>3.6889500023202482</v>
      </c>
      <c r="AK18" s="231">
        <f t="shared" si="8"/>
        <v>5.6262951795157123</v>
      </c>
      <c r="AL18" s="231">
        <f t="shared" si="9"/>
        <v>3.8894868292144444</v>
      </c>
      <c r="AM18" s="231">
        <f t="shared" si="10"/>
        <v>3.2283855911143764</v>
      </c>
      <c r="AN18" s="231">
        <f t="shared" si="11"/>
        <v>7.4656712438341559</v>
      </c>
      <c r="AO18" s="231">
        <f t="shared" si="12"/>
        <v>3.9365194982202381</v>
      </c>
      <c r="AQ18" s="220" t="s">
        <v>783</v>
      </c>
      <c r="AR18" s="231">
        <f t="shared" si="13"/>
        <v>1.5438401266505295</v>
      </c>
      <c r="AS18" s="231">
        <f t="shared" si="14"/>
        <v>3.9224646243956309</v>
      </c>
      <c r="AT18" s="231">
        <f t="shared" si="15"/>
        <v>6.133924862425145</v>
      </c>
      <c r="AU18" s="231">
        <f t="shared" si="16"/>
        <v>2.5125322219864401</v>
      </c>
      <c r="AV18" s="231">
        <f t="shared" si="17"/>
        <v>2.8662617111088236</v>
      </c>
      <c r="AW18" s="231">
        <f t="shared" si="18"/>
        <v>8.4591617409994626</v>
      </c>
      <c r="AX18" s="231">
        <f t="shared" si="19"/>
        <v>3.8294290697606739</v>
      </c>
    </row>
    <row r="19" spans="1:50" ht="15" customHeight="1">
      <c r="A19" s="15" t="s">
        <v>784</v>
      </c>
      <c r="B19" s="227">
        <f>+GETPIVOTDATA("Sum of New-Total Undg SCH FTE",'FTE Pivot for regular counts'!$A$2,"State","MD","Category",1,"Category2","Four-Year")</f>
        <v>29066.333333333332</v>
      </c>
      <c r="C19" s="228">
        <f>+GETPIVOTDATA("Sum of New-HS % of Total",'Pivot-HS Student % of Undergrad'!$A$3,"State","MD","Category",1,"Category2","Four-Year")</f>
        <v>0</v>
      </c>
      <c r="D19" s="216">
        <f>+GETPIVOTDATA("Sum of New-Total Undg SCH FTE",'FTE Pivot for regular counts'!$A$2,"State","MD","Category",2,"Category2","Four-Year")</f>
        <v>16626.650000000001</v>
      </c>
      <c r="E19" s="228">
        <f>+GETPIVOTDATA("Sum of New-HS % of Total",'Pivot-HS Student % of Undergrad'!$A$3,"State","MD","Category",2,"Category2","Four-Year")</f>
        <v>0</v>
      </c>
      <c r="F19" s="216">
        <f>+GETPIVOTDATA("Sum of New-Total Undg SCH FTE",'FTE Pivot for regular counts'!$A$2,"State","MD","Category",3,"Category2","Four-Year")</f>
        <v>19951.883333333331</v>
      </c>
      <c r="G19" s="228">
        <f>+GETPIVOTDATA("Sum of New-HS % of Total",'Pivot-HS Student % of Undergrad'!$A$3,"State","MD","Category",3,"Category2","Four-Year")</f>
        <v>0</v>
      </c>
      <c r="H19" s="216">
        <f>+GETPIVOTDATA("Sum of New-Total Undg SCH FTE",'FTE Pivot for regular counts'!$A$2,"State","MD","Category",4,"Category2","Four-Year")</f>
        <v>18662.633333333335</v>
      </c>
      <c r="I19" s="228">
        <f>+GETPIVOTDATA("Sum of New-HS % of Total",'Pivot-HS Student % of Undergrad'!$A$3,"State","MD","Category",4,"Category2","Four-Year")</f>
        <v>0</v>
      </c>
      <c r="J19" s="216">
        <f>+GETPIVOTDATA("Sum of New-Total Undg SCH FTE",'FTE Pivot for regular counts'!$A$2,"State","MD","Category",5,"Category2","Four-Year")</f>
        <v>2008.8666666666666</v>
      </c>
      <c r="K19" s="228">
        <f>+GETPIVOTDATA("Sum of New-HS % of Total",'Pivot-HS Student % of Undergrad'!$A$3,"State","MD","Category",5,"Category2","Four-Year")</f>
        <v>0</v>
      </c>
      <c r="L19" s="216">
        <f>+GETPIVOTDATA("Sum of New-Total Undg SCH FTE",'FTE Pivot for regular counts'!$A$2,"State","MD","Category",6,"Category2","Four-Year")</f>
        <v>1562.0666666666666</v>
      </c>
      <c r="M19" s="228">
        <f>+GETPIVOTDATA("Sum of New-HS % of Total",'Pivot-HS Student % of Undergrad'!$A$3,"State","MD","Category",6,"Category2","Four-Year")</f>
        <v>0</v>
      </c>
      <c r="N19" s="216">
        <f>+GETPIVOTDATA("Sum of New-Total Undg SCH FTE",'FTE Pivot for regular counts'!$A$2,"State","MD","Category2","Four-Year")</f>
        <v>87878.433333333334</v>
      </c>
      <c r="O19" s="228">
        <f>+GETPIVOTDATA("Sum of New-HS % of Total",'Pivot-HS Student % of Undergrad'!$A$3,"State","MD","Category2","Group1")</f>
        <v>0</v>
      </c>
      <c r="Q19" s="15" t="s">
        <v>784</v>
      </c>
      <c r="R19" s="229">
        <f>+GETPIVOTDATA("Sum of Old-HS % of Total",'Pivot-HS Student % of Undergrad'!$A$3,"State","MD","Category",1,"Category2","Four-Year")</f>
        <v>0</v>
      </c>
      <c r="S19" s="230">
        <f>(C19-R19)*100</f>
        <v>0</v>
      </c>
      <c r="T19" s="219">
        <f>+GETPIVOTDATA("Sum of Old-HS % of Total",'Pivot-HS Student % of Undergrad'!$A$3,"State","MD","Category",2,"Category2","Four-Year")</f>
        <v>0</v>
      </c>
      <c r="U19" s="230">
        <f t="shared" si="0"/>
        <v>0</v>
      </c>
      <c r="V19" s="219">
        <f>+GETPIVOTDATA("Sum of Old-HS % of Total",'Pivot-HS Student % of Undergrad'!$A$3,"State","MD","Category",3,"Category2","Four-Year")</f>
        <v>0</v>
      </c>
      <c r="W19" s="230">
        <f t="shared" si="1"/>
        <v>0</v>
      </c>
      <c r="X19" s="219">
        <f>+GETPIVOTDATA("Sum of Old-HS % of Total",'Pivot-HS Student % of Undergrad'!$A$3,"State","MD","Category",4,"Category2","Four-Year")</f>
        <v>0</v>
      </c>
      <c r="Y19" s="230">
        <f t="shared" si="2"/>
        <v>0</v>
      </c>
      <c r="Z19" s="219">
        <f>+GETPIVOTDATA("Sum of Old-HS % of Total",'Pivot-HS Student % of Undergrad'!$A$3,"State","MD","Category",5,"Category2","Four-Year")</f>
        <v>0</v>
      </c>
      <c r="AA19" s="230">
        <f t="shared" si="3"/>
        <v>0</v>
      </c>
      <c r="AB19" s="219">
        <f>+GETPIVOTDATA("Sum of Old-HS % of Total",'Pivot-HS Student % of Undergrad'!$A$3,"State","MD","Category",6,"Category2","Four-Year")</f>
        <v>0</v>
      </c>
      <c r="AC19" s="230">
        <f t="shared" si="4"/>
        <v>0</v>
      </c>
      <c r="AD19" s="219">
        <f>+GETPIVOTDATA("Sum of Old-HS % of Total",'Pivot-HS Student % of Undergrad'!$A$3,"State","MD","Category2","Four-Year")</f>
        <v>0</v>
      </c>
      <c r="AE19" s="230">
        <f t="shared" si="5"/>
        <v>0</v>
      </c>
      <c r="AF19" s="15" t="s">
        <v>784</v>
      </c>
      <c r="AH19" s="220" t="s">
        <v>784</v>
      </c>
      <c r="AI19" s="231">
        <f t="shared" si="6"/>
        <v>0</v>
      </c>
      <c r="AJ19" s="231">
        <f t="shared" si="7"/>
        <v>0</v>
      </c>
      <c r="AK19" s="231">
        <f t="shared" si="8"/>
        <v>0</v>
      </c>
      <c r="AL19" s="231">
        <f t="shared" si="9"/>
        <v>0</v>
      </c>
      <c r="AM19" s="231">
        <f t="shared" si="10"/>
        <v>0</v>
      </c>
      <c r="AN19" s="231">
        <f t="shared" si="11"/>
        <v>0</v>
      </c>
      <c r="AO19" s="231">
        <f t="shared" si="12"/>
        <v>0</v>
      </c>
      <c r="AQ19" s="220" t="s">
        <v>784</v>
      </c>
      <c r="AR19" s="231">
        <f t="shared" si="13"/>
        <v>0</v>
      </c>
      <c r="AS19" s="231">
        <f t="shared" si="14"/>
        <v>0</v>
      </c>
      <c r="AT19" s="231">
        <f t="shared" si="15"/>
        <v>0</v>
      </c>
      <c r="AU19" s="231">
        <f t="shared" si="16"/>
        <v>0</v>
      </c>
      <c r="AV19" s="231">
        <f t="shared" si="17"/>
        <v>0</v>
      </c>
      <c r="AW19" s="231">
        <f t="shared" si="18"/>
        <v>0</v>
      </c>
      <c r="AX19" s="231">
        <f t="shared" si="19"/>
        <v>0</v>
      </c>
    </row>
    <row r="20" spans="1:50" ht="15" customHeight="1">
      <c r="B20" s="227"/>
      <c r="C20" s="228"/>
      <c r="D20" s="216"/>
      <c r="E20" s="228"/>
      <c r="F20" s="216"/>
      <c r="G20" s="228"/>
      <c r="H20" s="216"/>
      <c r="I20" s="228"/>
      <c r="J20" s="216"/>
      <c r="K20" s="228"/>
      <c r="L20" s="216"/>
      <c r="M20" s="228"/>
      <c r="N20" s="216"/>
      <c r="O20" s="228"/>
      <c r="R20" s="229"/>
      <c r="S20" s="230"/>
      <c r="T20" s="219"/>
      <c r="U20" s="230"/>
      <c r="V20" s="219"/>
      <c r="W20" s="230"/>
      <c r="X20" s="219"/>
      <c r="Y20" s="230"/>
      <c r="Z20" s="219"/>
      <c r="AA20" s="230"/>
      <c r="AB20" s="219"/>
      <c r="AC20" s="230"/>
      <c r="AD20" s="219"/>
      <c r="AE20" s="230"/>
      <c r="AH20" s="220"/>
      <c r="AI20" s="231">
        <f t="shared" si="6"/>
        <v>0</v>
      </c>
      <c r="AJ20" s="231">
        <f t="shared" si="7"/>
        <v>0</v>
      </c>
      <c r="AK20" s="231">
        <f t="shared" si="8"/>
        <v>0</v>
      </c>
      <c r="AL20" s="231">
        <f t="shared" si="9"/>
        <v>0</v>
      </c>
      <c r="AM20" s="231">
        <f t="shared" si="10"/>
        <v>0</v>
      </c>
      <c r="AN20" s="231">
        <f t="shared" si="11"/>
        <v>0</v>
      </c>
      <c r="AO20" s="231">
        <f t="shared" si="12"/>
        <v>0</v>
      </c>
      <c r="AQ20" s="220"/>
      <c r="AR20" s="231">
        <f t="shared" si="13"/>
        <v>0</v>
      </c>
      <c r="AS20" s="231">
        <f t="shared" si="14"/>
        <v>0</v>
      </c>
      <c r="AT20" s="231">
        <f t="shared" si="15"/>
        <v>0</v>
      </c>
      <c r="AU20" s="231">
        <f t="shared" si="16"/>
        <v>0</v>
      </c>
      <c r="AV20" s="231">
        <f t="shared" si="17"/>
        <v>0</v>
      </c>
      <c r="AW20" s="231">
        <f t="shared" si="18"/>
        <v>0</v>
      </c>
      <c r="AX20" s="231">
        <f t="shared" si="19"/>
        <v>0</v>
      </c>
    </row>
    <row r="21" spans="1:50" ht="15" customHeight="1">
      <c r="A21" s="15" t="s">
        <v>785</v>
      </c>
      <c r="B21" s="227">
        <f>+GETPIVOTDATA("Sum of New-Total Undg SCH FTE",'FTE Pivot for regular counts'!$A$2,"State","MS","Category",1,"Category2","Four-Year")</f>
        <v>46763.333333333336</v>
      </c>
      <c r="C21" s="228">
        <f>+GETPIVOTDATA("Sum of New-HS % of Total",'Pivot-HS Student % of Undergrad'!$A$3,"State","MS","Category",1,"Category2","Four-Year")</f>
        <v>0</v>
      </c>
      <c r="D21" s="216">
        <f>+GETPIVOTDATA("Sum of New-Total Undg SCH FTE",'FTE Pivot for regular counts'!$A$2,"State","MS","Category",2,"Category2","Four-Year")</f>
        <v>4740.5333333333338</v>
      </c>
      <c r="E21" s="228">
        <f>+GETPIVOTDATA("Sum of New-HS % of Total",'Pivot-HS Student % of Undergrad'!$A$3,"State","MS","Category",2,"Category2","Four-Year")</f>
        <v>0</v>
      </c>
      <c r="F21" s="216">
        <f>+GETPIVOTDATA("Sum of New-Total Undg SCH FTE",'FTE Pivot for regular counts'!$A$2,"State","MS","Category",3,"Category2","Four-Year")</f>
        <v>0</v>
      </c>
      <c r="G21" s="228">
        <f>+GETPIVOTDATA("Sum of New-HS % of Total",'Pivot-HS Student % of Undergrad'!$A$3,"State","MS","Category",3,"Category2","Four-Year")</f>
        <v>0</v>
      </c>
      <c r="H21" s="216">
        <f>+GETPIVOTDATA("Sum of New-Total Undg SCH FTE",'FTE Pivot for regular counts'!$A$2,"State","MS","Category",4,"Category2","Four-Year")</f>
        <v>9495.2566666666662</v>
      </c>
      <c r="I21" s="228">
        <f>+GETPIVOTDATA("Sum of New-HS % of Total",'Pivot-HS Student % of Undergrad'!$A$3,"State","MS","Category",4,"Category2","Four-Year")</f>
        <v>0</v>
      </c>
      <c r="J21" s="216">
        <f>+GETPIVOTDATA("Sum of New-Total Undg SCH FTE",'FTE Pivot for regular counts'!$A$2,"State","MS","Category",5,"Category2","Four-Year")</f>
        <v>0</v>
      </c>
      <c r="K21" s="228">
        <f>+GETPIVOTDATA("Sum of New-HS % of Total",'Pivot-HS Student % of Undergrad'!$A$3,"State","MS","Category",5,"Category2","Four-Year")</f>
        <v>0</v>
      </c>
      <c r="L21" s="216">
        <f>+GETPIVOTDATA("Sum of New-Total Undg SCH FTE",'FTE Pivot for regular counts'!$A$2,"State","MS","Category",6,"Category2","Four-Year")</f>
        <v>0</v>
      </c>
      <c r="M21" s="228">
        <f>+GETPIVOTDATA("Sum of New-HS % of Total",'Pivot-HS Student % of Undergrad'!$A$3,"State","MS","Category",6,"Category2","Four-Year")</f>
        <v>0</v>
      </c>
      <c r="N21" s="216">
        <f>+GETPIVOTDATA("Sum of New-Total Undg SCH FTE",'FTE Pivot for regular counts'!$A$2,"State","MS","Category2","Four-Year")</f>
        <v>60999.123333333337</v>
      </c>
      <c r="O21" s="228">
        <f>+GETPIVOTDATA("Sum of New-HS % of Total",'Pivot-HS Student % of Undergrad'!$A$3,"State","MS","Category2","Group1")</f>
        <v>0</v>
      </c>
      <c r="Q21" s="15" t="s">
        <v>785</v>
      </c>
      <c r="R21" s="229">
        <f>+GETPIVOTDATA("Sum of Old-HS % of Total",'Pivot-HS Student % of Undergrad'!$A$3,"State","MS","Category",1,"Category2","Four-Year")</f>
        <v>0</v>
      </c>
      <c r="S21" s="230">
        <f>(C21-R21)*100</f>
        <v>0</v>
      </c>
      <c r="T21" s="219">
        <f>+GETPIVOTDATA("Sum of Old-HS % of Total",'Pivot-HS Student % of Undergrad'!$A$3,"State","MS","Category",2,"Category2","Four-Year")</f>
        <v>0</v>
      </c>
      <c r="U21" s="230">
        <f t="shared" si="0"/>
        <v>0</v>
      </c>
      <c r="V21" s="219">
        <f>+GETPIVOTDATA("Sum of Old-HS % of Total",'Pivot-HS Student % of Undergrad'!$A$3,"State","MS","Category",3,"Category2","Four-Year")</f>
        <v>0</v>
      </c>
      <c r="W21" s="230">
        <f t="shared" si="1"/>
        <v>0</v>
      </c>
      <c r="X21" s="219">
        <f>+GETPIVOTDATA("Sum of Old-HS % of Total",'Pivot-HS Student % of Undergrad'!$A$3,"State","MS","Category",4,"Category2","Four-Year")</f>
        <v>0</v>
      </c>
      <c r="Y21" s="230">
        <f t="shared" si="2"/>
        <v>0</v>
      </c>
      <c r="Z21" s="219">
        <f>+GETPIVOTDATA("Sum of Old-HS % of Total",'Pivot-HS Student % of Undergrad'!$A$3,"State","MS","Category",5,"Category2","Four-Year")</f>
        <v>0</v>
      </c>
      <c r="AA21" s="230">
        <f t="shared" si="3"/>
        <v>0</v>
      </c>
      <c r="AB21" s="219">
        <f>+GETPIVOTDATA("Sum of Old-HS % of Total",'Pivot-HS Student % of Undergrad'!$A$3,"State","MS","Category",6,"Category2","Four-Year")</f>
        <v>0</v>
      </c>
      <c r="AC21" s="230">
        <f t="shared" si="4"/>
        <v>0</v>
      </c>
      <c r="AD21" s="219">
        <f>+GETPIVOTDATA("Sum of Old-HS % of Total",'Pivot-HS Student % of Undergrad'!$A$3,"State","MS","Category2","Four-Year")</f>
        <v>0</v>
      </c>
      <c r="AE21" s="230">
        <f t="shared" si="5"/>
        <v>0</v>
      </c>
      <c r="AF21" s="15" t="s">
        <v>785</v>
      </c>
      <c r="AH21" s="220" t="s">
        <v>785</v>
      </c>
      <c r="AI21" s="231">
        <f t="shared" si="6"/>
        <v>0</v>
      </c>
      <c r="AJ21" s="231">
        <f t="shared" si="7"/>
        <v>0</v>
      </c>
      <c r="AK21" s="231">
        <f t="shared" si="8"/>
        <v>0</v>
      </c>
      <c r="AL21" s="231">
        <f t="shared" si="9"/>
        <v>0</v>
      </c>
      <c r="AM21" s="231">
        <f t="shared" si="10"/>
        <v>0</v>
      </c>
      <c r="AN21" s="231">
        <f t="shared" si="11"/>
        <v>0</v>
      </c>
      <c r="AO21" s="231">
        <f t="shared" si="12"/>
        <v>0</v>
      </c>
      <c r="AQ21" s="220" t="s">
        <v>785</v>
      </c>
      <c r="AR21" s="231">
        <f t="shared" si="13"/>
        <v>0</v>
      </c>
      <c r="AS21" s="231">
        <f t="shared" si="14"/>
        <v>0</v>
      </c>
      <c r="AT21" s="231">
        <f t="shared" si="15"/>
        <v>0</v>
      </c>
      <c r="AU21" s="231">
        <f t="shared" si="16"/>
        <v>0</v>
      </c>
      <c r="AV21" s="231">
        <f t="shared" si="17"/>
        <v>0</v>
      </c>
      <c r="AW21" s="231">
        <f t="shared" si="18"/>
        <v>0</v>
      </c>
      <c r="AX21" s="231">
        <f t="shared" si="19"/>
        <v>0</v>
      </c>
    </row>
    <row r="22" spans="1:50" ht="15" customHeight="1">
      <c r="A22" s="15" t="s">
        <v>786</v>
      </c>
      <c r="B22" s="227">
        <f>+GETPIVOTDATA("Sum of New-Total Undg SCH FTE",'FTE Pivot for regular counts'!$A$2,"State","NC","Category",1,"Category2","Four-Year")</f>
        <v>80606.566666666666</v>
      </c>
      <c r="C22" s="228">
        <f>+GETPIVOTDATA("Sum of New-HS % of Total",'Pivot-HS Student % of Undergrad'!$A$3,"State","NC","Category",1,"Category2","Four-Year")</f>
        <v>3.4108056539645035E-3</v>
      </c>
      <c r="D22" s="216">
        <f>+GETPIVOTDATA("Sum of New-Total Undg SCH FTE",'FTE Pivot for regular counts'!$A$2,"State","NC","Category",2,"Category2","Four-Year")</f>
        <v>21374.733333333334</v>
      </c>
      <c r="E22" s="228">
        <f>+GETPIVOTDATA("Sum of New-HS % of Total",'Pivot-HS Student % of Undergrad'!$A$3,"State","NC","Category",2,"Category2","Four-Year")</f>
        <v>4.7096104122936426E-4</v>
      </c>
      <c r="F22" s="216">
        <f>+GETPIVOTDATA("Sum of New-Total Undg SCH FTE",'FTE Pivot for regular counts'!$A$2,"State","NC","Category",3,"Category2","Four-Year")</f>
        <v>57185.416666666672</v>
      </c>
      <c r="G22" s="228">
        <f>+GETPIVOTDATA("Sum of New-HS % of Total",'Pivot-HS Student % of Undergrad'!$A$3,"State","NC","Category",3,"Category2","Four-Year")</f>
        <v>5.5730992021567269E-3</v>
      </c>
      <c r="H22" s="216">
        <f>+GETPIVOTDATA("Sum of New-Total Undg SCH FTE",'FTE Pivot for regular counts'!$A$2,"State","NC","Category",4,"Category2","Four-Year")</f>
        <v>5003.833333333333</v>
      </c>
      <c r="I22" s="228">
        <f>+GETPIVOTDATA("Sum of New-HS % of Total",'Pivot-HS Student % of Undergrad'!$A$3,"State","NC","Category",4,"Category2","Four-Year")</f>
        <v>5.2359857442627319E-2</v>
      </c>
      <c r="J22" s="216">
        <f>+GETPIVOTDATA("Sum of New-Total Undg SCH FTE",'FTE Pivot for regular counts'!$A$2,"State","NC","Category",5,"Category2","Four-Year")</f>
        <v>10095</v>
      </c>
      <c r="K22" s="228">
        <f>+GETPIVOTDATA("Sum of New-HS % of Total",'Pivot-HS Student % of Undergrad'!$A$3,"State","NC","Category",5,"Category2","Four-Year")</f>
        <v>0</v>
      </c>
      <c r="L22" s="216">
        <f>+GETPIVOTDATA("Sum of New-Total Undg SCH FTE",'FTE Pivot for regular counts'!$A$2,"State","NC","Category",6,"Category2","Four-Year")</f>
        <v>4844.5</v>
      </c>
      <c r="M22" s="228">
        <f>+GETPIVOTDATA("Sum of New-HS % of Total",'Pivot-HS Student % of Undergrad'!$A$3,"State","NC","Category",6,"Category2","Four-Year")</f>
        <v>0</v>
      </c>
      <c r="N22" s="216">
        <f>+GETPIVOTDATA("Sum of New-Total Undg SCH FTE",'FTE Pivot for regular counts'!$A$2,"State","NC","Category2","Four-Year")</f>
        <v>179110.05000000002</v>
      </c>
      <c r="O22" s="228">
        <f>+GETPIVOTDATA("Sum of New-HS % of Total",'Pivot-HS Student % of Undergrad'!$A$3,"State","NC","Category2","Group1")</f>
        <v>4.8333412893358024E-3</v>
      </c>
      <c r="Q22" s="15" t="s">
        <v>786</v>
      </c>
      <c r="R22" s="229">
        <f>+GETPIVOTDATA("Sum of Old-HS % of Total",'Pivot-HS Student % of Undergrad'!$A$3,"State","NC","Category",1,"Category2","Four-Year")</f>
        <v>2.7917047916063689E-3</v>
      </c>
      <c r="S22" s="230">
        <f>(C22-R22)*100</f>
        <v>6.1910086235813455E-2</v>
      </c>
      <c r="T22" s="219">
        <f>+GETPIVOTDATA("Sum of Old-HS % of Total",'Pivot-HS Student % of Undergrad'!$A$3,"State","NC","Category",2,"Category2","Four-Year")</f>
        <v>8.4000244364347248E-5</v>
      </c>
      <c r="U22" s="230">
        <f t="shared" si="0"/>
        <v>3.8696079686501697E-2</v>
      </c>
      <c r="V22" s="219">
        <f>+GETPIVOTDATA("Sum of Old-HS % of Total",'Pivot-HS Student % of Undergrad'!$A$3,"State","NC","Category",3,"Category2","Four-Year")</f>
        <v>4.3782951169814626E-3</v>
      </c>
      <c r="W22" s="230">
        <f t="shared" si="1"/>
        <v>0.11948040851752642</v>
      </c>
      <c r="X22" s="219">
        <f>+GETPIVOTDATA("Sum of Old-HS % of Total",'Pivot-HS Student % of Undergrad'!$A$3,"State","NC","Category",4,"Category2","Four-Year")</f>
        <v>5.4173310606477156E-2</v>
      </c>
      <c r="Y22" s="230">
        <f t="shared" si="2"/>
        <v>-0.18134531638498361</v>
      </c>
      <c r="Z22" s="219">
        <f>+GETPIVOTDATA("Sum of Old-HS % of Total",'Pivot-HS Student % of Undergrad'!$A$3,"State","NC","Category",5,"Category2","Four-Year")</f>
        <v>0</v>
      </c>
      <c r="AA22" s="230">
        <f t="shared" si="3"/>
        <v>0</v>
      </c>
      <c r="AB22" s="219">
        <f>+GETPIVOTDATA("Sum of Old-HS % of Total",'Pivot-HS Student % of Undergrad'!$A$3,"State","NC","Category",6,"Category2","Four-Year")</f>
        <v>0</v>
      </c>
      <c r="AC22" s="230">
        <f t="shared" si="4"/>
        <v>0</v>
      </c>
      <c r="AD22" s="219">
        <f>+GETPIVOTDATA("Sum of Old-HS % of Total",'Pivot-HS Student % of Undergrad'!$A$3,"State","NC","Category2","Four-Year")</f>
        <v>4.1379828578137845E-3</v>
      </c>
      <c r="AE22" s="230">
        <f t="shared" si="5"/>
        <v>6.9535843152201793E-2</v>
      </c>
      <c r="AF22" s="15" t="s">
        <v>786</v>
      </c>
      <c r="AH22" s="220" t="s">
        <v>786</v>
      </c>
      <c r="AI22" s="231">
        <f t="shared" si="6"/>
        <v>0.34108056539645037</v>
      </c>
      <c r="AJ22" s="231">
        <f t="shared" si="7"/>
        <v>4.7096104122936425E-2</v>
      </c>
      <c r="AK22" s="231">
        <f t="shared" si="8"/>
        <v>0.55730992021567272</v>
      </c>
      <c r="AL22" s="231">
        <f t="shared" si="9"/>
        <v>5.2359857442627318</v>
      </c>
      <c r="AM22" s="231">
        <f t="shared" si="10"/>
        <v>0</v>
      </c>
      <c r="AN22" s="231">
        <f t="shared" si="11"/>
        <v>0</v>
      </c>
      <c r="AO22" s="231">
        <f t="shared" si="12"/>
        <v>0.48333412893358024</v>
      </c>
      <c r="AQ22" s="220" t="s">
        <v>786</v>
      </c>
      <c r="AR22" s="231">
        <f t="shared" si="13"/>
        <v>0.27917047916063686</v>
      </c>
      <c r="AS22" s="231">
        <f t="shared" si="14"/>
        <v>8.4000244364347242E-3</v>
      </c>
      <c r="AT22" s="231">
        <f t="shared" si="15"/>
        <v>0.43782951169814627</v>
      </c>
      <c r="AU22" s="231">
        <f t="shared" si="16"/>
        <v>5.4173310606477152</v>
      </c>
      <c r="AV22" s="231">
        <f t="shared" si="17"/>
        <v>0</v>
      </c>
      <c r="AW22" s="231">
        <f t="shared" si="18"/>
        <v>0</v>
      </c>
      <c r="AX22" s="231">
        <f t="shared" si="19"/>
        <v>0.41379828578137845</v>
      </c>
    </row>
    <row r="23" spans="1:50" ht="15" customHeight="1">
      <c r="A23" s="15" t="s">
        <v>787</v>
      </c>
      <c r="B23" s="227">
        <f>+GETPIVOTDATA("Sum of New-Total Undg SCH FTE",'FTE Pivot for regular counts'!$A$2,"State","OK","Category",1,"Category2","Four-Year")</f>
        <v>39357.166666666672</v>
      </c>
      <c r="C23" s="228">
        <f>+GETPIVOTDATA("Sum of New-HS % of Total",'Pivot-HS Student % of Undergrad'!$A$3,"State","OK","Category",1,"Category2","Four-Year")</f>
        <v>2.7703552508437685E-3</v>
      </c>
      <c r="D23" s="216">
        <f>+GETPIVOTDATA("Sum of New-Total Undg SCH FTE",'FTE Pivot for regular counts'!$A$2,"State","OK","Category",2,"Category2","Four-Year")</f>
        <v>0</v>
      </c>
      <c r="E23" s="228">
        <f>+GETPIVOTDATA("Sum of New-HS % of Total",'Pivot-HS Student % of Undergrad'!$A$3,"State","OK","Category",2,"Category2","Four-Year")</f>
        <v>0</v>
      </c>
      <c r="F23" s="216">
        <f>+GETPIVOTDATA("Sum of New-Total Undg SCH FTE",'FTE Pivot for regular counts'!$A$2,"State","OK","Category",3,"Category2","Four-Year")</f>
        <v>16489.266666666666</v>
      </c>
      <c r="G23" s="228">
        <f>+GETPIVOTDATA("Sum of New-HS % of Total",'Pivot-HS Student % of Undergrad'!$A$3,"State","OK","Category",3,"Category2","Four-Year")</f>
        <v>1.4957204484533373E-2</v>
      </c>
      <c r="H23" s="216">
        <f>+GETPIVOTDATA("Sum of New-Total Undg SCH FTE",'FTE Pivot for regular counts'!$A$2,"State","OK","Category",4,"Category2","Four-Year")</f>
        <v>6267.3333333333339</v>
      </c>
      <c r="I23" s="228">
        <f>+GETPIVOTDATA("Sum of New-HS % of Total",'Pivot-HS Student % of Undergrad'!$A$3,"State","OK","Category",4,"Category2","Four-Year")</f>
        <v>2.1646633336879054E-2</v>
      </c>
      <c r="J23" s="216">
        <f>+GETPIVOTDATA("Sum of New-Total Undg SCH FTE",'FTE Pivot for regular counts'!$A$2,"State","OK","Category",5,"Category2","Four-Year")</f>
        <v>8980.2666666666664</v>
      </c>
      <c r="K23" s="228">
        <f>+GETPIVOTDATA("Sum of New-HS % of Total",'Pivot-HS Student % of Undergrad'!$A$3,"State","OK","Category",5,"Category2","Four-Year")</f>
        <v>2.3859722057251453E-2</v>
      </c>
      <c r="L23" s="216">
        <f>+GETPIVOTDATA("Sum of New-Total Undg SCH FTE",'FTE Pivot for regular counts'!$A$2,"State","OK","Category",6,"Category2","Four-Year")</f>
        <v>4361.333333333333</v>
      </c>
      <c r="M23" s="228">
        <f>+GETPIVOTDATA("Sum of New-HS % of Total",'Pivot-HS Student % of Undergrad'!$A$3,"State","OK","Category",6,"Category2","Four-Year")</f>
        <v>3.9758483644145519E-2</v>
      </c>
      <c r="N23" s="216">
        <f>+GETPIVOTDATA("Sum of New-Total Undg SCH FTE",'FTE Pivot for regular counts'!$A$2,"State","OK","Category2","Four-Year")</f>
        <v>75455.366666666669</v>
      </c>
      <c r="O23" s="228">
        <f>+GETPIVOTDATA("Sum of New-HS % of Total",'Pivot-HS Student % of Undergrad'!$A$3,"State","OK","Category2","Group1")</f>
        <v>1.1649270805124972E-2</v>
      </c>
      <c r="Q23" s="15" t="s">
        <v>787</v>
      </c>
      <c r="R23" s="229">
        <f>+GETPIVOTDATA("Sum of Old-HS % of Total",'Pivot-HS Student % of Undergrad'!$A$3,"State","OK","Category",1,"Category2","Four-Year")</f>
        <v>2.7617180299297842E-3</v>
      </c>
      <c r="S23" s="230">
        <f>(C23-R23)*100</f>
        <v>8.6372209139842955E-4</v>
      </c>
      <c r="T23" s="219">
        <f>+GETPIVOTDATA("Sum of Old-HS % of Total",'Pivot-HS Student % of Undergrad'!$A$3,"State","OK","Category",2,"Category2","Four-Year")</f>
        <v>0</v>
      </c>
      <c r="U23" s="230">
        <f t="shared" si="0"/>
        <v>0</v>
      </c>
      <c r="V23" s="219">
        <f>+GETPIVOTDATA("Sum of Old-HS % of Total",'Pivot-HS Student % of Undergrad'!$A$3,"State","OK","Category",3,"Category2","Four-Year")</f>
        <v>1.5265167502625663E-2</v>
      </c>
      <c r="W23" s="230">
        <f t="shared" si="1"/>
        <v>-3.0796301809228946E-2</v>
      </c>
      <c r="X23" s="219">
        <f>+GETPIVOTDATA("Sum of Old-HS % of Total",'Pivot-HS Student % of Undergrad'!$A$3,"State","OK","Category",4,"Category2","Four-Year")</f>
        <v>2.0928822119925632E-2</v>
      </c>
      <c r="Y23" s="230">
        <f t="shared" si="2"/>
        <v>7.1781121695342273E-2</v>
      </c>
      <c r="Z23" s="219">
        <f>+GETPIVOTDATA("Sum of Old-HS % of Total",'Pivot-HS Student % of Undergrad'!$A$3,"State","OK","Category",5,"Category2","Four-Year")</f>
        <v>2.2320441200602156E-2</v>
      </c>
      <c r="AA23" s="230">
        <f t="shared" si="3"/>
        <v>0.15392808566492971</v>
      </c>
      <c r="AB23" s="219">
        <f>+GETPIVOTDATA("Sum of Old-HS % of Total",'Pivot-HS Student % of Undergrad'!$A$3,"State","OK","Category",6,"Category2","Four-Year")</f>
        <v>3.6857202725453217E-2</v>
      </c>
      <c r="AC23" s="230">
        <f t="shared" si="4"/>
        <v>0.29012809186923016</v>
      </c>
      <c r="AD23" s="219">
        <f>+GETPIVOTDATA("Sum of Old-HS % of Total",'Pivot-HS Student % of Undergrad'!$A$3,"State","OK","Category2","Four-Year")</f>
        <v>1.1469222960144449E-2</v>
      </c>
      <c r="AE23" s="230">
        <f t="shared" si="5"/>
        <v>1.800478449805222E-2</v>
      </c>
      <c r="AF23" s="15" t="s">
        <v>787</v>
      </c>
      <c r="AH23" s="220" t="s">
        <v>787</v>
      </c>
      <c r="AI23" s="231">
        <f t="shared" si="6"/>
        <v>0.27703552508437684</v>
      </c>
      <c r="AJ23" s="231">
        <f t="shared" si="7"/>
        <v>0</v>
      </c>
      <c r="AK23" s="231">
        <f t="shared" si="8"/>
        <v>1.4957204484533373</v>
      </c>
      <c r="AL23" s="231">
        <f t="shared" si="9"/>
        <v>2.1646633336879053</v>
      </c>
      <c r="AM23" s="231">
        <f t="shared" si="10"/>
        <v>2.3859722057251451</v>
      </c>
      <c r="AN23" s="231">
        <f t="shared" si="11"/>
        <v>3.9758483644145519</v>
      </c>
      <c r="AO23" s="231">
        <f t="shared" si="12"/>
        <v>1.1649270805124972</v>
      </c>
      <c r="AQ23" s="220" t="s">
        <v>787</v>
      </c>
      <c r="AR23" s="231">
        <f t="shared" si="13"/>
        <v>0.27617180299297839</v>
      </c>
      <c r="AS23" s="231">
        <f t="shared" si="14"/>
        <v>0</v>
      </c>
      <c r="AT23" s="231">
        <f t="shared" si="15"/>
        <v>1.5265167502625663</v>
      </c>
      <c r="AU23" s="231">
        <f t="shared" si="16"/>
        <v>2.092882211992563</v>
      </c>
      <c r="AV23" s="231">
        <f t="shared" si="17"/>
        <v>2.2320441200602157</v>
      </c>
      <c r="AW23" s="231">
        <f t="shared" si="18"/>
        <v>3.6857202725453218</v>
      </c>
      <c r="AX23" s="231">
        <f t="shared" si="19"/>
        <v>1.146922296014445</v>
      </c>
    </row>
    <row r="24" spans="1:50" ht="15" customHeight="1">
      <c r="A24" s="15" t="s">
        <v>788</v>
      </c>
      <c r="B24" s="227">
        <f>+GETPIVOTDATA("Sum of New-Total Undg SCH FTE",'FTE Pivot for regular counts'!$A$2,"State","SC","Category",1,"Category2","Four-Year")</f>
        <v>47741.566666666666</v>
      </c>
      <c r="C24" s="233">
        <f>+GETPIVOTDATA("Sum of New-HS % of Total",'Pivot-HS Student % of Undergrad'!$A$3,"State","SC","Category",1,"Category2","Four-Year")</f>
        <v>1.829293410982882E-4</v>
      </c>
      <c r="D24" s="216">
        <f>+GETPIVOTDATA("Sum of New-Total Undg SCH FTE",'FTE Pivot for regular counts'!$A$2,"State","SC","Category",2,"Category2","Four-Year")</f>
        <v>0</v>
      </c>
      <c r="E24" s="228">
        <f>+GETPIVOTDATA("Sum of New-HS % of Total",'Pivot-HS Student % of Undergrad'!$A$3,"State","SC","Category",2,"Category2","Four-Year")</f>
        <v>0</v>
      </c>
      <c r="F24" s="216">
        <f>+GETPIVOTDATA("Sum of New-Total Undg SCH FTE",'FTE Pivot for regular counts'!$A$2,"State","SC","Category",3,"Category2","Four-Year")</f>
        <v>17448.3</v>
      </c>
      <c r="G24" s="228">
        <f>+GETPIVOTDATA("Sum of New-HS % of Total",'Pivot-HS Student % of Undergrad'!$A$3,"State","SC","Category",3,"Category2","Four-Year")</f>
        <v>4.3748292574825815E-3</v>
      </c>
      <c r="H24" s="216">
        <f>+GETPIVOTDATA("Sum of New-Total Undg SCH FTE",'FTE Pivot for regular counts'!$A$2,"State","SC","Category",4,"Category2","Four-Year")</f>
        <v>9703.2666666666664</v>
      </c>
      <c r="I24" s="228">
        <f>+GETPIVOTDATA("Sum of New-HS % of Total",'Pivot-HS Student % of Undergrad'!$A$3,"State","SC","Category",4,"Category2","Four-Year")</f>
        <v>9.1859098997588446E-3</v>
      </c>
      <c r="J24" s="216">
        <f>+GETPIVOTDATA("Sum of New-Total Undg SCH FTE",'FTE Pivot for regular counts'!$A$2,"State","SC","Category",5,"Category2","Four-Year")</f>
        <v>4807.0333333333328</v>
      </c>
      <c r="K24" s="228">
        <f>+GETPIVOTDATA("Sum of New-HS % of Total",'Pivot-HS Student % of Undergrad'!$A$3,"State","SC","Category",5,"Category2","Four-Year")</f>
        <v>3.7511197372349953E-2</v>
      </c>
      <c r="L24" s="216">
        <f>+GETPIVOTDATA("Sum of New-Total Undg SCH FTE",'FTE Pivot for regular counts'!$A$2,"State","SC","Category",6,"Category2","Four-Year")</f>
        <v>12992.583333333334</v>
      </c>
      <c r="M24" s="228">
        <f>+GETPIVOTDATA("Sum of New-HS % of Total",'Pivot-HS Student % of Undergrad'!$A$3,"State","SC","Category",6,"Category2","Four-Year")</f>
        <v>2.0809307874364219E-2</v>
      </c>
      <c r="N24" s="216">
        <f>+GETPIVOTDATA("Sum of New-Total Undg SCH FTE",'FTE Pivot for regular counts'!$A$2,"State","SC","Category2","Four-Year")</f>
        <v>92692.749999999985</v>
      </c>
      <c r="O24" s="228">
        <f>+GETPIVOTDATA("Sum of New-HS % of Total",'Pivot-HS Student % of Undergrad'!$A$3,"State","SC","Category2","Group1")</f>
        <v>6.0185189445140178E-3</v>
      </c>
      <c r="Q24" s="15" t="s">
        <v>788</v>
      </c>
      <c r="R24" s="229">
        <f>+GETPIVOTDATA("Sum of Old-HS % of Total",'Pivot-HS Student % of Undergrad'!$A$3,"State","SC","Category",1,"Category2","Four-Year")</f>
        <v>2.543198658105517E-4</v>
      </c>
      <c r="S24" s="232">
        <f>(C24-R24)*100</f>
        <v>-7.1390524712263495E-3</v>
      </c>
      <c r="T24" s="219">
        <f>+GETPIVOTDATA("Sum of Old-HS % of Total",'Pivot-HS Student % of Undergrad'!$A$3,"State","SC","Category",2,"Category2","Four-Year")</f>
        <v>0</v>
      </c>
      <c r="U24" s="230">
        <f t="shared" si="0"/>
        <v>0</v>
      </c>
      <c r="V24" s="219">
        <f>+GETPIVOTDATA("Sum of Old-HS % of Total",'Pivot-HS Student % of Undergrad'!$A$3,"State","SC","Category",3,"Category2","Four-Year")</f>
        <v>5.2281899031301282E-3</v>
      </c>
      <c r="W24" s="230">
        <f t="shared" si="1"/>
        <v>-8.5336064564754677E-2</v>
      </c>
      <c r="X24" s="219">
        <f>+GETPIVOTDATA("Sum of Old-HS % of Total",'Pivot-HS Student % of Undergrad'!$A$3,"State","SC","Category",4,"Category2","Four-Year")</f>
        <v>8.4145140105078807E-3</v>
      </c>
      <c r="Y24" s="230">
        <f t="shared" si="2"/>
        <v>7.7139588925096397E-2</v>
      </c>
      <c r="Z24" s="219">
        <f>+GETPIVOTDATA("Sum of Old-HS % of Total",'Pivot-HS Student % of Undergrad'!$A$3,"State","SC","Category",5,"Category2","Four-Year")</f>
        <v>1.3023770038695412E-2</v>
      </c>
      <c r="AA24" s="230">
        <f t="shared" si="3"/>
        <v>2.4487427333654539</v>
      </c>
      <c r="AB24" s="219">
        <f>+GETPIVOTDATA("Sum of Old-HS % of Total",'Pivot-HS Student % of Undergrad'!$A$3,"State","SC","Category",6,"Category2","Four-Year")</f>
        <v>2.1053660468890869E-2</v>
      </c>
      <c r="AC24" s="230">
        <f t="shared" si="4"/>
        <v>-2.443525945266499E-2</v>
      </c>
      <c r="AD24" s="219">
        <f>+GETPIVOTDATA("Sum of Old-HS % of Total",'Pivot-HS Student % of Undergrad'!$A$3,"State","SC","Category2","Four-Year")</f>
        <v>5.5453638156953136E-3</v>
      </c>
      <c r="AE24" s="230">
        <f t="shared" si="5"/>
        <v>4.7315512881870428E-2</v>
      </c>
      <c r="AF24" s="15" t="s">
        <v>788</v>
      </c>
      <c r="AH24" s="220" t="s">
        <v>788</v>
      </c>
      <c r="AI24" s="231">
        <f t="shared" si="6"/>
        <v>1.829293410982882E-2</v>
      </c>
      <c r="AJ24" s="231">
        <f t="shared" si="7"/>
        <v>0</v>
      </c>
      <c r="AK24" s="231">
        <f t="shared" si="8"/>
        <v>0.43748292574825814</v>
      </c>
      <c r="AL24" s="231">
        <f t="shared" si="9"/>
        <v>0.91859098997588451</v>
      </c>
      <c r="AM24" s="231">
        <f t="shared" si="10"/>
        <v>3.7511197372349954</v>
      </c>
      <c r="AN24" s="231">
        <f t="shared" si="11"/>
        <v>2.0809307874364218</v>
      </c>
      <c r="AO24" s="231">
        <f t="shared" si="12"/>
        <v>0.60185189445140175</v>
      </c>
      <c r="AQ24" s="220" t="s">
        <v>788</v>
      </c>
      <c r="AR24" s="231">
        <f t="shared" si="13"/>
        <v>2.5431986581055169E-2</v>
      </c>
      <c r="AS24" s="231">
        <f t="shared" si="14"/>
        <v>0</v>
      </c>
      <c r="AT24" s="231">
        <f t="shared" si="15"/>
        <v>0.52281899031301282</v>
      </c>
      <c r="AU24" s="231">
        <f t="shared" si="16"/>
        <v>0.84145140105078808</v>
      </c>
      <c r="AV24" s="231">
        <f t="shared" si="17"/>
        <v>1.3023770038695412</v>
      </c>
      <c r="AW24" s="231">
        <f t="shared" si="18"/>
        <v>2.1053660468890869</v>
      </c>
      <c r="AX24" s="231">
        <f t="shared" si="19"/>
        <v>0.55453638156953133</v>
      </c>
    </row>
    <row r="25" spans="1:50" ht="15" customHeight="1">
      <c r="B25" s="227"/>
      <c r="C25" s="233"/>
      <c r="D25" s="216"/>
      <c r="E25" s="228"/>
      <c r="F25" s="216"/>
      <c r="G25" s="228"/>
      <c r="H25" s="216"/>
      <c r="I25" s="228"/>
      <c r="J25" s="216"/>
      <c r="K25" s="228"/>
      <c r="L25" s="216"/>
      <c r="M25" s="228"/>
      <c r="N25" s="216"/>
      <c r="O25" s="228"/>
      <c r="R25" s="229"/>
      <c r="S25" s="230"/>
      <c r="T25" s="219"/>
      <c r="U25" s="230"/>
      <c r="V25" s="219"/>
      <c r="W25" s="230"/>
      <c r="X25" s="219"/>
      <c r="Y25" s="230"/>
      <c r="Z25" s="219"/>
      <c r="AA25" s="230"/>
      <c r="AB25" s="219"/>
      <c r="AC25" s="230"/>
      <c r="AD25" s="219"/>
      <c r="AE25" s="230"/>
      <c r="AH25" s="220"/>
      <c r="AI25" s="231">
        <f t="shared" si="6"/>
        <v>0</v>
      </c>
      <c r="AJ25" s="231">
        <f t="shared" si="7"/>
        <v>0</v>
      </c>
      <c r="AK25" s="231">
        <f t="shared" si="8"/>
        <v>0</v>
      </c>
      <c r="AL25" s="231">
        <f t="shared" si="9"/>
        <v>0</v>
      </c>
      <c r="AM25" s="231">
        <f t="shared" si="10"/>
        <v>0</v>
      </c>
      <c r="AN25" s="231">
        <f t="shared" si="11"/>
        <v>0</v>
      </c>
      <c r="AO25" s="231">
        <f t="shared" si="12"/>
        <v>0</v>
      </c>
      <c r="AQ25" s="220"/>
      <c r="AR25" s="231">
        <f t="shared" si="13"/>
        <v>0</v>
      </c>
      <c r="AS25" s="231">
        <f t="shared" si="14"/>
        <v>0</v>
      </c>
      <c r="AT25" s="231">
        <f t="shared" si="15"/>
        <v>0</v>
      </c>
      <c r="AU25" s="231">
        <f t="shared" si="16"/>
        <v>0</v>
      </c>
      <c r="AV25" s="231">
        <f t="shared" si="17"/>
        <v>0</v>
      </c>
      <c r="AW25" s="231">
        <f t="shared" si="18"/>
        <v>0</v>
      </c>
      <c r="AX25" s="231">
        <f t="shared" si="19"/>
        <v>0</v>
      </c>
    </row>
    <row r="26" spans="1:50" ht="15" customHeight="1">
      <c r="A26" s="15" t="s">
        <v>789</v>
      </c>
      <c r="B26" s="227">
        <f>+GETPIVOTDATA("Sum of New-Total Undg SCH FTE",'FTE Pivot for regular counts'!$A$2,"State","TN","Category",1,"Category2","Four-Year")</f>
        <v>35589.300000000003</v>
      </c>
      <c r="C26" s="228">
        <f>+GETPIVOTDATA("Sum of New-HS % of Total",'Pivot-HS Student % of Undergrad'!$A$3,"State","TN","Category",1,"Category2","Four-Year")</f>
        <v>1.1882784994366284E-2</v>
      </c>
      <c r="D26" s="216">
        <f>+GETPIVOTDATA("Sum of New-Total Undg SCH FTE",'FTE Pivot for regular counts'!$A$2,"State","TN","Category",2,"Category2","Four-Year")</f>
        <v>32692.866666666669</v>
      </c>
      <c r="E26" s="228">
        <f>+GETPIVOTDATA("Sum of New-HS % of Total",'Pivot-HS Student % of Undergrad'!$A$3,"State","TN","Category",2,"Category2","Four-Year")</f>
        <v>1.553753826013014E-2</v>
      </c>
      <c r="F26" s="216">
        <f>+GETPIVOTDATA("Sum of New-Total Undg SCH FTE",'FTE Pivot for regular counts'!$A$2,"State","TN","Category",3,"Category2","Four-Year")</f>
        <v>25980.899999999998</v>
      </c>
      <c r="G26" s="228">
        <f>+GETPIVOTDATA("Sum of New-HS % of Total",'Pivot-HS Student % of Undergrad'!$A$3,"State","TN","Category",3,"Category2","Four-Year")</f>
        <v>1.3955123443247411E-2</v>
      </c>
      <c r="H26" s="216">
        <f>+GETPIVOTDATA("Sum of New-Total Undg SCH FTE",'FTE Pivot for regular counts'!$A$2,"State","TN","Category",4,"Category2","Four-Year")</f>
        <v>0</v>
      </c>
      <c r="I26" s="228">
        <f>+GETPIVOTDATA("Sum of New-HS % of Total",'Pivot-HS Student % of Undergrad'!$A$3,"State","TN","Category",4,"Category2","Four-Year")</f>
        <v>0</v>
      </c>
      <c r="J26" s="216">
        <f>+GETPIVOTDATA("Sum of New-Total Undg SCH FTE",'FTE Pivot for regular counts'!$A$2,"State","TN","Category",5,"Category2","Four-Year")</f>
        <v>5443.3</v>
      </c>
      <c r="K26" s="228">
        <f>+GETPIVOTDATA("Sum of New-HS % of Total",'Pivot-HS Student % of Undergrad'!$A$3,"State","TN","Category",5,"Category2","Four-Year")</f>
        <v>6.1506806532801793E-2</v>
      </c>
      <c r="L26" s="216">
        <f>+GETPIVOTDATA("Sum of New-Total Undg SCH FTE",'FTE Pivot for regular counts'!$A$2,"State","TN","Category",6,"Category2","Four-Year")</f>
        <v>0</v>
      </c>
      <c r="M26" s="228">
        <f>+GETPIVOTDATA("Sum of New-HS % of Total",'Pivot-HS Student % of Undergrad'!$A$3,"State","TN","Category",6,"Category2","Four-Year")</f>
        <v>0</v>
      </c>
      <c r="N26" s="216">
        <f>+GETPIVOTDATA("Sum of New-Total Undg SCH FTE",'FTE Pivot for regular counts'!$A$2,"State","TN","Category2","Four-Year")</f>
        <v>99706.366666666669</v>
      </c>
      <c r="O26" s="228">
        <f>+GETPIVOTDATA("Sum of New-HS % of Total",'Pivot-HS Student % of Undergrad'!$A$3,"State","TN","Category2","Group1")</f>
        <v>1.6330284492030098E-2</v>
      </c>
      <c r="Q26" s="15" t="s">
        <v>789</v>
      </c>
      <c r="R26" s="229">
        <f>+GETPIVOTDATA("Sum of Old-HS % of Total",'Pivot-HS Student % of Undergrad'!$A$3,"State","TN","Category",1,"Category2","Four-Year")</f>
        <v>1.1113705036517409E-2</v>
      </c>
      <c r="S26" s="230">
        <f>(C26-R26)*100</f>
        <v>7.6907995784887551E-2</v>
      </c>
      <c r="T26" s="219">
        <f>+GETPIVOTDATA("Sum of Old-HS % of Total",'Pivot-HS Student % of Undergrad'!$A$3,"State","TN","Category",2,"Category2","Four-Year")</f>
        <v>1.3592785721639807E-2</v>
      </c>
      <c r="U26" s="230">
        <f t="shared" si="0"/>
        <v>0.1944752538490333</v>
      </c>
      <c r="V26" s="219">
        <f>+GETPIVOTDATA("Sum of Old-HS % of Total",'Pivot-HS Student % of Undergrad'!$A$3,"State","TN","Category",3,"Category2","Four-Year")</f>
        <v>1.1548646434626889E-2</v>
      </c>
      <c r="W26" s="232">
        <f t="shared" si="1"/>
        <v>0.24064770086205217</v>
      </c>
      <c r="X26" s="219">
        <f>+GETPIVOTDATA("Sum of Old-HS % of Total",'Pivot-HS Student % of Undergrad'!$A$3,"State","TN","Category",4,"Category2","Four-Year")</f>
        <v>0</v>
      </c>
      <c r="Y26" s="230">
        <f t="shared" si="2"/>
        <v>0</v>
      </c>
      <c r="Z26" s="219">
        <f>+GETPIVOTDATA("Sum of Old-HS % of Total",'Pivot-HS Student % of Undergrad'!$A$3,"State","TN","Category",5,"Category2","Four-Year")</f>
        <v>4.36244019138756E-2</v>
      </c>
      <c r="AA26" s="230">
        <f t="shared" si="3"/>
        <v>1.7882404618926193</v>
      </c>
      <c r="AB26" s="219">
        <f>+GETPIVOTDATA("Sum of Old-HS % of Total",'Pivot-HS Student % of Undergrad'!$A$3,"State","TN","Category",6,"Category2","Four-Year")</f>
        <v>0</v>
      </c>
      <c r="AC26" s="230">
        <f t="shared" si="4"/>
        <v>0</v>
      </c>
      <c r="AD26" s="219">
        <f>+GETPIVOTDATA("Sum of Old-HS % of Total",'Pivot-HS Student % of Undergrad'!$A$3,"State","TN","Category2","Four-Year")</f>
        <v>1.3874901460675665E-2</v>
      </c>
      <c r="AE26" s="230">
        <f t="shared" si="5"/>
        <v>0.24553830313544331</v>
      </c>
      <c r="AF26" s="15" t="s">
        <v>789</v>
      </c>
      <c r="AH26" s="220" t="s">
        <v>789</v>
      </c>
      <c r="AI26" s="231">
        <f t="shared" si="6"/>
        <v>1.1882784994366284</v>
      </c>
      <c r="AJ26" s="231">
        <f t="shared" si="7"/>
        <v>1.5537538260130139</v>
      </c>
      <c r="AK26" s="231">
        <f t="shared" si="8"/>
        <v>1.395512344324741</v>
      </c>
      <c r="AL26" s="231">
        <f t="shared" si="9"/>
        <v>0</v>
      </c>
      <c r="AM26" s="231">
        <f t="shared" si="10"/>
        <v>6.1506806532801797</v>
      </c>
      <c r="AN26" s="231">
        <f t="shared" si="11"/>
        <v>0</v>
      </c>
      <c r="AO26" s="231">
        <f t="shared" si="12"/>
        <v>1.6330284492030098</v>
      </c>
      <c r="AQ26" s="220" t="s">
        <v>789</v>
      </c>
      <c r="AR26" s="231">
        <f t="shared" si="13"/>
        <v>1.1113705036517409</v>
      </c>
      <c r="AS26" s="231">
        <f t="shared" si="14"/>
        <v>1.3592785721639806</v>
      </c>
      <c r="AT26" s="231">
        <f t="shared" si="15"/>
        <v>1.154864643462689</v>
      </c>
      <c r="AU26" s="231">
        <f t="shared" si="16"/>
        <v>0</v>
      </c>
      <c r="AV26" s="231">
        <f t="shared" si="17"/>
        <v>4.3624401913875603</v>
      </c>
      <c r="AW26" s="231">
        <f t="shared" si="18"/>
        <v>0</v>
      </c>
      <c r="AX26" s="231">
        <f t="shared" si="19"/>
        <v>1.3874901460675664</v>
      </c>
    </row>
    <row r="27" spans="1:50" ht="15" customHeight="1">
      <c r="A27" s="15" t="s">
        <v>790</v>
      </c>
      <c r="B27" s="227">
        <f>+GETPIVOTDATA("Sum of New-Total Undg SCH FTE",'FTE Pivot for regular counts'!$A$2,"State","TX","Category",1,"Category2","Four-Year")</f>
        <v>236716.7</v>
      </c>
      <c r="C27" s="233">
        <f>+GETPIVOTDATA("Sum of New-HS % of Total",'Pivot-HS Student % of Undergrad'!$A$3,"State","TX","Category",1,"Category2","Four-Year")</f>
        <v>1.0611841074161645E-3</v>
      </c>
      <c r="D27" s="216">
        <f>+GETPIVOTDATA("Sum of New-Total Undg SCH FTE",'FTE Pivot for regular counts'!$A$2,"State","TX","Category",2,"Category2","Four-Year")</f>
        <v>54400.399999999994</v>
      </c>
      <c r="E27" s="228">
        <f>+GETPIVOTDATA("Sum of New-HS % of Total",'Pivot-HS Student % of Undergrad'!$A$3,"State","TX","Category",2,"Category2","Four-Year")</f>
        <v>6.6604902414933225E-3</v>
      </c>
      <c r="F27" s="216">
        <f>+GETPIVOTDATA("Sum of New-Total Undg SCH FTE",'FTE Pivot for regular counts'!$A$2,"State","TX","Category",3,"Category2","Four-Year")</f>
        <v>136176.59999999998</v>
      </c>
      <c r="G27" s="228">
        <f>+GETPIVOTDATA("Sum of New-HS % of Total",'Pivot-HS Student % of Undergrad'!$A$3,"State","TX","Category",3,"Category2","Four-Year")</f>
        <v>2.3498408194457296E-2</v>
      </c>
      <c r="H27" s="216">
        <f>+GETPIVOTDATA("Sum of New-Total Undg SCH FTE",'FTE Pivot for regular counts'!$A$2,"State","TX","Category",4,"Category2","Four-Year")</f>
        <v>13918.266666666668</v>
      </c>
      <c r="I27" s="228">
        <f>+GETPIVOTDATA("Sum of New-HS % of Total",'Pivot-HS Student % of Undergrad'!$A$3,"State","TX","Category",4,"Category2","Four-Year")</f>
        <v>2.1410712061846783E-3</v>
      </c>
      <c r="J27" s="216">
        <f>+GETPIVOTDATA("Sum of New-Total Undg SCH FTE",'FTE Pivot for regular counts'!$A$2,"State","TX","Category",5,"Category2","Four-Year")</f>
        <v>6628.0333333333328</v>
      </c>
      <c r="K27" s="228">
        <f>+GETPIVOTDATA("Sum of New-HS % of Total",'Pivot-HS Student % of Undergrad'!$A$3,"State","TX","Category",5,"Category2","Four-Year")</f>
        <v>2.8515245849699005E-3</v>
      </c>
      <c r="L27" s="216">
        <f>+GETPIVOTDATA("Sum of New-Total Undg SCH FTE",'FTE Pivot for regular counts'!$A$2,"State","TX","Category",6,"Category2","Four-Year")</f>
        <v>0</v>
      </c>
      <c r="M27" s="228">
        <f>+GETPIVOTDATA("Sum of New-HS % of Total",'Pivot-HS Student % of Undergrad'!$A$3,"State","TX","Category",6,"Category2","Four-Year")</f>
        <v>0</v>
      </c>
      <c r="N27" s="216">
        <f>+GETPIVOTDATA("Sum of New-Total Undg SCH FTE",'FTE Pivot for regular counts'!$A$2,"State","TX","Category2","Four-Year")</f>
        <v>447839.99999999994</v>
      </c>
      <c r="O27" s="228">
        <f>+GETPIVOTDATA("Sum of New-HS % of Total",'Pivot-HS Student % of Undergrad'!$A$3,"State","TX","Category2","Group1")</f>
        <v>8.6239877337144222E-3</v>
      </c>
      <c r="Q27" s="15" t="s">
        <v>790</v>
      </c>
      <c r="R27" s="229">
        <f>+GETPIVOTDATA("Sum of Old-HS % of Total",'Pivot-HS Student % of Undergrad'!$A$3,"State","TX","Category",1,"Category2","Four-Year")</f>
        <v>1.0083700718163567E-3</v>
      </c>
      <c r="S27" s="232">
        <f>(C27-R27)*100</f>
        <v>5.281403559980781E-3</v>
      </c>
      <c r="T27" s="219">
        <f>+GETPIVOTDATA("Sum of Old-HS % of Total",'Pivot-HS Student % of Undergrad'!$A$3,"State","TX","Category",2,"Category2","Four-Year")</f>
        <v>5.3957809928358901E-3</v>
      </c>
      <c r="U27" s="230">
        <f t="shared" si="0"/>
        <v>0.12647092486574324</v>
      </c>
      <c r="V27" s="219">
        <f>+GETPIVOTDATA("Sum of Old-HS % of Total",'Pivot-HS Student % of Undergrad'!$A$3,"State","TX","Category",3,"Category2","Four-Year")</f>
        <v>2.369287032530169E-2</v>
      </c>
      <c r="W27" s="230">
        <f t="shared" si="1"/>
        <v>-1.9446213084439376E-2</v>
      </c>
      <c r="X27" s="219">
        <f>+GETPIVOTDATA("Sum of Old-HS % of Total",'Pivot-HS Student % of Undergrad'!$A$3,"State","TX","Category",4,"Category2","Four-Year")</f>
        <v>1.4317110537882831E-3</v>
      </c>
      <c r="Y27" s="230">
        <f t="shared" si="2"/>
        <v>7.0936015239639522E-2</v>
      </c>
      <c r="Z27" s="219">
        <f>+GETPIVOTDATA("Sum of Old-HS % of Total",'Pivot-HS Student % of Undergrad'!$A$3,"State","TX","Category",5,"Category2","Four-Year")</f>
        <v>0</v>
      </c>
      <c r="AA27" s="230">
        <f t="shared" si="3"/>
        <v>0.28515245849699006</v>
      </c>
      <c r="AB27" s="219">
        <f>+GETPIVOTDATA("Sum of Old-HS % of Total",'Pivot-HS Student % of Undergrad'!$A$3,"State","TX","Category",6,"Category2","Four-Year")</f>
        <v>0</v>
      </c>
      <c r="AC27" s="230">
        <f t="shared" si="4"/>
        <v>0</v>
      </c>
      <c r="AD27" s="219">
        <f>+GETPIVOTDATA("Sum of Old-HS % of Total",'Pivot-HS Student % of Undergrad'!$A$3,"State","TX","Category2","Four-Year")</f>
        <v>8.5377499657976873E-3</v>
      </c>
      <c r="AE27" s="230">
        <f t="shared" si="5"/>
        <v>8.6237767916734834E-3</v>
      </c>
      <c r="AF27" s="15" t="s">
        <v>790</v>
      </c>
      <c r="AH27" s="220" t="s">
        <v>790</v>
      </c>
      <c r="AI27" s="231">
        <f t="shared" si="6"/>
        <v>0.10611841074161645</v>
      </c>
      <c r="AJ27" s="231">
        <f t="shared" si="7"/>
        <v>0.6660490241493322</v>
      </c>
      <c r="AK27" s="231">
        <f t="shared" si="8"/>
        <v>2.3498408194457294</v>
      </c>
      <c r="AL27" s="231">
        <f t="shared" si="9"/>
        <v>0.21410712061846782</v>
      </c>
      <c r="AM27" s="231">
        <f t="shared" si="10"/>
        <v>0.28515245849699006</v>
      </c>
      <c r="AN27" s="231">
        <f t="shared" si="11"/>
        <v>0</v>
      </c>
      <c r="AO27" s="231">
        <f t="shared" si="12"/>
        <v>0.86239877337144222</v>
      </c>
      <c r="AQ27" s="220" t="s">
        <v>790</v>
      </c>
      <c r="AR27" s="231">
        <f t="shared" si="13"/>
        <v>0.10083700718163567</v>
      </c>
      <c r="AS27" s="231">
        <f t="shared" si="14"/>
        <v>0.53957809928358902</v>
      </c>
      <c r="AT27" s="231">
        <f t="shared" si="15"/>
        <v>2.3692870325301691</v>
      </c>
      <c r="AU27" s="231">
        <f t="shared" si="16"/>
        <v>0.1431711053788283</v>
      </c>
      <c r="AV27" s="231">
        <f t="shared" si="17"/>
        <v>0</v>
      </c>
      <c r="AW27" s="231">
        <f t="shared" si="18"/>
        <v>0</v>
      </c>
      <c r="AX27" s="231">
        <f t="shared" si="19"/>
        <v>0.85377499657976874</v>
      </c>
    </row>
    <row r="28" spans="1:50" ht="15" customHeight="1">
      <c r="A28" s="15" t="s">
        <v>791</v>
      </c>
      <c r="B28" s="227">
        <f>+GETPIVOTDATA("Sum of New-Total Undg SCH FTE",'FTE Pivot for regular counts'!$A$2,"State","VA","Category",1,"Category2","Four-Year")</f>
        <v>109154.79999999999</v>
      </c>
      <c r="C28" s="228">
        <f>+GETPIVOTDATA("Sum of New-HS % of Total",'Pivot-HS Student % of Undergrad'!$A$3,"State","VA","Category",1,"Category2","Four-Year")</f>
        <v>8.2650205640674226E-3</v>
      </c>
      <c r="D28" s="216">
        <f>+GETPIVOTDATA("Sum of New-Total Undg SCH FTE",'FTE Pivot for regular counts'!$A$2,"State","VA","Category",2,"Category2","Four-Year")</f>
        <v>6138.1166666666668</v>
      </c>
      <c r="E28" s="228">
        <f>+GETPIVOTDATA("Sum of New-HS % of Total",'Pivot-HS Student % of Undergrad'!$A$3,"State","VA","Category",2,"Category2","Four-Year")</f>
        <v>0</v>
      </c>
      <c r="F28" s="216">
        <f>+GETPIVOTDATA("Sum of New-Total Undg SCH FTE",'FTE Pivot for regular counts'!$A$2,"State","VA","Category",3,"Category2","Four-Year")</f>
        <v>43821.263333333329</v>
      </c>
      <c r="G28" s="228">
        <f>+GETPIVOTDATA("Sum of New-HS % of Total",'Pivot-HS Student % of Undergrad'!$A$3,"State","VA","Category",3,"Category2","Four-Year")</f>
        <v>6.7197210730042091E-3</v>
      </c>
      <c r="H28" s="216">
        <f>+GETPIVOTDATA("Sum of New-Total Undg SCH FTE",'FTE Pivot for regular counts'!$A$2,"State","VA","Category",4,"Category2","Four-Year")</f>
        <v>0</v>
      </c>
      <c r="I28" s="233">
        <f>+GETPIVOTDATA("Sum of New-HS % of Total",'Pivot-HS Student % of Undergrad'!$A$3,"State","VA","Category",4,"Category2","Four-Year")</f>
        <v>0</v>
      </c>
      <c r="J28" s="216">
        <f>+GETPIVOTDATA("Sum of New-Total Undg SCH FTE",'FTE Pivot for regular counts'!$A$2,"State","VA","Category",5,"Category2","Four-Year")</f>
        <v>4663.7</v>
      </c>
      <c r="K28" s="233">
        <f>+GETPIVOTDATA("Sum of New-HS % of Total",'Pivot-HS Student % of Undergrad'!$A$3,"State","VA","Category",5,"Category2","Four-Year")</f>
        <v>4.9317065849004008E-4</v>
      </c>
      <c r="L28" s="216">
        <f>+GETPIVOTDATA("Sum of New-Total Undg SCH FTE",'FTE Pivot for regular counts'!$A$2,"State","VA","Category",6,"Category2","Four-Year")</f>
        <v>1527.6666666666667</v>
      </c>
      <c r="M28" s="228">
        <f>+GETPIVOTDATA("Sum of New-HS % of Total",'Pivot-HS Student % of Undergrad'!$A$3,"State","VA","Category",6,"Category2","Four-Year")</f>
        <v>4.5821514291948503E-3</v>
      </c>
      <c r="N28" s="216">
        <f>+GETPIVOTDATA("Sum of New-Total Undg SCH FTE",'FTE Pivot for regular counts'!$A$2,"State","VA","Category2","Four-Year")</f>
        <v>165305.54666666666</v>
      </c>
      <c r="O28" s="228">
        <f>+GETPIVOTDATA("Sum of New-HS % of Total",'Pivot-HS Student % of Undergrad'!$A$3,"State","VA","Category2","Group1")</f>
        <v>7.2951776734089821E-3</v>
      </c>
      <c r="Q28" s="15" t="s">
        <v>791</v>
      </c>
      <c r="R28" s="229">
        <f>+GETPIVOTDATA("Sum of Old-HS % of Total",'Pivot-HS Student % of Undergrad'!$A$3,"State","VA","Category",1,"Category2","Four-Year")</f>
        <v>7.9530699816277046E-3</v>
      </c>
      <c r="S28" s="230">
        <f>(C28-R28)*100</f>
        <v>3.1195058243971806E-2</v>
      </c>
      <c r="T28" s="219">
        <f>+GETPIVOTDATA("Sum of Old-HS % of Total",'Pivot-HS Student % of Undergrad'!$A$3,"State","VA","Category",2,"Category2","Four-Year")</f>
        <v>0</v>
      </c>
      <c r="U28" s="230">
        <f t="shared" si="0"/>
        <v>0</v>
      </c>
      <c r="V28" s="219">
        <f>+GETPIVOTDATA("Sum of Old-HS % of Total",'Pivot-HS Student % of Undergrad'!$A$3,"State","VA","Category",3,"Category2","Four-Year")</f>
        <v>5.8876436073316751E-3</v>
      </c>
      <c r="W28" s="230">
        <f t="shared" si="1"/>
        <v>8.320774656725341E-2</v>
      </c>
      <c r="X28" s="219">
        <f>+GETPIVOTDATA("Sum of Old-HS % of Total",'Pivot-HS Student % of Undergrad'!$A$3,"State","VA","Category",4,"Category2","Four-Year")</f>
        <v>0</v>
      </c>
      <c r="Y28" s="230">
        <f t="shared" si="2"/>
        <v>0</v>
      </c>
      <c r="Z28" s="219">
        <f>+GETPIVOTDATA("Sum of Old-HS % of Total",'Pivot-HS Student % of Undergrad'!$A$3,"State","VA","Category",5,"Category2","Four-Year")</f>
        <v>9.5303311613590953E-4</v>
      </c>
      <c r="AA28" s="232">
        <f t="shared" si="3"/>
        <v>-4.5986245764586944E-2</v>
      </c>
      <c r="AB28" s="219">
        <f>+GETPIVOTDATA("Sum of Old-HS % of Total",'Pivot-HS Student % of Undergrad'!$A$3,"State","VA","Category",6,"Category2","Four-Year")</f>
        <v>1.1675335045428059E-2</v>
      </c>
      <c r="AC28" s="230">
        <f t="shared" si="4"/>
        <v>-0.70931836162332085</v>
      </c>
      <c r="AD28" s="219">
        <f>+GETPIVOTDATA("Sum of Old-HS % of Total",'Pivot-HS Student % of Undergrad'!$A$3,"State","VA","Category2","Four-Year")</f>
        <v>6.9301838472717817E-3</v>
      </c>
      <c r="AE28" s="230">
        <f t="shared" si="5"/>
        <v>3.6499382613720044E-2</v>
      </c>
      <c r="AF28" s="15" t="s">
        <v>791</v>
      </c>
      <c r="AH28" s="220" t="s">
        <v>791</v>
      </c>
      <c r="AI28" s="231">
        <f t="shared" si="6"/>
        <v>0.82650205640674224</v>
      </c>
      <c r="AJ28" s="231">
        <f t="shared" si="7"/>
        <v>0</v>
      </c>
      <c r="AK28" s="231">
        <f t="shared" si="8"/>
        <v>0.6719721073004209</v>
      </c>
      <c r="AL28" s="231">
        <f t="shared" si="9"/>
        <v>0</v>
      </c>
      <c r="AM28" s="231">
        <f t="shared" si="10"/>
        <v>4.9317065849004006E-2</v>
      </c>
      <c r="AN28" s="231">
        <f t="shared" si="11"/>
        <v>0.45821514291948501</v>
      </c>
      <c r="AO28" s="231">
        <f t="shared" si="12"/>
        <v>0.72951776734089824</v>
      </c>
      <c r="AQ28" s="220" t="s">
        <v>791</v>
      </c>
      <c r="AR28" s="231">
        <f t="shared" si="13"/>
        <v>0.79530699816277051</v>
      </c>
      <c r="AS28" s="231">
        <f t="shared" si="14"/>
        <v>0</v>
      </c>
      <c r="AT28" s="231">
        <f t="shared" si="15"/>
        <v>0.58876436073316751</v>
      </c>
      <c r="AU28" s="231">
        <f t="shared" si="16"/>
        <v>0</v>
      </c>
      <c r="AV28" s="231">
        <f t="shared" si="17"/>
        <v>9.5303311613590957E-2</v>
      </c>
      <c r="AW28" s="231">
        <f t="shared" si="18"/>
        <v>1.1675335045428059</v>
      </c>
      <c r="AX28" s="231">
        <f t="shared" si="19"/>
        <v>0.69301838472717814</v>
      </c>
    </row>
    <row r="29" spans="1:50" ht="15" customHeight="1">
      <c r="A29" s="234" t="s">
        <v>792</v>
      </c>
      <c r="B29" s="235">
        <f>+GETPIVOTDATA("Sum of New-Total Undg SCH FTE",'FTE Pivot for regular counts'!$A$2,"State","WV","Category",1,"Category2","Four-Year")</f>
        <v>20253.849999999999</v>
      </c>
      <c r="C29" s="236">
        <f>+GETPIVOTDATA("Sum of New-HS % of Total",'Pivot-HS Student % of Undergrad'!$A$3,"State","WV","Category",1,"Category2","Four-Year")</f>
        <v>9.0419023214516423E-3</v>
      </c>
      <c r="D29" s="237">
        <f>+GETPIVOTDATA("Sum of New-Total Undg SCH FTE",'FTE Pivot for regular counts'!$A$2,"State","WV","Category",2,"Category2","Four-Year")</f>
        <v>0</v>
      </c>
      <c r="E29" s="236">
        <f>+GETPIVOTDATA("Sum of New-HS % of Total",'Pivot-HS Student % of Undergrad'!$A$3,"State","WV","Category",2,"Category2","Four-Year")</f>
        <v>0</v>
      </c>
      <c r="F29" s="237">
        <f>+GETPIVOTDATA("Sum of New-Total Undg SCH FTE",'FTE Pivot for regular counts'!$A$2,"State","WV","Category",3,"Category2","Four-Year")</f>
        <v>8151.9</v>
      </c>
      <c r="G29" s="236">
        <f>+GETPIVOTDATA("Sum of New-HS % of Total",'Pivot-HS Student % of Undergrad'!$A$3,"State","WV","Category",3,"Category2","Four-Year")</f>
        <v>6.340035247406535E-2</v>
      </c>
      <c r="H29" s="237">
        <f>+GETPIVOTDATA("Sum of New-Total Undg SCH FTE",'FTE Pivot for regular counts'!$A$2,"State","WV","Category",4,"Category2","Four-Year")</f>
        <v>0</v>
      </c>
      <c r="I29" s="236">
        <f>+GETPIVOTDATA("Sum of Old-HS % of Total",'Pivot-HS Student % of Undergrad'!$A$3,"State","WV","Category",4,"Category2","Four-Year")</f>
        <v>0</v>
      </c>
      <c r="J29" s="237">
        <f>+GETPIVOTDATA("Sum of New-Total Undg SCH FTE",'FTE Pivot for regular counts'!$A$2,"State","WV","Category",5,"Category2","Four-Year")</f>
        <v>9511.1833333333343</v>
      </c>
      <c r="K29" s="238">
        <f>+GETPIVOTDATA("Sum of New-HS % of Total",'Pivot-HS Student % of Undergrad'!$A$3,"State","WV","Category",5,"Category2","Four-Year")</f>
        <v>1.5595675967413798E-2</v>
      </c>
      <c r="L29" s="237">
        <f>+GETPIVOTDATA("Sum of New-Total Undg SCH FTE",'FTE Pivot for regular counts'!$A$2,"State","WV","Category",6,"Category2","Four-Year")</f>
        <v>5923.5999999999995</v>
      </c>
      <c r="M29" s="236">
        <f>GETPIVOTDATA("Sum of New-HS % of Total",'Pivot-HS Student % of Undergrad'!$A$3,"State","WV","Category",6,"Category2","Four-Year")</f>
        <v>0.15068539401715172</v>
      </c>
      <c r="N29" s="237">
        <f>+GETPIVOTDATA("Sum of New-Total Undg SCH FTE",'FTE Pivot for regular counts'!$A$2,"State","WV","Category2","Four-Year")</f>
        <v>43840.533333333333</v>
      </c>
      <c r="O29" s="236">
        <f>+GETPIVOTDATA("Sum of New-HS % of Total",'Pivot-HS Student % of Undergrad'!$A$3,"State","WV","Category2","Group1")</f>
        <v>3.97098271310568E-2</v>
      </c>
      <c r="Q29" s="234" t="s">
        <v>792</v>
      </c>
      <c r="R29" s="239">
        <f>+GETPIVOTDATA("Sum of Old-HS % of Total",'Pivot-HS Student % of Undergrad'!$A$3,"State","WV","Category",1,"Category2","Four-Year")</f>
        <v>7.9476052716168435E-3</v>
      </c>
      <c r="S29" s="240">
        <f>(C29-R29)*100</f>
        <v>0.10942970498347987</v>
      </c>
      <c r="T29" s="241">
        <f>+GETPIVOTDATA("Sum of Old-HS % of Total",'Pivot-HS Student % of Undergrad'!$A$3,"State","WV","Category",2,"Category2","Four-Year")</f>
        <v>0</v>
      </c>
      <c r="U29" s="240">
        <f t="shared" si="0"/>
        <v>0</v>
      </c>
      <c r="V29" s="241">
        <f>+GETPIVOTDATA("Sum of Old-HS % of Total",'Pivot-HS Student % of Undergrad'!$A$3,"State","WV","Category",3,"Category2","Four-Year")</f>
        <v>5.2530695931561622E-2</v>
      </c>
      <c r="W29" s="240">
        <f t="shared" si="1"/>
        <v>1.0869656542503727</v>
      </c>
      <c r="X29" s="241">
        <f>+GETPIVOTDATA("Sum of Old-HS % of Total",'Pivot-HS Student % of Undergrad'!$A$3,"State","WV","Category",4,"Category2","Four-Year")</f>
        <v>0</v>
      </c>
      <c r="Y29" s="240">
        <f t="shared" si="2"/>
        <v>0</v>
      </c>
      <c r="Z29" s="241">
        <f>GETPIVOTDATA("Sum of Old-HS % of Total",'Pivot-HS Student % of Undergrad'!$A$3,"State","WV","Category",5,"Category2","Four-Year")</f>
        <v>1.1411939187949369E-2</v>
      </c>
      <c r="AA29" s="240">
        <f t="shared" si="3"/>
        <v>0.41837367794644292</v>
      </c>
      <c r="AB29" s="241">
        <f>GETPIVOTDATA("Sum of Old-HS % of Total",'Pivot-HS Student % of Undergrad'!$A$3,"State","WV","Category",6,"Category2","Four-Year")</f>
        <v>0.12150215726480122</v>
      </c>
      <c r="AC29" s="240">
        <f t="shared" si="4"/>
        <v>2.9183236752350501</v>
      </c>
      <c r="AD29" s="241">
        <f>+GETPIVOTDATA("Sum of Old-HS % of Total",'Pivot-HS Student % of Undergrad'!$A$3,"State","WV","Category2","Four-Year")</f>
        <v>3.2022657668564915E-2</v>
      </c>
      <c r="AE29" s="240">
        <f t="shared" si="5"/>
        <v>0.76871694624918852</v>
      </c>
      <c r="AF29" s="234" t="s">
        <v>792</v>
      </c>
      <c r="AH29" s="242" t="s">
        <v>792</v>
      </c>
      <c r="AI29" s="243">
        <f t="shared" si="6"/>
        <v>0.90419023214516425</v>
      </c>
      <c r="AJ29" s="243">
        <f t="shared" si="7"/>
        <v>0</v>
      </c>
      <c r="AK29" s="243">
        <f t="shared" si="8"/>
        <v>6.3400352474065347</v>
      </c>
      <c r="AL29" s="243">
        <f t="shared" si="9"/>
        <v>0</v>
      </c>
      <c r="AM29" s="243">
        <f t="shared" si="10"/>
        <v>1.5595675967413798</v>
      </c>
      <c r="AN29" s="243">
        <f t="shared" si="11"/>
        <v>15.068539401715173</v>
      </c>
      <c r="AO29" s="243">
        <f t="shared" si="12"/>
        <v>3.9709827131056801</v>
      </c>
      <c r="AQ29" s="242" t="s">
        <v>792</v>
      </c>
      <c r="AR29" s="244">
        <f t="shared" si="13"/>
        <v>0.79476052716168433</v>
      </c>
      <c r="AS29" s="243">
        <f t="shared" si="14"/>
        <v>0</v>
      </c>
      <c r="AT29" s="243">
        <f t="shared" si="15"/>
        <v>5.2530695931561624</v>
      </c>
      <c r="AU29" s="243">
        <f t="shared" si="16"/>
        <v>0</v>
      </c>
      <c r="AV29" s="243">
        <f t="shared" si="17"/>
        <v>1.1411939187949369</v>
      </c>
      <c r="AW29" s="243">
        <f t="shared" si="18"/>
        <v>12.150215726480122</v>
      </c>
      <c r="AX29" s="243">
        <f t="shared" si="19"/>
        <v>3.2022657668564913</v>
      </c>
    </row>
    <row r="30" spans="1:50" ht="23.25" customHeight="1">
      <c r="A30" s="607" t="s">
        <v>957</v>
      </c>
      <c r="B30" s="608"/>
      <c r="C30" s="608"/>
      <c r="D30" s="608"/>
      <c r="E30" s="608"/>
      <c r="F30" s="608"/>
      <c r="G30" s="608"/>
      <c r="H30" s="608"/>
      <c r="I30" s="609"/>
      <c r="J30" s="609"/>
      <c r="K30" s="609"/>
      <c r="L30" s="609"/>
      <c r="M30" s="609"/>
      <c r="N30" s="609"/>
      <c r="O30" s="609"/>
    </row>
    <row r="31" spans="1:50">
      <c r="A31" s="245"/>
      <c r="B31" s="246"/>
      <c r="C31" s="246"/>
      <c r="D31" s="246"/>
      <c r="E31" s="246"/>
      <c r="F31" s="246"/>
      <c r="G31" s="246"/>
      <c r="J31" s="246"/>
      <c r="K31" s="246"/>
      <c r="L31" s="246"/>
      <c r="M31" s="246"/>
      <c r="N31" s="246"/>
      <c r="O31" s="247" t="s">
        <v>953</v>
      </c>
    </row>
    <row r="32" spans="1:50" ht="18">
      <c r="A32" s="184" t="s">
        <v>793</v>
      </c>
      <c r="B32" s="190"/>
      <c r="C32" s="190"/>
      <c r="D32" s="190"/>
      <c r="E32" s="190"/>
      <c r="F32" s="248"/>
      <c r="G32" s="190"/>
      <c r="H32" s="190"/>
      <c r="I32" s="246"/>
      <c r="J32" s="246"/>
      <c r="K32" s="246"/>
      <c r="L32" s="246"/>
      <c r="M32" s="246"/>
      <c r="N32" s="246"/>
    </row>
    <row r="33" spans="1:14" ht="15.5">
      <c r="A33" s="190"/>
      <c r="B33" s="190"/>
      <c r="C33" s="190"/>
      <c r="D33" s="190"/>
      <c r="E33" s="190"/>
      <c r="F33" s="190"/>
      <c r="G33" s="190"/>
      <c r="H33" s="190"/>
      <c r="I33" s="246"/>
      <c r="J33" s="246"/>
      <c r="K33" s="246"/>
      <c r="L33" s="246"/>
      <c r="M33" s="246"/>
      <c r="N33" s="246"/>
    </row>
    <row r="34" spans="1:14" ht="15.5">
      <c r="A34" s="190" t="s">
        <v>794</v>
      </c>
      <c r="B34" s="190"/>
      <c r="C34" s="190"/>
      <c r="D34" s="190"/>
      <c r="E34" s="190"/>
      <c r="F34" s="190"/>
      <c r="G34" s="190"/>
      <c r="H34" s="190"/>
      <c r="I34" s="246"/>
      <c r="J34" s="246"/>
      <c r="K34" s="246"/>
      <c r="L34" s="246"/>
      <c r="M34" s="246"/>
      <c r="N34" s="246"/>
    </row>
    <row r="35" spans="1:14" ht="15.5">
      <c r="A35" s="190" t="s">
        <v>948</v>
      </c>
      <c r="B35" s="190"/>
      <c r="C35" s="190"/>
      <c r="D35" s="190"/>
      <c r="E35" s="190"/>
      <c r="F35" s="190"/>
      <c r="G35" s="190"/>
      <c r="H35" s="190"/>
    </row>
    <row r="37" spans="1:14" ht="15" customHeight="1">
      <c r="A37" s="193"/>
      <c r="B37" s="193" t="s">
        <v>749</v>
      </c>
      <c r="C37" s="193"/>
      <c r="D37" s="193"/>
      <c r="E37" s="193"/>
      <c r="F37" s="193"/>
      <c r="G37" s="193"/>
      <c r="H37" s="249"/>
    </row>
    <row r="38" spans="1:14" ht="15" customHeight="1">
      <c r="A38" s="250"/>
      <c r="B38" s="251">
        <v>1</v>
      </c>
      <c r="C38" s="251">
        <v>2</v>
      </c>
      <c r="D38" s="251">
        <v>3</v>
      </c>
      <c r="E38" s="251">
        <v>4</v>
      </c>
      <c r="F38" s="251">
        <v>5</v>
      </c>
      <c r="G38" s="252">
        <v>6</v>
      </c>
      <c r="H38" s="251" t="s">
        <v>761</v>
      </c>
    </row>
    <row r="39" spans="1:14" ht="15" customHeight="1">
      <c r="A39" s="15" t="s">
        <v>769</v>
      </c>
      <c r="B39" s="253">
        <f>+GETPIVOTDATA("Sum of New-Total Grad FTE",'FTE Pivot for regular counts'!$A$2,"Category",1,"Category2","Four-Year")</f>
        <v>202254.19583333333</v>
      </c>
      <c r="C39" s="253">
        <f>+GETPIVOTDATA("Sum of New-Total Grad FTE",'FTE Pivot for regular counts'!$A$2,"Category",2,"Category2","Four-Year")</f>
        <v>47048.062499999993</v>
      </c>
      <c r="D39" s="253">
        <f>+GETPIVOTDATA("Sum of New-Total Grad FTE",'FTE Pivot for regular counts'!$A$2,"Category",3,"Category2","Four-Year")</f>
        <v>82443.087500000009</v>
      </c>
      <c r="E39" s="253">
        <f>+GETPIVOTDATA("Sum of New-Total Grad FTE",'FTE Pivot for regular counts'!$A$2,"Category",4,"Category2","Four-Year")</f>
        <v>23482.041666666672</v>
      </c>
      <c r="F39" s="253">
        <f>+GETPIVOTDATA("Sum of New-Total Grad FTE",'FTE Pivot for regular counts'!$A$2,"Category",5,"Category2","Four-Year")</f>
        <v>8901.6666666666661</v>
      </c>
      <c r="G39" s="254">
        <f>+GETPIVOTDATA("Sum of New-Total Grad FTE",'FTE Pivot for regular counts'!$A$2,"Category",6,"Category2","Four-Year")</f>
        <v>1168.0416666666667</v>
      </c>
      <c r="H39" s="253">
        <f>+GETPIVOTDATA("Sum of New-Total Grad FTE",'FTE Pivot for regular counts'!$A$2,"Category2","Four-Year")</f>
        <v>365297.09583333333</v>
      </c>
    </row>
    <row r="40" spans="1:14" ht="15" customHeight="1">
      <c r="B40" s="253"/>
      <c r="C40" s="253"/>
      <c r="D40" s="253"/>
      <c r="E40" s="253"/>
      <c r="F40" s="253"/>
      <c r="G40" s="254"/>
      <c r="H40" s="253"/>
    </row>
    <row r="41" spans="1:14" ht="15" customHeight="1">
      <c r="A41" s="15" t="s">
        <v>777</v>
      </c>
      <c r="B41" s="253">
        <f>+GETPIVOTDATA("Sum of New-Total Grad FTE",'FTE Pivot for regular counts'!$A$2,"State","AL","Category",1,"Category2","Four-Year")</f>
        <v>11073.583333333334</v>
      </c>
      <c r="C41" s="253">
        <f>+GETPIVOTDATA("Sum of New-Total Grad FTE",'FTE Pivot for regular counts'!$A$2,"State","AL","Category",2,"Category2","Four-Year")</f>
        <v>2025.5833333333335</v>
      </c>
      <c r="D41" s="253">
        <f>+GETPIVOTDATA("Sum of New-Total Grad FTE",'FTE Pivot for regular counts'!$A$2,"State","AL","Category",3,"Category2","Four-Year")</f>
        <v>4185.5</v>
      </c>
      <c r="E41" s="253">
        <f>+GETPIVOTDATA("Sum of New-Total Grad FTE",'FTE Pivot for regular counts'!$A$2,"State","AL","Category",4,"Category2","Four-Year")</f>
        <v>959.625</v>
      </c>
      <c r="F41" s="253">
        <f>+GETPIVOTDATA("Sum of New-Total Grad FTE",'FTE Pivot for regular counts'!$A$2,"State","AL","Category",5,"Category2","Four-Year")</f>
        <v>2964</v>
      </c>
      <c r="G41" s="254">
        <f>+GETPIVOTDATA("Sum of New-Total Grad FTE",'FTE Pivot for regular counts'!$A$2,"State","AL","Category",6,"Category2","Four-Year")</f>
        <v>100.625</v>
      </c>
      <c r="H41" s="253">
        <f>+GETPIVOTDATA("Sum of New-Total Grad FTE",'FTE Pivot for regular counts'!$A$2,"State","AL","Category2","Four-Year")</f>
        <v>21308.916666666668</v>
      </c>
    </row>
    <row r="42" spans="1:14" ht="15" customHeight="1">
      <c r="A42" s="15" t="s">
        <v>778</v>
      </c>
      <c r="B42" s="253">
        <f>+GETPIVOTDATA("Sum of New-Total Grad FTE",'FTE Pivot for regular counts'!$A$2,"State","AR","Category",1,"Category2","Four-Year")</f>
        <v>3231.7916666666665</v>
      </c>
      <c r="C42" s="253">
        <f>+GETPIVOTDATA("Sum of New-Total Grad FTE",'FTE Pivot for regular counts'!$A$2,"State","AR","Category",2,"Category2","Four-Year")</f>
        <v>1635.3333333333333</v>
      </c>
      <c r="D42" s="253">
        <f>+GETPIVOTDATA("Sum of New-Total Grad FTE",'FTE Pivot for regular counts'!$A$2,"State","AR","Category",3,"Category2","Four-Year")</f>
        <v>6366.458333333333</v>
      </c>
      <c r="E42" s="253">
        <f>+GETPIVOTDATA("Sum of New-Total Grad FTE",'FTE Pivot for regular counts'!$A$2,"State","AR","Category",4,"Category2","Four-Year")</f>
        <v>1282.8333333333333</v>
      </c>
      <c r="F42" s="253">
        <f>+GETPIVOTDATA("Sum of New-Total Grad FTE",'FTE Pivot for regular counts'!$A$2,"State","AR","Category",5,"Category2","Four-Year")</f>
        <v>0</v>
      </c>
      <c r="G42" s="254">
        <f>+GETPIVOTDATA("Sum of New-Total Grad FTE",'FTE Pivot for regular counts'!$A$2,"State","AR","Category",6,"Category2","Four-Year")</f>
        <v>96.916666666666671</v>
      </c>
      <c r="H42" s="253">
        <f>+GETPIVOTDATA("Sum of New-Total Grad FTE",'FTE Pivot for regular counts'!$A$2,"State","AR","Category2","Four-Year")</f>
        <v>12613.333333333332</v>
      </c>
    </row>
    <row r="43" spans="1:14" ht="15" customHeight="1">
      <c r="A43" s="15" t="s">
        <v>779</v>
      </c>
      <c r="B43" s="253">
        <f>+GETPIVOTDATA("Sum of New-Total Grad FTE",'FTE Pivot for regular counts'!$A$2,"State","DE","Category",1,"Category2","Four-Year")</f>
        <v>3160.5</v>
      </c>
      <c r="C43" s="253">
        <f>+GETPIVOTDATA("Sum of New-Total Grad FTE",'FTE Pivot for regular counts'!$A$2,"State","DE","Category",2,"Category2","Four-Year")</f>
        <v>0</v>
      </c>
      <c r="D43" s="253">
        <f>+GETPIVOTDATA("Sum of New-Total Grad FTE",'FTE Pivot for regular counts'!$A$2,"State","DE","Category",3,"Category2","Four-Year")</f>
        <v>301.79166666666669</v>
      </c>
      <c r="E43" s="253">
        <f>+GETPIVOTDATA("Sum of New-Total Grad FTE",'FTE Pivot for regular counts'!$A$2,"State","DE","Category",4,"Category2","Four-Year")</f>
        <v>0</v>
      </c>
      <c r="F43" s="253">
        <f>+GETPIVOTDATA("Sum of New-Total Grad FTE",'FTE Pivot for regular counts'!$A$2,"State","DE","Category",5,"Category2","Four-Year")</f>
        <v>0</v>
      </c>
      <c r="G43" s="254">
        <f>+GETPIVOTDATA("Sum of New-Total Grad FTE",'FTE Pivot for regular counts'!$A$2,"State","DE","Category",6,"Category2","Four-Year")</f>
        <v>0</v>
      </c>
      <c r="H43" s="253">
        <f>+GETPIVOTDATA("Sum of New-Total Grad FTE",'FTE Pivot for regular counts'!$A$2,"State","DE","Category2","Four-Year")</f>
        <v>3462.2916666666665</v>
      </c>
      <c r="N43" s="255"/>
    </row>
    <row r="44" spans="1:14" ht="15" customHeight="1">
      <c r="A44" s="15" t="s">
        <v>780</v>
      </c>
      <c r="B44" s="253">
        <f>+GETPIVOTDATA("Sum of New-Total Grad FTE",'FTE Pivot for regular counts'!$A$2,"State","FL","Category",1,"Category2","Four-Year")</f>
        <v>0</v>
      </c>
      <c r="C44" s="253">
        <f>+GETPIVOTDATA("Sum of New-Total Grad FTE",'FTE Pivot for regular counts'!$A$2,"State","FL","Category",2,"Category2","Four-Year")</f>
        <v>0</v>
      </c>
      <c r="D44" s="253">
        <f>+GETPIVOTDATA("Sum of New-Total Grad FTE",'FTE Pivot for regular counts'!$A$2,"State","FL","Category",3,"Category2","Four-Year")</f>
        <v>0</v>
      </c>
      <c r="E44" s="253">
        <f>+GETPIVOTDATA("Sum of New-Total Grad FTE",'FTE Pivot for regular counts'!$A$2,"State","FL","Category",4,"Category2","Four-Year")</f>
        <v>0</v>
      </c>
      <c r="F44" s="253">
        <f>+GETPIVOTDATA("Sum of New-Total Grad FTE",'FTE Pivot for regular counts'!$A$2,"State","FL","Category",5,"Category2","Four-Year")</f>
        <v>0</v>
      </c>
      <c r="G44" s="254">
        <f>+GETPIVOTDATA("Sum of New-Total Grad FTE",'FTE Pivot for regular counts'!$A$2,"State","FL","Category",6,"Category2","Four-Year")</f>
        <v>0</v>
      </c>
      <c r="H44" s="253">
        <f>+GETPIVOTDATA("Sum of New-Total Grad FTE",'FTE Pivot for regular counts'!$A$2,"State","FL","Category2","Four-Year")</f>
        <v>0</v>
      </c>
    </row>
    <row r="45" spans="1:14" ht="15" customHeight="1">
      <c r="B45" s="253"/>
      <c r="C45" s="253"/>
      <c r="D45" s="253"/>
      <c r="E45" s="253"/>
      <c r="F45" s="253"/>
      <c r="G45" s="254"/>
      <c r="H45" s="253"/>
    </row>
    <row r="46" spans="1:14" ht="15" customHeight="1">
      <c r="A46" s="15" t="s">
        <v>781</v>
      </c>
      <c r="B46" s="253">
        <f>+GETPIVOTDATA("Sum of New-Total Grad FTE",'FTE Pivot for regular counts'!$A$2,"State","GA","Category",1,"Category2","Four-Year")</f>
        <v>21089.300000000003</v>
      </c>
      <c r="C46" s="253">
        <f>+GETPIVOTDATA("Sum of New-Total Grad FTE",'FTE Pivot for regular counts'!$A$2,"State","GA","Category",2,"Category2","Four-Year")</f>
        <v>15662.729166666666</v>
      </c>
      <c r="D46" s="253">
        <f>+GETPIVOTDATA("Sum of New-Total Grad FTE",'FTE Pivot for regular counts'!$A$2,"State","GA","Category",3,"Category2","Four-Year")</f>
        <v>8854.1291666666675</v>
      </c>
      <c r="E46" s="253">
        <f>+GETPIVOTDATA("Sum of New-Total Grad FTE",'FTE Pivot for regular counts'!$A$2,"State","GA","Category",4,"Category2","Four-Year")</f>
        <v>5963.833333333333</v>
      </c>
      <c r="F46" s="253">
        <f>+GETPIVOTDATA("Sum of New-Total Grad FTE",'FTE Pivot for regular counts'!$A$2,"State","GA","Category",5,"Category2","Four-Year")</f>
        <v>153.375</v>
      </c>
      <c r="G46" s="254">
        <f>+GETPIVOTDATA("Sum of New-Total Grad FTE",'FTE Pivot for regular counts'!$A$2,"State","GA","Category",6,"Category2","Four-Year")</f>
        <v>197.25</v>
      </c>
      <c r="H46" s="253">
        <f>+GETPIVOTDATA("Sum of New-Total Grad FTE",'FTE Pivot for regular counts'!$A$2,"State","GA","Category2","Four-Year")</f>
        <v>51920.616666666669</v>
      </c>
    </row>
    <row r="47" spans="1:14" ht="15" customHeight="1">
      <c r="A47" s="15" t="s">
        <v>782</v>
      </c>
      <c r="B47" s="253">
        <f>+GETPIVOTDATA("Sum of New-Total Grad FTE",'FTE Pivot for regular counts'!$A$2,"State","KY","Category",1,"Category2","Four-Year")</f>
        <v>6650.1041666666661</v>
      </c>
      <c r="C47" s="253">
        <f>+GETPIVOTDATA("Sum of New-Total Grad FTE",'FTE Pivot for regular counts'!$A$2,"State","KY","Category",2,"Category2","Four-Year")</f>
        <v>0</v>
      </c>
      <c r="D47" s="253">
        <f>+GETPIVOTDATA("Sum of New-Total Grad FTE",'FTE Pivot for regular counts'!$A$2,"State","KY","Category",3,"Category2","Four-Year")</f>
        <v>7058.395833333333</v>
      </c>
      <c r="E47" s="253">
        <f>+GETPIVOTDATA("Sum of New-Total Grad FTE",'FTE Pivot for regular counts'!$A$2,"State","KY","Category",4,"Category2","Four-Year")</f>
        <v>77.041666666666671</v>
      </c>
      <c r="F47" s="253">
        <f>+GETPIVOTDATA("Sum of New-Total Grad FTE",'FTE Pivot for regular counts'!$A$2,"State","KY","Category",5,"Category2","Four-Year")</f>
        <v>0</v>
      </c>
      <c r="G47" s="254">
        <f>+GETPIVOTDATA("Sum of New-Total Grad FTE",'FTE Pivot for regular counts'!$A$2,"State","KY","Category",6,"Category2","Four-Year")</f>
        <v>0</v>
      </c>
      <c r="H47" s="253">
        <f>+GETPIVOTDATA("Sum of New-Total Grad FTE",'FTE Pivot for regular counts'!$A$2,"State","KY","Category2","Four-Year")</f>
        <v>13785.541666666666</v>
      </c>
    </row>
    <row r="48" spans="1:14" ht="15" customHeight="1">
      <c r="A48" s="15" t="s">
        <v>783</v>
      </c>
      <c r="B48" s="253">
        <f>+GETPIVOTDATA("Sum of New-Total Grad FTE",'FTE Pivot for regular counts'!$A$2,"State","LA","Category",1,"Category2","Four-Year")</f>
        <v>5999.3125</v>
      </c>
      <c r="C48" s="253">
        <f>+GETPIVOTDATA("Sum of New-Total Grad FTE",'FTE Pivot for regular counts'!$A$2,"State","LA","Category",2,"Category2","Four-Year")</f>
        <v>3502.8333333333335</v>
      </c>
      <c r="D48" s="253">
        <f>+GETPIVOTDATA("Sum of New-Total Grad FTE",'FTE Pivot for regular counts'!$A$2,"State","LA","Category",3,"Category2","Four-Year")</f>
        <v>3419.125</v>
      </c>
      <c r="E48" s="253">
        <f>+GETPIVOTDATA("Sum of New-Total Grad FTE",'FTE Pivot for regular counts'!$A$2,"State","LA","Category",4,"Category2","Four-Year")</f>
        <v>5847.875</v>
      </c>
      <c r="F48" s="253">
        <f>+GETPIVOTDATA("Sum of New-Total Grad FTE",'FTE Pivot for regular counts'!$A$2,"State","LA","Category",5,"Category2","Four-Year")</f>
        <v>369.75</v>
      </c>
      <c r="G48" s="254">
        <f>+GETPIVOTDATA("Sum of New-Total Grad FTE",'FTE Pivot for regular counts'!$A$2,"State","LA","Category",6,"Category2","Four-Year")</f>
        <v>0</v>
      </c>
      <c r="H48" s="253">
        <f>+GETPIVOTDATA("Sum of New-Total Grad FTE",'FTE Pivot for regular counts'!$A$2,"State","LA","Category2","Four-Year")</f>
        <v>19138.895833333336</v>
      </c>
    </row>
    <row r="49" spans="1:13" ht="15" customHeight="1">
      <c r="A49" s="15" t="s">
        <v>784</v>
      </c>
      <c r="B49" s="253">
        <f>+GETPIVOTDATA("Sum of New-Total Grad FTE",'FTE Pivot for regular counts'!$A$2,"State","MD","Category",1,"Category2","Four-Year")</f>
        <v>6425.708333333333</v>
      </c>
      <c r="C49" s="253">
        <f>+GETPIVOTDATA("Sum of New-Total Grad FTE",'FTE Pivot for regular counts'!$A$2,"State","MD","Category",2,"Category2","Four-Year")</f>
        <v>2476.333333333333</v>
      </c>
      <c r="D49" s="253">
        <f>+GETPIVOTDATA("Sum of New-Total Grad FTE",'FTE Pivot for regular counts'!$A$2,"State","MD","Category",3,"Category2","Four-Year")</f>
        <v>3557.4375</v>
      </c>
      <c r="E49" s="253">
        <f>+GETPIVOTDATA("Sum of New-Total Grad FTE",'FTE Pivot for regular counts'!$A$2,"State","MD","Category",4,"Category2","Four-Year")</f>
        <v>2428.354166666667</v>
      </c>
      <c r="F49" s="253">
        <f>+GETPIVOTDATA("Sum of New-Total Grad FTE",'FTE Pivot for regular counts'!$A$2,"State","MD","Category",5,"Category2","Four-Year")</f>
        <v>191.29166666666666</v>
      </c>
      <c r="G49" s="254">
        <f>+GETPIVOTDATA("Sum of New-Total Grad FTE",'FTE Pivot for regular counts'!$A$2,"State","MD","Category",6,"Category2","Four-Year")</f>
        <v>46.75</v>
      </c>
      <c r="H49" s="253">
        <f>+GETPIVOTDATA("Sum of New-Total Grad FTE",'FTE Pivot for regular counts'!$A$2,"State","MD","Category2","Four-Year")</f>
        <v>15125.874999999998</v>
      </c>
    </row>
    <row r="50" spans="1:13" ht="15" customHeight="1">
      <c r="B50" s="253"/>
      <c r="C50" s="253"/>
      <c r="D50" s="253"/>
      <c r="E50" s="253"/>
      <c r="F50" s="253"/>
      <c r="G50" s="254"/>
      <c r="H50" s="253"/>
    </row>
    <row r="51" spans="1:13" ht="15" customHeight="1">
      <c r="A51" s="15" t="s">
        <v>785</v>
      </c>
      <c r="B51" s="253">
        <f>+GETPIVOTDATA("Sum of New-Total Grad FTE",'FTE Pivot for regular counts'!$A$2,"State","MS","Category",1,"Category2","Four-Year")</f>
        <v>7184.7083333333339</v>
      </c>
      <c r="C51" s="253">
        <f>+GETPIVOTDATA("Sum of New-Total Grad FTE",'FTE Pivot for regular counts'!$A$2,"State","MS","Category",2,"Category2","Four-Year")</f>
        <v>1237.2083333333333</v>
      </c>
      <c r="D51" s="253">
        <f>+GETPIVOTDATA("Sum of New-Total Grad FTE",'FTE Pivot for regular counts'!$A$2,"State","MS","Category",3,"Category2","Four-Year")</f>
        <v>0</v>
      </c>
      <c r="E51" s="253">
        <f>+GETPIVOTDATA("Sum of New-Total Grad FTE",'FTE Pivot for regular counts'!$A$2,"State","MS","Category",4,"Category2","Four-Year")</f>
        <v>1373.1041666666667</v>
      </c>
      <c r="F51" s="253">
        <f>+GETPIVOTDATA("Sum of New-Total Grad FTE",'FTE Pivot for regular counts'!$A$2,"State","MS","Category",5,"Category2","Four-Year")</f>
        <v>0</v>
      </c>
      <c r="G51" s="254">
        <f>+GETPIVOTDATA("Sum of New-Total Grad FTE",'FTE Pivot for regular counts'!$A$2,"State","MS","Category",6,"Category2","Four-Year")</f>
        <v>0</v>
      </c>
      <c r="H51" s="253">
        <f>+GETPIVOTDATA("Sum of New-Total Grad FTE",'FTE Pivot for regular counts'!$A$2,"State","MS","Category2","Four-Year")</f>
        <v>9795.0208333333339</v>
      </c>
    </row>
    <row r="52" spans="1:13" ht="15" customHeight="1">
      <c r="A52" s="15" t="s">
        <v>786</v>
      </c>
      <c r="B52" s="253">
        <f>+GETPIVOTDATA("Sum of New-Total Grad FTE",'FTE Pivot for regular counts'!$A$2,"State","NC","Category",1,"Category2","Four-Year")</f>
        <v>21698.020833333332</v>
      </c>
      <c r="C52" s="253">
        <f>+GETPIVOTDATA("Sum of New-Total Grad FTE",'FTE Pivot for regular counts'!$A$2,"State","NC","Category",2,"Category2","Four-Year")</f>
        <v>3632.7083333333335</v>
      </c>
      <c r="D52" s="253">
        <f>+GETPIVOTDATA("Sum of New-Total Grad FTE",'FTE Pivot for regular counts'!$A$2,"State","NC","Category",3,"Category2","Four-Year")</f>
        <v>7242.5</v>
      </c>
      <c r="E52" s="253">
        <f>+GETPIVOTDATA("Sum of New-Total Grad FTE",'FTE Pivot for regular counts'!$A$2,"State","NC","Category",4,"Category2","Four-Year")</f>
        <v>597.41666666666663</v>
      </c>
      <c r="F52" s="253">
        <f>+GETPIVOTDATA("Sum of New-Total Grad FTE",'FTE Pivot for regular counts'!$A$2,"State","NC","Category",5,"Category2","Four-Year")</f>
        <v>1382.6666666666665</v>
      </c>
      <c r="G52" s="254">
        <f>+GETPIVOTDATA("Sum of New-Total Grad FTE",'FTE Pivot for regular counts'!$A$2,"State","NC","Category",6,"Category2","Four-Year")</f>
        <v>60.041666666666664</v>
      </c>
      <c r="H52" s="253">
        <f>+GETPIVOTDATA("Sum of New-Total Grad FTE",'FTE Pivot for regular counts'!$A$2,"State","NC","Category2","Four-Year")</f>
        <v>34613.354166666657</v>
      </c>
    </row>
    <row r="53" spans="1:13" ht="15" customHeight="1">
      <c r="A53" s="15" t="s">
        <v>787</v>
      </c>
      <c r="B53" s="253">
        <f>+GETPIVOTDATA("Sum of New-Total Grad FTE",'FTE Pivot for regular counts'!$A$2,"State","OK","Category",1,"Category2","Four-Year")</f>
        <v>8836.5833333333321</v>
      </c>
      <c r="C53" s="253">
        <f>+GETPIVOTDATA("Sum of New-Total Grad FTE",'FTE Pivot for regular counts'!$A$2,"State","OK","Category",2,"Category2","Four-Year")</f>
        <v>0</v>
      </c>
      <c r="D53" s="253">
        <f>+GETPIVOTDATA("Sum of New-Total Grad FTE",'FTE Pivot for regular counts'!$A$2,"State","OK","Category",3,"Category2","Four-Year")</f>
        <v>1959.3333333333335</v>
      </c>
      <c r="E53" s="253">
        <f>+GETPIVOTDATA("Sum of New-Total Grad FTE",'FTE Pivot for regular counts'!$A$2,"State","OK","Category",4,"Category2","Four-Year")</f>
        <v>1927.25</v>
      </c>
      <c r="F53" s="253">
        <f>+GETPIVOTDATA("Sum of New-Total Grad FTE",'FTE Pivot for regular counts'!$A$2,"State","OK","Category",5,"Category2","Four-Year")</f>
        <v>1006.625</v>
      </c>
      <c r="G53" s="254">
        <f>+GETPIVOTDATA("Sum of New-Total Grad FTE",'FTE Pivot for regular counts'!$A$2,"State","OK","Category",6,"Category2","Four-Year")</f>
        <v>16.875</v>
      </c>
      <c r="H53" s="253">
        <f>+GETPIVOTDATA("Sum of New-Total Grad FTE",'FTE Pivot for regular counts'!$A$2,"State","OK","Category2","Four-Year")</f>
        <v>13746.666666666666</v>
      </c>
    </row>
    <row r="54" spans="1:13" ht="15" customHeight="1">
      <c r="A54" s="15" t="s">
        <v>788</v>
      </c>
      <c r="B54" s="253">
        <f>+GETPIVOTDATA("Sum of New-Total Grad FTE",'FTE Pivot for regular counts'!$A$2,"State","SC","Category",1,"Category2","Four-Year")</f>
        <v>11530.666666666666</v>
      </c>
      <c r="C54" s="253">
        <f>+GETPIVOTDATA("Sum of New-Total Grad FTE",'FTE Pivot for regular counts'!$A$2,"State","SC","Category",2,"Category2","Four-Year")</f>
        <v>0</v>
      </c>
      <c r="D54" s="253">
        <f>+GETPIVOTDATA("Sum of New-Total Grad FTE",'FTE Pivot for regular counts'!$A$2,"State","SC","Category",3,"Category2","Four-Year")</f>
        <v>1868.875</v>
      </c>
      <c r="E54" s="253">
        <f>+GETPIVOTDATA("Sum of New-Total Grad FTE",'FTE Pivot for regular counts'!$A$2,"State","SC","Category",4,"Category2","Four-Year")</f>
        <v>528.16666666666663</v>
      </c>
      <c r="F54" s="253">
        <f>+GETPIVOTDATA("Sum of New-Total Grad FTE",'FTE Pivot for regular counts'!$A$2,"State","SC","Category",5,"Category2","Four-Year")</f>
        <v>817.91666666666674</v>
      </c>
      <c r="G54" s="254">
        <f>+GETPIVOTDATA("Sum of New-Total Grad FTE",'FTE Pivot for regular counts'!$A$2,"State","SC","Category",6,"Category2","Four-Year")</f>
        <v>548.04166666666663</v>
      </c>
      <c r="H54" s="253">
        <f>+GETPIVOTDATA("Sum of New-Total Grad FTE",'FTE Pivot for regular counts'!$A$2,"State","SC","Category2","Four-Year")</f>
        <v>15293.666666666664</v>
      </c>
    </row>
    <row r="55" spans="1:13" ht="15" customHeight="1">
      <c r="B55" s="253"/>
      <c r="C55" s="253"/>
      <c r="D55" s="253"/>
      <c r="E55" s="253"/>
      <c r="F55" s="253"/>
      <c r="G55" s="254"/>
      <c r="H55" s="253"/>
    </row>
    <row r="56" spans="1:13" ht="15" customHeight="1">
      <c r="A56" s="15" t="s">
        <v>789</v>
      </c>
      <c r="B56" s="253">
        <f>+GETPIVOTDATA("Sum of New-Total Grad FTE",'FTE Pivot for regular counts'!$A$2,"State","TN","Category",1,"Category2","Four-Year")</f>
        <v>7761.4166666666661</v>
      </c>
      <c r="C56" s="253">
        <f>+GETPIVOTDATA("Sum of New-Total Grad FTE",'FTE Pivot for regular counts'!$A$2,"State","TN","Category",2,"Category2","Four-Year")</f>
        <v>4860.333333333333</v>
      </c>
      <c r="D56" s="253">
        <f>+GETPIVOTDATA("Sum of New-Total Grad FTE",'FTE Pivot for regular counts'!$A$2,"State","TN","Category",3,"Category2","Four-Year")</f>
        <v>2740.916666666667</v>
      </c>
      <c r="E56" s="253">
        <f>+GETPIVOTDATA("Sum of New-Total Grad FTE",'FTE Pivot for regular counts'!$A$2,"State","TN","Category",4,"Category2","Four-Year")</f>
        <v>0</v>
      </c>
      <c r="F56" s="253">
        <f>+GETPIVOTDATA("Sum of New-Total Grad FTE",'FTE Pivot for regular counts'!$A$2,"State","TN","Category",5,"Category2","Four-Year")</f>
        <v>286.75</v>
      </c>
      <c r="G56" s="254">
        <f>+GETPIVOTDATA("Sum of New-Total Grad FTE",'FTE Pivot for regular counts'!$A$2,"State","TN","Category",6,"Category2","Four-Year")</f>
        <v>0</v>
      </c>
      <c r="H56" s="253">
        <f>+GETPIVOTDATA("Sum of New-Total Grad FTE",'FTE Pivot for regular counts'!$A$2,"State","TN","Category2","Four-Year")</f>
        <v>15649.416666666668</v>
      </c>
    </row>
    <row r="57" spans="1:13" ht="15" customHeight="1">
      <c r="A57" s="15" t="s">
        <v>790</v>
      </c>
      <c r="B57" s="253">
        <f>+GETPIVOTDATA("Sum of New-Total Grad FTE",'FTE Pivot for regular counts'!$A$2,"State","TX","Category",1,"Category2","Four-Year")</f>
        <v>54253.041666666664</v>
      </c>
      <c r="C57" s="253">
        <f>+GETPIVOTDATA("Sum of New-Total Grad FTE",'FTE Pivot for regular counts'!$A$2,"State","TX","Category",2,"Category2","Four-Year")</f>
        <v>9519.875</v>
      </c>
      <c r="D57" s="253">
        <f>+GETPIVOTDATA("Sum of New-Total Grad FTE",'FTE Pivot for regular counts'!$A$2,"State","TX","Category",3,"Category2","Four-Year")</f>
        <v>28063.333333333336</v>
      </c>
      <c r="E57" s="253">
        <f>+GETPIVOTDATA("Sum of New-Total Grad FTE",'FTE Pivot for regular counts'!$A$2,"State","TX","Category",4,"Category2","Four-Year")</f>
        <v>2496.5416666666665</v>
      </c>
      <c r="F57" s="253">
        <f>+GETPIVOTDATA("Sum of New-Total Grad FTE",'FTE Pivot for regular counts'!$A$2,"State","TX","Category",5,"Category2","Four-Year")</f>
        <v>653.45833333333326</v>
      </c>
      <c r="G57" s="254">
        <f>+GETPIVOTDATA("Sum of New-Total Grad FTE",'FTE Pivot for regular counts'!$A$2,"State","TX","Category",6,"Category2","Four-Year")</f>
        <v>0</v>
      </c>
      <c r="H57" s="253">
        <f>+GETPIVOTDATA("Sum of New-Total Grad FTE",'FTE Pivot for regular counts'!$A$2,"State","TX","Category2","Four-Year")</f>
        <v>94986.25</v>
      </c>
    </row>
    <row r="58" spans="1:13" ht="15" customHeight="1">
      <c r="A58" s="15" t="s">
        <v>791</v>
      </c>
      <c r="B58" s="253">
        <f>+GETPIVOTDATA("Sum of New-Total Grad FTE",'FTE Pivot for regular counts'!$A$2,"State","VA","Category",1,"Category2","Four-Year")</f>
        <v>29650.791666666664</v>
      </c>
      <c r="C58" s="253">
        <f>+GETPIVOTDATA("Sum of New-Total Grad FTE",'FTE Pivot for regular counts'!$A$2,"State","VA","Category",2,"Category2","Four-Year")</f>
        <v>2495.125</v>
      </c>
      <c r="D58" s="253">
        <f>+GETPIVOTDATA("Sum of New-Total Grad FTE",'FTE Pivot for regular counts'!$A$2,"State","VA","Category",3,"Category2","Four-Year")</f>
        <v>4057.041666666667</v>
      </c>
      <c r="E58" s="253">
        <f>+GETPIVOTDATA("Sum of New-Total Grad FTE",'FTE Pivot for regular counts'!$A$2,"State","VA","Category",4,"Category2","Four-Year")</f>
        <v>0</v>
      </c>
      <c r="F58" s="253">
        <f>+GETPIVOTDATA("Sum of New-Total Grad FTE",'FTE Pivot for regular counts'!$A$2,"State","VA","Category",5,"Category2","Four-Year")</f>
        <v>107.95833333333333</v>
      </c>
      <c r="G58" s="254">
        <f>+GETPIVOTDATA("Sum of New-Total Grad FTE",'FTE Pivot for regular counts'!$A$2,"State","VA","Category",6,"Category2","Four-Year")</f>
        <v>0</v>
      </c>
      <c r="H58" s="253">
        <f>+GETPIVOTDATA("Sum of New-Total Grad FTE",'FTE Pivot for regular counts'!$A$2,"State","VA","Category2","Four-Year")</f>
        <v>36310.916666666664</v>
      </c>
    </row>
    <row r="59" spans="1:13" ht="15" customHeight="1">
      <c r="A59" s="234" t="s">
        <v>792</v>
      </c>
      <c r="B59" s="256">
        <f>+GETPIVOTDATA("Sum of New-Total Grad FTE",'FTE Pivot for regular counts'!$A$2,"State","WV","Category",1,"Category2","Four-Year")</f>
        <v>3708.6666666666665</v>
      </c>
      <c r="C59" s="256">
        <f>+GETPIVOTDATA("Sum of New-Total Grad FTE",'FTE Pivot for regular counts'!$A$2,"State","WV","Category",2,"Category2","Four-Year")</f>
        <v>0</v>
      </c>
      <c r="D59" s="256">
        <f>+GETPIVOTDATA("Sum of New-Total Grad FTE",'FTE Pivot for regular counts'!$A$2,"State","WV","Category",3,"Category2","Four-Year")</f>
        <v>2768.25</v>
      </c>
      <c r="E59" s="256">
        <f>+GETPIVOTDATA("Sum of New-Total Grad FTE",'FTE Pivot for regular counts'!$A$2,"State","WV","Category",4,"Category2","Four-Year")</f>
        <v>0</v>
      </c>
      <c r="F59" s="256">
        <f>+GETPIVOTDATA("Sum of New-Total Grad FTE",'FTE Pivot for regular counts'!$A$2,"State","WV","Category",5,"Category2","Four-Year")</f>
        <v>967.87499999999989</v>
      </c>
      <c r="G59" s="257">
        <f>+GETPIVOTDATA("Sum of New-Total Grad FTE",'FTE Pivot for regular counts'!$A$2,"State","WV","Category",6,"Category2","Four-Year")</f>
        <v>101.54166666666667</v>
      </c>
      <c r="H59" s="256">
        <f>+GETPIVOTDATA("Sum of New-Total Grad FTE",'FTE Pivot for regular counts'!$A$2,"State","WV","Category2","Four-Year")</f>
        <v>7546.333333333333</v>
      </c>
    </row>
    <row r="60" spans="1:13" ht="35.25" customHeight="1">
      <c r="A60" s="603" t="s">
        <v>958</v>
      </c>
      <c r="B60" s="603"/>
      <c r="C60" s="603"/>
      <c r="D60" s="603"/>
      <c r="E60" s="603"/>
      <c r="F60" s="603"/>
      <c r="G60" s="603"/>
      <c r="H60" s="603"/>
      <c r="I60" s="227"/>
      <c r="J60" s="227"/>
      <c r="K60" s="227"/>
      <c r="L60" s="227"/>
      <c r="M60" s="227"/>
    </row>
    <row r="61" spans="1:13" ht="10.5" customHeight="1">
      <c r="A61" s="258"/>
      <c r="B61" s="258"/>
      <c r="C61" s="258"/>
      <c r="D61" s="258"/>
      <c r="E61" s="258"/>
      <c r="F61" s="258"/>
      <c r="G61" s="258"/>
      <c r="H61" s="247" t="s">
        <v>953</v>
      </c>
    </row>
    <row r="62" spans="1:13">
      <c r="A62" s="259"/>
      <c r="B62" s="246"/>
      <c r="C62" s="246"/>
      <c r="D62" s="246"/>
      <c r="E62" s="246"/>
      <c r="F62" s="246"/>
      <c r="G62" s="246"/>
      <c r="H62" s="260"/>
    </row>
    <row r="63" spans="1:13" ht="18">
      <c r="A63" s="184" t="s">
        <v>795</v>
      </c>
      <c r="B63" s="184"/>
      <c r="C63" s="184"/>
      <c r="D63" s="184"/>
      <c r="E63" s="184"/>
      <c r="F63" s="184"/>
      <c r="G63" s="184"/>
      <c r="H63" s="184"/>
    </row>
    <row r="64" spans="1:13" ht="15.5">
      <c r="A64" s="261"/>
      <c r="B64" s="190"/>
      <c r="C64" s="190"/>
      <c r="D64" s="190"/>
      <c r="E64" s="190"/>
      <c r="F64" s="190"/>
      <c r="G64" s="190"/>
      <c r="H64" s="190"/>
    </row>
    <row r="65" spans="1:24" ht="15.5">
      <c r="A65" s="190" t="s">
        <v>796</v>
      </c>
      <c r="B65" s="190"/>
      <c r="C65" s="190"/>
      <c r="D65" s="190"/>
      <c r="E65" s="190"/>
      <c r="F65" s="190"/>
      <c r="G65" s="190"/>
      <c r="H65" s="190"/>
    </row>
    <row r="66" spans="1:24" ht="15.5">
      <c r="A66" s="190" t="s">
        <v>948</v>
      </c>
      <c r="B66" s="190"/>
      <c r="C66" s="190"/>
      <c r="D66" s="190"/>
      <c r="E66" s="190"/>
      <c r="F66" s="190"/>
      <c r="G66" s="190"/>
      <c r="H66" s="190"/>
    </row>
    <row r="67" spans="1:24" ht="15.5">
      <c r="A67" s="190"/>
      <c r="B67" s="190"/>
      <c r="C67" s="190"/>
      <c r="D67" s="190"/>
      <c r="E67" s="190"/>
      <c r="F67" s="190"/>
      <c r="G67" s="190"/>
      <c r="H67" s="190"/>
      <c r="Q67" s="30" t="s">
        <v>757</v>
      </c>
      <c r="R67" s="129" t="s">
        <v>797</v>
      </c>
      <c r="S67" s="30"/>
      <c r="T67" s="30"/>
      <c r="U67" s="30"/>
      <c r="V67" s="30"/>
      <c r="W67" s="30"/>
    </row>
    <row r="68" spans="1:24" ht="15" customHeight="1">
      <c r="A68" s="193"/>
      <c r="B68" s="193" t="s">
        <v>749</v>
      </c>
      <c r="C68" s="193"/>
      <c r="D68" s="193"/>
      <c r="E68" s="193"/>
      <c r="F68" s="193"/>
      <c r="G68" s="193"/>
      <c r="H68" s="249"/>
      <c r="Q68" s="262" t="s">
        <v>749</v>
      </c>
      <c r="R68" s="263"/>
      <c r="S68" s="263"/>
      <c r="T68" s="263"/>
      <c r="U68" s="263"/>
      <c r="V68" s="263"/>
      <c r="W68" s="264"/>
    </row>
    <row r="69" spans="1:24" ht="15" customHeight="1">
      <c r="A69" s="250"/>
      <c r="B69" s="251">
        <v>1</v>
      </c>
      <c r="C69" s="251">
        <v>2</v>
      </c>
      <c r="D69" s="251">
        <v>3</v>
      </c>
      <c r="E69" s="251">
        <v>4</v>
      </c>
      <c r="F69" s="251">
        <v>5</v>
      </c>
      <c r="G69" s="252">
        <v>6</v>
      </c>
      <c r="H69" s="251" t="s">
        <v>761</v>
      </c>
      <c r="Q69" s="265">
        <v>1</v>
      </c>
      <c r="R69" s="265">
        <v>2</v>
      </c>
      <c r="S69" s="265">
        <v>3</v>
      </c>
      <c r="T69" s="265">
        <v>4</v>
      </c>
      <c r="U69" s="265">
        <v>5</v>
      </c>
      <c r="V69" s="266">
        <v>6</v>
      </c>
      <c r="W69" s="267" t="s">
        <v>761</v>
      </c>
    </row>
    <row r="70" spans="1:24" ht="15" customHeight="1">
      <c r="A70" s="15" t="s">
        <v>769</v>
      </c>
      <c r="B70" s="253">
        <f>+'NEW-Tables 80-86'!B9+'NEW-Tables 80-86'!B39</f>
        <v>1078812.2791666668</v>
      </c>
      <c r="C70" s="253">
        <f>+'NEW-Tables 80-86'!D9+'NEW-Tables 80-86'!C39</f>
        <v>246855.61350000004</v>
      </c>
      <c r="D70" s="253">
        <f>+'NEW-Tables 80-86'!F9+'NEW-Tables 80-86'!D39</f>
        <v>607028.48416666663</v>
      </c>
      <c r="E70" s="253">
        <f>+'NEW-Tables 80-86'!H9+'NEW-Tables 80-86'!E39</f>
        <v>170417.03166666668</v>
      </c>
      <c r="F70" s="253">
        <f>+'NEW-Tables 80-86'!J9+'NEW-Tables 80-86'!F39</f>
        <v>70215.583333333328</v>
      </c>
      <c r="G70" s="254">
        <f>+'NEW-Tables 80-86'!L9+'NEW-Tables 80-86'!G39</f>
        <v>73726.425000000017</v>
      </c>
      <c r="H70" s="253">
        <f>+'NEW-Tables 80-86'!N9+'NEW-Tables 80-86'!H39</f>
        <v>2247055.4168333332</v>
      </c>
      <c r="Q70" s="30">
        <f>+GETPIVOTDATA("Sum of Old Grand Total FTE",'FTE Pivot for regular counts'!$A$2,"Category",1,"Category2","Four-Year")</f>
        <v>1069761.5916666666</v>
      </c>
      <c r="R70" s="30">
        <f>+GETPIVOTDATA("Sum of Old Grand Total FTE",'FTE Pivot for regular counts'!$A$2,"Category",2,"Category2","Four-Year")</f>
        <v>248192.5708333333</v>
      </c>
      <c r="S70" s="30">
        <f>+GETPIVOTDATA("Sum of Old Grand Total FTE",'FTE Pivot for regular counts'!$A$2,"Category",3,"Category2","Four-Year")</f>
        <v>606726.05633333337</v>
      </c>
      <c r="T70" s="30">
        <f>+GETPIVOTDATA("Sum of Old Grand Total FTE",'FTE Pivot for regular counts'!$A$2,"Category",4,"Category2","Four-Year")</f>
        <v>173054.06200000003</v>
      </c>
      <c r="U70" s="30">
        <f>+GETPIVOTDATA("Sum of Old Grand Total FTE",'FTE Pivot for regular counts'!$A$2,"Category",5,"Category2","Four-Year")</f>
        <v>71266.993666666676</v>
      </c>
      <c r="V70" s="30">
        <f>+GETPIVOTDATA("Sum of Old Grand Total FTE",'FTE Pivot for regular counts'!$A$2,"Category",6,"Category2","Four-Year")</f>
        <v>73734.040333333338</v>
      </c>
      <c r="W70" s="30">
        <f>+GETPIVOTDATA("Sum of Old Grand Total FTE",'FTE Pivot for regular counts'!$A$2,"Category2","Four-Year")</f>
        <v>2242735.3148333333</v>
      </c>
      <c r="X70" s="15" t="s">
        <v>769</v>
      </c>
    </row>
    <row r="71" spans="1:24" ht="15" customHeight="1">
      <c r="B71" s="253"/>
      <c r="C71" s="253"/>
      <c r="D71" s="253"/>
      <c r="E71" s="253"/>
      <c r="F71" s="253"/>
      <c r="G71" s="254"/>
      <c r="H71" s="253"/>
      <c r="Q71" s="30"/>
      <c r="R71" s="30"/>
      <c r="S71" s="30"/>
      <c r="T71" s="30"/>
      <c r="U71" s="30"/>
      <c r="V71" s="30"/>
      <c r="W71" s="30"/>
    </row>
    <row r="72" spans="1:24" ht="15" customHeight="1">
      <c r="A72" s="15" t="s">
        <v>777</v>
      </c>
      <c r="B72" s="253">
        <f>+'NEW-Tables 80-86'!B11+'NEW-Tables 80-86'!B41</f>
        <v>76854.95</v>
      </c>
      <c r="C72" s="253">
        <f>+'NEW-Tables 80-86'!D11+'NEW-Tables 80-86'!C41</f>
        <v>17518.916666666668</v>
      </c>
      <c r="D72" s="253">
        <f>+'NEW-Tables 80-86'!F11+'NEW-Tables 80-86'!D41</f>
        <v>31303.533333333333</v>
      </c>
      <c r="E72" s="253">
        <f>+'NEW-Tables 80-86'!H11+'NEW-Tables 80-86'!E41</f>
        <v>8624.5583333333343</v>
      </c>
      <c r="F72" s="253">
        <f>+'NEW-Tables 80-86'!J11+'NEW-Tables 80-86'!F41</f>
        <v>7143.7</v>
      </c>
      <c r="G72" s="254">
        <f>+'NEW-Tables 80-86'!L11+'NEW-Tables 80-86'!G41</f>
        <v>2237.0583333333334</v>
      </c>
      <c r="H72" s="253">
        <f>+'NEW-Tables 80-86'!N11+'NEW-Tables 80-86'!H41</f>
        <v>143682.71666666667</v>
      </c>
      <c r="Q72" s="30">
        <f>+GETPIVOTDATA("Sum of Old Grand Total FTE",'FTE Pivot for regular counts'!$A$2,"State","AL","Category",1,"Category2","Four-Year")</f>
        <v>76890.8</v>
      </c>
      <c r="R72" s="30">
        <f>+GETPIVOTDATA("Sum of Old Grand Total FTE",'FTE Pivot for regular counts'!$A$2,"State","AL","Category",2,"Category2","Four-Year")</f>
        <v>17567.258333333331</v>
      </c>
      <c r="S72" s="30">
        <f>+GETPIVOTDATA("Sum of Old Grand Total FTE",'FTE Pivot for regular counts'!$A$2,"State","AL","Category",3,"Category2","Four-Year")</f>
        <v>29719.366666666665</v>
      </c>
      <c r="T72" s="30">
        <f>+GETPIVOTDATA("Sum of Old Grand Total FTE",'FTE Pivot for regular counts'!$A$2,"State","AL","Category",4,"Category2","Four-Year")</f>
        <v>8874.6666666666661</v>
      </c>
      <c r="U72" s="30">
        <f>+GETPIVOTDATA("Sum of Old Grand Total FTE",'FTE Pivot for regular counts'!$A$2,"State","AL","Category",5,"Category2","Four-Year")</f>
        <v>6690.0249999999996</v>
      </c>
      <c r="V72" s="30">
        <f>+GETPIVOTDATA("Sum of Old Grand Total FTE",'FTE Pivot for regular counts'!$A$2,"State","AL","Category",6,"Category2","Four-Year")</f>
        <v>2281.8666666666668</v>
      </c>
      <c r="W72" s="30">
        <f>+GETPIVOTDATA("Sum of Old Grand Total FTE",'FTE Pivot for regular counts'!$A$2,"State","AL","Category2","Four-Year")</f>
        <v>142023.98333333334</v>
      </c>
      <c r="X72" s="15" t="s">
        <v>777</v>
      </c>
    </row>
    <row r="73" spans="1:24" ht="15" customHeight="1">
      <c r="A73" s="15" t="s">
        <v>778</v>
      </c>
      <c r="B73" s="253">
        <f>+'NEW-Tables 80-86'!B12+'NEW-Tables 80-86'!B42</f>
        <v>25357.591666666667</v>
      </c>
      <c r="C73" s="253">
        <f>+'NEW-Tables 80-86'!D12+'NEW-Tables 80-86'!C42</f>
        <v>7476.0666666666666</v>
      </c>
      <c r="D73" s="253">
        <f>+'NEW-Tables 80-86'!F12+'NEW-Tables 80-86'!D42</f>
        <v>31228.325000000001</v>
      </c>
      <c r="E73" s="253">
        <f>+'NEW-Tables 80-86'!H12+'NEW-Tables 80-86'!E42</f>
        <v>9834.6333333333332</v>
      </c>
      <c r="F73" s="253">
        <f>+'NEW-Tables 80-86'!J12+'NEW-Tables 80-86'!F42</f>
        <v>0</v>
      </c>
      <c r="G73" s="254">
        <f>+'NEW-Tables 80-86'!L12+'NEW-Tables 80-86'!G42</f>
        <v>7450.2166666666662</v>
      </c>
      <c r="H73" s="253">
        <f>+'NEW-Tables 80-86'!N12+'NEW-Tables 80-86'!H42</f>
        <v>81346.833333333328</v>
      </c>
      <c r="Q73" s="30">
        <f>+GETPIVOTDATA("Sum of Old Grand Total FTE",'FTE Pivot for regular counts'!$A$2,"State","AR","Category",1,"Category2","Four-Year")</f>
        <v>25479.483333333334</v>
      </c>
      <c r="R73" s="30">
        <f>+GETPIVOTDATA("Sum of Old Grand Total FTE",'FTE Pivot for regular counts'!$A$2,"State","AR","Category",2,"Category2","Four-Year")</f>
        <v>8146.8249999999998</v>
      </c>
      <c r="S73" s="30">
        <f>+GETPIVOTDATA("Sum of Old Grand Total FTE",'FTE Pivot for regular counts'!$A$2,"State","AR","Category",3,"Category2","Four-Year")</f>
        <v>31833.341666666667</v>
      </c>
      <c r="T73" s="30">
        <f>+GETPIVOTDATA("Sum of Old Grand Total FTE",'FTE Pivot for regular counts'!$A$2,"State","AR","Category",4,"Category2","Four-Year")</f>
        <v>9947.9083333333328</v>
      </c>
      <c r="U73" s="30">
        <f>+GETPIVOTDATA("Sum of Old Grand Total FTE",'FTE Pivot for regular counts'!$A$2,"State","AR","Category",5,"Category2","Four-Year")</f>
        <v>0</v>
      </c>
      <c r="V73" s="30">
        <f>+GETPIVOTDATA("Sum of Old Grand Total FTE",'FTE Pivot for regular counts'!$A$2,"State","AR","Category",6,"Category2","Four-Year")</f>
        <v>7720.6666666666679</v>
      </c>
      <c r="W73" s="30">
        <f>+GETPIVOTDATA("Sum of Old Grand Total FTE",'FTE Pivot for regular counts'!$A$2,"State","AR","Category2","Four-Year")</f>
        <v>83128.225000000006</v>
      </c>
      <c r="X73" s="15" t="s">
        <v>778</v>
      </c>
    </row>
    <row r="74" spans="1:24" ht="15" customHeight="1">
      <c r="A74" s="15" t="s">
        <v>779</v>
      </c>
      <c r="B74" s="253">
        <f>+'NEW-Tables 80-86'!B13+'NEW-Tables 80-86'!B43</f>
        <v>23136.866666666665</v>
      </c>
      <c r="C74" s="253">
        <f>+'NEW-Tables 80-86'!D13+'NEW-Tables 80-86'!C43</f>
        <v>0</v>
      </c>
      <c r="D74" s="253">
        <f>+'NEW-Tables 80-86'!F13+'NEW-Tables 80-86'!D43</f>
        <v>4574.4916666666668</v>
      </c>
      <c r="E74" s="15">
        <f>+'NEW-Tables 80-86'!H13+'NEW-Tables 80-86'!E43</f>
        <v>0</v>
      </c>
      <c r="F74" s="253">
        <f>+'NEW-Tables 80-86'!J13+'NEW-Tables 80-86'!F43</f>
        <v>0</v>
      </c>
      <c r="G74" s="254">
        <f>+'NEW-Tables 80-86'!L13+'NEW-Tables 80-86'!G43</f>
        <v>0</v>
      </c>
      <c r="H74" s="15">
        <f>+'NEW-Tables 80-86'!N13+'NEW-Tables 80-86'!H43</f>
        <v>27711.358333333334</v>
      </c>
      <c r="Q74" s="30">
        <f>+GETPIVOTDATA("Sum of Old Grand Total FTE",'FTE Pivot for regular counts'!$A$2,"State","DE","Category",1,"Category2","Four-Year")</f>
        <v>22854.741666666665</v>
      </c>
      <c r="R74" s="30">
        <f>+GETPIVOTDATA("Sum of Old Grand Total FTE",'FTE Pivot for regular counts'!$A$2,"State","DE","Category",2,"Category2","Four-Year")</f>
        <v>0</v>
      </c>
      <c r="S74" s="30">
        <f>+GETPIVOTDATA("Sum of Old Grand Total FTE",'FTE Pivot for regular counts'!$A$2,"State","DE","Category",3,"Category2","Four-Year")</f>
        <v>4476.0999999999995</v>
      </c>
      <c r="T74" s="30">
        <f>+GETPIVOTDATA("Sum of Old Grand Total FTE",'FTE Pivot for regular counts'!$A$2,"State","DE","Category",4,"Category2","Four-Year")</f>
        <v>0</v>
      </c>
      <c r="U74" s="30">
        <f>+GETPIVOTDATA("Sum of Old Grand Total FTE",'FTE Pivot for regular counts'!$A$2,"State","DE","Category",5,"Category2","Four-Year")</f>
        <v>0</v>
      </c>
      <c r="V74" s="30">
        <f>+GETPIVOTDATA("Sum of Old Grand Total FTE",'FTE Pivot for regular counts'!$A$2,"State","DE","Category",6,"Category2","Four-Year")</f>
        <v>0</v>
      </c>
      <c r="W74" s="30">
        <f>+GETPIVOTDATA("Sum of Old Grand Total FTE",'FTE Pivot for regular counts'!$A$2,"State","DE","Category2","Four-Year")</f>
        <v>27330.841666666664</v>
      </c>
      <c r="X74" s="15" t="s">
        <v>779</v>
      </c>
    </row>
    <row r="75" spans="1:24" ht="15" customHeight="1">
      <c r="A75" s="15" t="s">
        <v>780</v>
      </c>
      <c r="B75" s="253">
        <f>+'NEW-Tables 80-86'!B14+'NEW-Tables 80-86'!B44</f>
        <v>0</v>
      </c>
      <c r="C75" s="253">
        <f>+'NEW-Tables 80-86'!D14+'NEW-Tables 80-86'!C44</f>
        <v>0</v>
      </c>
      <c r="D75" s="253">
        <f>+'NEW-Tables 80-86'!F14+'NEW-Tables 80-86'!D44</f>
        <v>0</v>
      </c>
      <c r="E75" s="253">
        <f>+'NEW-Tables 80-86'!H14+'NEW-Tables 80-86'!E44</f>
        <v>0</v>
      </c>
      <c r="F75" s="253">
        <f>+'NEW-Tables 80-86'!J14+'NEW-Tables 80-86'!F44</f>
        <v>0</v>
      </c>
      <c r="G75" s="254">
        <f>+'NEW-Tables 80-86'!L14+'NEW-Tables 80-86'!G44</f>
        <v>0</v>
      </c>
      <c r="H75" s="253">
        <f>+'NEW-Tables 80-86'!N14+'NEW-Tables 80-86'!H44</f>
        <v>0</v>
      </c>
      <c r="Q75" s="30">
        <f>+GETPIVOTDATA("Sum of Old Grand Total FTE",'FTE Pivot for regular counts'!$A$2,"State","FL","Category",1,"Category2","Four-Year")</f>
        <v>0</v>
      </c>
      <c r="R75" s="30">
        <f>+GETPIVOTDATA("Sum of Old Grand Total FTE",'FTE Pivot for regular counts'!$A$2,"State","FL","Category",2,"Category2","Four-Year")</f>
        <v>0</v>
      </c>
      <c r="S75" s="30">
        <f>+GETPIVOTDATA("Sum of Old Grand Total FTE",'FTE Pivot for regular counts'!$A$2,"State","FL","Category",3,"Category2","Four-Year")</f>
        <v>0</v>
      </c>
      <c r="T75" s="30">
        <f>+GETPIVOTDATA("Sum of Old Grand Total FTE",'FTE Pivot for regular counts'!$A$2,"State","FL","Category",4,"Category2","Four-Year")</f>
        <v>0</v>
      </c>
      <c r="U75" s="30">
        <f>+GETPIVOTDATA("Sum of Old Grand Total FTE",'FTE Pivot for regular counts'!$A$2,"State","FL","Category",5,"Category2","Four-Year")</f>
        <v>0</v>
      </c>
      <c r="V75" s="30">
        <f>+GETPIVOTDATA("Sum of Old Grand Total FTE",'FTE Pivot for regular counts'!$A$2,"State","FL","Category",6,"Category2","Four-Year")</f>
        <v>0</v>
      </c>
      <c r="W75" s="30">
        <f>+GETPIVOTDATA("Sum of Old Grand Total FTE",'FTE Pivot for regular counts'!$A$2,"State","FL","Category2","Four-Year")</f>
        <v>0</v>
      </c>
      <c r="X75" s="15" t="s">
        <v>780</v>
      </c>
    </row>
    <row r="76" spans="1:24" ht="15" customHeight="1">
      <c r="B76" s="253"/>
      <c r="C76" s="253"/>
      <c r="D76" s="253"/>
      <c r="E76" s="253"/>
      <c r="F76" s="253"/>
      <c r="G76" s="254"/>
      <c r="H76" s="253"/>
      <c r="Q76" s="30"/>
      <c r="R76" s="30"/>
      <c r="S76" s="30"/>
      <c r="T76" s="30"/>
      <c r="U76" s="30"/>
      <c r="V76" s="30"/>
      <c r="W76" s="30"/>
    </row>
    <row r="77" spans="1:24" ht="15" customHeight="1">
      <c r="A77" s="15" t="s">
        <v>781</v>
      </c>
      <c r="B77" s="253">
        <f>+'NEW-Tables 80-86'!B16+'NEW-Tables 80-86'!B46</f>
        <v>88370.833333333328</v>
      </c>
      <c r="C77" s="253">
        <f>+'NEW-Tables 80-86'!D16+'NEW-Tables 80-86'!C46</f>
        <v>30866.980166666668</v>
      </c>
      <c r="D77" s="253">
        <f>+'NEW-Tables 80-86'!F16+'NEW-Tables 80-86'!D46</f>
        <v>77713.362500000003</v>
      </c>
      <c r="E77" s="253">
        <f>+'NEW-Tables 80-86'!H16+'NEW-Tables 80-86'!E46</f>
        <v>52759.76666666667</v>
      </c>
      <c r="F77" s="253">
        <f>+'NEW-Tables 80-86'!J16+'NEW-Tables 80-86'!F46</f>
        <v>3607.6416666666669</v>
      </c>
      <c r="G77" s="254">
        <f>+'NEW-Tables 80-86'!L16+'NEW-Tables 80-86'!G46</f>
        <v>29553.816666666669</v>
      </c>
      <c r="H77" s="253">
        <f>+'NEW-Tables 80-86'!N16+'NEW-Tables 80-86'!H46</f>
        <v>282872.40100000001</v>
      </c>
      <c r="Q77" s="30">
        <f>+GETPIVOTDATA("Sum of Old Grand Total FTE",'FTE Pivot for regular counts'!$A$2,"State","GA","Category",1,"Category2","Four-Year")</f>
        <v>86158.054166666669</v>
      </c>
      <c r="R77" s="30">
        <f>+GETPIVOTDATA("Sum of Old Grand Total FTE",'FTE Pivot for regular counts'!$A$2,"State","GA","Category",2,"Category2","Four-Year")</f>
        <v>28817.645833333336</v>
      </c>
      <c r="S77" s="30">
        <f>+GETPIVOTDATA("Sum of Old Grand Total FTE",'FTE Pivot for regular counts'!$A$2,"State","GA","Category",3,"Category2","Four-Year")</f>
        <v>73957.108000000007</v>
      </c>
      <c r="T77" s="30">
        <f>+GETPIVOTDATA("Sum of Old Grand Total FTE",'FTE Pivot for regular counts'!$A$2,"State","GA","Category",4,"Category2","Four-Year")</f>
        <v>55732.207833333327</v>
      </c>
      <c r="U77" s="30">
        <f>+GETPIVOTDATA("Sum of Old Grand Total FTE",'FTE Pivot for regular counts'!$A$2,"State","GA","Category",5,"Category2","Four-Year")</f>
        <v>4071.6436666666668</v>
      </c>
      <c r="V77" s="30">
        <f>+GETPIVOTDATA("Sum of Old Grand Total FTE",'FTE Pivot for regular counts'!$A$2,"State","GA","Category",6,"Category2","Four-Year")</f>
        <v>29284.386999999999</v>
      </c>
      <c r="W77" s="30">
        <f>+GETPIVOTDATA("Sum of Old Grand Total FTE",'FTE Pivot for regular counts'!$A$2,"State","GA","Category2","Four-Year")</f>
        <v>278021.0465</v>
      </c>
      <c r="X77" s="15" t="s">
        <v>781</v>
      </c>
    </row>
    <row r="78" spans="1:24" ht="15" customHeight="1">
      <c r="A78" s="15" t="s">
        <v>782</v>
      </c>
      <c r="B78" s="253">
        <f>+'NEW-Tables 80-86'!B17+'NEW-Tables 80-86'!B47</f>
        <v>39409.4375</v>
      </c>
      <c r="C78" s="253">
        <f>+'NEW-Tables 80-86'!D17+'NEW-Tables 80-86'!C47</f>
        <v>0</v>
      </c>
      <c r="D78" s="253">
        <f>+'NEW-Tables 80-86'!F17+'NEW-Tables 80-86'!D47</f>
        <v>53048.495833333342</v>
      </c>
      <c r="E78" s="253">
        <f>+'NEW-Tables 80-86'!H17+'NEW-Tables 80-86'!E47</f>
        <v>1623.1750000000002</v>
      </c>
      <c r="F78" s="253">
        <f>+'NEW-Tables 80-86'!J17+'NEW-Tables 80-86'!F47</f>
        <v>0</v>
      </c>
      <c r="G78" s="254">
        <f>+'NEW-Tables 80-86'!L17+'NEW-Tables 80-86'!G47</f>
        <v>0</v>
      </c>
      <c r="H78" s="253">
        <f>+'NEW-Tables 80-86'!N17+'NEW-Tables 80-86'!H47</f>
        <v>94081.108333333337</v>
      </c>
      <c r="Q78" s="30">
        <f>+GETPIVOTDATA("Sum of Old Grand Total FTE",'FTE Pivot for regular counts'!$A$2,"State","KY","Category",1,"Category2","Four-Year")</f>
        <v>39641.574999999997</v>
      </c>
      <c r="R78" s="30">
        <f>+GETPIVOTDATA("Sum of Old Grand Total FTE",'FTE Pivot for regular counts'!$A$2,"State","KY","Category",2,"Category2","Four-Year")</f>
        <v>0</v>
      </c>
      <c r="S78" s="30">
        <f>+GETPIVOTDATA("Sum of Old Grand Total FTE",'FTE Pivot for regular counts'!$A$2,"State","KY","Category",3,"Category2","Four-Year")</f>
        <v>55476.974999999999</v>
      </c>
      <c r="T78" s="30">
        <f>+GETPIVOTDATA("Sum of Old Grand Total FTE",'FTE Pivot for regular counts'!$A$2,"State","KY","Category",4,"Category2","Four-Year")</f>
        <v>1472.1666666666667</v>
      </c>
      <c r="U78" s="30">
        <f>+GETPIVOTDATA("Sum of Old Grand Total FTE",'FTE Pivot for regular counts'!$A$2,"State","KY","Category",5,"Category2","Four-Year")</f>
        <v>0</v>
      </c>
      <c r="V78" s="30">
        <f>+GETPIVOTDATA("Sum of Old Grand Total FTE",'FTE Pivot for regular counts'!$A$2,"State","KY","Category",6,"Category2","Four-Year")</f>
        <v>0</v>
      </c>
      <c r="W78" s="30">
        <f>+GETPIVOTDATA("Sum of Old Grand Total FTE",'FTE Pivot for regular counts'!$A$2,"State","KY","Category2","Four-Year")</f>
        <v>96590.71666666666</v>
      </c>
      <c r="X78" s="15" t="s">
        <v>782</v>
      </c>
    </row>
    <row r="79" spans="1:24" ht="15" customHeight="1">
      <c r="A79" s="15" t="s">
        <v>783</v>
      </c>
      <c r="B79" s="253">
        <f>+'NEW-Tables 80-86'!B18+'NEW-Tables 80-86'!B48</f>
        <v>29383.379166666666</v>
      </c>
      <c r="C79" s="253">
        <f>+'NEW-Tables 80-86'!D18+'NEW-Tables 80-86'!C48</f>
        <v>30798.766666666666</v>
      </c>
      <c r="D79" s="253">
        <f>+'NEW-Tables 80-86'!F18+'NEW-Tables 80-86'!D48</f>
        <v>31697.058333333331</v>
      </c>
      <c r="E79" s="253">
        <f>+'NEW-Tables 80-86'!H18+'NEW-Tables 80-86'!E48</f>
        <v>25173.474999999999</v>
      </c>
      <c r="F79" s="253">
        <f>+'NEW-Tables 80-86'!J18+'NEW-Tables 80-86'!F48</f>
        <v>1912.3166666666666</v>
      </c>
      <c r="G79" s="254">
        <f>+'NEW-Tables 80-86'!L18+'NEW-Tables 80-86'!G48</f>
        <v>2500.3333333333335</v>
      </c>
      <c r="H79" s="253">
        <f>+'NEW-Tables 80-86'!N18+'NEW-Tables 80-86'!H48</f>
        <v>121465.32916666666</v>
      </c>
      <c r="Q79" s="30">
        <f>+GETPIVOTDATA("Sum of Old Grand Total FTE",'FTE Pivot for regular counts'!$A$2,"State","LA","Category",1,"Category2","Four-Year")</f>
        <v>28981.295833333334</v>
      </c>
      <c r="R79" s="30">
        <f>+GETPIVOTDATA("Sum of Old Grand Total FTE",'FTE Pivot for regular counts'!$A$2,"State","LA","Category",2,"Category2","Four-Year")</f>
        <v>31283.091666666667</v>
      </c>
      <c r="S79" s="30">
        <f>+GETPIVOTDATA("Sum of Old Grand Total FTE",'FTE Pivot for regular counts'!$A$2,"State","LA","Category",3,"Category2","Four-Year")</f>
        <v>31770.933333333334</v>
      </c>
      <c r="T79" s="30">
        <f>+GETPIVOTDATA("Sum of Old Grand Total FTE",'FTE Pivot for regular counts'!$A$2,"State","LA","Category",4,"Category2","Four-Year")</f>
        <v>23941.85</v>
      </c>
      <c r="U79" s="30">
        <f>+GETPIVOTDATA("Sum of Old Grand Total FTE",'FTE Pivot for regular counts'!$A$2,"State","LA","Category",5,"Category2","Four-Year")</f>
        <v>2014.0833333333333</v>
      </c>
      <c r="V79" s="30">
        <f>+GETPIVOTDATA("Sum of Old Grand Total FTE",'FTE Pivot for regular counts'!$A$2,"State","LA","Category",6,"Category2","Four-Year")</f>
        <v>2481.3333333333335</v>
      </c>
      <c r="W79" s="30">
        <f>+GETPIVOTDATA("Sum of Old Grand Total FTE",'FTE Pivot for regular counts'!$A$2,"State","LA","Category2","Four-Year")</f>
        <v>120472.58749999999</v>
      </c>
      <c r="X79" s="15" t="s">
        <v>783</v>
      </c>
    </row>
    <row r="80" spans="1:24" ht="15" customHeight="1">
      <c r="A80" s="15" t="s">
        <v>784</v>
      </c>
      <c r="B80" s="253">
        <f>+'NEW-Tables 80-86'!B19+'NEW-Tables 80-86'!B49</f>
        <v>35492.041666666664</v>
      </c>
      <c r="C80" s="253">
        <f>+'NEW-Tables 80-86'!D19+'NEW-Tables 80-86'!C49</f>
        <v>19102.983333333334</v>
      </c>
      <c r="D80" s="253">
        <f>+'NEW-Tables 80-86'!F19+'NEW-Tables 80-86'!D49</f>
        <v>23509.320833333331</v>
      </c>
      <c r="E80" s="253">
        <f>+'NEW-Tables 80-86'!H19+'NEW-Tables 80-86'!E49</f>
        <v>21090.987500000003</v>
      </c>
      <c r="F80" s="253">
        <f>+'NEW-Tables 80-86'!J19+'NEW-Tables 80-86'!F49</f>
        <v>2200.1583333333333</v>
      </c>
      <c r="G80" s="254">
        <f>+'NEW-Tables 80-86'!L19+'NEW-Tables 80-86'!G49</f>
        <v>1608.8166666666666</v>
      </c>
      <c r="H80" s="253">
        <f>+'NEW-Tables 80-86'!N19+'NEW-Tables 80-86'!H49</f>
        <v>103004.30833333333</v>
      </c>
      <c r="Q80" s="30">
        <f>+GETPIVOTDATA("Sum of Old Grand Total FTE",'FTE Pivot for regular counts'!$A$2,"State","MD","Category",1,"Category2","Four-Year")</f>
        <v>35426.358333333337</v>
      </c>
      <c r="R80" s="30">
        <f>+GETPIVOTDATA("Sum of Old Grand Total FTE",'FTE Pivot for regular counts'!$A$2,"State","MD","Category",2,"Category2","Four-Year")</f>
        <v>19519.674999999999</v>
      </c>
      <c r="S80" s="30">
        <f>+GETPIVOTDATA("Sum of Old Grand Total FTE",'FTE Pivot for regular counts'!$A$2,"State","MD","Category",3,"Category2","Four-Year")</f>
        <v>23983.783333333333</v>
      </c>
      <c r="T80" s="30">
        <f>+GETPIVOTDATA("Sum of Old Grand Total FTE",'FTE Pivot for regular counts'!$A$2,"State","MD","Category",4,"Category2","Four-Year")</f>
        <v>21683.279166666664</v>
      </c>
      <c r="U80" s="30">
        <f>+GETPIVOTDATA("Sum of Old Grand Total FTE",'FTE Pivot for regular counts'!$A$2,"State","MD","Category",5,"Category2","Four-Year")</f>
        <v>2273.875</v>
      </c>
      <c r="V80" s="30">
        <f>+GETPIVOTDATA("Sum of Old Grand Total FTE",'FTE Pivot for regular counts'!$A$2,"State","MD","Category",6,"Category2","Four-Year")</f>
        <v>1658.3916666666667</v>
      </c>
      <c r="W80" s="30">
        <f>+GETPIVOTDATA("Sum of Old Grand Total FTE",'FTE Pivot for regular counts'!$A$2,"State","MD","Category2","Four-Year")</f>
        <v>104545.3625</v>
      </c>
      <c r="X80" s="15" t="s">
        <v>784</v>
      </c>
    </row>
    <row r="81" spans="1:26" ht="15" customHeight="1">
      <c r="B81" s="253"/>
      <c r="C81" s="253"/>
      <c r="D81" s="253"/>
      <c r="E81" s="253"/>
      <c r="F81" s="253"/>
      <c r="G81" s="254"/>
      <c r="H81" s="253"/>
      <c r="Q81" s="30"/>
      <c r="R81" s="30"/>
      <c r="S81" s="30"/>
      <c r="T81" s="30"/>
      <c r="U81" s="30"/>
      <c r="V81" s="30"/>
      <c r="W81" s="30"/>
    </row>
    <row r="82" spans="1:26" ht="15" customHeight="1">
      <c r="A82" s="15" t="s">
        <v>785</v>
      </c>
      <c r="B82" s="253">
        <f>+'NEW-Tables 80-86'!B21+'NEW-Tables 80-86'!B51</f>
        <v>53948.041666666672</v>
      </c>
      <c r="C82" s="253">
        <f>+'NEW-Tables 80-86'!D21+'NEW-Tables 80-86'!C51</f>
        <v>5977.7416666666668</v>
      </c>
      <c r="D82" s="253">
        <f>+'NEW-Tables 80-86'!F21+'NEW-Tables 80-86'!D51</f>
        <v>0</v>
      </c>
      <c r="E82" s="253">
        <f>+'NEW-Tables 80-86'!H21+'NEW-Tables 80-86'!E51</f>
        <v>10868.360833333332</v>
      </c>
      <c r="F82" s="253">
        <f>+'NEW-Tables 80-86'!J21+'NEW-Tables 80-86'!F51</f>
        <v>0</v>
      </c>
      <c r="G82" s="254">
        <f>+'NEW-Tables 80-86'!L21+'NEW-Tables 80-86'!G51</f>
        <v>0</v>
      </c>
      <c r="H82" s="253">
        <f>+'NEW-Tables 80-86'!N21+'NEW-Tables 80-86'!H51</f>
        <v>70794.144166666665</v>
      </c>
      <c r="Q82" s="30">
        <f>+GETPIVOTDATA("Sum of Old Grand Total FTE",'FTE Pivot for regular counts'!$A$2,"State","MS","Category",1,"Category2","Four-Year")</f>
        <v>54222.108333333337</v>
      </c>
      <c r="R82" s="30">
        <f>+GETPIVOTDATA("Sum of Old Grand Total FTE",'FTE Pivot for regular counts'!$A$2,"State","MS","Category",2,"Category2","Four-Year")</f>
        <v>6264.2041666666664</v>
      </c>
      <c r="S82" s="30">
        <f>+GETPIVOTDATA("Sum of Old Grand Total FTE",'FTE Pivot for regular counts'!$A$2,"State","MS","Category",3,"Category2","Four-Year")</f>
        <v>0</v>
      </c>
      <c r="T82" s="30">
        <f>+GETPIVOTDATA("Sum of Old Grand Total FTE",'FTE Pivot for regular counts'!$A$2,"State","MS","Category",4,"Category2","Four-Year")</f>
        <v>11301.883333333335</v>
      </c>
      <c r="U82" s="30">
        <f>+GETPIVOTDATA("Sum of Old Grand Total FTE",'FTE Pivot for regular counts'!$A$2,"State","MS","Category",5,"Category2","Four-Year")</f>
        <v>0</v>
      </c>
      <c r="V82" s="30">
        <f>+GETPIVOTDATA("Sum of Old Grand Total FTE",'FTE Pivot for regular counts'!$A$2,"State","MS","Category",6,"Category2","Four-Year")</f>
        <v>0</v>
      </c>
      <c r="W82" s="30">
        <f>+GETPIVOTDATA("Sum of Old Grand Total FTE",'FTE Pivot for regular counts'!$A$2,"State","MS","Category2","Four-Year")</f>
        <v>71788.195833333331</v>
      </c>
      <c r="X82" s="15" t="s">
        <v>785</v>
      </c>
    </row>
    <row r="83" spans="1:26" ht="15" customHeight="1">
      <c r="A83" s="15" t="s">
        <v>786</v>
      </c>
      <c r="B83" s="253">
        <f>+'NEW-Tables 80-86'!B22+'NEW-Tables 80-86'!B52</f>
        <v>102304.58749999999</v>
      </c>
      <c r="C83" s="253">
        <f>+'NEW-Tables 80-86'!D22+'NEW-Tables 80-86'!C52</f>
        <v>25007.441666666666</v>
      </c>
      <c r="D83" s="253">
        <f>+'NEW-Tables 80-86'!F22+'NEW-Tables 80-86'!D52</f>
        <v>64427.916666666672</v>
      </c>
      <c r="E83" s="253">
        <f>+'NEW-Tables 80-86'!H22+'NEW-Tables 80-86'!E52</f>
        <v>5601.25</v>
      </c>
      <c r="F83" s="253">
        <f>+'NEW-Tables 80-86'!J22+'NEW-Tables 80-86'!F52</f>
        <v>11477.666666666666</v>
      </c>
      <c r="G83" s="254">
        <f>+'NEW-Tables 80-86'!L22+'NEW-Tables 80-86'!G52</f>
        <v>4904.541666666667</v>
      </c>
      <c r="H83" s="253">
        <f>+'NEW-Tables 80-86'!N22+'NEW-Tables 80-86'!H52</f>
        <v>213723.40416666667</v>
      </c>
      <c r="Q83" s="30">
        <f>+GETPIVOTDATA("Sum of Old Grand Total FTE",'FTE Pivot for regular counts'!$A$2,"State","NC","Category",1,"Category2","Four-Year")</f>
        <v>101763.30833333332</v>
      </c>
      <c r="R83" s="30">
        <f>+GETPIVOTDATA("Sum of Old Grand Total FTE",'FTE Pivot for regular counts'!$A$2,"State","NC","Category",2,"Category2","Four-Year")</f>
        <v>25577.958333333332</v>
      </c>
      <c r="S83" s="30">
        <f>+GETPIVOTDATA("Sum of Old Grand Total FTE",'FTE Pivot for regular counts'!$A$2,"State","NC","Category",3,"Category2","Four-Year")</f>
        <v>63123.983333333337</v>
      </c>
      <c r="T83" s="30">
        <f>+GETPIVOTDATA("Sum of Old Grand Total FTE",'FTE Pivot for regular counts'!$A$2,"State","NC","Category",4,"Category2","Four-Year")</f>
        <v>5453.95</v>
      </c>
      <c r="U83" s="30">
        <f>+GETPIVOTDATA("Sum of Old Grand Total FTE",'FTE Pivot for regular counts'!$A$2,"State","NC","Category",5,"Category2","Four-Year")</f>
        <v>10865.391666666666</v>
      </c>
      <c r="V83" s="30">
        <f>+GETPIVOTDATA("Sum of Old Grand Total FTE",'FTE Pivot for regular counts'!$A$2,"State","NC","Category",6,"Category2","Four-Year")</f>
        <v>4814.1166666666668</v>
      </c>
      <c r="W83" s="30">
        <f>+GETPIVOTDATA("Sum of Old Grand Total FTE",'FTE Pivot for regular counts'!$A$2,"State","NC","Category2","Four-Year")</f>
        <v>211598.70833333334</v>
      </c>
      <c r="X83" s="15" t="s">
        <v>786</v>
      </c>
    </row>
    <row r="84" spans="1:26" ht="15" customHeight="1">
      <c r="A84" s="15" t="s">
        <v>787</v>
      </c>
      <c r="B84" s="253">
        <f>+'NEW-Tables 80-86'!B23+'NEW-Tables 80-86'!B53</f>
        <v>48193.75</v>
      </c>
      <c r="C84" s="253">
        <f>+'NEW-Tables 80-86'!D23+'NEW-Tables 80-86'!C53</f>
        <v>0</v>
      </c>
      <c r="D84" s="253">
        <f>+'NEW-Tables 80-86'!F23+'NEW-Tables 80-86'!D53</f>
        <v>18448.599999999999</v>
      </c>
      <c r="E84" s="253">
        <f>+'NEW-Tables 80-86'!H23+'NEW-Tables 80-86'!E53</f>
        <v>8194.5833333333339</v>
      </c>
      <c r="F84" s="253">
        <f>+'NEW-Tables 80-86'!J23+'NEW-Tables 80-86'!F53</f>
        <v>9986.8916666666664</v>
      </c>
      <c r="G84" s="254">
        <f>+'NEW-Tables 80-86'!L23+'NEW-Tables 80-86'!G53</f>
        <v>4378.208333333333</v>
      </c>
      <c r="H84" s="253">
        <f>+'NEW-Tables 80-86'!N23+'NEW-Tables 80-86'!H53</f>
        <v>89202.03333333334</v>
      </c>
      <c r="Q84" s="30">
        <f>+GETPIVOTDATA("Sum of Old Grand Total FTE",'FTE Pivot for regular counts'!$A$2,"State","OK","Category",1,"Category2","Four-Year")</f>
        <v>48539.666666666672</v>
      </c>
      <c r="R84" s="30">
        <f>+GETPIVOTDATA("Sum of Old Grand Total FTE",'FTE Pivot for regular counts'!$A$2,"State","OK","Category",2,"Category2","Four-Year")</f>
        <v>0</v>
      </c>
      <c r="S84" s="30">
        <f>+GETPIVOTDATA("Sum of Old Grand Total FTE",'FTE Pivot for regular counts'!$A$2,"State","OK","Category",3,"Category2","Four-Year")</f>
        <v>18842.208333333332</v>
      </c>
      <c r="T84" s="30">
        <f>+GETPIVOTDATA("Sum of Old Grand Total FTE",'FTE Pivot for regular counts'!$A$2,"State","OK","Category",4,"Category2","Four-Year")</f>
        <v>8243.3083333333343</v>
      </c>
      <c r="U84" s="30">
        <f>+GETPIVOTDATA("Sum of Old Grand Total FTE",'FTE Pivot for regular counts'!$A$2,"State","OK","Category",5,"Category2","Four-Year")</f>
        <v>10368.324999999999</v>
      </c>
      <c r="V84" s="30">
        <f>+GETPIVOTDATA("Sum of Old Grand Total FTE",'FTE Pivot for regular counts'!$A$2,"State","OK","Category",6,"Category2","Four-Year")</f>
        <v>4632.4249999999993</v>
      </c>
      <c r="W84" s="30">
        <f>+GETPIVOTDATA("Sum of Old Grand Total FTE",'FTE Pivot for regular counts'!$A$2,"State","OK","Category2","Four-Year")</f>
        <v>90625.933333333334</v>
      </c>
      <c r="X84" s="15" t="s">
        <v>787</v>
      </c>
    </row>
    <row r="85" spans="1:26" ht="15" customHeight="1">
      <c r="A85" s="15" t="s">
        <v>788</v>
      </c>
      <c r="B85" s="253">
        <f>+'NEW-Tables 80-86'!B24+'NEW-Tables 80-86'!B54</f>
        <v>59272.23333333333</v>
      </c>
      <c r="C85" s="253">
        <f>+'NEW-Tables 80-86'!D24+'NEW-Tables 80-86'!C54</f>
        <v>0</v>
      </c>
      <c r="D85" s="253">
        <f>+'NEW-Tables 80-86'!F24+'NEW-Tables 80-86'!D54</f>
        <v>19317.174999999999</v>
      </c>
      <c r="E85" s="253">
        <f>+'NEW-Tables 80-86'!H24+'NEW-Tables 80-86'!E54</f>
        <v>10231.433333333332</v>
      </c>
      <c r="F85" s="253">
        <f>+'NEW-Tables 80-86'!J24+'NEW-Tables 80-86'!F54</f>
        <v>5624.95</v>
      </c>
      <c r="G85" s="254">
        <f>+'NEW-Tables 80-86'!L24+'NEW-Tables 80-86'!G54</f>
        <v>13540.625</v>
      </c>
      <c r="H85" s="253">
        <f>+'NEW-Tables 80-86'!N24+'NEW-Tables 80-86'!H54</f>
        <v>107986.41666666666</v>
      </c>
      <c r="Q85" s="30">
        <f>+GETPIVOTDATA("Sum of Old Grand Total FTE",'FTE Pivot for regular counts'!$A$2,"State","SC","Category",1,"Category2","Four-Year")</f>
        <v>58171.108333333337</v>
      </c>
      <c r="R85" s="30">
        <f>+GETPIVOTDATA("Sum of Old Grand Total FTE",'FTE Pivot for regular counts'!$A$2,"State","SC","Category",2,"Category2","Four-Year")</f>
        <v>0</v>
      </c>
      <c r="S85" s="30">
        <f>+GETPIVOTDATA("Sum of Old Grand Total FTE",'FTE Pivot for regular counts'!$A$2,"State","SC","Category",3,"Category2","Four-Year")</f>
        <v>19677.391666666666</v>
      </c>
      <c r="T85" s="30">
        <f>+GETPIVOTDATA("Sum of Old Grand Total FTE",'FTE Pivot for regular counts'!$A$2,"State","SC","Category",4,"Category2","Four-Year")</f>
        <v>10280.150000000001</v>
      </c>
      <c r="U85" s="30">
        <f>+GETPIVOTDATA("Sum of Old Grand Total FTE",'FTE Pivot for regular counts'!$A$2,"State","SC","Category",5,"Category2","Four-Year")</f>
        <v>6013.3666666666668</v>
      </c>
      <c r="V85" s="30">
        <f>+GETPIVOTDATA("Sum of Old Grand Total FTE",'FTE Pivot for regular counts'!$A$2,"State","SC","Category",6,"Category2","Four-Year")</f>
        <v>13303.616666666667</v>
      </c>
      <c r="W85" s="30">
        <f>+GETPIVOTDATA("Sum of Old Grand Total FTE",'FTE Pivot for regular counts'!$A$2,"State","SC","Category2","Four-Year")</f>
        <v>107445.63333333333</v>
      </c>
      <c r="X85" s="15" t="s">
        <v>788</v>
      </c>
    </row>
    <row r="86" spans="1:26" ht="15" customHeight="1">
      <c r="B86" s="253"/>
      <c r="C86" s="253"/>
      <c r="D86" s="253"/>
      <c r="E86" s="253"/>
      <c r="F86" s="253"/>
      <c r="G86" s="254"/>
      <c r="H86" s="253"/>
      <c r="Q86" s="30"/>
      <c r="R86" s="30"/>
      <c r="S86" s="30"/>
      <c r="T86" s="30"/>
      <c r="U86" s="30"/>
      <c r="V86" s="30"/>
      <c r="W86" s="30"/>
    </row>
    <row r="87" spans="1:26" ht="15" customHeight="1">
      <c r="A87" s="15" t="s">
        <v>789</v>
      </c>
      <c r="B87" s="253">
        <f>+'NEW-Tables 80-86'!B26+'NEW-Tables 80-86'!B56</f>
        <v>43350.716666666667</v>
      </c>
      <c r="C87" s="253">
        <f>+'NEW-Tables 80-86'!D26+'NEW-Tables 80-86'!C56</f>
        <v>37553.200000000004</v>
      </c>
      <c r="D87" s="253">
        <f>+'NEW-Tables 80-86'!F26+'NEW-Tables 80-86'!D56</f>
        <v>28721.816666666666</v>
      </c>
      <c r="E87" s="253">
        <f>+'NEW-Tables 80-86'!H26+'NEW-Tables 80-86'!E56</f>
        <v>0</v>
      </c>
      <c r="F87" s="253">
        <f>+'NEW-Tables 80-86'!J26+'NEW-Tables 80-86'!F56</f>
        <v>5730.05</v>
      </c>
      <c r="G87" s="254">
        <f>+'NEW-Tables 80-86'!L26+'NEW-Tables 80-86'!G56</f>
        <v>0</v>
      </c>
      <c r="H87" s="253">
        <f>+'NEW-Tables 80-86'!N26+'NEW-Tables 80-86'!H56</f>
        <v>115355.78333333334</v>
      </c>
      <c r="J87" s="15" t="s">
        <v>803</v>
      </c>
      <c r="Q87" s="30">
        <f>+GETPIVOTDATA("Sum of Old Grand Total FTE",'FTE Pivot for regular counts'!$A$2,"State","TN","Category",1,"Category2","Four-Year")</f>
        <v>42741.008333333331</v>
      </c>
      <c r="R87" s="30">
        <f>+GETPIVOTDATA("Sum of Old Grand Total FTE",'FTE Pivot for regular counts'!$A$2,"State","TN","Category",2,"Category2","Four-Year")</f>
        <v>38074.141666666663</v>
      </c>
      <c r="S87" s="30">
        <f>+GETPIVOTDATA("Sum of Old Grand Total FTE",'FTE Pivot for regular counts'!$A$2,"State","TN","Category",3,"Category2","Four-Year")</f>
        <v>28933</v>
      </c>
      <c r="T87" s="30">
        <f>+GETPIVOTDATA("Sum of Old Grand Total FTE",'FTE Pivot for regular counts'!$A$2,"State","TN","Category",4,"Category2","Four-Year")</f>
        <v>0</v>
      </c>
      <c r="U87" s="30">
        <f>+GETPIVOTDATA("Sum of Old Grand Total FTE",'FTE Pivot for regular counts'!$A$2,"State","TN","Category",5,"Category2","Four-Year")</f>
        <v>5810.25</v>
      </c>
      <c r="V87" s="30">
        <f>+GETPIVOTDATA("Sum of Old Grand Total FTE",'FTE Pivot for regular counts'!$A$2,"State","TN","Category",6,"Category2","Four-Year")</f>
        <v>0</v>
      </c>
      <c r="W87" s="30">
        <f>+GETPIVOTDATA("Sum of Old Grand Total FTE",'FTE Pivot for regular counts'!$A$2,"State","TN","Category2","Four-Year")</f>
        <v>115558.39999999999</v>
      </c>
      <c r="X87" s="15" t="s">
        <v>789</v>
      </c>
    </row>
    <row r="88" spans="1:26" ht="15" customHeight="1">
      <c r="A88" s="15" t="s">
        <v>790</v>
      </c>
      <c r="B88" s="253">
        <f>+'NEW-Tables 80-86'!B27+'NEW-Tables 80-86'!B57</f>
        <v>290969.7416666667</v>
      </c>
      <c r="C88" s="253">
        <f>+'NEW-Tables 80-86'!D27+'NEW-Tables 80-86'!C57</f>
        <v>63920.274999999994</v>
      </c>
      <c r="D88" s="253">
        <f>+'NEW-Tables 80-86'!F27+'NEW-Tables 80-86'!D57</f>
        <v>164239.93333333332</v>
      </c>
      <c r="E88" s="253">
        <f>+'NEW-Tables 80-86'!H27+'NEW-Tables 80-86'!E57</f>
        <v>16414.808333333334</v>
      </c>
      <c r="F88" s="253">
        <f>+'NEW-Tables 80-86'!J27+'NEW-Tables 80-86'!F57</f>
        <v>7281.4916666666659</v>
      </c>
      <c r="G88" s="254">
        <f>+'NEW-Tables 80-86'!L27+'NEW-Tables 80-86'!G57</f>
        <v>0</v>
      </c>
      <c r="H88" s="253">
        <f>+'NEW-Tables 80-86'!N27+'NEW-Tables 80-86'!H57</f>
        <v>542826.25</v>
      </c>
      <c r="Q88" s="30">
        <f>+GETPIVOTDATA("Sum of Old Grand Total FTE",'FTE Pivot for regular counts'!$A$2,"State","TX","Category",1,"Category2","Four-Year")</f>
        <v>287310.95</v>
      </c>
      <c r="R88" s="30">
        <f>+GETPIVOTDATA("Sum of Old Grand Total FTE",'FTE Pivot for regular counts'!$A$2,"State","TX","Category",2,"Category2","Four-Year")</f>
        <v>64172.399999999994</v>
      </c>
      <c r="S88" s="30">
        <f>+GETPIVOTDATA("Sum of Old Grand Total FTE",'FTE Pivot for regular counts'!$A$2,"State","TX","Category",3,"Category2","Four-Year")</f>
        <v>165497.60833333337</v>
      </c>
      <c r="T88" s="30">
        <f>+GETPIVOTDATA("Sum of Old Grand Total FTE",'FTE Pivot for regular counts'!$A$2,"State","TX","Category",4,"Category2","Four-Year")</f>
        <v>16122.691666666666</v>
      </c>
      <c r="U88" s="30">
        <f>+GETPIVOTDATA("Sum of Old Grand Total FTE",'FTE Pivot for regular counts'!$A$2,"State","TX","Category",5,"Category2","Four-Year")</f>
        <v>7477.2333333333336</v>
      </c>
      <c r="V88" s="30">
        <f>+GETPIVOTDATA("Sum of Old Grand Total FTE",'FTE Pivot for regular counts'!$A$2,"State","TX","Category",6,"Category2","Four-Year")</f>
        <v>0</v>
      </c>
      <c r="W88" s="30">
        <f>+GETPIVOTDATA("Sum of Old Grand Total FTE",'FTE Pivot for regular counts'!$A$2,"State","TX","Category2","Four-Year")</f>
        <v>540580.8833333333</v>
      </c>
      <c r="X88" s="15" t="s">
        <v>790</v>
      </c>
    </row>
    <row r="89" spans="1:26" ht="15" customHeight="1">
      <c r="A89" s="15" t="s">
        <v>791</v>
      </c>
      <c r="B89" s="253">
        <f>+'NEW-Tables 80-86'!B28+'NEW-Tables 80-86'!B58</f>
        <v>138805.59166666665</v>
      </c>
      <c r="C89" s="253">
        <f>+'NEW-Tables 80-86'!D28+'NEW-Tables 80-86'!C58</f>
        <v>8633.2416666666668</v>
      </c>
      <c r="D89" s="253">
        <f>+'NEW-Tables 80-86'!F28+'NEW-Tables 80-86'!D58</f>
        <v>47878.304999999993</v>
      </c>
      <c r="E89" s="253">
        <f>+'NEW-Tables 80-86'!H28+'NEW-Tables 80-86'!E58</f>
        <v>0</v>
      </c>
      <c r="F89" s="253">
        <f>+'NEW-Tables 80-86'!J28+'NEW-Tables 80-86'!F58</f>
        <v>4771.6583333333328</v>
      </c>
      <c r="G89" s="254">
        <f>+'NEW-Tables 80-86'!L28+'NEW-Tables 80-86'!G58</f>
        <v>1527.6666666666667</v>
      </c>
      <c r="H89" s="253">
        <f>+'NEW-Tables 80-86'!N28+'NEW-Tables 80-86'!H58</f>
        <v>201616.46333333332</v>
      </c>
      <c r="Q89" s="30">
        <f>+GETPIVOTDATA("Sum of Old Grand Total FTE",'FTE Pivot for regular counts'!$A$2,"State","VA","Category",1,"Category2","Four-Year")</f>
        <v>137102.17499999999</v>
      </c>
      <c r="R89" s="30">
        <f>+GETPIVOTDATA("Sum of Old Grand Total FTE",'FTE Pivot for regular counts'!$A$2,"State","VA","Category",2,"Category2","Four-Year")</f>
        <v>8769.3708333333343</v>
      </c>
      <c r="S89" s="30">
        <f>+GETPIVOTDATA("Sum of Old Grand Total FTE",'FTE Pivot for regular counts'!$A$2,"State","VA","Category",3,"Category2","Four-Year")</f>
        <v>48041.331666666665</v>
      </c>
      <c r="T89" s="30">
        <f>+GETPIVOTDATA("Sum of Old Grand Total FTE",'FTE Pivot for regular counts'!$A$2,"State","VA","Category",4,"Category2","Four-Year")</f>
        <v>0</v>
      </c>
      <c r="U89" s="30">
        <f>+GETPIVOTDATA("Sum of Old Grand Total FTE",'FTE Pivot for regular counts'!$A$2,"State","VA","Category",5,"Category2","Four-Year")</f>
        <v>4847.6833333333334</v>
      </c>
      <c r="V89" s="30">
        <f>+GETPIVOTDATA("Sum of Old Grand Total FTE",'FTE Pivot for regular counts'!$A$2,"State","VA","Category",6,"Category2","Four-Year")</f>
        <v>1544.5666666666666</v>
      </c>
      <c r="W89" s="30">
        <f>+GETPIVOTDATA("Sum of Old Grand Total FTE",'FTE Pivot for regular counts'!$A$2,"State","VA","Category2","Four-Year")</f>
        <v>200305.1275</v>
      </c>
      <c r="X89" s="15" t="s">
        <v>791</v>
      </c>
    </row>
    <row r="90" spans="1:26" ht="15" customHeight="1">
      <c r="A90" s="234" t="s">
        <v>792</v>
      </c>
      <c r="B90" s="256">
        <f>+'NEW-Tables 80-86'!B29+'NEW-Tables 80-86'!B59</f>
        <v>23962.516666666666</v>
      </c>
      <c r="C90" s="256">
        <f>+'NEW-Tables 80-86'!D29+'NEW-Tables 80-86'!C59</f>
        <v>0</v>
      </c>
      <c r="D90" s="256">
        <f>+'NEW-Tables 80-86'!F29+'NEW-Tables 80-86'!D59</f>
        <v>10920.15</v>
      </c>
      <c r="E90" s="256">
        <f>+'NEW-Tables 80-86'!H29+'NEW-Tables 80-86'!E59</f>
        <v>0</v>
      </c>
      <c r="F90" s="256">
        <f>+'NEW-Tables 80-86'!J29+'NEW-Tables 80-86'!F59</f>
        <v>10479.058333333334</v>
      </c>
      <c r="G90" s="257">
        <f>+'NEW-Tables 80-86'!L29+'NEW-Tables 80-86'!G59</f>
        <v>6025.1416666666664</v>
      </c>
      <c r="H90" s="256">
        <f>+'NEW-Tables 80-86'!N29+'NEW-Tables 80-86'!H59</f>
        <v>51386.866666666669</v>
      </c>
      <c r="Q90" s="30">
        <f>+GETPIVOTDATA("Sum of Old Grand Total FTE",'FTE Pivot for regular counts'!$A$2,"State","WV","Category",1,"Category2","Four-Year")</f>
        <v>24478.958333333332</v>
      </c>
      <c r="R90" s="30">
        <f>+GETPIVOTDATA("Sum of Old Grand Total FTE",'FTE Pivot for regular counts'!$A$2,"State","WV","Category",2,"Category2","Four-Year")</f>
        <v>0</v>
      </c>
      <c r="S90" s="30">
        <f>+GETPIVOTDATA("Sum of Old Grand Total FTE",'FTE Pivot for regular counts'!$A$2,"State","WV","Category",3,"Category2","Four-Year")</f>
        <v>11392.925000000001</v>
      </c>
      <c r="T90" s="30">
        <f>+GETPIVOTDATA("Sum of Old Grand Total FTE",'FTE Pivot for regular counts'!$A$2,"State","WV","Category",4,"Category2","Four-Year")</f>
        <v>0</v>
      </c>
      <c r="U90" s="30">
        <f>+GETPIVOTDATA("Sum of Old Grand Total FTE",'FTE Pivot for regular counts'!$A$2,"State","WV","Category",5,"Category2","Four-Year")</f>
        <v>10835.116666666667</v>
      </c>
      <c r="V90" s="30">
        <f>+GETPIVOTDATA("Sum of Old Grand Total FTE",'FTE Pivot for regular counts'!$A$2,"State","WV","Category",6,"Category2","Four-Year")</f>
        <v>6012.67</v>
      </c>
      <c r="W90" s="30">
        <f>+GETPIVOTDATA("Sum of Old Grand Total FTE",'FTE Pivot for regular counts'!$A$2,"State","WV","Category2","Four-Year")</f>
        <v>52719.67</v>
      </c>
      <c r="X90" s="15" t="s">
        <v>792</v>
      </c>
    </row>
    <row r="91" spans="1:26" ht="42" customHeight="1">
      <c r="A91" s="603" t="s">
        <v>959</v>
      </c>
      <c r="B91" s="603"/>
      <c r="C91" s="603"/>
      <c r="D91" s="603"/>
      <c r="E91" s="603"/>
      <c r="F91" s="603"/>
      <c r="G91" s="603"/>
      <c r="H91" s="603"/>
      <c r="I91" s="227"/>
      <c r="J91" s="227"/>
      <c r="K91" s="227"/>
      <c r="L91" s="227"/>
      <c r="M91" s="227"/>
    </row>
    <row r="92" spans="1:26" ht="10.5" customHeight="1">
      <c r="A92" s="258"/>
      <c r="B92" s="258"/>
      <c r="C92" s="258"/>
      <c r="D92" s="258"/>
      <c r="E92" s="258"/>
      <c r="F92" s="258"/>
      <c r="G92" s="258"/>
      <c r="H92" s="247" t="s">
        <v>954</v>
      </c>
    </row>
    <row r="93" spans="1:26">
      <c r="A93" s="259"/>
      <c r="B93" s="246"/>
      <c r="C93" s="246"/>
      <c r="D93" s="246"/>
      <c r="E93" s="246"/>
      <c r="F93" s="246"/>
      <c r="G93" s="246"/>
      <c r="H93" s="260"/>
    </row>
    <row r="94" spans="1:26" ht="18">
      <c r="A94" s="604" t="s">
        <v>798</v>
      </c>
      <c r="B94" s="604"/>
      <c r="C94" s="604"/>
      <c r="D94" s="604"/>
      <c r="E94" s="604"/>
      <c r="F94" s="604"/>
      <c r="G94" s="604"/>
      <c r="H94" s="604"/>
      <c r="I94" s="604"/>
      <c r="J94" s="604"/>
      <c r="K94" s="268"/>
      <c r="L94" s="268"/>
      <c r="M94" s="268"/>
    </row>
    <row r="95" spans="1:26" ht="15.5">
      <c r="A95" s="188"/>
      <c r="B95" s="188"/>
      <c r="C95" s="188"/>
      <c r="D95" s="188"/>
      <c r="E95" s="188"/>
      <c r="F95" s="188"/>
      <c r="G95" s="188"/>
      <c r="H95" s="188"/>
      <c r="I95" s="188"/>
      <c r="J95" s="188"/>
      <c r="K95" s="188"/>
      <c r="L95" s="188"/>
      <c r="M95" s="188"/>
      <c r="Q95" s="15" t="s">
        <v>757</v>
      </c>
    </row>
    <row r="96" spans="1:26" ht="15.5">
      <c r="A96" s="605" t="s">
        <v>799</v>
      </c>
      <c r="B96" s="605"/>
      <c r="C96" s="605"/>
      <c r="D96" s="605"/>
      <c r="E96" s="605"/>
      <c r="F96" s="605"/>
      <c r="G96" s="605"/>
      <c r="H96" s="605"/>
      <c r="I96" s="605"/>
      <c r="J96" s="605"/>
      <c r="K96" s="269"/>
      <c r="L96" s="269"/>
      <c r="M96" s="269"/>
      <c r="Q96" s="270" t="s">
        <v>799</v>
      </c>
      <c r="R96" s="269"/>
      <c r="S96" s="269"/>
      <c r="T96" s="269"/>
      <c r="U96" s="269"/>
      <c r="V96" s="269"/>
      <c r="W96" s="269"/>
      <c r="X96" s="269"/>
      <c r="Y96" s="269"/>
      <c r="Z96" s="269"/>
    </row>
    <row r="97" spans="1:26" ht="15.5">
      <c r="A97" s="605" t="s">
        <v>949</v>
      </c>
      <c r="B97" s="605"/>
      <c r="C97" s="605"/>
      <c r="D97" s="605"/>
      <c r="E97" s="605"/>
      <c r="F97" s="605"/>
      <c r="G97" s="605"/>
      <c r="H97" s="605"/>
      <c r="I97" s="605"/>
      <c r="J97" s="605"/>
      <c r="K97" s="269"/>
      <c r="L97" s="269"/>
      <c r="M97" s="269"/>
      <c r="Q97" s="270" t="s">
        <v>800</v>
      </c>
      <c r="R97" s="269"/>
      <c r="S97" s="269"/>
      <c r="T97" s="269"/>
      <c r="U97" s="269"/>
      <c r="V97" s="269"/>
      <c r="W97" s="269"/>
      <c r="X97" s="269"/>
      <c r="Y97" s="269"/>
      <c r="Z97" s="269"/>
    </row>
    <row r="98" spans="1:26">
      <c r="Q98" s="271"/>
    </row>
    <row r="99" spans="1:26" ht="15" customHeight="1">
      <c r="A99" s="272"/>
      <c r="B99" s="273" t="s">
        <v>801</v>
      </c>
      <c r="C99" s="273"/>
      <c r="D99" s="194"/>
      <c r="E99" s="194"/>
      <c r="F99" s="274"/>
      <c r="G99" s="275" t="s">
        <v>802</v>
      </c>
      <c r="H99" s="195"/>
      <c r="I99" s="276"/>
      <c r="K99" s="187" t="s">
        <v>803</v>
      </c>
      <c r="L99" s="187"/>
      <c r="M99" s="187"/>
      <c r="Q99" s="272"/>
      <c r="R99" s="273" t="s">
        <v>801</v>
      </c>
      <c r="S99" s="273"/>
      <c r="T99" s="194"/>
      <c r="U99" s="194"/>
      <c r="V99" s="274"/>
      <c r="W99" s="277" t="s">
        <v>802</v>
      </c>
      <c r="X99" s="278"/>
      <c r="Y99" s="279"/>
      <c r="Z99" s="187" t="s">
        <v>803</v>
      </c>
    </row>
    <row r="100" spans="1:26" ht="23.5">
      <c r="A100" s="197"/>
      <c r="B100" s="280" t="s">
        <v>804</v>
      </c>
      <c r="C100" s="251">
        <v>1</v>
      </c>
      <c r="D100" s="251">
        <v>2</v>
      </c>
      <c r="E100" s="251">
        <v>3</v>
      </c>
      <c r="F100" s="281" t="s">
        <v>761</v>
      </c>
      <c r="G100" s="282">
        <v>1</v>
      </c>
      <c r="H100" s="283">
        <v>2</v>
      </c>
      <c r="I100" s="251" t="s">
        <v>761</v>
      </c>
      <c r="K100" s="284"/>
      <c r="L100" s="284"/>
      <c r="M100" s="284"/>
      <c r="Q100" s="197"/>
      <c r="R100" s="280" t="s">
        <v>804</v>
      </c>
      <c r="S100" s="251">
        <v>1</v>
      </c>
      <c r="T100" s="251">
        <v>2</v>
      </c>
      <c r="U100" s="251">
        <v>3</v>
      </c>
      <c r="V100" s="281" t="s">
        <v>761</v>
      </c>
      <c r="W100" s="282">
        <v>1</v>
      </c>
      <c r="X100" s="283">
        <v>2</v>
      </c>
      <c r="Y100" s="251" t="s">
        <v>761</v>
      </c>
      <c r="Z100" s="284"/>
    </row>
    <row r="101" spans="1:26" ht="15" customHeight="1">
      <c r="A101" s="15" t="s">
        <v>769</v>
      </c>
      <c r="B101" s="227">
        <f>+GETPIVOTDATA("Sum of New-Total Undg SCH FTE",'FTE Pivot for regular counts'!$A$2,"Category","7","Category2","Two-Year")</f>
        <v>319048.03333333338</v>
      </c>
      <c r="C101" s="227">
        <f>+GETPIVOTDATA("Sum of New-Total Undg SCH FTE",'FTE Pivot for regular counts'!$A$2,"Category","8","Category2","Two-Year")</f>
        <v>708505.67</v>
      </c>
      <c r="D101" s="227">
        <f>+GETPIVOTDATA("Sum of New-Total Undg SCH FTE",'FTE Pivot for regular counts'!$A$2,"Category",9,"Category2","Two-Year")</f>
        <v>338406.32</v>
      </c>
      <c r="E101" s="227">
        <f>+GETPIVOTDATA("Sum of New-Total Undg SCH FTE",'FTE Pivot for regular counts'!$A$2,"Category","10","Category2","Two-Year")</f>
        <v>141668.40333333332</v>
      </c>
      <c r="F101" s="285">
        <f>+GETPIVOTDATA("Sum of New-Total Undg SCH FTE",'FTE Pivot for regular counts'!$A$2,"Category2","Two-Year")</f>
        <v>1507628.4266666668</v>
      </c>
      <c r="G101" s="286">
        <f>+GETPIVOTDATA("Sum of New-Total Undg SCH FTE",'FTE Pivot for regular counts'!$A$2,"Category","12","Category2","Technical")</f>
        <v>82525.64</v>
      </c>
      <c r="H101" s="227">
        <f>+GETPIVOTDATA("Sum of New-Total Undg SCH FTE",'FTE Pivot for regular counts'!$A$2,"Category","13","Category2","Technical")</f>
        <v>2324.4333333333334</v>
      </c>
      <c r="I101" s="15">
        <f>+GETPIVOTDATA("Sum of New-Total Undg SCH FTE",'FTE Pivot for regular counts'!$A$2,"Category2","Technical")</f>
        <v>84850.073333333334</v>
      </c>
      <c r="Q101" s="15" t="s">
        <v>769</v>
      </c>
      <c r="R101" s="227">
        <f>+GETPIVOTDATA("Sum of Old-Total Undg SCH FTE",'FTE Pivot for regular counts'!$A$2,"Category","7","Category2","Two-Year")</f>
        <v>319562.60800000001</v>
      </c>
      <c r="S101" s="227">
        <f>+GETPIVOTDATA("Sum of Old-Total Undg SCH FTE",'FTE Pivot for regular counts'!$A$2,"Category","8","Category2","Two-Year")</f>
        <v>720534.36</v>
      </c>
      <c r="T101" s="227">
        <f>+GETPIVOTDATA("Sum of Old-Total Undg SCH FTE",'FTE Pivot for regular counts'!$A$2,"Category",9,"Category2","Two-Year")</f>
        <v>341801.60000000003</v>
      </c>
      <c r="U101" s="227">
        <f>+GETPIVOTDATA("Sum of Old-Total Undg SCH FTE",'FTE Pivot for regular counts'!$A$2,"Category","10","Category2","Two-Year")</f>
        <v>143164.247</v>
      </c>
      <c r="V101" s="285">
        <f>+GETPIVOTDATA("Sum of Old-Total Undg SCH FTE",'FTE Pivot for regular counts'!$A$2,"Category2","Two-Year")</f>
        <v>1525062.8149999999</v>
      </c>
      <c r="W101" s="286">
        <f>+GETPIVOTDATA("Sum of Old-Total Undg SCH FTE",'FTE Pivot for regular counts'!$A$2,"Category","12","Category2","Technical")</f>
        <v>80106.146666666682</v>
      </c>
      <c r="X101" s="227">
        <f>+GETPIVOTDATA("Sum of Old-Total Undg SCH FTE",'FTE Pivot for regular counts'!$A$2,"Category","13","Category2","Technical")</f>
        <v>2142.6</v>
      </c>
      <c r="Y101" s="15">
        <f>+GETPIVOTDATA("Sum of Old-Total Undg SCH FTE",'FTE Pivot for regular counts'!$A$2,"Category2","Technical")</f>
        <v>82248.746666666673</v>
      </c>
    </row>
    <row r="102" spans="1:26" ht="15" customHeight="1">
      <c r="B102" s="227"/>
      <c r="C102" s="227"/>
      <c r="D102" s="227"/>
      <c r="E102" s="227"/>
      <c r="F102" s="285"/>
      <c r="G102" s="286"/>
      <c r="H102" s="227"/>
      <c r="R102" s="227"/>
      <c r="S102" s="227"/>
      <c r="T102" s="227"/>
      <c r="U102" s="227"/>
      <c r="V102" s="285"/>
      <c r="W102" s="286"/>
      <c r="X102" s="227"/>
    </row>
    <row r="103" spans="1:26" ht="15" customHeight="1">
      <c r="A103" s="15" t="s">
        <v>777</v>
      </c>
      <c r="B103" s="227">
        <f>+GETPIVOTDATA("Sum of New-Total Undg SCH FTE",'FTE Pivot for regular counts'!$A$2,"State","AL","Category","7","Category2","Two-Year")</f>
        <v>0</v>
      </c>
      <c r="C103" s="227">
        <f>+GETPIVOTDATA("Sum of New-Total Undg SCH FTE",'FTE Pivot for regular counts'!$A$2,"State","AL","Category","8","Category2","Two-Year")</f>
        <v>12040</v>
      </c>
      <c r="D103" s="227">
        <f>+GETPIVOTDATA("Sum of New-Total Undg SCH FTE",'FTE Pivot for regular counts'!$A$2,"State","AL","Category",9,"Category2","Two-Year")</f>
        <v>33427.433333333334</v>
      </c>
      <c r="E103" s="227">
        <f>+GETPIVOTDATA("Sum of New-Total Undg SCH FTE",'FTE Pivot for regular counts'!$A$2,"State","AL","Category","10","Category2","Two-Year")</f>
        <v>10410.466666666667</v>
      </c>
      <c r="F103" s="285">
        <f>+GETPIVOTDATA("Sum of New-Total Undg SCH FTE",'FTE Pivot for regular counts'!$A$2,"State","AL","Category2","Two-Year")</f>
        <v>55877.9</v>
      </c>
      <c r="G103" s="286">
        <f>+GETPIVOTDATA("Sum of New-Total Undg SCH FTE",'FTE Pivot for regular counts'!$A$2,"State","AL","Category","12","Category2","Technical")</f>
        <v>1477.9</v>
      </c>
      <c r="H103" s="227">
        <f>+GETPIVOTDATA("Sum of New-Total Undg SCH FTE",'FTE Pivot for regular counts'!$A$2,"State","AL","Category","13","Category2","Technical")</f>
        <v>1503.8333333333333</v>
      </c>
      <c r="I103" s="15">
        <f>+GETPIVOTDATA("Sum of New-Total Undg SCH FTE",'FTE Pivot for regular counts'!$A$2,"State","AL","Category2","Technical")</f>
        <v>2981.7333333333336</v>
      </c>
      <c r="Q103" s="15" t="s">
        <v>777</v>
      </c>
      <c r="R103" s="227">
        <f>+GETPIVOTDATA("Sum of Old-Total Undg SCH FTE",'FTE Pivot for regular counts'!$A$2,"State","AL","Category","7","Category2","Two-Year")</f>
        <v>0</v>
      </c>
      <c r="S103" s="227">
        <f>+GETPIVOTDATA("Sum of Old-Total Undg SCH FTE",'FTE Pivot for regular counts'!$A$2,"State","AL","Category","8","Category2","Two-Year")</f>
        <v>12225.266666666666</v>
      </c>
      <c r="T103" s="227">
        <f>+GETPIVOTDATA("Sum of Old-Total Undg SCH FTE",'FTE Pivot for regular counts'!$A$2,"State","AL","Category",9,"Category2","Two-Year")</f>
        <v>33894.866666666669</v>
      </c>
      <c r="U103" s="227">
        <f>+GETPIVOTDATA("Sum of Old-Total Undg SCH FTE",'FTE Pivot for regular counts'!$A$2,"State","AL","Category","10","Category2","Two-Year")</f>
        <v>10505.366666666669</v>
      </c>
      <c r="V103" s="285">
        <f>+GETPIVOTDATA("Sum of Old-Total Undg SCH FTE",'FTE Pivot for regular counts'!$A$2,"State","AL","Category2","Two-Year")</f>
        <v>56625.5</v>
      </c>
      <c r="W103" s="286">
        <f>+GETPIVOTDATA("Sum of Old-Total Undg SCH FTE",'FTE Pivot for regular counts'!$A$2,"State","AL","Category","12","Category2","Technical")</f>
        <v>1398.3666666666666</v>
      </c>
      <c r="X103" s="227">
        <f>+GETPIVOTDATA("Sum of Old-Total Undg SCH FTE",'FTE Pivot for regular counts'!$A$2,"State","AL","Category","13","Category2","Technical")</f>
        <v>1365.3666666666666</v>
      </c>
      <c r="Y103" s="15">
        <f>+GETPIVOTDATA("Sum of Old-Total Undg SCH FTE",'FTE Pivot for regular counts'!$A$2,"State","AL","Category2","Technical")</f>
        <v>2763.7333333333331</v>
      </c>
    </row>
    <row r="104" spans="1:26" ht="15" customHeight="1">
      <c r="A104" s="15" t="s">
        <v>778</v>
      </c>
      <c r="B104" s="227">
        <f>+GETPIVOTDATA("Sum of New-Total Undg SCH FTE",'FTE Pivot for regular counts'!$A$2,"State","AR","Category","7","Category2","Two-Year")</f>
        <v>0</v>
      </c>
      <c r="C104" s="227">
        <f>+GETPIVOTDATA("Sum of New-Total Undg SCH FTE",'FTE Pivot for regular counts'!$A$2,"State","AR","Category","8","Category2","Two-Year")</f>
        <v>5024.8666666666668</v>
      </c>
      <c r="D104" s="227">
        <f>+GETPIVOTDATA("Sum of New-Total Undg SCH FTE",'FTE Pivot for regular counts'!$A$2,"State","AR","Category",9,"Category2","Two-Year")</f>
        <v>6288.4333333333334</v>
      </c>
      <c r="E104" s="227">
        <f>+GETPIVOTDATA("Sum of New-Total Undg SCH FTE",'FTE Pivot for regular counts'!$A$2,"State","AR","Category","10","Category2","Two-Year")</f>
        <v>19640.466666666671</v>
      </c>
      <c r="F104" s="285">
        <f>+GETPIVOTDATA("Sum of New-Total Undg SCH FTE",'FTE Pivot for regular counts'!$A$2,"State","AR","Category2","Two-Year")</f>
        <v>30953.76666666667</v>
      </c>
      <c r="G104" s="286">
        <f>+GETPIVOTDATA("Sum of New-Total Undg SCH FTE",'FTE Pivot for regular counts'!$A$2,"State","AR","Category","12","Category2","Technical")</f>
        <v>0</v>
      </c>
      <c r="H104" s="227">
        <f>+GETPIVOTDATA("Sum of New-Total Undg SCH FTE",'FTE Pivot for regular counts'!$A$2,"State","AR","Category","13","Category2","Technical")</f>
        <v>0</v>
      </c>
      <c r="I104" s="15">
        <f>+GETPIVOTDATA("Sum of New-Total Undg SCH FTE",'FTE Pivot for regular counts'!$A$2,"State","AR","Category2","Technical")</f>
        <v>0</v>
      </c>
      <c r="Q104" s="15" t="s">
        <v>778</v>
      </c>
      <c r="R104" s="227">
        <f>+GETPIVOTDATA("Sum of Old-Total Undg SCH FTE",'FTE Pivot for regular counts'!$A$2,"State","AR","Category","7","Category2","Two-Year")</f>
        <v>0</v>
      </c>
      <c r="S104" s="227">
        <f>+GETPIVOTDATA("Sum of Old-Total Undg SCH FTE",'FTE Pivot for regular counts'!$A$2,"State","AR","Category","8","Category2","Two-Year")</f>
        <v>4989.5</v>
      </c>
      <c r="T104" s="227">
        <f>+GETPIVOTDATA("Sum of Old-Total Undg SCH FTE",'FTE Pivot for regular counts'!$A$2,"State","AR","Category",9,"Category2","Two-Year")</f>
        <v>6201.333333333333</v>
      </c>
      <c r="U104" s="227">
        <f>+GETPIVOTDATA("Sum of Old-Total Undg SCH FTE",'FTE Pivot for regular counts'!$A$2,"State","AR","Category","10","Category2","Two-Year")</f>
        <v>19801.2</v>
      </c>
      <c r="V104" s="285">
        <f>+GETPIVOTDATA("Sum of Old-Total Undg SCH FTE",'FTE Pivot for regular counts'!$A$2,"State","AR","Category2","Two-Year")</f>
        <v>30992.033333333333</v>
      </c>
      <c r="W104" s="286">
        <f>+GETPIVOTDATA("Sum of Old-Total Undg SCH FTE",'FTE Pivot for regular counts'!$A$2,"State","AR","Category","12","Category2","Technical")</f>
        <v>0</v>
      </c>
      <c r="X104" s="227">
        <f>+GETPIVOTDATA("Sum of Old-Total Undg SCH FTE",'FTE Pivot for regular counts'!$A$2,"State","AR","Category","13","Category2","Technical")</f>
        <v>0</v>
      </c>
      <c r="Y104" s="15">
        <f>+GETPIVOTDATA("Sum of Old-Total Undg SCH FTE",'FTE Pivot for regular counts'!$A$2,"State","AR","Category2","Technical")</f>
        <v>0</v>
      </c>
    </row>
    <row r="105" spans="1:26" ht="15" customHeight="1">
      <c r="A105" s="15" t="s">
        <v>779</v>
      </c>
      <c r="B105" s="227">
        <f>+GETPIVOTDATA("Sum of New-Total Undg SCH FTE",'FTE Pivot for regular counts'!$A$2,"State","DE","Category","7","Category2","Two-Year")</f>
        <v>0</v>
      </c>
      <c r="C105" s="227">
        <f>+GETPIVOTDATA("Sum of New-Total Undg SCH FTE",'FTE Pivot for regular counts'!$A$2,"State","DE","Category","8","Category2","Two-Year")</f>
        <v>0</v>
      </c>
      <c r="D105" s="227">
        <f>+GETPIVOTDATA("Sum of New-Total Undg SCH FTE",'FTE Pivot for regular counts'!$A$2,"State","DE","Category",9,"Category2","Two-Year")</f>
        <v>8659.5666666666675</v>
      </c>
      <c r="E105" s="227">
        <f>+GETPIVOTDATA("Sum of New-Total Undg SCH FTE",'FTE Pivot for regular counts'!$A$2,"State","DE","Category","10","Category2","Two-Year")</f>
        <v>0</v>
      </c>
      <c r="F105" s="285">
        <f>+GETPIVOTDATA("Sum of New-Total Undg SCH FTE",'FTE Pivot for regular counts'!$A$2,"State","DE","Category2","Two-Year")</f>
        <v>8659.5666666666675</v>
      </c>
      <c r="G105" s="286">
        <f>+GETPIVOTDATA("Sum of New-Total Undg SCH FTE",'FTE Pivot for regular counts'!$A$2,"State","DE","Category","12","Category2","Technical")</f>
        <v>0</v>
      </c>
      <c r="H105" s="227">
        <f>+GETPIVOTDATA("Sum of New-Total Undg SCH FTE",'FTE Pivot for regular counts'!$A$2,"State","DE","Category","13","Category2","Technical")</f>
        <v>0</v>
      </c>
      <c r="I105" s="15">
        <f>+GETPIVOTDATA("Sum of New-Total Undg SCH FTE",'FTE Pivot for regular counts'!$A$2,"State","DE","Category2","Technical")</f>
        <v>0</v>
      </c>
      <c r="Q105" s="15" t="s">
        <v>779</v>
      </c>
      <c r="R105" s="227">
        <f>+GETPIVOTDATA("Sum of Old-Total Undg SCH FTE",'FTE Pivot for regular counts'!$A$2,"State","DE","Category","7","Category2","Two-Year")</f>
        <v>0</v>
      </c>
      <c r="S105" s="227">
        <f>+GETPIVOTDATA("Sum of Old-Total Undg SCH FTE",'FTE Pivot for regular counts'!$A$2,"State","DE","Category","8","Category2","Two-Year")</f>
        <v>0</v>
      </c>
      <c r="T105" s="227">
        <f>+GETPIVOTDATA("Sum of Old-Total Undg SCH FTE",'FTE Pivot for regular counts'!$A$2,"State","DE","Category",9,"Category2","Two-Year")</f>
        <v>9012.6333333333332</v>
      </c>
      <c r="U105" s="227">
        <f>+GETPIVOTDATA("Sum of Old-Total Undg SCH FTE",'FTE Pivot for regular counts'!$A$2,"State","DE","Category","10","Category2","Two-Year")</f>
        <v>0</v>
      </c>
      <c r="V105" s="285">
        <f>+GETPIVOTDATA("Sum of Old-Total Undg SCH FTE",'FTE Pivot for regular counts'!$A$2,"State","DE","Category2","Two-Year")</f>
        <v>9012.6333333333332</v>
      </c>
      <c r="W105" s="286">
        <f>+GETPIVOTDATA("Sum of Old-Total Undg SCH FTE",'FTE Pivot for regular counts'!$A$2,"State","DE","Category","12","Category2","Technical")</f>
        <v>0</v>
      </c>
      <c r="X105" s="227">
        <f>+GETPIVOTDATA("Sum of Old-Total Undg SCH FTE",'FTE Pivot for regular counts'!$A$2,"State","DE","Category","13","Category2","Technical")</f>
        <v>0</v>
      </c>
      <c r="Y105" s="15">
        <f>+GETPIVOTDATA("Sum of Old-Total Undg SCH FTE",'FTE Pivot for regular counts'!$A$2,"State","DE","Category2","Technical")</f>
        <v>0</v>
      </c>
    </row>
    <row r="106" spans="1:26" ht="15" customHeight="1">
      <c r="A106" s="15" t="s">
        <v>780</v>
      </c>
      <c r="B106" s="227">
        <f>+GETPIVOTDATA("Sum of New-Total Undg SCH FTE",'FTE Pivot for regular counts'!$A$2,"State","FL","Category","7","Category2","Two-Year")</f>
        <v>272851.76666666666</v>
      </c>
      <c r="C106" s="227">
        <f>+GETPIVOTDATA("Sum of New-Total Undg SCH FTE",'FTE Pivot for regular counts'!$A$2,"State","FL","Category","8","Category2","Two-Year")</f>
        <v>28230.033333333333</v>
      </c>
      <c r="D106" s="227">
        <f>+GETPIVOTDATA("Sum of New-Total Undg SCH FTE",'FTE Pivot for regular counts'!$A$2,"State","FL","Category",9,"Category2","Two-Year")</f>
        <v>0</v>
      </c>
      <c r="E106" s="227">
        <f>+GETPIVOTDATA("Sum of New-Total Undg SCH FTE",'FTE Pivot for regular counts'!$A$2,"State","FL","Category","10","Category2","Two-Year")</f>
        <v>1376.5666666666666</v>
      </c>
      <c r="F106" s="285">
        <f>+GETPIVOTDATA("Sum of New-Total Undg SCH FTE",'FTE Pivot for regular counts'!$A$2,"State","FL","Category2","Two-Year")</f>
        <v>302458.36666666664</v>
      </c>
      <c r="G106" s="286">
        <f>+GETPIVOTDATA("Sum of New-Total Undg SCH FTE",'FTE Pivot for regular counts'!$A$2,"State","FL","Category","12","Category2","Technical")</f>
        <v>0</v>
      </c>
      <c r="H106" s="227">
        <f>+GETPIVOTDATA("Sum of New-Total Undg SCH FTE",'FTE Pivot for regular counts'!$A$2,"State","FL","Category","13","Category2","Technical")</f>
        <v>0</v>
      </c>
      <c r="I106" s="15">
        <f>+GETPIVOTDATA("Sum of New-Total Undg SCH FTE",'FTE Pivot for regular counts'!$A$2,"State","FL","Category2","Technical")</f>
        <v>0</v>
      </c>
      <c r="Q106" s="15" t="s">
        <v>780</v>
      </c>
      <c r="R106" s="227">
        <f>GETPIVOTDATA("Sum of Old-Total Undg SCH FTE",'FTE Pivot for regular counts'!$A$2,"State","FL","Category","7","Category2","Two-Year")</f>
        <v>272736.90000000002</v>
      </c>
      <c r="S106" s="227">
        <f>GETPIVOTDATA("Sum of Old-Total Undg SCH FTE",'FTE Pivot for regular counts'!$A$2,"State","FL","Category","8","Category2","Two-Year")</f>
        <v>28174.533333333333</v>
      </c>
      <c r="T106" s="227">
        <f>GETPIVOTDATA("Sum of Old-Total Undg SCH FTE",'FTE Pivot for regular counts'!$A$2,"State","FL","Category",9,"Category2","Two-Year")</f>
        <v>0</v>
      </c>
      <c r="U106" s="227">
        <f>GETPIVOTDATA("Sum of Old-Total Undg SCH FTE",'FTE Pivot for regular counts'!$A$2,"State","FL","Category","10","Category2","Two-Year")</f>
        <v>1411.2666666666667</v>
      </c>
      <c r="V106" s="285">
        <f>GETPIVOTDATA("Sum of Old-Total Undg SCH FTE",'FTE Pivot for regular counts'!$A$2,"State","FL","Category2","Two-Year")</f>
        <v>302322.7</v>
      </c>
      <c r="W106" s="286">
        <f>GETPIVOTDATA("Sum of Old-Total Undg SCH FTE",'FTE Pivot for regular counts'!$A$2,"State","FL","Category","12","Category2","Technical")</f>
        <v>0</v>
      </c>
      <c r="X106" s="227">
        <f>GETPIVOTDATA("Sum of Old-Total Undg SCH FTE",'FTE Pivot for regular counts'!$A$2,"State","FL","Category","13","Category2","Technical")</f>
        <v>0</v>
      </c>
      <c r="Y106" s="15">
        <f>GETPIVOTDATA("Sum of Old-Total Undg SCH FTE",'FTE Pivot for regular counts'!$A$2,"State","FL","Category2","Technical")</f>
        <v>0</v>
      </c>
    </row>
    <row r="107" spans="1:26" ht="15" customHeight="1">
      <c r="B107" s="227"/>
      <c r="C107" s="227"/>
      <c r="D107" s="227"/>
      <c r="E107" s="227"/>
      <c r="F107" s="285"/>
      <c r="G107" s="286"/>
      <c r="H107" s="227"/>
      <c r="R107" s="227"/>
      <c r="S107" s="227"/>
      <c r="T107" s="227"/>
      <c r="U107" s="227"/>
      <c r="V107" s="285"/>
      <c r="W107" s="286"/>
      <c r="X107" s="227"/>
    </row>
    <row r="108" spans="1:26" ht="15" customHeight="1">
      <c r="A108" s="15" t="s">
        <v>781</v>
      </c>
      <c r="B108" s="227">
        <f>+GETPIVOTDATA("Sum of New-Total Undg SCH FTE",'FTE Pivot for regular counts'!$A$2,"State","GA","Category","7","Category2","Two-Year")</f>
        <v>10092.666666666666</v>
      </c>
      <c r="C108" s="227">
        <f>+GETPIVOTDATA("Sum of New-Total Undg SCH FTE",'FTE Pivot for regular counts'!$A$2,"State","GA","Category","8","Category2","Two-Year")</f>
        <v>0</v>
      </c>
      <c r="D108" s="227">
        <f>+GETPIVOTDATA("Sum of New-Total Undg SCH FTE",'FTE Pivot for regular counts'!$A$2,"State","GA","Category",9,"Category2","Two-Year")</f>
        <v>0</v>
      </c>
      <c r="E108" s="227">
        <f>+GETPIVOTDATA("Sum of New-Total Undg SCH FTE",'FTE Pivot for regular counts'!$A$2,"State","GA","Category","10","Category2","Two-Year")</f>
        <v>0</v>
      </c>
      <c r="F108" s="285">
        <f>+GETPIVOTDATA("Sum of New-Total Undg SCH FTE",'FTE Pivot for regular counts'!$A$2,"State","GA","Category2","Two-Year")</f>
        <v>10092.666666666666</v>
      </c>
      <c r="G108" s="286">
        <f>+GETPIVOTDATA("Sum of New-Total Undg SCH FTE",'FTE Pivot for regular counts'!$A$2,"State","GA","Category","12","Category2","Technical")</f>
        <v>67961.233333333337</v>
      </c>
      <c r="H108" s="227">
        <f>+GETPIVOTDATA("Sum of New-Total Undg SCH FTE",'FTE Pivot for regular counts'!$A$2,"State","GA","Category","13","Category2","Technical")</f>
        <v>0</v>
      </c>
      <c r="I108" s="15">
        <f>+GETPIVOTDATA("Sum of New-Total Undg SCH FTE",'FTE Pivot for regular counts'!$A$2,"State","GA","Category2","Technical")</f>
        <v>67961.233333333337</v>
      </c>
      <c r="Q108" s="15" t="s">
        <v>781</v>
      </c>
      <c r="R108" s="227">
        <f>+GETPIVOTDATA("Sum of Old-Total Undg SCH FTE",'FTE Pivot for regular counts'!$A$2,"State","GA","Category","7","Category2","Two-Year")</f>
        <v>10558.674666666666</v>
      </c>
      <c r="S108" s="227">
        <f>+GETPIVOTDATA("Sum of Old-Total Undg SCH FTE",'FTE Pivot for regular counts'!$A$2,"State","GA","Category","8","Category2","Two-Year")</f>
        <v>0</v>
      </c>
      <c r="T108" s="227">
        <f>+GETPIVOTDATA("Sum of Old-Total Undg SCH FTE",'FTE Pivot for regular counts'!$A$2,"State","GA","Category",9,"Category2","Two-Year")</f>
        <v>0</v>
      </c>
      <c r="U108" s="227">
        <f>+GETPIVOTDATA("Sum of Old-Total Undg SCH FTE",'FTE Pivot for regular counts'!$A$2,"State","GA","Category","10","Category2","Two-Year")</f>
        <v>671.46033333333332</v>
      </c>
      <c r="V108" s="285">
        <f>+GETPIVOTDATA("Sum of Old-Total Undg SCH FTE",'FTE Pivot for regular counts'!$A$2,"State","GA","Category2","Two-Year")</f>
        <v>11230.134999999998</v>
      </c>
      <c r="W108" s="286">
        <f>+GETPIVOTDATA("Sum of Old-Total Undg SCH FTE",'FTE Pivot for regular counts'!$A$2,"State","GA","Category","12","Category2","Technical")</f>
        <v>66137.013333333336</v>
      </c>
      <c r="X108" s="227">
        <f>+GETPIVOTDATA("Sum of Old-Total Undg SCH FTE",'FTE Pivot for regular counts'!$A$2,"State","GA","Category","13","Category2","Technical")</f>
        <v>0</v>
      </c>
      <c r="Y108" s="15">
        <f>+GETPIVOTDATA("Sum of Old-Total Undg SCH FTE",'FTE Pivot for regular counts'!$A$2,"State","GA","Category2","Technical")</f>
        <v>66137.013333333336</v>
      </c>
    </row>
    <row r="109" spans="1:26" ht="15" customHeight="1">
      <c r="A109" s="15" t="s">
        <v>782</v>
      </c>
      <c r="B109" s="227">
        <f>+GETPIVOTDATA("Sum of New-Total Undg SCH FTE",'FTE Pivot for regular counts'!$A$2,"State","KY","Category","7","Category2","Two-Year")</f>
        <v>0</v>
      </c>
      <c r="C109" s="227">
        <f>+GETPIVOTDATA("Sum of New-Total Undg SCH FTE",'FTE Pivot for regular counts'!$A$2,"State","KY","Category","8","Category2","Two-Year")</f>
        <v>13203.369999999999</v>
      </c>
      <c r="D109" s="227">
        <f>+GETPIVOTDATA("Sum of New-Total Undg SCH FTE",'FTE Pivot for regular counts'!$A$2,"State","KY","Category",9,"Category2","Two-Year")</f>
        <v>16373.179999999998</v>
      </c>
      <c r="E109" s="227">
        <f>+GETPIVOTDATA("Sum of New-Total Undg SCH FTE",'FTE Pivot for regular counts'!$A$2,"State","KY","Category","10","Category2","Two-Year")</f>
        <v>9559.75</v>
      </c>
      <c r="F109" s="285">
        <f>+GETPIVOTDATA("Sum of New-Total Undg SCH FTE",'FTE Pivot for regular counts'!$A$2,"State","KY","Category2","Two-Year")</f>
        <v>39136.299999999996</v>
      </c>
      <c r="G109" s="286">
        <f>+GETPIVOTDATA("Sum of New-Total Undg SCH FTE",'FTE Pivot for regular counts'!$A$2,"State","KY","Category","12","Category2","Technical")</f>
        <v>5195.9566666666669</v>
      </c>
      <c r="H109" s="227">
        <f>+GETPIVOTDATA("Sum of New-Total Undg SCH FTE",'FTE Pivot for regular counts'!$A$2,"State","KY","Category","13","Category2","Technical")</f>
        <v>0</v>
      </c>
      <c r="I109" s="15">
        <f>+GETPIVOTDATA("Sum of New-Total Undg SCH FTE",'FTE Pivot for regular counts'!$A$2,"State","KY","Category2","Technical")</f>
        <v>5195.9566666666669</v>
      </c>
      <c r="Q109" s="15" t="s">
        <v>782</v>
      </c>
      <c r="R109" s="227">
        <f>+GETPIVOTDATA("Sum of Old-Total Undg SCH FTE",'FTE Pivot for regular counts'!$A$2,"State","KY","Category","7","Category2","Two-Year")</f>
        <v>0</v>
      </c>
      <c r="S109" s="227">
        <f>+GETPIVOTDATA("Sum of Old-Total Undg SCH FTE",'FTE Pivot for regular counts'!$A$2,"State","KY","Category","8","Category2","Two-Year")</f>
        <v>12671.366666666667</v>
      </c>
      <c r="T109" s="227">
        <f>+GETPIVOTDATA("Sum of Old-Total Undg SCH FTE",'FTE Pivot for regular counts'!$A$2,"State","KY","Category",9,"Category2","Two-Year")</f>
        <v>17183.100000000002</v>
      </c>
      <c r="U109" s="227">
        <f>+GETPIVOTDATA("Sum of Old-Total Undg SCH FTE",'FTE Pivot for regular counts'!$A$2,"State","KY","Category","10","Category2","Two-Year")</f>
        <v>9658.2000000000007</v>
      </c>
      <c r="V109" s="285">
        <f>+GETPIVOTDATA("Sum of Old-Total Undg SCH FTE",'FTE Pivot for regular counts'!$A$2,"State","KY","Category2","Two-Year")</f>
        <v>39512.666666666672</v>
      </c>
      <c r="W109" s="286">
        <f>+GETPIVOTDATA("Sum of Old-Total Undg SCH FTE",'FTE Pivot for regular counts'!$A$2,"State","KY","Category","12","Category2","Technical")</f>
        <v>4998.6666666666661</v>
      </c>
      <c r="X109" s="227">
        <f>+GETPIVOTDATA("Sum of Old-Total Undg SCH FTE",'FTE Pivot for regular counts'!$A$2,"State","KY","Category","13","Category2","Technical")</f>
        <v>0</v>
      </c>
      <c r="Y109" s="15">
        <f>+GETPIVOTDATA("Sum of Old-Total Undg SCH FTE",'FTE Pivot for regular counts'!$A$2,"State","KY","Category2","Technical")</f>
        <v>4998.6666666666661</v>
      </c>
    </row>
    <row r="110" spans="1:26" ht="15" customHeight="1">
      <c r="A110" s="15" t="s">
        <v>783</v>
      </c>
      <c r="B110" s="227">
        <f>+GETPIVOTDATA("Sum of New-Total Undg SCH FTE",'FTE Pivot for regular counts'!$A$2,"State","LA","Category","7","Category2","Two-Year")</f>
        <v>0</v>
      </c>
      <c r="C110" s="227">
        <f>+GETPIVOTDATA("Sum of New-Total Undg SCH FTE",'FTE Pivot for regular counts'!$A$2,"State","LA","Category","8","Category2","Two-Year")</f>
        <v>14677</v>
      </c>
      <c r="D110" s="227">
        <f>+GETPIVOTDATA("Sum of New-Total Undg SCH FTE",'FTE Pivot for regular counts'!$A$2,"State","LA","Category",9,"Category2","Two-Year")</f>
        <v>14501.583333333332</v>
      </c>
      <c r="E110" s="227">
        <f>+GETPIVOTDATA("Sum of New-Total Undg SCH FTE",'FTE Pivot for regular counts'!$A$2,"State","LA","Category","10","Category2","Two-Year")</f>
        <v>5574.6999999999989</v>
      </c>
      <c r="F110" s="285">
        <f>+GETPIVOTDATA("Sum of New-Total Undg SCH FTE",'FTE Pivot for regular counts'!$A$2,"State","LA","Category2","Two-Year")</f>
        <v>34753.283333333333</v>
      </c>
      <c r="G110" s="286">
        <f>+GETPIVOTDATA("Sum of New-Total Undg SCH FTE",'FTE Pivot for regular counts'!$A$2,"State","LA","Category","12","Category2","Technical")</f>
        <v>7890.55</v>
      </c>
      <c r="H110" s="227">
        <f>+GETPIVOTDATA("Sum of New-Total Undg SCH FTE",'FTE Pivot for regular counts'!$A$2,"State","LA","Category","13","Category2","Technical")</f>
        <v>820.6</v>
      </c>
      <c r="I110" s="15">
        <f>+GETPIVOTDATA("Sum of New-Total Undg SCH FTE",'FTE Pivot for regular counts'!$A$2,"State","LA","Category2","Technical")</f>
        <v>8711.15</v>
      </c>
      <c r="Q110" s="15" t="s">
        <v>783</v>
      </c>
      <c r="R110" s="227">
        <f>+GETPIVOTDATA("Sum of Old-Total Undg SCH FTE",'FTE Pivot for regular counts'!$A$2,"State","LA","Category","7","Category2","Two-Year")</f>
        <v>0</v>
      </c>
      <c r="S110" s="227">
        <f>+GETPIVOTDATA("Sum of Old-Total Undg SCH FTE",'FTE Pivot for regular counts'!$A$2,"State","LA","Category","8","Category2","Two-Year")</f>
        <v>14784.166666666666</v>
      </c>
      <c r="T110" s="227">
        <f>+GETPIVOTDATA("Sum of Old-Total Undg SCH FTE",'FTE Pivot for regular counts'!$A$2,"State","LA","Category",9,"Category2","Two-Year")</f>
        <v>13998.466666666665</v>
      </c>
      <c r="U110" s="227">
        <f>+GETPIVOTDATA("Sum of Old-Total Undg SCH FTE",'FTE Pivot for regular counts'!$A$2,"State","LA","Category","10","Category2","Two-Year")</f>
        <v>5800.0666666666666</v>
      </c>
      <c r="V110" s="285">
        <f>+GETPIVOTDATA("Sum of Old-Total Undg SCH FTE",'FTE Pivot for regular counts'!$A$2,"State","LA","Category2","Two-Year")</f>
        <v>34582.699999999997</v>
      </c>
      <c r="W110" s="286">
        <f>+GETPIVOTDATA("Sum of Old-Total Undg SCH FTE",'FTE Pivot for regular counts'!$A$2,"State","LA","Category","12","Category2","Technical")</f>
        <v>7572.1</v>
      </c>
      <c r="X110" s="227">
        <f>+GETPIVOTDATA("Sum of Old-Total Undg SCH FTE",'FTE Pivot for regular counts'!$A$2,"State","LA","Category","13","Category2","Technical")</f>
        <v>777.23333333333335</v>
      </c>
      <c r="Y110" s="15">
        <f>+GETPIVOTDATA("Sum of Old-Total Undg SCH FTE",'FTE Pivot for regular counts'!$A$2,"State","LA","Category2","Technical")</f>
        <v>8349.3333333333339</v>
      </c>
    </row>
    <row r="111" spans="1:26" ht="15" customHeight="1">
      <c r="A111" s="15" t="s">
        <v>955</v>
      </c>
      <c r="B111" s="227">
        <f>+GETPIVOTDATA("Sum of New-Total Undg SCH FTE",'FTE Pivot for regular counts'!$A$2,"State","MD","Category","7","Category2","Two-Year")</f>
        <v>0</v>
      </c>
      <c r="C111" s="227">
        <f>+GETPIVOTDATA("Sum of New-Total Undg SCH FTE",'FTE Pivot for regular counts'!$A$2,"State","MD","Category","8","Category2","Two-Year")</f>
        <v>59201.116666666669</v>
      </c>
      <c r="D111" s="227">
        <f>+GETPIVOTDATA("Sum of New-Total Undg SCH FTE",'FTE Pivot for regular counts'!$A$2,"State","MD","Category",9,"Category2","Two-Year")</f>
        <v>18232.45</v>
      </c>
      <c r="E111" s="227">
        <f>+GETPIVOTDATA("Sum of New-Total Undg SCH FTE",'FTE Pivot for regular counts'!$A$2,"State","MD","Category","10","Category2","Two-Year")</f>
        <v>6247.0166666666664</v>
      </c>
      <c r="F111" s="285">
        <f>+GETPIVOTDATA("Sum of New-Total Undg SCH FTE",'FTE Pivot for regular counts'!$A$2,"State","MD","Category2","Two-Year")</f>
        <v>83680.583333333328</v>
      </c>
      <c r="G111" s="286">
        <f>+GETPIVOTDATA("Sum of New-Total Undg SCH FTE",'FTE Pivot for regular counts'!$A$2,"State","MD","Category","12","Category2","Technical")</f>
        <v>0</v>
      </c>
      <c r="H111" s="227">
        <f>+GETPIVOTDATA("Sum of New-Total Undg SCH FTE",'FTE Pivot for regular counts'!$A$2,"State","MD","Category","13","Category2","Technical")</f>
        <v>0</v>
      </c>
      <c r="I111" s="15">
        <f>+GETPIVOTDATA("Sum of New-Total Undg SCH FTE",'FTE Pivot for regular counts'!$A$2,"State","MD","Category2","Technical")</f>
        <v>0</v>
      </c>
      <c r="Q111" s="15" t="s">
        <v>784</v>
      </c>
      <c r="R111" s="227">
        <f>+GETPIVOTDATA("Sum of Old-Total Undg SCH FTE",'FTE Pivot for regular counts'!$A$2,"State","MD","Category","7","Category2","Two-Year")</f>
        <v>0</v>
      </c>
      <c r="S111" s="227">
        <f>+GETPIVOTDATA("Sum of Old-Total Undg SCH FTE",'FTE Pivot for regular counts'!$A$2,"State","MD","Category","8","Category2","Two-Year")</f>
        <v>60140.666666666664</v>
      </c>
      <c r="T111" s="227">
        <f>+GETPIVOTDATA("Sum of Old-Total Undg SCH FTE",'FTE Pivot for regular counts'!$A$2,"State","MD","Category",9,"Category2","Two-Year")</f>
        <v>18950.896666666667</v>
      </c>
      <c r="U111" s="227">
        <f>+GETPIVOTDATA("Sum of Old-Total Undg SCH FTE",'FTE Pivot for regular counts'!$A$2,"State","MD","Category","10","Category2","Two-Year")</f>
        <v>6453.2333333333336</v>
      </c>
      <c r="V111" s="285">
        <f>+GETPIVOTDATA("Sum of Old-Total Undg SCH FTE",'FTE Pivot for regular counts'!$A$2,"State","MD","Category2","Two-Year")</f>
        <v>85544.796666666662</v>
      </c>
      <c r="W111" s="286">
        <f>+GETPIVOTDATA("Sum of Old-Total Undg SCH FTE",'FTE Pivot for regular counts'!$A$2,"State","MD","Category","12","Category2","Technical")</f>
        <v>0</v>
      </c>
      <c r="X111" s="227">
        <f>+GETPIVOTDATA("Sum of Old-Total Undg SCH FTE",'FTE Pivot for regular counts'!$A$2,"State","MD","Category","13","Category2","Technical")</f>
        <v>0</v>
      </c>
      <c r="Y111" s="15">
        <f>+GETPIVOTDATA("Sum of Old-Total Undg SCH FTE",'FTE Pivot for regular counts'!$A$2,"State","MD","Category2","Technical")</f>
        <v>0</v>
      </c>
    </row>
    <row r="112" spans="1:26" ht="15" customHeight="1">
      <c r="B112" s="227"/>
      <c r="C112" s="227"/>
      <c r="D112" s="227"/>
      <c r="E112" s="227"/>
      <c r="F112" s="285"/>
      <c r="G112" s="286"/>
      <c r="H112" s="227"/>
      <c r="R112" s="227"/>
      <c r="S112" s="227"/>
      <c r="T112" s="227"/>
      <c r="U112" s="227"/>
      <c r="V112" s="285"/>
      <c r="W112" s="286"/>
      <c r="X112" s="227"/>
    </row>
    <row r="113" spans="1:26" ht="15" customHeight="1">
      <c r="A113" s="15" t="s">
        <v>785</v>
      </c>
      <c r="B113" s="227">
        <f>+GETPIVOTDATA("Sum of New-Total Undg SCH FTE",'FTE Pivot for regular counts'!$A$2,"State","MS","Category","7","Category2","Two-Year")</f>
        <v>0</v>
      </c>
      <c r="C113" s="227">
        <f>+GETPIVOTDATA("Sum of New-Total Undg SCH FTE",'FTE Pivot for regular counts'!$A$2,"State","MS","Category","8","Category2","Two-Year")</f>
        <v>28246.9</v>
      </c>
      <c r="D113" s="227">
        <f>+GETPIVOTDATA("Sum of New-Total Undg SCH FTE",'FTE Pivot for regular counts'!$A$2,"State","MS","Category",9,"Category2","Two-Year")</f>
        <v>29220.283333333333</v>
      </c>
      <c r="E113" s="227">
        <f>+GETPIVOTDATA("Sum of New-Total Undg SCH FTE",'FTE Pivot for regular counts'!$A$2,"State","MS","Category","10","Category2","Two-Year")</f>
        <v>3576.4</v>
      </c>
      <c r="F113" s="285">
        <f>+GETPIVOTDATA("Sum of New-Total Undg SCH FTE",'FTE Pivot for regular counts'!$A$2,"State","MS","Category2","Two-Year")</f>
        <v>61043.583333333336</v>
      </c>
      <c r="G113" s="286">
        <f>+GETPIVOTDATA("Sum of New-Total Undg SCH FTE",'FTE Pivot for regular counts'!$A$2,"State","MS","Category","12","Category2","Technical")</f>
        <v>0</v>
      </c>
      <c r="H113" s="227">
        <f>+GETPIVOTDATA("Sum of New-Total Undg SCH FTE",'FTE Pivot for regular counts'!$A$2,"State","MS","Category","13","Category2","Technical")</f>
        <v>0</v>
      </c>
      <c r="I113" s="15">
        <f>+GETPIVOTDATA("Sum of New-Total Undg SCH FTE",'FTE Pivot for regular counts'!$A$2,"State","MS","Category2","Technical")</f>
        <v>0</v>
      </c>
      <c r="Q113" s="15" t="s">
        <v>785</v>
      </c>
      <c r="R113" s="227">
        <f>+GETPIVOTDATA("Sum of Old-Total Undg SCH FTE",'FTE Pivot for regular counts'!$A$2,"State","MS","Category","7","Category2","Two-Year")</f>
        <v>0</v>
      </c>
      <c r="S113" s="227">
        <f>+GETPIVOTDATA("Sum of Old-Total Undg SCH FTE",'FTE Pivot for regular counts'!$A$2,"State","MS","Category","8","Category2","Two-Year")</f>
        <v>29232.833333333336</v>
      </c>
      <c r="T113" s="227">
        <f>+GETPIVOTDATA("Sum of Old-Total Undg SCH FTE",'FTE Pivot for regular counts'!$A$2,"State","MS","Category",9,"Category2","Two-Year")</f>
        <v>29847.433333333331</v>
      </c>
      <c r="U113" s="227">
        <f>+GETPIVOTDATA("Sum of Old-Total Undg SCH FTE",'FTE Pivot for regular counts'!$A$2,"State","MS","Category","10","Category2","Two-Year")</f>
        <v>3512.8999999999996</v>
      </c>
      <c r="V113" s="285">
        <f>+GETPIVOTDATA("Sum of Old-Total Undg SCH FTE",'FTE Pivot for regular counts'!$A$2,"State","MS","Category2","Two-Year")</f>
        <v>62593.166666666664</v>
      </c>
      <c r="W113" s="286">
        <f>+GETPIVOTDATA("Sum of Old-Total Undg SCH FTE",'FTE Pivot for regular counts'!$A$2,"State","MS","Category","12","Category2","Technical")</f>
        <v>0</v>
      </c>
      <c r="X113" s="227">
        <f>+GETPIVOTDATA("Sum of Old-Total Undg SCH FTE",'FTE Pivot for regular counts'!$A$2,"State","MS","Category","13","Category2","Technical")</f>
        <v>0</v>
      </c>
      <c r="Y113" s="15">
        <f>+GETPIVOTDATA("Sum of Old-Total Undg SCH FTE",'FTE Pivot for regular counts'!$A$2,"State","MS","Category2","Technical")</f>
        <v>0</v>
      </c>
    </row>
    <row r="114" spans="1:26" ht="15" customHeight="1">
      <c r="A114" s="15" t="s">
        <v>786</v>
      </c>
      <c r="B114" s="227">
        <f>+GETPIVOTDATA("Sum of New-Total Undg SCH FTE",'FTE Pivot for regular counts'!$A$2,"State","NC","Category","7","Category2","Two-Year")</f>
        <v>0</v>
      </c>
      <c r="C114" s="227">
        <f>+GETPIVOTDATA("Sum of New-Total Undg SCH FTE",'FTE Pivot for regular counts'!$A$2,"State","NC","Category","8","Category2","Two-Year")</f>
        <v>70054.21666666666</v>
      </c>
      <c r="D114" s="227">
        <f>+GETPIVOTDATA("Sum of New-Total Undg SCH FTE",'FTE Pivot for regular counts'!$A$2,"State","NC","Category",9,"Category2","Two-Year")</f>
        <v>54422.400000000009</v>
      </c>
      <c r="E114" s="227">
        <f>+GETPIVOTDATA("Sum of New-Total Undg SCH FTE",'FTE Pivot for regular counts'!$A$2,"State","NC","Category","10","Category2","Two-Year")</f>
        <v>26302.783333333333</v>
      </c>
      <c r="F114" s="285">
        <f>+GETPIVOTDATA("Sum of New-Total Undg SCH FTE",'FTE Pivot for regular counts'!$A$2,"State","NC","Category2","Two-Year")</f>
        <v>150779.4</v>
      </c>
      <c r="G114" s="286">
        <f>+GETPIVOTDATA("Sum of New-Total Undg SCH FTE",'FTE Pivot for regular counts'!$A$2,"State","NC","Category","12","Category2","Technical")</f>
        <v>0</v>
      </c>
      <c r="H114" s="227">
        <f>+GETPIVOTDATA("Sum of New-Total Undg SCH FTE",'FTE Pivot for regular counts'!$A$2,"State","NC","Category","13","Category2","Technical")</f>
        <v>0</v>
      </c>
      <c r="I114" s="15">
        <f>+GETPIVOTDATA("Sum of New-Total Undg SCH FTE",'FTE Pivot for regular counts'!$A$2,"State","NC","Category2","Technical")</f>
        <v>0</v>
      </c>
      <c r="Q114" s="15" t="s">
        <v>786</v>
      </c>
      <c r="R114" s="227">
        <f>+GETPIVOTDATA("Sum of Old-Total Undg SCH FTE",'FTE Pivot for regular counts'!$A$2,"State","NC","Category","7","Category2","Two-Year")</f>
        <v>0</v>
      </c>
      <c r="S114" s="227">
        <f>+GETPIVOTDATA("Sum of Old-Total Undg SCH FTE",'FTE Pivot for regular counts'!$A$2,"State","NC","Category","8","Category2","Two-Year")</f>
        <v>69838.726666666669</v>
      </c>
      <c r="T114" s="227">
        <f>+GETPIVOTDATA("Sum of Old-Total Undg SCH FTE",'FTE Pivot for regular counts'!$A$2,"State","NC","Category",9,"Category2","Two-Year")</f>
        <v>54168.933333333349</v>
      </c>
      <c r="U114" s="227">
        <f>+GETPIVOTDATA("Sum of Old-Total Undg SCH FTE",'FTE Pivot for regular counts'!$A$2,"State","NC","Category","10","Category2","Two-Year")</f>
        <v>25775.533333333336</v>
      </c>
      <c r="V114" s="285">
        <f>+GETPIVOTDATA("Sum of Old-Total Undg SCH FTE",'FTE Pivot for regular counts'!$A$2,"State","NC","Category2","Two-Year")</f>
        <v>149783.19333333336</v>
      </c>
      <c r="W114" s="286">
        <f>+GETPIVOTDATA("Sum of Old-Total Undg SCH FTE",'FTE Pivot for regular counts'!$A$2,"State","NC","Category","12","Category2","Technical")</f>
        <v>0</v>
      </c>
      <c r="X114" s="227">
        <f>+GETPIVOTDATA("Sum of Old-Total Undg SCH FTE",'FTE Pivot for regular counts'!$A$2,"State","NC","Category","13","Category2","Technical")</f>
        <v>0</v>
      </c>
      <c r="Y114" s="15">
        <f>+GETPIVOTDATA("Sum of Old-Total Undg SCH FTE",'FTE Pivot for regular counts'!$A$2,"State","NC","Category2","Technical")</f>
        <v>0</v>
      </c>
    </row>
    <row r="115" spans="1:26" ht="15" customHeight="1">
      <c r="A115" s="15" t="s">
        <v>787</v>
      </c>
      <c r="B115" s="227">
        <f>+GETPIVOTDATA("Sum of New-Total Undg SCH FTE",'FTE Pivot for regular counts'!$A$2,"State","OK","Category","7","Category2","Two-Year")</f>
        <v>6146.9</v>
      </c>
      <c r="C115" s="227">
        <f>+GETPIVOTDATA("Sum of New-Total Undg SCH FTE",'FTE Pivot for regular counts'!$A$2,"State","OK","Category","8","Category2","Two-Year")</f>
        <v>16023.033333333333</v>
      </c>
      <c r="D115" s="227">
        <f>+GETPIVOTDATA("Sum of New-Total Undg SCH FTE",'FTE Pivot for regular counts'!$A$2,"State","OK","Category",9,"Category2","Two-Year")</f>
        <v>6359.7</v>
      </c>
      <c r="E115" s="227">
        <f>+GETPIVOTDATA("Sum of New-Total Undg SCH FTE",'FTE Pivot for regular counts'!$A$2,"State","OK","Category","10","Category2","Two-Year")</f>
        <v>8942.8333333333339</v>
      </c>
      <c r="F115" s="285">
        <f>+GETPIVOTDATA("Sum of New-Total Undg SCH FTE",'FTE Pivot for regular counts'!$A$2,"State","OK","Category2","Two-Year")</f>
        <v>37472.466666666667</v>
      </c>
      <c r="G115" s="286">
        <f>+GETPIVOTDATA("Sum of New-Total Undg SCH FTE",'FTE Pivot for regular counts'!$A$2,"State","OK","Category","12","Category2","Technical")</f>
        <v>0</v>
      </c>
      <c r="H115" s="227">
        <f>+GETPIVOTDATA("Sum of New-Total Undg SCH FTE",'FTE Pivot for regular counts'!$A$2,"State","OK","Category","13","Category2","Technical")</f>
        <v>0</v>
      </c>
      <c r="I115" s="15">
        <f>+GETPIVOTDATA("Sum of New-Total Undg SCH FTE",'FTE Pivot for regular counts'!$A$2,"State","OK","Category2","Technical")</f>
        <v>0</v>
      </c>
      <c r="Q115" s="15" t="s">
        <v>787</v>
      </c>
      <c r="R115" s="227">
        <f>+GETPIVOTDATA("Sum of Old-Total Undg SCH FTE",'FTE Pivot for regular counts'!$A$2,"State","OK","Category","7","Category2","Two-Year")</f>
        <v>6620.6666666666661</v>
      </c>
      <c r="S115" s="227">
        <f>+GETPIVOTDATA("Sum of Old-Total Undg SCH FTE",'FTE Pivot for regular counts'!$A$2,"State","OK","Category","8","Category2","Two-Year")</f>
        <v>17469.266666666666</v>
      </c>
      <c r="T115" s="227">
        <f>+GETPIVOTDATA("Sum of Old-Total Undg SCH FTE",'FTE Pivot for regular counts'!$A$2,"State","OK","Category",9,"Category2","Two-Year")</f>
        <v>6882.4333333333343</v>
      </c>
      <c r="U115" s="227">
        <f>+GETPIVOTDATA("Sum of Old-Total Undg SCH FTE",'FTE Pivot for regular counts'!$A$2,"State","OK","Category","10","Category2","Two-Year")</f>
        <v>10382.800000000001</v>
      </c>
      <c r="V115" s="285">
        <f>+GETPIVOTDATA("Sum of Old-Total Undg SCH FTE",'FTE Pivot for regular counts'!$A$2,"State","OK","Category2","Two-Year")</f>
        <v>41355.166666666672</v>
      </c>
      <c r="W115" s="286">
        <f>+GETPIVOTDATA("Sum of Old-Total Undg SCH FTE",'FTE Pivot for regular counts'!$A$2,"State","OK","Category","12","Category2","Technical")</f>
        <v>0</v>
      </c>
      <c r="X115" s="227">
        <f>+GETPIVOTDATA("Sum of Old-Total Undg SCH FTE",'FTE Pivot for regular counts'!$A$2,"State","OK","Category","13","Category2","Technical")</f>
        <v>0</v>
      </c>
      <c r="Y115" s="15">
        <f>+GETPIVOTDATA("Sum of Old-Total Undg SCH FTE",'FTE Pivot for regular counts'!$A$2,"State","OK","Category2","Technical")</f>
        <v>0</v>
      </c>
    </row>
    <row r="116" spans="1:26" ht="15" customHeight="1">
      <c r="A116" s="15" t="s">
        <v>788</v>
      </c>
      <c r="B116" s="227">
        <f>+GETPIVOTDATA("Sum of New-Total Undg SCH FTE",'FTE Pivot for regular counts'!$A$2,"State","SC","Category","7","Category2","Two-Year")</f>
        <v>0</v>
      </c>
      <c r="C116" s="227">
        <f>+GETPIVOTDATA("Sum of New-Total Undg SCH FTE",'FTE Pivot for regular counts'!$A$2,"State","SC","Category","8","Category2","Two-Year")</f>
        <v>27911.933333333334</v>
      </c>
      <c r="D116" s="227">
        <f>+GETPIVOTDATA("Sum of New-Total Undg SCH FTE",'FTE Pivot for regular counts'!$A$2,"State","SC","Category",9,"Category2","Two-Year")</f>
        <v>19925.133333333335</v>
      </c>
      <c r="E116" s="227">
        <f>+GETPIVOTDATA("Sum of New-Total Undg SCH FTE",'FTE Pivot for regular counts'!$A$2,"State","SC","Category","10","Category2","Two-Year")</f>
        <v>9789.6666666666679</v>
      </c>
      <c r="F116" s="285">
        <f>+GETPIVOTDATA("Sum of New-Total Undg SCH FTE",'FTE Pivot for regular counts'!$A$2,"State","SC","Category2","Two-Year")</f>
        <v>57626.733333333337</v>
      </c>
      <c r="G116" s="286">
        <f>+GETPIVOTDATA("Sum of New-Total Undg SCH FTE",'FTE Pivot for regular counts'!$A$2,"State","SC","Category","12","Category2","Technical")</f>
        <v>0</v>
      </c>
      <c r="H116" s="227">
        <f>+GETPIVOTDATA("Sum of New-Total Undg SCH FTE",'FTE Pivot for regular counts'!$A$2,"State","SC","Category","13","Category2","Technical")</f>
        <v>0</v>
      </c>
      <c r="I116" s="15">
        <f>+GETPIVOTDATA("Sum of New-Total Undg SCH FTE",'FTE Pivot for regular counts'!$A$2,"State","SC","Category2","Technical")</f>
        <v>0</v>
      </c>
      <c r="Q116" s="15" t="s">
        <v>788</v>
      </c>
      <c r="R116" s="227">
        <f>+GETPIVOTDATA("Sum of Old-Total Undg SCH FTE",'FTE Pivot for regular counts'!$A$2,"State","SC","Category","7","Category2","Two-Year")</f>
        <v>0</v>
      </c>
      <c r="S116" s="227">
        <f>+GETPIVOTDATA("Sum of Old-Total Undg SCH FTE",'FTE Pivot for regular counts'!$A$2,"State","SC","Category","8","Category2","Two-Year")</f>
        <v>28647.566666666666</v>
      </c>
      <c r="T116" s="227">
        <f>+GETPIVOTDATA("Sum of Old-Total Undg SCH FTE",'FTE Pivot for regular counts'!$A$2,"State","SC","Category",9,"Category2","Two-Year")</f>
        <v>20381.533333333333</v>
      </c>
      <c r="U116" s="227">
        <f>+GETPIVOTDATA("Sum of Old-Total Undg SCH FTE",'FTE Pivot for regular counts'!$A$2,"State","SC","Category","10","Category2","Two-Year")</f>
        <v>9778.3666666666668</v>
      </c>
      <c r="V116" s="285">
        <f>+GETPIVOTDATA("Sum of Old-Total Undg SCH FTE",'FTE Pivot for regular counts'!$A$2,"State","SC","Category2","Two-Year")</f>
        <v>58807.466666666667</v>
      </c>
      <c r="W116" s="286">
        <f>+GETPIVOTDATA("Sum of Old-Total Undg SCH FTE",'FTE Pivot for regular counts'!$A$2,"State","SC","Category","12","Category2","Technical")</f>
        <v>0</v>
      </c>
      <c r="X116" s="227">
        <f>+GETPIVOTDATA("Sum of Old-Total Undg SCH FTE",'FTE Pivot for regular counts'!$A$2,"State","SC","Category","13","Category2","Technical")</f>
        <v>0</v>
      </c>
      <c r="Y116" s="15">
        <f>+GETPIVOTDATA("Sum of Old-Total Undg SCH FTE",'FTE Pivot for regular counts'!$A$2,"State","SC","Category2","Technical")</f>
        <v>0</v>
      </c>
    </row>
    <row r="117" spans="1:26" ht="15" customHeight="1">
      <c r="B117" s="227"/>
      <c r="C117" s="227"/>
      <c r="D117" s="227"/>
      <c r="E117" s="227"/>
      <c r="F117" s="285"/>
      <c r="G117" s="286"/>
      <c r="H117" s="227"/>
      <c r="R117" s="227"/>
      <c r="S117" s="227"/>
      <c r="T117" s="227"/>
      <c r="U117" s="227"/>
      <c r="V117" s="285"/>
      <c r="W117" s="286"/>
      <c r="X117" s="227"/>
    </row>
    <row r="118" spans="1:26" ht="15" customHeight="1">
      <c r="A118" s="15" t="s">
        <v>789</v>
      </c>
      <c r="B118" s="227">
        <f>+GETPIVOTDATA("Sum of New-Total Undg SCH FTE",'FTE Pivot for regular counts'!$A$2,"State","TN","Category","7","Category2","Two-Year")</f>
        <v>0</v>
      </c>
      <c r="C118" s="227">
        <f>+GETPIVOTDATA("Sum of New-Total Undg SCH FTE",'FTE Pivot for regular counts'!$A$2,"State","TN","Category","8","Category2","Two-Year")</f>
        <v>30270.366666666669</v>
      </c>
      <c r="D118" s="227">
        <f>+GETPIVOTDATA("Sum of New-Total Undg SCH FTE",'FTE Pivot for regular counts'!$A$2,"State","TN","Category",9,"Category2","Two-Year")</f>
        <v>26590.26666666667</v>
      </c>
      <c r="E118" s="227">
        <f>+GETPIVOTDATA("Sum of New-Total Undg SCH FTE",'FTE Pivot for regular counts'!$A$2,"State","TN","Category","10","Category2","Two-Year")</f>
        <v>1770.2666666666667</v>
      </c>
      <c r="F118" s="285">
        <f>+GETPIVOTDATA("Sum of New-Total Undg SCH FTE",'FTE Pivot for regular counts'!$A$2,"State","TN","Category2","Two-Year")</f>
        <v>58630.900000000009</v>
      </c>
      <c r="G118" s="286">
        <f>+GETPIVOTDATA("Sum of New-Total Undg SCH FTE",'FTE Pivot for regular counts'!$A$2,"State","TN","Category","12","Category2","Technical")</f>
        <v>0</v>
      </c>
      <c r="H118" s="227">
        <f>+GETPIVOTDATA("Sum of New-Total Undg SCH FTE",'FTE Pivot for regular counts'!$A$2,"State","TN","Category","13","Category2","Technical")</f>
        <v>0</v>
      </c>
      <c r="I118" s="15">
        <f>+GETPIVOTDATA("Sum of New-Total Undg SCH FTE",'FTE Pivot for regular counts'!$A$2,"State","TN","Category2","Technical")</f>
        <v>0</v>
      </c>
      <c r="Q118" s="15" t="s">
        <v>789</v>
      </c>
      <c r="R118" s="227">
        <f>+GETPIVOTDATA("Sum of Old-Total Undg SCH FTE",'FTE Pivot for regular counts'!$A$2,"State","TN","Category","7","Category2","Two-Year")</f>
        <v>0</v>
      </c>
      <c r="S118" s="227">
        <f>+GETPIVOTDATA("Sum of Old-Total Undg SCH FTE",'FTE Pivot for regular counts'!$A$2,"State","TN","Category","8","Category2","Two-Year")</f>
        <v>30490.866666666669</v>
      </c>
      <c r="T118" s="227">
        <f>+GETPIVOTDATA("Sum of Old-Total Undg SCH FTE",'FTE Pivot for regular counts'!$A$2,"State","TN","Category",9,"Category2","Two-Year")</f>
        <v>25758.333333333336</v>
      </c>
      <c r="U118" s="227">
        <f>+GETPIVOTDATA("Sum of Old-Total Undg SCH FTE",'FTE Pivot for regular counts'!$A$2,"State","TN","Category","10","Category2","Two-Year")</f>
        <v>1717.4</v>
      </c>
      <c r="V118" s="285">
        <f>+GETPIVOTDATA("Sum of Old-Total Undg SCH FTE",'FTE Pivot for regular counts'!$A$2,"State","TN","Category2","Two-Year")</f>
        <v>57966.600000000006</v>
      </c>
      <c r="W118" s="286">
        <f>+GETPIVOTDATA("Sum of Old-Total Undg SCH FTE",'FTE Pivot for regular counts'!$A$2,"State","TN","Category","12","Category2","Technical")</f>
        <v>0</v>
      </c>
      <c r="X118" s="227">
        <f>+GETPIVOTDATA("Sum of Old-Total Undg SCH FTE",'FTE Pivot for regular counts'!$A$2,"State","TN","Category","13","Category2","Technical")</f>
        <v>0</v>
      </c>
      <c r="Y118" s="15">
        <f>+GETPIVOTDATA("Sum of Old-Total Undg SCH FTE",'FTE Pivot for regular counts'!$A$2,"State","TN","Category2","Technical")</f>
        <v>0</v>
      </c>
    </row>
    <row r="119" spans="1:26" ht="15" customHeight="1">
      <c r="A119" s="15" t="s">
        <v>790</v>
      </c>
      <c r="B119" s="227">
        <f>+GETPIVOTDATA("Sum of New-Total Undg SCH FTE",'FTE Pivot for regular counts'!$A$2,"State","TX","Category","7","Category2","Two-Year")</f>
        <v>27074.300000000003</v>
      </c>
      <c r="C119" s="227">
        <f>+GETPIVOTDATA("Sum of New-Total Undg SCH FTE",'FTE Pivot for regular counts'!$A$2,"State","TX","Category","8","Category2","Two-Year")</f>
        <v>342957.86666666664</v>
      </c>
      <c r="D119" s="227">
        <f>+GETPIVOTDATA("Sum of New-Total Undg SCH FTE",'FTE Pivot for regular counts'!$A$2,"State","TX","Category",9,"Category2","Two-Year")</f>
        <v>78292.600000000006</v>
      </c>
      <c r="E119" s="227">
        <f>+GETPIVOTDATA("Sum of New-Total Undg SCH FTE",'FTE Pivot for regular counts'!$A$2,"State","TX","Category","10","Category2","Two-Year")</f>
        <v>17050.933333333331</v>
      </c>
      <c r="F119" s="285">
        <f>+GETPIVOTDATA("Sum of New-Total Undg SCH FTE",'FTE Pivot for regular counts'!$A$2,"State","TX","Category2","Two-Year")</f>
        <v>465375.69999999995</v>
      </c>
      <c r="G119" s="286">
        <f>+GETPIVOTDATA("Sum of New-Total Undg SCH FTE",'FTE Pivot for regular counts'!$A$2,"State","TX","Category","12","Category2","Technical")</f>
        <v>0</v>
      </c>
      <c r="H119" s="227">
        <f>+GETPIVOTDATA("Sum of New-Total Undg SCH FTE",'FTE Pivot for regular counts'!$A$2,"State","TX","Category","13","Category2","Technical")</f>
        <v>0</v>
      </c>
      <c r="I119" s="15">
        <f>+GETPIVOTDATA("Sum of New-Total Undg SCH FTE",'FTE Pivot for regular counts'!$A$2,"State","TX","Category2","Technical")</f>
        <v>0</v>
      </c>
      <c r="Q119" s="15" t="s">
        <v>790</v>
      </c>
      <c r="R119" s="227">
        <f>+GETPIVOTDATA("Sum of Old-Total Undg SCH FTE",'FTE Pivot for regular counts'!$A$2,"State","TX","Category","7","Category2","Two-Year")</f>
        <v>26741.833333333336</v>
      </c>
      <c r="S119" s="227">
        <f>+GETPIVOTDATA("Sum of Old-Total Undg SCH FTE",'FTE Pivot for regular counts'!$A$2,"State","TX","Category","8","Category2","Two-Year")</f>
        <v>349676.6</v>
      </c>
      <c r="T119" s="227">
        <f>+GETPIVOTDATA("Sum of Old-Total Undg SCH FTE",'FTE Pivot for regular counts'!$A$2,"State","TX","Category",9,"Category2","Two-Year")</f>
        <v>78779.566666666666</v>
      </c>
      <c r="U119" s="227">
        <f>+GETPIVOTDATA("Sum of Old-Total Undg SCH FTE",'FTE Pivot for regular counts'!$A$2,"State","TX","Category","10","Category2","Two-Year")</f>
        <v>15965.500000000002</v>
      </c>
      <c r="V119" s="285">
        <f>+GETPIVOTDATA("Sum of Old-Total Undg SCH FTE",'FTE Pivot for regular counts'!$A$2,"State","TX","Category2","Two-Year")</f>
        <v>471163.49999999994</v>
      </c>
      <c r="W119" s="286">
        <f>+GETPIVOTDATA("Sum of Old-Total Undg SCH FTE",'FTE Pivot for regular counts'!$A$2,"State","TX","Category","12","Category2","Technical")</f>
        <v>0</v>
      </c>
      <c r="X119" s="227">
        <f>+GETPIVOTDATA("Sum of Old-Total Undg SCH FTE",'FTE Pivot for regular counts'!$A$2,"State","TX","Category","13","Category2","Technical")</f>
        <v>0</v>
      </c>
      <c r="Y119" s="15">
        <f>+GETPIVOTDATA("Sum of Old-Total Undg SCH FTE",'FTE Pivot for regular counts'!$A$2,"State","TX","Category2","Technical")</f>
        <v>0</v>
      </c>
    </row>
    <row r="120" spans="1:26" ht="15" customHeight="1">
      <c r="A120" s="15" t="s">
        <v>791</v>
      </c>
      <c r="B120" s="227">
        <f>+GETPIVOTDATA("Sum of New-Total Undg SCH FTE",'FTE Pivot for regular counts'!$A$2,"State","VA","Category","7","Category2","Two-Year")</f>
        <v>0</v>
      </c>
      <c r="C120" s="227">
        <f>+GETPIVOTDATA("Sum of New-Total Undg SCH FTE",'FTE Pivot for regular counts'!$A$2,"State","VA","Category","8","Category2","Two-Year")</f>
        <v>60664.966666666667</v>
      </c>
      <c r="D120" s="227">
        <f>+GETPIVOTDATA("Sum of New-Total Undg SCH FTE",'FTE Pivot for regular counts'!$A$2,"State","VA","Category",9,"Category2","Two-Year")</f>
        <v>23934.799999999996</v>
      </c>
      <c r="E120" s="227">
        <f>+GETPIVOTDATA("Sum of New-Total Undg SCH FTE",'FTE Pivot for regular counts'!$A$2,"State","VA","Category","10","Category2","Two-Year")</f>
        <v>14328.066666666668</v>
      </c>
      <c r="F120" s="285">
        <f>+GETPIVOTDATA("Sum of New-Total Undg SCH FTE",'FTE Pivot for regular counts'!$A$2,"State","VA","Category2","Two-Year")</f>
        <v>98927.833333333328</v>
      </c>
      <c r="G120" s="286">
        <f>+GETPIVOTDATA("Sum of New-Total Undg SCH FTE",'FTE Pivot for regular counts'!$A$2,"State","VA","Category","12","Category2","Technical")</f>
        <v>0</v>
      </c>
      <c r="H120" s="227">
        <f>+GETPIVOTDATA("Sum of New-Total Undg SCH FTE",'FTE Pivot for regular counts'!$A$2,"State","VA","Category","13","Category2","Technical")</f>
        <v>0</v>
      </c>
      <c r="I120" s="15">
        <f>+GETPIVOTDATA("Sum of New-Total Undg SCH FTE",'FTE Pivot for regular counts'!$A$2,"State","VA","Category2","Technical")</f>
        <v>0</v>
      </c>
      <c r="Q120" s="15" t="s">
        <v>791</v>
      </c>
      <c r="R120" s="227">
        <f>+GETPIVOTDATA("Sum of Old-Total Undg SCH FTE",'FTE Pivot for regular counts'!$A$2,"State","VA","Category","7","Category2","Two-Year")</f>
        <v>0</v>
      </c>
      <c r="S120" s="227">
        <f>+GETPIVOTDATA("Sum of Old-Total Undg SCH FTE",'FTE Pivot for regular counts'!$A$2,"State","VA","Category","8","Category2","Two-Year")</f>
        <v>62193</v>
      </c>
      <c r="T120" s="227">
        <f>+GETPIVOTDATA("Sum of Old-Total Undg SCH FTE",'FTE Pivot for regular counts'!$A$2,"State","VA","Category",9,"Category2","Two-Year")</f>
        <v>24557.933333333334</v>
      </c>
      <c r="U120" s="227">
        <f>+GETPIVOTDATA("Sum of Old-Total Undg SCH FTE",'FTE Pivot for regular counts'!$A$2,"State","VA","Category","10","Category2","Two-Year")</f>
        <v>14499.733333333334</v>
      </c>
      <c r="V120" s="285">
        <f>+GETPIVOTDATA("Sum of Old-Total Undg SCH FTE",'FTE Pivot for regular counts'!$A$2,"State","VA","Category2","Two-Year")</f>
        <v>101250.66666666667</v>
      </c>
      <c r="W120" s="286">
        <f>+GETPIVOTDATA("Sum of Old-Total Undg SCH FTE",'FTE Pivot for regular counts'!$A$2,"State","VA","Category","12","Category2","Technical")</f>
        <v>0</v>
      </c>
      <c r="X120" s="227">
        <f>+GETPIVOTDATA("Sum of Old-Total Undg SCH FTE",'FTE Pivot for regular counts'!$A$2,"State","VA","Category","13","Category2","Technical")</f>
        <v>0</v>
      </c>
      <c r="Y120" s="15">
        <f>+GETPIVOTDATA("Sum of Old-Total Undg SCH FTE",'FTE Pivot for regular counts'!$A$2,"State","VA","Category2","Technical")</f>
        <v>0</v>
      </c>
    </row>
    <row r="121" spans="1:26" ht="15" customHeight="1">
      <c r="A121" s="234" t="s">
        <v>792</v>
      </c>
      <c r="B121" s="235">
        <f>+GETPIVOTDATA("Sum of New-Total Undg SCH FTE",'FTE Pivot for regular counts'!$A$2,"State","WV","Category","7","Category2","Two-Year")</f>
        <v>2882.4</v>
      </c>
      <c r="C121" s="235">
        <f>+GETPIVOTDATA("Sum of New-Total Undg SCH FTE",'FTE Pivot for regular counts'!$A$2,"State","WV","Category","8","Category2","Two-Year")</f>
        <v>0</v>
      </c>
      <c r="D121" s="235">
        <f>+GETPIVOTDATA("Sum of New-Total Undg SCH FTE",'FTE Pivot for regular counts'!$A$2,"State","WV","Category",9,"Category2","Two-Year")</f>
        <v>2178.4899999999998</v>
      </c>
      <c r="E121" s="235">
        <f>+GETPIVOTDATA("Sum of New-Total Undg SCH FTE",'FTE Pivot for regular counts'!$A$2,"State","WV","Category","10","Category2","Two-Year")</f>
        <v>7098.4866666666667</v>
      </c>
      <c r="F121" s="287">
        <f>+GETPIVOTDATA("Sum of New-Total Undg SCH FTE",'FTE Pivot for regular counts'!$A$2,"State","WV","Category2","Two-Year")</f>
        <v>12159.376666666667</v>
      </c>
      <c r="G121" s="288">
        <f>+GETPIVOTDATA("Sum of New-Total Undg SCH FTE",'FTE Pivot for regular counts'!$A$2,"State","WV","Category","12","Category2","Technical")</f>
        <v>0</v>
      </c>
      <c r="H121" s="235">
        <f>+GETPIVOTDATA("Sum of New-Total Undg SCH FTE",'FTE Pivot for regular counts'!$A$2,"State","WV","Category","13","Category2","Technical")</f>
        <v>0</v>
      </c>
      <c r="I121" s="234">
        <f>+GETPIVOTDATA("Sum of New-Total Undg SCH FTE",'FTE Pivot for regular counts'!$A$2,"State","WV","Category2","Technical")</f>
        <v>0</v>
      </c>
      <c r="Q121" s="234" t="s">
        <v>792</v>
      </c>
      <c r="R121" s="235">
        <f>+GETPIVOTDATA("Sum of Old-Total Undg SCH FTE",'FTE Pivot for regular counts'!$A$2,"State","WV","Category","7","Category2","Two-Year")</f>
        <v>2904.5333333333333</v>
      </c>
      <c r="S121" s="235">
        <f>+GETPIVOTDATA("Sum of Old-Total Undg SCH FTE",'FTE Pivot for regular counts'!$A$2,"State","WV","Category","8","Category2","Two-Year")</f>
        <v>0</v>
      </c>
      <c r="T121" s="235">
        <f>+GETPIVOTDATA("Sum of Old-Total Undg SCH FTE",'FTE Pivot for regular counts'!$A$2,"State","WV","Category",9,"Category2","Two-Year")</f>
        <v>2184.1366666666668</v>
      </c>
      <c r="U121" s="235">
        <f>+GETPIVOTDATA("Sum of Old-Total Undg SCH FTE",'FTE Pivot for regular counts'!$A$2,"State","WV","Category","10","Category2","Two-Year")</f>
        <v>7231.2200000000012</v>
      </c>
      <c r="V121" s="287">
        <f>+GETPIVOTDATA("Sum of Old-Total Undg SCH FTE",'FTE Pivot for regular counts'!$A$2,"State","WV","Category2","Two-Year")</f>
        <v>12319.890000000001</v>
      </c>
      <c r="W121" s="288">
        <f>+GETPIVOTDATA("Sum of Old-Total Undg SCH FTE",'FTE Pivot for regular counts'!$A$2,"State","WV","Category","12","Category2","Technical")</f>
        <v>0</v>
      </c>
      <c r="X121" s="235">
        <f>+GETPIVOTDATA("Sum of Old-Total Undg SCH FTE",'FTE Pivot for regular counts'!$A$2,"State","WV","Category","13","Category2","Technical")</f>
        <v>0</v>
      </c>
      <c r="Y121" s="234">
        <f>+GETPIVOTDATA("Sum of Old-Total Undg SCH FTE",'FTE Pivot for regular counts'!$A$2,"State","WV","Category2","Technical")</f>
        <v>0</v>
      </c>
    </row>
    <row r="122" spans="1:26" ht="36.75" customHeight="1">
      <c r="A122" s="603" t="s">
        <v>957</v>
      </c>
      <c r="B122" s="603"/>
      <c r="C122" s="603"/>
      <c r="D122" s="603"/>
      <c r="E122" s="603"/>
      <c r="F122" s="603"/>
      <c r="G122" s="603"/>
      <c r="H122" s="603"/>
      <c r="I122" s="603"/>
      <c r="J122" s="289"/>
      <c r="K122" s="289"/>
      <c r="L122" s="289"/>
      <c r="M122" s="289"/>
    </row>
    <row r="123" spans="1:26">
      <c r="A123" s="606" t="s">
        <v>956</v>
      </c>
      <c r="B123" s="606"/>
      <c r="C123" s="606"/>
      <c r="D123" s="606"/>
      <c r="E123" s="606"/>
      <c r="F123" s="606"/>
      <c r="G123" s="606"/>
      <c r="H123" s="606"/>
      <c r="I123" s="606"/>
      <c r="J123" s="289"/>
      <c r="K123" s="289"/>
      <c r="L123" s="289"/>
      <c r="M123" s="289"/>
    </row>
    <row r="124" spans="1:26" ht="10.5" customHeight="1">
      <c r="I124" s="247" t="s">
        <v>953</v>
      </c>
      <c r="J124" s="260"/>
      <c r="K124" s="260"/>
      <c r="L124" s="260"/>
      <c r="M124" s="290"/>
    </row>
    <row r="125" spans="1:26" ht="18">
      <c r="A125" s="604" t="s">
        <v>805</v>
      </c>
      <c r="B125" s="604"/>
      <c r="C125" s="604"/>
      <c r="D125" s="604"/>
      <c r="E125" s="604"/>
      <c r="F125" s="604"/>
      <c r="G125" s="604"/>
      <c r="H125" s="604"/>
      <c r="I125" s="604"/>
      <c r="J125" s="604"/>
      <c r="K125" s="268"/>
      <c r="L125" s="268"/>
      <c r="M125" s="268"/>
    </row>
    <row r="126" spans="1:26" ht="15.5">
      <c r="A126" s="291"/>
      <c r="B126" s="186"/>
      <c r="C126" s="190"/>
      <c r="D126" s="261"/>
      <c r="E126" s="186"/>
      <c r="F126" s="186"/>
      <c r="G126" s="186"/>
      <c r="H126" s="186"/>
      <c r="I126" s="186"/>
      <c r="J126" s="186"/>
      <c r="K126" s="186"/>
      <c r="L126" s="186"/>
      <c r="Q126" s="15" t="s">
        <v>757</v>
      </c>
    </row>
    <row r="127" spans="1:26" ht="15.5">
      <c r="A127" s="605" t="s">
        <v>806</v>
      </c>
      <c r="B127" s="605"/>
      <c r="C127" s="605"/>
      <c r="D127" s="605"/>
      <c r="E127" s="605"/>
      <c r="F127" s="605"/>
      <c r="G127" s="605"/>
      <c r="H127" s="605"/>
      <c r="I127" s="605"/>
      <c r="J127" s="605"/>
      <c r="K127" s="269"/>
      <c r="L127" s="269"/>
      <c r="Q127" s="270" t="s">
        <v>806</v>
      </c>
      <c r="R127" s="269"/>
      <c r="S127" s="269"/>
      <c r="T127" s="269"/>
      <c r="U127" s="269"/>
      <c r="V127" s="269"/>
      <c r="W127" s="269"/>
      <c r="X127" s="269"/>
      <c r="Y127" s="269"/>
      <c r="Z127" s="269"/>
    </row>
    <row r="128" spans="1:26" ht="15.5">
      <c r="A128" s="605" t="s">
        <v>949</v>
      </c>
      <c r="B128" s="605"/>
      <c r="C128" s="605"/>
      <c r="D128" s="605"/>
      <c r="E128" s="605"/>
      <c r="F128" s="605"/>
      <c r="G128" s="605"/>
      <c r="H128" s="605"/>
      <c r="I128" s="605"/>
      <c r="J128" s="605"/>
      <c r="K128" s="269"/>
      <c r="L128" s="269"/>
      <c r="Q128" s="270" t="s">
        <v>800</v>
      </c>
      <c r="R128" s="269"/>
      <c r="S128" s="269"/>
      <c r="T128" s="269"/>
      <c r="U128" s="269"/>
      <c r="V128" s="269"/>
      <c r="W128" s="269"/>
      <c r="X128" s="269"/>
      <c r="Y128" s="269"/>
      <c r="Z128" s="269"/>
    </row>
    <row r="129" spans="1:26">
      <c r="A129" s="187"/>
      <c r="B129" s="187"/>
      <c r="C129" s="187"/>
      <c r="D129" s="187"/>
      <c r="E129" s="187"/>
      <c r="F129" s="187"/>
      <c r="G129" s="187"/>
      <c r="H129" s="187"/>
      <c r="I129" s="187"/>
      <c r="J129" s="187"/>
      <c r="K129" s="187"/>
      <c r="L129" s="187"/>
      <c r="Q129" s="187"/>
      <c r="R129" s="187"/>
      <c r="S129" s="187"/>
      <c r="T129" s="187"/>
      <c r="U129" s="187"/>
      <c r="V129" s="187"/>
      <c r="W129" s="187"/>
      <c r="X129" s="187"/>
      <c r="Y129" s="187"/>
      <c r="Z129" s="187"/>
    </row>
    <row r="130" spans="1:26" ht="13">
      <c r="A130" s="292"/>
      <c r="B130" s="293" t="s">
        <v>801</v>
      </c>
      <c r="C130" s="293"/>
      <c r="D130" s="294"/>
      <c r="E130" s="294"/>
      <c r="F130" s="294"/>
      <c r="G130" s="295" t="s">
        <v>802</v>
      </c>
      <c r="H130" s="296"/>
      <c r="I130" s="297"/>
      <c r="J130" s="187" t="s">
        <v>803</v>
      </c>
      <c r="K130" s="187"/>
      <c r="P130" s="192"/>
      <c r="Q130" s="273" t="s">
        <v>801</v>
      </c>
      <c r="R130" s="273"/>
      <c r="S130" s="194"/>
      <c r="T130" s="194"/>
      <c r="U130" s="194"/>
      <c r="V130" s="275" t="s">
        <v>802</v>
      </c>
      <c r="W130" s="195"/>
      <c r="X130" s="276"/>
      <c r="Y130" s="187" t="s">
        <v>803</v>
      </c>
    </row>
    <row r="131" spans="1:26" ht="23.5">
      <c r="A131" s="197"/>
      <c r="B131" s="280" t="s">
        <v>804</v>
      </c>
      <c r="C131" s="251">
        <v>1</v>
      </c>
      <c r="D131" s="251">
        <v>2</v>
      </c>
      <c r="E131" s="251">
        <v>3</v>
      </c>
      <c r="F131" s="251" t="s">
        <v>761</v>
      </c>
      <c r="G131" s="282">
        <v>1</v>
      </c>
      <c r="H131" s="283">
        <v>2</v>
      </c>
      <c r="I131" s="251" t="s">
        <v>761</v>
      </c>
      <c r="J131" s="284"/>
      <c r="K131" s="284"/>
      <c r="P131" s="197"/>
      <c r="Q131" s="280" t="s">
        <v>804</v>
      </c>
      <c r="R131" s="251">
        <v>1</v>
      </c>
      <c r="S131" s="251">
        <v>2</v>
      </c>
      <c r="T131" s="251">
        <v>3</v>
      </c>
      <c r="U131" s="251" t="s">
        <v>761</v>
      </c>
      <c r="V131" s="282">
        <v>1</v>
      </c>
      <c r="W131" s="283">
        <v>2</v>
      </c>
      <c r="X131" s="251" t="s">
        <v>761</v>
      </c>
      <c r="Y131" s="284"/>
    </row>
    <row r="132" spans="1:26" ht="15" customHeight="1">
      <c r="A132" s="15" t="s">
        <v>769</v>
      </c>
      <c r="B132" s="298">
        <f>+GETPIVOTDATA("Sum of New-Total Undg CH FTE",'FTE Pivot for regular counts'!$A$2,"Category","7","Category2","Two-Year")</f>
        <v>15670.405555555559</v>
      </c>
      <c r="C132" s="298">
        <f>+GETPIVOTDATA("Sum of New-Total Undg CH FTE",'FTE Pivot for regular counts'!$A$2,"Category","8","Category2","Two-Year")</f>
        <v>24714.812222222226</v>
      </c>
      <c r="D132" s="298">
        <f>+GETPIVOTDATA("Sum of New-Total Undg CH FTE",'FTE Pivot for regular counts'!$A$2,"Category",9,"Category2","Two-Year")</f>
        <v>16344.213333333333</v>
      </c>
      <c r="E132" s="298">
        <f>+GETPIVOTDATA("Sum of New-Total Undg CH FTE",'FTE Pivot for regular counts'!$A$2,"Category","10","Category2","Two-Year")</f>
        <v>8468.3366666666661</v>
      </c>
      <c r="F132" s="299">
        <f>+GETPIVOTDATA("Sum of New-Total Undg CH FTE",'FTE Pivot for regular counts'!$A$2,"Category2","Two-Year")</f>
        <v>65197.767777777779</v>
      </c>
      <c r="G132" s="298">
        <f>+GETPIVOTDATA("Sum of New-Total Undg CH FTE",'FTE Pivot for regular counts'!$A$2,"Category","12","Category2","Technical")</f>
        <v>3714.7210444444445</v>
      </c>
      <c r="H132" s="298">
        <f>+GETPIVOTDATA("Sum of New-Total Undg CH FTE",'FTE Pivot for regular counts'!$A$2,"Category","13","Category2","Technical")</f>
        <v>28194.010188888889</v>
      </c>
      <c r="I132" s="298">
        <f>+GETPIVOTDATA("Sum of New-Total Undg CH FTE",'FTE Pivot for regular counts'!$A$2,"Category2","Technical")</f>
        <v>31908.731233333336</v>
      </c>
      <c r="J132" s="298"/>
      <c r="K132" s="298"/>
      <c r="P132" s="15" t="s">
        <v>769</v>
      </c>
      <c r="Q132" s="298">
        <f>+GETPIVOTDATA("Sum of Old-Total Undg CH FTE",'FTE Pivot for regular counts'!$A$2,"Category","7","Category2","Two-Year")</f>
        <v>17045.206666666665</v>
      </c>
      <c r="R132" s="298">
        <f>+GETPIVOTDATA("Sum of Old-Total Undg CH FTE",'FTE Pivot for regular counts'!$A$2,"Category","8","Category2","Two-Year")</f>
        <v>24459.68</v>
      </c>
      <c r="S132" s="298">
        <f>+GETPIVOTDATA("Sum of Old-Total Undg CH FTE",'FTE Pivot for regular counts'!$A$2,"Category",9,"Category2","Two-Year")</f>
        <v>15706.59888888889</v>
      </c>
      <c r="T132" s="298">
        <f>+GETPIVOTDATA("Sum of Old-Total Undg CH FTE",'FTE Pivot for regular counts'!$A$2,"Category","10","Category2","Two-Year")</f>
        <v>8202.9955555555571</v>
      </c>
      <c r="U132" s="299">
        <f>+GETPIVOTDATA("Sum of Old-Total Undg CH FTE",'FTE Pivot for regular counts'!$A$2,"Category2","Two-Year")</f>
        <v>65414.481111111105</v>
      </c>
      <c r="V132" s="298">
        <f>+GETPIVOTDATA("Sum of Old-Total Undg CH FTE",'FTE Pivot for regular counts'!$A$2,"Category","12","Category2","Technical")</f>
        <v>4522.6706111111107</v>
      </c>
      <c r="W132" s="298">
        <f>+GETPIVOTDATA("Sum of Old-Total Undg CH FTE",'FTE Pivot for regular counts'!$A$2,"Category","13","Category2","Technical")</f>
        <v>28190.021499999995</v>
      </c>
      <c r="X132" s="298">
        <f>+GETPIVOTDATA("Sum of Old-Total Undg CH FTE",'FTE Pivot for regular counts'!$A$2,"Category2","Technical")</f>
        <v>32712.692111111108</v>
      </c>
      <c r="Y132" s="298"/>
    </row>
    <row r="133" spans="1:26" ht="15" customHeight="1">
      <c r="B133" s="298"/>
      <c r="C133" s="298"/>
      <c r="D133" s="298"/>
      <c r="G133" s="161"/>
      <c r="Q133" s="298"/>
      <c r="R133" s="298"/>
      <c r="S133" s="298"/>
      <c r="V133" s="161"/>
    </row>
    <row r="134" spans="1:26" ht="15" customHeight="1">
      <c r="A134" s="15" t="s">
        <v>777</v>
      </c>
      <c r="B134" s="298">
        <f>+GETPIVOTDATA("Sum of New-Total Undg CH FTE",'FTE Pivot for regular counts'!$A$2,"State","AL","Category","7","Category2","Two-Year")</f>
        <v>0</v>
      </c>
      <c r="C134" s="298">
        <f>+GETPIVOTDATA("Sum of New-Total Undg CH FTE",'FTE Pivot for regular counts'!$A$2,"State","AL","Category","8","Category2","Two-Year")</f>
        <v>0</v>
      </c>
      <c r="D134" s="298">
        <f>+GETPIVOTDATA("Sum of New-Total Undg CH FTE",'FTE Pivot for regular counts'!$A$2,"State","AL","Category",9,"Category2","Two-Year")</f>
        <v>0</v>
      </c>
      <c r="E134" s="298">
        <f>+GETPIVOTDATA("Sum of New-Total Undg CH FTE",'FTE Pivot for regular counts'!$A$2,"State","AL","Category","10","Category2","Two-Year")</f>
        <v>0</v>
      </c>
      <c r="F134" s="299">
        <f>+GETPIVOTDATA("Sum of New-Total Undg CH FTE",'FTE Pivot for regular counts'!$A$2,"State","AL","Category2","Two-Year")</f>
        <v>0</v>
      </c>
      <c r="G134" s="298">
        <f>+GETPIVOTDATA("Sum of New-Total Undg CH FTE",'FTE Pivot for regular counts'!$A$2,"State","AL","Category","12","Category2","Technical")</f>
        <v>0</v>
      </c>
      <c r="H134" s="298">
        <f>+GETPIVOTDATA("Sum of New-Total Undg CH FTE",'FTE Pivot for regular counts'!$A$2,"State","AL","Category","13","Category2","Technical")</f>
        <v>0</v>
      </c>
      <c r="I134" s="298">
        <f>+GETPIVOTDATA("Sum of New-Total Undg CH FTE",'FTE Pivot for regular counts'!$A$2,"State","AL","Category2","Technical")</f>
        <v>0</v>
      </c>
      <c r="J134" s="298"/>
      <c r="K134" s="298"/>
      <c r="P134" s="15" t="s">
        <v>777</v>
      </c>
      <c r="Q134" s="298">
        <f>+GETPIVOTDATA("Sum of Old-Total Undg CH FTE",'FTE Pivot for regular counts'!$A$2,"State","AL","Category","7","Category2","Two-Year")</f>
        <v>0</v>
      </c>
      <c r="R134" s="298">
        <f>+GETPIVOTDATA("Sum of Old-Total Undg CH FTE",'FTE Pivot for regular counts'!$A$2,"State","AL","Category","8","Category2","Two-Year")</f>
        <v>0</v>
      </c>
      <c r="S134" s="298">
        <f>+GETPIVOTDATA("Sum of Old-Total Undg CH FTE",'FTE Pivot for regular counts'!$A$2,"State","AL","Category",9,"Category2","Two-Year")</f>
        <v>0</v>
      </c>
      <c r="T134" s="298">
        <f>+GETPIVOTDATA("Sum of Old-Total Undg CH FTE",'FTE Pivot for regular counts'!$A$2,"State","AL","Category","10","Category2","Two-Year")</f>
        <v>0</v>
      </c>
      <c r="U134" s="299">
        <f>+GETPIVOTDATA("Sum of Old-Total Undg CH FTE",'FTE Pivot for regular counts'!$A$2,"State","AL","Category2","Two-Year")</f>
        <v>0</v>
      </c>
      <c r="V134" s="298">
        <f>+GETPIVOTDATA("Sum of Old-Total Undg CH FTE",'FTE Pivot for regular counts'!$A$2,"State","AL","Category","12","Category2","Technical")</f>
        <v>0</v>
      </c>
      <c r="W134" s="298">
        <f>+GETPIVOTDATA("Sum of Old-Total Undg CH FTE",'FTE Pivot for regular counts'!$A$2,"State","AL","Category","13","Category2","Technical")</f>
        <v>0</v>
      </c>
      <c r="X134" s="298">
        <f>+GETPIVOTDATA("Sum of Old-Total Undg CH FTE",'FTE Pivot for regular counts'!$A$2,"State","AL","Category2","Technical")</f>
        <v>0</v>
      </c>
      <c r="Y134" s="298"/>
    </row>
    <row r="135" spans="1:26" ht="15" customHeight="1">
      <c r="A135" s="15" t="s">
        <v>778</v>
      </c>
      <c r="B135" s="298">
        <f>+GETPIVOTDATA("Sum of New-Total Undg CH FTE",'FTE Pivot for regular counts'!$A$2,"State","AR","Category","7","Category2","Two-Year")</f>
        <v>0</v>
      </c>
      <c r="C135" s="298">
        <f>+GETPIVOTDATA("Sum of New-Total Undg CH FTE",'FTE Pivot for regular counts'!$A$2,"State","AR","Category","8","Category2","Two-Year")</f>
        <v>0</v>
      </c>
      <c r="D135" s="298">
        <f>+GETPIVOTDATA("Sum of New-Total Undg CH FTE",'FTE Pivot for regular counts'!$A$2,"State","AR","Category",9,"Category2","Two-Year")</f>
        <v>0</v>
      </c>
      <c r="E135" s="298">
        <f>+GETPIVOTDATA("Sum of New-Total Undg CH FTE",'FTE Pivot for regular counts'!$A$2,"State","AR","Category","10","Category2","Two-Year")</f>
        <v>0</v>
      </c>
      <c r="F135" s="299">
        <f>+GETPIVOTDATA("Sum of New-Total Undg CH FTE",'FTE Pivot for regular counts'!$A$2,"State","AR","Category2","Two-Year")</f>
        <v>0</v>
      </c>
      <c r="G135" s="298">
        <f>+GETPIVOTDATA("Sum of New-Total Undg CH FTE",'FTE Pivot for regular counts'!$A$2,"State","AR","Category","12","Category2","Technical")</f>
        <v>0</v>
      </c>
      <c r="H135" s="298">
        <f>+GETPIVOTDATA("Sum of New-Total Undg CH FTE",'FTE Pivot for regular counts'!$A$2,"State","AR","Category","13","Category2","Technical")</f>
        <v>0</v>
      </c>
      <c r="I135" s="298">
        <f>+GETPIVOTDATA("Sum of New-Total Undg CH FTE",'FTE Pivot for regular counts'!$A$2,"State","AR","Category2","Technical")</f>
        <v>0</v>
      </c>
      <c r="J135" s="298"/>
      <c r="K135" s="298"/>
      <c r="P135" s="15" t="s">
        <v>778</v>
      </c>
      <c r="Q135" s="298">
        <f>+GETPIVOTDATA("Sum of Old-Total Undg CH FTE",'FTE Pivot for regular counts'!$A$2,"State","AR","Category","7","Category2","Two-Year")</f>
        <v>0</v>
      </c>
      <c r="R135" s="298">
        <f>+GETPIVOTDATA("Sum of Old-Total Undg CH FTE",'FTE Pivot for regular counts'!$A$2,"State","AR","Category","8","Category2","Two-Year")</f>
        <v>0</v>
      </c>
      <c r="S135" s="298">
        <f>+GETPIVOTDATA("Sum of Old-Total Undg CH FTE",'FTE Pivot for regular counts'!$A$2,"State","AR","Category",9,"Category2","Two-Year")</f>
        <v>0</v>
      </c>
      <c r="T135" s="298">
        <f>+GETPIVOTDATA("Sum of Old-Total Undg CH FTE",'FTE Pivot for regular counts'!$A$2,"State","AR","Category","10","Category2","Two-Year")</f>
        <v>0</v>
      </c>
      <c r="U135" s="299">
        <f>+GETPIVOTDATA("Sum of Old-Total Undg CH FTE",'FTE Pivot for regular counts'!$A$2,"State","AR","Category2","Two-Year")</f>
        <v>0</v>
      </c>
      <c r="V135" s="298">
        <f>+GETPIVOTDATA("Sum of Old-Total Undg CH FTE",'FTE Pivot for regular counts'!$A$2,"State","AR","Category","12","Category2","Technical")</f>
        <v>0</v>
      </c>
      <c r="W135" s="298">
        <f>+GETPIVOTDATA("Sum of Old-Total Undg CH FTE",'FTE Pivot for regular counts'!$A$2,"State","AR","Category","13","Category2","Technical")</f>
        <v>0</v>
      </c>
      <c r="X135" s="298">
        <f>+GETPIVOTDATA("Sum of Old-Total Undg CH FTE",'FTE Pivot for regular counts'!$A$2,"State","AR","Category2","Technical")</f>
        <v>0</v>
      </c>
      <c r="Y135" s="298"/>
    </row>
    <row r="136" spans="1:26" ht="15" customHeight="1">
      <c r="A136" s="15" t="s">
        <v>779</v>
      </c>
      <c r="B136" s="298">
        <f>+GETPIVOTDATA("Sum of New-Total Undg CH FTE",'FTE Pivot for regular counts'!$A$2,"State","DE","Category","7","Category2","Two-Year")</f>
        <v>0</v>
      </c>
      <c r="C136" s="298">
        <f>+GETPIVOTDATA("Sum of New-Total Undg CH FTE",'FTE Pivot for regular counts'!$A$2,"State","DE","Category","8","Category2","Two-Year")</f>
        <v>0</v>
      </c>
      <c r="D136" s="298">
        <f>+GETPIVOTDATA("Sum of New-Total Undg CH FTE",'FTE Pivot for regular counts'!$A$2,"State","DE","Category",9,"Category2","Two-Year")</f>
        <v>0</v>
      </c>
      <c r="E136" s="298">
        <f>+GETPIVOTDATA("Sum of New-Total Undg CH FTE",'FTE Pivot for regular counts'!$A$2,"State","DE","Category","10","Category2","Two-Year")</f>
        <v>0</v>
      </c>
      <c r="F136" s="299">
        <f>+GETPIVOTDATA("Sum of New-Total Undg CH FTE",'FTE Pivot for regular counts'!$A$2,"State","DE","Category2","Two-Year")</f>
        <v>0</v>
      </c>
      <c r="G136" s="298">
        <f>+GETPIVOTDATA("Sum of New-Total Undg CH FTE",'FTE Pivot for regular counts'!$A$2,"State","DE","Category","12","Category2","Technical")</f>
        <v>0</v>
      </c>
      <c r="H136" s="298">
        <f>+GETPIVOTDATA("Sum of New-Total Undg CH FTE",'FTE Pivot for regular counts'!$A$2,"State","DE","Category","13","Category2","Technical")</f>
        <v>0</v>
      </c>
      <c r="I136" s="298">
        <f>+GETPIVOTDATA("Sum of New-Total Undg CH FTE",'FTE Pivot for regular counts'!$A$2,"State","DE","Category2","Technical")</f>
        <v>0</v>
      </c>
      <c r="J136" s="298"/>
      <c r="K136" s="298"/>
      <c r="P136" s="15" t="s">
        <v>779</v>
      </c>
      <c r="Q136" s="298">
        <f>+GETPIVOTDATA("Sum of Old-Total Undg CH FTE",'FTE Pivot for regular counts'!$A$2,"State","DE","Category","7","Category2","Two-Year")</f>
        <v>0</v>
      </c>
      <c r="R136" s="298">
        <f>+GETPIVOTDATA("Sum of Old-Total Undg CH FTE",'FTE Pivot for regular counts'!$A$2,"State","DE","Category","8","Category2","Two-Year")</f>
        <v>0</v>
      </c>
      <c r="S136" s="298">
        <f>+GETPIVOTDATA("Sum of Old-Total Undg CH FTE",'FTE Pivot for regular counts'!$A$2,"State","DE","Category",9,"Category2","Two-Year")</f>
        <v>0</v>
      </c>
      <c r="T136" s="298">
        <f>+GETPIVOTDATA("Sum of Old-Total Undg CH FTE",'FTE Pivot for regular counts'!$A$2,"State","DE","Category","10","Category2","Two-Year")</f>
        <v>0</v>
      </c>
      <c r="U136" s="299">
        <f>+GETPIVOTDATA("Sum of Old-Total Undg CH FTE",'FTE Pivot for regular counts'!$A$2,"State","DE","Category2","Two-Year")</f>
        <v>0</v>
      </c>
      <c r="V136" s="298">
        <f>+GETPIVOTDATA("Sum of Old-Total Undg CH FTE",'FTE Pivot for regular counts'!$A$2,"State","DE","Category","12","Category2","Technical")</f>
        <v>0</v>
      </c>
      <c r="W136" s="298">
        <f>+GETPIVOTDATA("Sum of Old-Total Undg CH FTE",'FTE Pivot for regular counts'!$A$2,"State","DE","Category","13","Category2","Technical")</f>
        <v>0</v>
      </c>
      <c r="X136" s="298">
        <f>+GETPIVOTDATA("Sum of Old-Total Undg CH FTE",'FTE Pivot for regular counts'!$A$2,"State","DE","Category2","Technical")</f>
        <v>0</v>
      </c>
      <c r="Y136" s="298"/>
    </row>
    <row r="137" spans="1:26" ht="15" customHeight="1">
      <c r="A137" s="15" t="s">
        <v>780</v>
      </c>
      <c r="B137" s="298">
        <f>+GETPIVOTDATA("Sum of New-Total Undg CH FTE",'FTE Pivot for regular counts'!$A$2,"State","FL","Category","7","Category2","Two-Year")</f>
        <v>15263.280000000002</v>
      </c>
      <c r="C137" s="298">
        <f>+GETPIVOTDATA("Sum of New-Total Undg CH FTE",'FTE Pivot for regular counts'!$A$2,"State","FL","Category","8","Category2","Two-Year")</f>
        <v>2568.4122222222222</v>
      </c>
      <c r="D137" s="298">
        <f>+GETPIVOTDATA("Sum of New-Total Undg CH FTE",'FTE Pivot for regular counts'!$A$2,"State","FL","Category",9,"Category2","Two-Year")</f>
        <v>0</v>
      </c>
      <c r="E137" s="298">
        <f>+GETPIVOTDATA("Sum of New-Total Undg CH FTE",'FTE Pivot for regular counts'!$A$2,"State","FL","Category","10","Category2","Two-Year")</f>
        <v>177.42000000000002</v>
      </c>
      <c r="F137" s="299">
        <f>+GETPIVOTDATA("Sum of New-Total Undg CH FTE",'FTE Pivot for regular counts'!$A$2,"State","FL","Category2","Two-Year")</f>
        <v>18009.112222222222</v>
      </c>
      <c r="G137" s="298">
        <f>+GETPIVOTDATA("Sum of New-Total Undg CH FTE",'FTE Pivot for regular counts'!$A$2,"State","FL","Category","12","Category2","Technical")</f>
        <v>0</v>
      </c>
      <c r="H137" s="298">
        <f>+GETPIVOTDATA("Sum of New-Total Undg CH FTE",'FTE Pivot for regular counts'!$A$2,"State","FL","Category","13","Category2","Technical")</f>
        <v>0</v>
      </c>
      <c r="I137" s="298">
        <f>+GETPIVOTDATA("Sum of New-Total Undg CH FTE",'FTE Pivot for regular counts'!$A$2,"State","FL","Category2","Technical")</f>
        <v>0</v>
      </c>
      <c r="J137" s="298"/>
      <c r="K137" s="298"/>
      <c r="P137" s="15" t="s">
        <v>780</v>
      </c>
      <c r="Q137" s="298">
        <f>+GETPIVOTDATA("Sum of Old-Total Undg CH FTE",'FTE Pivot for regular counts'!$A$2,"State","FL","Category","7","Category2","Two-Year")</f>
        <v>16640.306666666664</v>
      </c>
      <c r="R137" s="298">
        <f>+GETPIVOTDATA("Sum of Old-Total Undg CH FTE",'FTE Pivot for regular counts'!$A$2,"State","FL","Category","8","Category2","Two-Year")</f>
        <v>2706.3144444444447</v>
      </c>
      <c r="S137" s="298">
        <f>+GETPIVOTDATA("Sum of Old-Total Undg CH FTE",'FTE Pivot for regular counts'!$A$2,"State","FL","Category",9,"Category2","Two-Year")</f>
        <v>0</v>
      </c>
      <c r="T137" s="298">
        <f>+GETPIVOTDATA("Sum of Old-Total Undg CH FTE",'FTE Pivot for regular counts'!$A$2,"State","FL","Category","10","Category2","Two-Year")</f>
        <v>174.27333333333334</v>
      </c>
      <c r="U137" s="299">
        <f>+GETPIVOTDATA("Sum of Old-Total Undg CH FTE",'FTE Pivot for regular counts'!$A$2,"State","FL","Category2","Two-Year")</f>
        <v>19520.894444444442</v>
      </c>
      <c r="V137" s="298">
        <f>+GETPIVOTDATA("Sum of Old-Total Undg CH FTE",'FTE Pivot for regular counts'!$A$2,"State","FL","Category","12","Category2","Technical")</f>
        <v>0</v>
      </c>
      <c r="W137" s="298">
        <f>+GETPIVOTDATA("Sum of Old-Total Undg CH FTE",'FTE Pivot for regular counts'!$A$2,"State","FL","Category","13","Category2","Technical")</f>
        <v>0</v>
      </c>
      <c r="X137" s="298">
        <f>+GETPIVOTDATA("Sum of Old-Total Undg CH FTE",'FTE Pivot for regular counts'!$A$2,"State","FL","Category2","Technical")</f>
        <v>0</v>
      </c>
      <c r="Y137" s="298"/>
    </row>
    <row r="138" spans="1:26" ht="15" customHeight="1">
      <c r="B138" s="298"/>
      <c r="C138" s="298"/>
      <c r="D138" s="298"/>
      <c r="E138" s="298"/>
      <c r="F138" s="299"/>
      <c r="G138" s="298"/>
      <c r="H138" s="298"/>
      <c r="I138" s="298"/>
      <c r="J138" s="298"/>
      <c r="K138" s="298"/>
      <c r="Q138" s="298"/>
      <c r="R138" s="298"/>
      <c r="S138" s="298"/>
      <c r="T138" s="298"/>
      <c r="U138" s="299"/>
      <c r="V138" s="298"/>
      <c r="W138" s="298"/>
      <c r="X138" s="298"/>
      <c r="Y138" s="298"/>
    </row>
    <row r="139" spans="1:26" ht="15" customHeight="1">
      <c r="A139" s="15" t="s">
        <v>781</v>
      </c>
      <c r="B139" s="298">
        <f>+GETPIVOTDATA("Sum of New-Total Undg CH FTE",'FTE Pivot for regular counts'!$A$2,"State","GA","Category","7","Category2","Two-Year")</f>
        <v>0</v>
      </c>
      <c r="C139" s="298">
        <f>+GETPIVOTDATA("Sum of New-Total Undg CH FTE",'FTE Pivot for regular counts'!$A$2,"State","GA","Category","8","Category2","Two-Year")</f>
        <v>0</v>
      </c>
      <c r="D139" s="298">
        <f>+GETPIVOTDATA("Sum of New-Total Undg CH FTE",'FTE Pivot for regular counts'!$A$2,"State","GA","Category",9,"Category2","Two-Year")</f>
        <v>0</v>
      </c>
      <c r="E139" s="298">
        <f>+GETPIVOTDATA("Sum of New-Total Undg CH FTE",'FTE Pivot for regular counts'!$A$2,"State","GA","Category","10","Category2","Two-Year")</f>
        <v>0</v>
      </c>
      <c r="F139" s="299">
        <f>+GETPIVOTDATA("Sum of New-Total Undg CH FTE",'FTE Pivot for regular counts'!$A$2,"State","GA","Category2","Two-Year")</f>
        <v>0</v>
      </c>
      <c r="G139" s="298">
        <f>+GETPIVOTDATA("Sum of New-Total Undg CH FTE",'FTE Pivot for regular counts'!$A$2,"State","GA","Category","12","Category2","Technical")</f>
        <v>0</v>
      </c>
      <c r="H139" s="298">
        <f>+GETPIVOTDATA("Sum of New-Total Undg CH FTE",'FTE Pivot for regular counts'!$A$2,"State","GA","Category","13","Category2","Technical")</f>
        <v>0</v>
      </c>
      <c r="I139" s="298">
        <f>+GETPIVOTDATA("Sum of New-Total Undg CH FTE",'FTE Pivot for regular counts'!$A$2,"State","GA","Category2","Technical")</f>
        <v>0</v>
      </c>
      <c r="J139" s="298"/>
      <c r="K139" s="298"/>
      <c r="P139" s="15" t="s">
        <v>781</v>
      </c>
      <c r="Q139" s="298">
        <f>+GETPIVOTDATA("Sum of Old-Total Undg CH FTE",'FTE Pivot for regular counts'!$A$2,"State","GA","Category","7","Category2","Two-Year")</f>
        <v>0</v>
      </c>
      <c r="R139" s="298">
        <f>+GETPIVOTDATA("Sum of Old-Total Undg CH FTE",'FTE Pivot for regular counts'!$A$2,"State","GA","Category","8","Category2","Two-Year")</f>
        <v>0</v>
      </c>
      <c r="S139" s="298">
        <f>+GETPIVOTDATA("Sum of Old-Total Undg CH FTE",'FTE Pivot for regular counts'!$A$2,"State","GA","Category",9,"Category2","Two-Year")</f>
        <v>0</v>
      </c>
      <c r="T139" s="298">
        <f>+GETPIVOTDATA("Sum of Old-Total Undg CH FTE",'FTE Pivot for regular counts'!$A$2,"State","GA","Category","10","Category2","Two-Year")</f>
        <v>0</v>
      </c>
      <c r="U139" s="299">
        <f>+GETPIVOTDATA("Sum of Old-Total Undg CH FTE",'FTE Pivot for regular counts'!$A$2,"State","GA","Category2","Two-Year")</f>
        <v>0</v>
      </c>
      <c r="V139" s="298">
        <f>+GETPIVOTDATA("Sum of Old-Total Undg CH FTE",'FTE Pivot for regular counts'!$A$2,"State","GA","Category","12","Category2","Technical")</f>
        <v>0</v>
      </c>
      <c r="W139" s="298">
        <f>+GETPIVOTDATA("Sum of Old-Total Undg CH FTE",'FTE Pivot for regular counts'!$A$2,"State","GA","Category","13","Category2","Technical")</f>
        <v>0</v>
      </c>
      <c r="X139" s="298">
        <f>+GETPIVOTDATA("Sum of Old-Total Undg CH FTE",'FTE Pivot for regular counts'!$A$2,"State","GA","Category2","Technical")</f>
        <v>0</v>
      </c>
      <c r="Y139" s="298"/>
    </row>
    <row r="140" spans="1:26" ht="15" customHeight="1">
      <c r="A140" s="15" t="s">
        <v>782</v>
      </c>
      <c r="B140" s="298">
        <f>+GETPIVOTDATA("Sum of New-Total Undg CH FTE",'FTE Pivot for regular counts'!$A$2,"State","KY","Category","7","Category2","Two-Year")</f>
        <v>0</v>
      </c>
      <c r="C140" s="298">
        <f>+GETPIVOTDATA("Sum of New-Total Undg CH FTE",'FTE Pivot for regular counts'!$A$2,"State","KY","Category","8","Category2","Two-Year")</f>
        <v>0</v>
      </c>
      <c r="D140" s="298">
        <f>+GETPIVOTDATA("Sum of New-Total Undg CH FTE",'FTE Pivot for regular counts'!$A$2,"State","KY","Category",9,"Category2","Two-Year")</f>
        <v>0</v>
      </c>
      <c r="E140" s="298">
        <f>+GETPIVOTDATA("Sum of New-Total Undg CH FTE",'FTE Pivot for regular counts'!$A$2,"State","KY","Category","10","Category2","Two-Year")</f>
        <v>0</v>
      </c>
      <c r="F140" s="299">
        <f>+GETPIVOTDATA("Sum of New-Total Undg CH FTE",'FTE Pivot for regular counts'!$A$2,"State","KY","Category2","Two-Year")</f>
        <v>0</v>
      </c>
      <c r="G140" s="298">
        <f>+GETPIVOTDATA("Sum of New-Total Undg CH FTE",'FTE Pivot for regular counts'!$A$2,"State","KY","Category","12","Category2","Technical")</f>
        <v>0</v>
      </c>
      <c r="H140" s="298">
        <f>+GETPIVOTDATA("Sum of New-Total Undg CH FTE",'FTE Pivot for regular counts'!$A$2,"State","KY","Category","13","Category2","Technical")</f>
        <v>0</v>
      </c>
      <c r="I140" s="298">
        <f>+GETPIVOTDATA("Sum of New-Total Undg CH FTE",'FTE Pivot for regular counts'!$A$2,"State","KY","Category2","Technical")</f>
        <v>0</v>
      </c>
      <c r="J140" s="298"/>
      <c r="K140" s="298"/>
      <c r="P140" s="15" t="s">
        <v>782</v>
      </c>
      <c r="Q140" s="298">
        <f>+GETPIVOTDATA("Sum of Old-Total Undg CH FTE",'FTE Pivot for regular counts'!$A$2,"State","KY","Category","7","Category2","Two-Year")</f>
        <v>0</v>
      </c>
      <c r="R140" s="298">
        <f>+GETPIVOTDATA("Sum of Old-Total Undg CH FTE",'FTE Pivot for regular counts'!$A$2,"State","KY","Category","8","Category2","Two-Year")</f>
        <v>0</v>
      </c>
      <c r="S140" s="298">
        <f>+GETPIVOTDATA("Sum of Old-Total Undg CH FTE",'FTE Pivot for regular counts'!$A$2,"State","KY","Category",9,"Category2","Two-Year")</f>
        <v>0</v>
      </c>
      <c r="T140" s="298">
        <f>+GETPIVOTDATA("Sum of Old-Total Undg CH FTE",'FTE Pivot for regular counts'!$A$2,"State","KY","Category","10","Category2","Two-Year")</f>
        <v>0</v>
      </c>
      <c r="U140" s="299">
        <f>+GETPIVOTDATA("Sum of Old-Total Undg CH FTE",'FTE Pivot for regular counts'!$A$2,"State","KY","Category2","Two-Year")</f>
        <v>0</v>
      </c>
      <c r="V140" s="298">
        <f>+GETPIVOTDATA("Sum of Old-Total Undg CH FTE",'FTE Pivot for regular counts'!$A$2,"State","KY","Category","12","Category2","Technical")</f>
        <v>0</v>
      </c>
      <c r="W140" s="298">
        <f>+GETPIVOTDATA("Sum of Old-Total Undg CH FTE",'FTE Pivot for regular counts'!$A$2,"State","KY","Category","13","Category2","Technical")</f>
        <v>0</v>
      </c>
      <c r="X140" s="298">
        <f>+GETPIVOTDATA("Sum of Old-Total Undg CH FTE",'FTE Pivot for regular counts'!$A$2,"State","KY","Category2","Technical")</f>
        <v>0</v>
      </c>
      <c r="Y140" s="298"/>
    </row>
    <row r="141" spans="1:26" ht="15" customHeight="1">
      <c r="A141" s="15" t="s">
        <v>783</v>
      </c>
      <c r="B141" s="298">
        <f>+GETPIVOTDATA("Sum of New-Total Undg CH FTE",'FTE Pivot for regular counts'!$A$2,"State","LA","Category","7","Category2","Two-Year")</f>
        <v>0</v>
      </c>
      <c r="C141" s="298">
        <f>+GETPIVOTDATA("Sum of New-Total Undg CH FTE",'FTE Pivot for regular counts'!$A$2,"State","LA","Category","8","Category2","Two-Year")</f>
        <v>0</v>
      </c>
      <c r="D141" s="298">
        <f>+GETPIVOTDATA("Sum of New-Total Undg CH FTE",'FTE Pivot for regular counts'!$A$2,"State","LA","Category",9,"Category2","Two-Year")</f>
        <v>0</v>
      </c>
      <c r="E141" s="298">
        <f>+GETPIVOTDATA("Sum of New-Total Undg CH FTE",'FTE Pivot for regular counts'!$A$2,"State","LA","Category","10","Category2","Two-Year")</f>
        <v>0</v>
      </c>
      <c r="F141" s="299">
        <f>+GETPIVOTDATA("Sum of New-Total Undg CH FTE",'FTE Pivot for regular counts'!$A$2,"State","LA","Category2","Two-Year")</f>
        <v>0</v>
      </c>
      <c r="G141" s="298">
        <f>+GETPIVOTDATA("Sum of New-Total Undg CH FTE",'FTE Pivot for regular counts'!$A$2,"State","LA","Category","12","Category2","Technical")</f>
        <v>0</v>
      </c>
      <c r="H141" s="298">
        <f>+GETPIVOTDATA("Sum of New-Total Undg CH FTE",'FTE Pivot for regular counts'!$A$2,"State","LA","Category","13","Category2","Technical")</f>
        <v>0</v>
      </c>
      <c r="I141" s="298">
        <f>+GETPIVOTDATA("Sum of New-Total Undg CH FTE",'FTE Pivot for regular counts'!$A$2,"State","LA","Category2","Technical")</f>
        <v>0</v>
      </c>
      <c r="J141" s="298"/>
      <c r="K141" s="298"/>
      <c r="P141" s="15" t="s">
        <v>783</v>
      </c>
      <c r="Q141" s="298">
        <f>+GETPIVOTDATA("Sum of Old-Total Undg CH FTE",'FTE Pivot for regular counts'!$A$2,"State","LA","Category","7","Category2","Two-Year")</f>
        <v>0</v>
      </c>
      <c r="R141" s="298">
        <f>+GETPIVOTDATA("Sum of Old-Total Undg CH FTE",'FTE Pivot for regular counts'!$A$2,"State","LA","Category","8","Category2","Two-Year")</f>
        <v>0</v>
      </c>
      <c r="S141" s="300">
        <f>+GETPIVOTDATA("Sum of Old-Total Undg CH FTE",'FTE Pivot for regular counts'!$A$2,"State","LA","Category",9,"Category2","Two-Year")</f>
        <v>0</v>
      </c>
      <c r="T141" s="298">
        <f>+GETPIVOTDATA("Sum of Old-Total Undg CH FTE",'FTE Pivot for regular counts'!$A$2,"State","LA","Category","10","Category2","Two-Year")</f>
        <v>0</v>
      </c>
      <c r="U141" s="301">
        <f>+GETPIVOTDATA("Sum of Old-Total Undg CH FTE",'FTE Pivot for regular counts'!$A$2,"State","LA","Category2","Two-Year")</f>
        <v>0</v>
      </c>
      <c r="V141" s="298">
        <f>+GETPIVOTDATA("Sum of Old-Total Undg CH FTE",'FTE Pivot for regular counts'!$A$2,"State","LA","Category","12","Category2","Technical")</f>
        <v>0</v>
      </c>
      <c r="W141" s="298">
        <f>+GETPIVOTDATA("Sum of Old-Total Undg CH FTE",'FTE Pivot for regular counts'!$A$2,"State","LA","Category","13","Category2","Technical")</f>
        <v>0</v>
      </c>
      <c r="X141" s="298">
        <f>+GETPIVOTDATA("Sum of Old-Total Undg CH FTE",'FTE Pivot for regular counts'!$A$2,"State","LA","Category2","Technical")</f>
        <v>0</v>
      </c>
      <c r="Y141" s="298"/>
    </row>
    <row r="142" spans="1:26" ht="15" customHeight="1">
      <c r="A142" s="15" t="s">
        <v>784</v>
      </c>
      <c r="B142" s="298">
        <f>+GETPIVOTDATA("Sum of New-Total Undg CH FTE",'FTE Pivot for regular counts'!$A$2,"State","MD","Category","7","Category2","Two-Year")</f>
        <v>0</v>
      </c>
      <c r="C142" s="298">
        <f>+GETPIVOTDATA("Sum of New-Total Undg CH FTE",'FTE Pivot for regular counts'!$A$2,"State","MD","Category","8","Category2","Two-Year")</f>
        <v>0</v>
      </c>
      <c r="D142" s="298">
        <f>+GETPIVOTDATA("Sum of New-Total Undg CH FTE",'FTE Pivot for regular counts'!$A$2,"State","MD","Category",9,"Category2","Two-Year")</f>
        <v>0</v>
      </c>
      <c r="E142" s="298">
        <f>+GETPIVOTDATA("Sum of New-Total Undg CH FTE",'FTE Pivot for regular counts'!$A$2,"State","MD","Category","10","Category2","Two-Year")</f>
        <v>0</v>
      </c>
      <c r="F142" s="299">
        <f>+GETPIVOTDATA("Sum of New-Total Undg CH FTE",'FTE Pivot for regular counts'!$A$2,"State","MD","Category2","Two-Year")</f>
        <v>0</v>
      </c>
      <c r="G142" s="298">
        <f>+GETPIVOTDATA("Sum of New-Total Undg CH FTE",'FTE Pivot for regular counts'!$A$2,"State","MD","Category","12","Category2","Technical")</f>
        <v>0</v>
      </c>
      <c r="H142" s="298">
        <f>+GETPIVOTDATA("Sum of New-Total Undg CH FTE",'FTE Pivot for regular counts'!$A$2,"State","MD","Category","13","Category2","Technical")</f>
        <v>0</v>
      </c>
      <c r="I142" s="298">
        <f>+GETPIVOTDATA("Sum of New-Total Undg CH FTE",'FTE Pivot for regular counts'!$A$2,"State","MD","Category2","Technical")</f>
        <v>0</v>
      </c>
      <c r="J142" s="298"/>
      <c r="K142" s="298"/>
      <c r="P142" s="15" t="s">
        <v>784</v>
      </c>
      <c r="Q142" s="298">
        <f>+GETPIVOTDATA("Sum of Old-Total Undg CH FTE",'FTE Pivot for regular counts'!$A$2,"State","MD","Category","7","Category2","Two-Year")</f>
        <v>0</v>
      </c>
      <c r="R142" s="298">
        <f>+GETPIVOTDATA("Sum of Old-Total Undg CH FTE",'FTE Pivot for regular counts'!$A$2,"State","MD","Category","8","Category2","Two-Year")</f>
        <v>0</v>
      </c>
      <c r="S142" s="298">
        <f>+GETPIVOTDATA("Sum of Old-Total Undg CH FTE",'FTE Pivot for regular counts'!$A$2,"State","MD","Category",9,"Category2","Two-Year")</f>
        <v>0</v>
      </c>
      <c r="T142" s="298">
        <f>+GETPIVOTDATA("Sum of Old-Total Undg CH FTE",'FTE Pivot for regular counts'!$A$2,"State","MD","Category","10","Category2","Two-Year")</f>
        <v>0</v>
      </c>
      <c r="U142" s="299">
        <f>+GETPIVOTDATA("Sum of Old-Total Undg CH FTE",'FTE Pivot for regular counts'!$A$2,"State","MD","Category2","Two-Year")</f>
        <v>0</v>
      </c>
      <c r="V142" s="298">
        <f>+GETPIVOTDATA("Sum of Old-Total Undg CH FTE",'FTE Pivot for regular counts'!$A$2,"State","MD","Category","12","Category2","Technical")</f>
        <v>0</v>
      </c>
      <c r="W142" s="298">
        <f>+GETPIVOTDATA("Sum of Old-Total Undg CH FTE",'FTE Pivot for regular counts'!$A$2,"State","MD","Category","13","Category2","Technical")</f>
        <v>0</v>
      </c>
      <c r="X142" s="298">
        <f>+GETPIVOTDATA("Sum of Old-Total Undg CH FTE",'FTE Pivot for regular counts'!$A$2,"State","MD","Category2","Technical")</f>
        <v>0</v>
      </c>
      <c r="Y142" s="298"/>
    </row>
    <row r="143" spans="1:26" ht="15" customHeight="1">
      <c r="B143" s="298"/>
      <c r="C143" s="298"/>
      <c r="D143" s="298"/>
      <c r="E143" s="298"/>
      <c r="F143" s="299"/>
      <c r="G143" s="298"/>
      <c r="H143" s="298"/>
      <c r="I143" s="298"/>
      <c r="J143" s="298"/>
      <c r="K143" s="298"/>
      <c r="Q143" s="298"/>
      <c r="R143" s="298"/>
      <c r="S143" s="298"/>
      <c r="T143" s="298"/>
      <c r="U143" s="299"/>
      <c r="V143" s="298"/>
      <c r="W143" s="298"/>
      <c r="X143" s="298"/>
      <c r="Y143" s="298"/>
    </row>
    <row r="144" spans="1:26" ht="15" customHeight="1">
      <c r="A144" s="15" t="s">
        <v>785</v>
      </c>
      <c r="B144" s="298">
        <f>+GETPIVOTDATA("Sum of New-Total Undg CH FTE",'FTE Pivot for regular counts'!$A$2,"State","MS","Category","7","Category2","Two-Year")</f>
        <v>0</v>
      </c>
      <c r="C144" s="298">
        <f>+GETPIVOTDATA("Sum of New-Total Undg CH FTE",'FTE Pivot for regular counts'!$A$2,"State","MS","Category","8","Category2","Two-Year")</f>
        <v>0</v>
      </c>
      <c r="D144" s="298">
        <f>+GETPIVOTDATA("Sum of New-Total Undg CH FTE",'FTE Pivot for regular counts'!$A$2,"State","MS","Category",9,"Category2","Two-Year")</f>
        <v>0</v>
      </c>
      <c r="E144" s="298">
        <f>+GETPIVOTDATA("Sum of New-Total Undg CH FTE",'FTE Pivot for regular counts'!$A$2,"State","MS","Category","10","Category2","Two-Year")</f>
        <v>0</v>
      </c>
      <c r="F144" s="299">
        <f>+GETPIVOTDATA("Sum of New-Total Undg CH FTE",'FTE Pivot for regular counts'!$A$2,"State","MS","Category2","Two-Year")</f>
        <v>0</v>
      </c>
      <c r="G144" s="298">
        <f>+GETPIVOTDATA("Sum of New-Total Undg CH FTE",'FTE Pivot for regular counts'!$A$2,"State","MS","Category","12","Category2","Technical")</f>
        <v>0</v>
      </c>
      <c r="H144" s="298">
        <f>+GETPIVOTDATA("Sum of New-Total Undg CH FTE",'FTE Pivot for regular counts'!$A$2,"State","MS","Category","13","Category2","Technical")</f>
        <v>0</v>
      </c>
      <c r="I144" s="298">
        <f>+GETPIVOTDATA("Sum of New-Total Undg CH FTE",'FTE Pivot for regular counts'!$A$2,"State","MS","Category2","Technical")</f>
        <v>0</v>
      </c>
      <c r="J144" s="298"/>
      <c r="K144" s="298"/>
      <c r="P144" s="15" t="s">
        <v>785</v>
      </c>
      <c r="Q144" s="298">
        <f>+GETPIVOTDATA("Sum of Old-Total Undg CH FTE",'FTE Pivot for regular counts'!$A$2,"State","MS","Category","7","Category2","Two-Year")</f>
        <v>0</v>
      </c>
      <c r="R144" s="298">
        <f>+GETPIVOTDATA("Sum of Old-Total Undg CH FTE",'FTE Pivot for regular counts'!$A$2,"State","MS","Category","8","Category2","Two-Year")</f>
        <v>0</v>
      </c>
      <c r="S144" s="298">
        <f>+GETPIVOTDATA("Sum of Old-Total Undg CH FTE",'FTE Pivot for regular counts'!$A$2,"State","MS","Category",9,"Category2","Two-Year")</f>
        <v>0</v>
      </c>
      <c r="T144" s="298">
        <f>+GETPIVOTDATA("Sum of Old-Total Undg CH FTE",'FTE Pivot for regular counts'!$A$2,"State","MS","Category","10","Category2","Two-Year")</f>
        <v>0</v>
      </c>
      <c r="U144" s="299">
        <f>+GETPIVOTDATA("Sum of Old-Total Undg CH FTE",'FTE Pivot for regular counts'!$A$2,"State","MS","Category2","Two-Year")</f>
        <v>0</v>
      </c>
      <c r="V144" s="298">
        <f>+GETPIVOTDATA("Sum of Old-Total Undg CH FTE",'FTE Pivot for regular counts'!$A$2,"State","MS","Category","12","Category2","Technical")</f>
        <v>0</v>
      </c>
      <c r="W144" s="298">
        <f>+GETPIVOTDATA("Sum of Old-Total Undg CH FTE",'FTE Pivot for regular counts'!$A$2,"State","MS","Category","13","Category2","Technical")</f>
        <v>0</v>
      </c>
      <c r="X144" s="298">
        <f>+GETPIVOTDATA("Sum of Old-Total Undg CH FTE",'FTE Pivot for regular counts'!$A$2,"State","MS","Category2","Technical")</f>
        <v>0</v>
      </c>
      <c r="Y144" s="298"/>
    </row>
    <row r="145" spans="1:56" ht="15" customHeight="1">
      <c r="A145" s="15" t="s">
        <v>786</v>
      </c>
      <c r="B145" s="298">
        <f>+GETPIVOTDATA("Sum of New-Total Undg CH FTE",'FTE Pivot for regular counts'!$A$2,"State","NC","Category","7","Category2","Two-Year")</f>
        <v>0</v>
      </c>
      <c r="C145" s="298">
        <f>+GETPIVOTDATA("Sum of New-Total Undg CH FTE",'FTE Pivot for regular counts'!$A$2,"State","NC","Category","8","Category2","Two-Year")</f>
        <v>11853.945555555556</v>
      </c>
      <c r="D145" s="298">
        <f>+GETPIVOTDATA("Sum of New-Total Undg CH FTE",'FTE Pivot for regular counts'!$A$2,"State","NC","Category",9,"Category2","Two-Year")</f>
        <v>12665.833333333334</v>
      </c>
      <c r="E145" s="298">
        <f>+GETPIVOTDATA("Sum of New-Total Undg CH FTE",'FTE Pivot for regular counts'!$A$2,"State","NC","Category","10","Category2","Two-Year")</f>
        <v>7569.2344444444434</v>
      </c>
      <c r="F145" s="299">
        <f>+GETPIVOTDATA("Sum of New-Total Undg CH FTE",'FTE Pivot for regular counts'!$A$2,"State","NC","Category2","Two-Year")</f>
        <v>32089.013333333332</v>
      </c>
      <c r="G145" s="298">
        <f>+GETPIVOTDATA("Sum of New-Total Undg CH FTE",'FTE Pivot for regular counts'!$A$2,"State","NC","Category","12","Category2","Technical")</f>
        <v>0</v>
      </c>
      <c r="H145" s="298">
        <f>+GETPIVOTDATA("Sum of New-Total Undg CH FTE",'FTE Pivot for regular counts'!$A$2,"State","NC","Category","13","Category2","Technical")</f>
        <v>0</v>
      </c>
      <c r="I145" s="298">
        <f>+GETPIVOTDATA("Sum of New-Total Undg CH FTE",'FTE Pivot for regular counts'!$A$2,"State","NC","Category2","Technical")</f>
        <v>0</v>
      </c>
      <c r="J145" s="298"/>
      <c r="K145" s="298"/>
      <c r="P145" s="15" t="s">
        <v>786</v>
      </c>
      <c r="Q145" s="298">
        <f>+GETPIVOTDATA("Sum of Old-Total Undg CH FTE",'FTE Pivot for regular counts'!$A$2,"State","NC","Category","7","Category2","Two-Year")</f>
        <v>0</v>
      </c>
      <c r="R145" s="298">
        <f>+GETPIVOTDATA("Sum of Old-Total Undg CH FTE",'FTE Pivot for regular counts'!$A$2,"State","NC","Category","8","Category2","Two-Year")</f>
        <v>11591.582222222221</v>
      </c>
      <c r="S145" s="298">
        <f>+GETPIVOTDATA("Sum of Old-Total Undg CH FTE",'FTE Pivot for regular counts'!$A$2,"State","NC","Category",9,"Category2","Two-Year")</f>
        <v>11945.246666666668</v>
      </c>
      <c r="T145" s="298">
        <f>+GETPIVOTDATA("Sum of Old-Total Undg CH FTE",'FTE Pivot for regular counts'!$A$2,"State","NC","Category","10","Category2","Two-Year")</f>
        <v>7278.2922222222232</v>
      </c>
      <c r="U145" s="299">
        <f>+GETPIVOTDATA("Sum of Old-Total Undg CH FTE",'FTE Pivot for regular counts'!$A$2,"State","NC","Category2","Two-Year")</f>
        <v>30815.121111111112</v>
      </c>
      <c r="V145" s="298">
        <f>+GETPIVOTDATA("Sum of Old-Total Undg CH FTE",'FTE Pivot for regular counts'!$A$2,"State","NC","Category","12","Category2","Technical")</f>
        <v>0</v>
      </c>
      <c r="W145" s="298">
        <f>+GETPIVOTDATA("Sum of Old-Total Undg CH FTE",'FTE Pivot for regular counts'!$A$2,"State","NC","Category","13","Category2","Technical")</f>
        <v>0</v>
      </c>
      <c r="X145" s="298">
        <f>+GETPIVOTDATA("Sum of Old-Total Undg CH FTE",'FTE Pivot for regular counts'!$A$2,"State","NC","Category2","Technical")</f>
        <v>0</v>
      </c>
      <c r="Y145" s="298"/>
    </row>
    <row r="146" spans="1:56" ht="15" customHeight="1">
      <c r="A146" s="15" t="s">
        <v>787</v>
      </c>
      <c r="B146" s="298">
        <f>+GETPIVOTDATA("Sum of New-Total Undg CH FTE",'FTE Pivot for regular counts'!$A$2,"State","OK","Category","7","Category2","Two-Year")</f>
        <v>0</v>
      </c>
      <c r="C146" s="298">
        <f>+GETPIVOTDATA("Sum of New-Total Undg CH FTE",'FTE Pivot for regular counts'!$A$2,"State","OK","Category","8","Category2","Two-Year")</f>
        <v>0</v>
      </c>
      <c r="D146" s="298">
        <f>+GETPIVOTDATA("Sum of New-Total Undg CH FTE",'FTE Pivot for regular counts'!$A$2,"State","OK","Category",9,"Category2","Two-Year")</f>
        <v>0</v>
      </c>
      <c r="E146" s="298">
        <f>+GETPIVOTDATA("Sum of New-Total Undg CH FTE",'FTE Pivot for regular counts'!$A$2,"State","OK","Category","10","Category2","Two-Year")</f>
        <v>0</v>
      </c>
      <c r="F146" s="299">
        <f>+GETPIVOTDATA("Sum of New-Total Undg CH FTE",'FTE Pivot for regular counts'!$A$2,"State","OK","Category2","Two-Year")</f>
        <v>0</v>
      </c>
      <c r="G146" s="298">
        <f>+GETPIVOTDATA("Sum of New-Total Undg CH FTE",'FTE Pivot for regular counts'!$A$2,"State","OK","Category","12","Category2","Technical")</f>
        <v>3714.7210444444445</v>
      </c>
      <c r="H146" s="298">
        <f>+GETPIVOTDATA("Sum of New-Total Undg CH FTE",'FTE Pivot for regular counts'!$A$2,"State","OK","Category","13","Category2","Technical")</f>
        <v>15335.873522222222</v>
      </c>
      <c r="I146" s="298">
        <f>+GETPIVOTDATA("Sum of New-Total Undg CH FTE",'FTE Pivot for regular counts'!$A$2,"State","OK","Category2","Technical")</f>
        <v>19050.594566666667</v>
      </c>
      <c r="J146" s="298"/>
      <c r="K146" s="298"/>
      <c r="P146" s="15" t="s">
        <v>787</v>
      </c>
      <c r="Q146" s="298">
        <f>+GETPIVOTDATA("Sum of Old-Total Undg CH FTE",'FTE Pivot for regular counts'!$A$2,"State","OK","Category","7","Category2","Two-Year")</f>
        <v>0</v>
      </c>
      <c r="R146" s="298">
        <f>+GETPIVOTDATA("Sum of Old-Total Undg CH FTE",'FTE Pivot for regular counts'!$A$2,"State","OK","Category","8","Category2","Two-Year")</f>
        <v>0</v>
      </c>
      <c r="S146" s="298">
        <f>+GETPIVOTDATA("Sum of Old-Total Undg CH FTE",'FTE Pivot for regular counts'!$A$2,"State","OK","Category",9,"Category2","Two-Year")</f>
        <v>0</v>
      </c>
      <c r="T146" s="298">
        <f>+GETPIVOTDATA("Sum of Old-Total Undg CH FTE",'FTE Pivot for regular counts'!$A$2,"State","OK","Category","10","Category2","Two-Year")</f>
        <v>0</v>
      </c>
      <c r="U146" s="299">
        <f>+GETPIVOTDATA("Sum of Old-Total Undg CH FTE",'FTE Pivot for regular counts'!$A$2,"State","OK","Category2","Two-Year")</f>
        <v>0</v>
      </c>
      <c r="V146" s="298">
        <f>+GETPIVOTDATA("Sum of Old-Total Undg CH FTE",'FTE Pivot for regular counts'!$A$2,"State","OK","Category","12","Category2","Technical")</f>
        <v>4522.6706111111107</v>
      </c>
      <c r="W146" s="298">
        <f>+GETPIVOTDATA("Sum of Old-Total Undg CH FTE",'FTE Pivot for regular counts'!$A$2,"State","OK","Category","13","Category2","Technical")</f>
        <v>15802.672611111106</v>
      </c>
      <c r="X146" s="298">
        <f>+GETPIVOTDATA("Sum of Old-Total Undg CH FTE",'FTE Pivot for regular counts'!$A$2,"State","OK","Category2","Technical")</f>
        <v>20325.343222222218</v>
      </c>
      <c r="Y146" s="298"/>
    </row>
    <row r="147" spans="1:56" ht="15" customHeight="1">
      <c r="A147" s="15" t="s">
        <v>788</v>
      </c>
      <c r="B147" s="298">
        <f>+GETPIVOTDATA("Sum of New-Total Undg CH FTE",'FTE Pivot for regular counts'!$A$2,"State","SC","Category","7","Category2","Two-Year")</f>
        <v>0</v>
      </c>
      <c r="C147" s="298">
        <f>+GETPIVOTDATA("Sum of New-Total Undg CH FTE",'FTE Pivot for regular counts'!$A$2,"State","SC","Category","8","Category2","Two-Year")</f>
        <v>0</v>
      </c>
      <c r="D147" s="298">
        <f>+GETPIVOTDATA("Sum of New-Total Undg CH FTE",'FTE Pivot for regular counts'!$A$2,"State","SC","Category",9,"Category2","Two-Year")</f>
        <v>0</v>
      </c>
      <c r="E147" s="298">
        <f>+GETPIVOTDATA("Sum of New-Total Undg CH FTE",'FTE Pivot for regular counts'!$A$2,"State","SC","Category","10","Category2","Two-Year")</f>
        <v>0</v>
      </c>
      <c r="F147" s="299">
        <f>+GETPIVOTDATA("Sum of New-Total Undg CH FTE",'FTE Pivot for regular counts'!$A$2,"State","SC","Category2","Two-Year")</f>
        <v>0</v>
      </c>
      <c r="G147" s="298">
        <f>+GETPIVOTDATA("Sum of New-Total Undg CH FTE",'FTE Pivot for regular counts'!$A$2,"State","SC","Category","12","Category2","Technical")</f>
        <v>0</v>
      </c>
      <c r="H147" s="298">
        <f>+GETPIVOTDATA("Sum of New-Total Undg CH FTE",'FTE Pivot for regular counts'!$A$2,"State","SC","Category","13","Category2","Technical")</f>
        <v>0</v>
      </c>
      <c r="I147" s="298">
        <f>+GETPIVOTDATA("Sum of New-Total Undg CH FTE",'FTE Pivot for regular counts'!$A$2,"State","SC","Category2","Technical")</f>
        <v>0</v>
      </c>
      <c r="J147" s="298"/>
      <c r="K147" s="298"/>
      <c r="P147" s="15" t="s">
        <v>788</v>
      </c>
      <c r="Q147" s="298">
        <f>+GETPIVOTDATA("Sum of Old-Total Undg CH FTE",'FTE Pivot for regular counts'!$A$2,"State","SC","Category","7","Category2","Two-Year")</f>
        <v>0</v>
      </c>
      <c r="R147" s="298">
        <f>+GETPIVOTDATA("Sum of Old-Total Undg CH FTE",'FTE Pivot for regular counts'!$A$2,"State","SC","Category","8","Category2","Two-Year")</f>
        <v>0</v>
      </c>
      <c r="S147" s="298">
        <f>+GETPIVOTDATA("Sum of Old-Total Undg CH FTE",'FTE Pivot for regular counts'!$A$2,"State","SC","Category",9,"Category2","Two-Year")</f>
        <v>0</v>
      </c>
      <c r="T147" s="298">
        <f>+GETPIVOTDATA("Sum of Old-Total Undg CH FTE",'FTE Pivot for regular counts'!$A$2,"State","SC","Category","10","Category2","Two-Year")</f>
        <v>0</v>
      </c>
      <c r="U147" s="299">
        <f>+GETPIVOTDATA("Sum of Old-Total Undg CH FTE",'FTE Pivot for regular counts'!$A$2,"State","SC","Category2","Two-Year")</f>
        <v>0</v>
      </c>
      <c r="V147" s="298">
        <f>+GETPIVOTDATA("Sum of Old-Total Undg CH FTE",'FTE Pivot for regular counts'!$A$2,"State","SC","Category","12","Category2","Technical")</f>
        <v>0</v>
      </c>
      <c r="W147" s="298">
        <f>+GETPIVOTDATA("Sum of Old-Total Undg CH FTE",'FTE Pivot for regular counts'!$A$2,"State","SC","Category","13","Category2","Technical")</f>
        <v>0</v>
      </c>
      <c r="X147" s="298">
        <f>+GETPIVOTDATA("Sum of Old-Total Undg CH FTE",'FTE Pivot for regular counts'!$A$2,"State","SC","Category2","Technical")</f>
        <v>0</v>
      </c>
      <c r="Y147" s="298"/>
    </row>
    <row r="148" spans="1:56" ht="15" customHeight="1">
      <c r="B148" s="298"/>
      <c r="C148" s="298"/>
      <c r="D148" s="298"/>
      <c r="E148" s="298"/>
      <c r="F148" s="299"/>
      <c r="G148" s="298"/>
      <c r="H148" s="298"/>
      <c r="I148" s="298"/>
      <c r="J148" s="298"/>
      <c r="K148" s="298"/>
      <c r="Q148" s="298"/>
      <c r="R148" s="298"/>
      <c r="S148" s="298"/>
      <c r="T148" s="298"/>
      <c r="U148" s="299"/>
      <c r="V148" s="298"/>
      <c r="W148" s="298"/>
      <c r="X148" s="298"/>
      <c r="Y148" s="298"/>
    </row>
    <row r="149" spans="1:56" ht="15" customHeight="1">
      <c r="A149" s="15" t="s">
        <v>789</v>
      </c>
      <c r="B149" s="298">
        <f>+GETPIVOTDATA("Sum of New-Total Undg CH FTE",'FTE Pivot for regular counts'!$A$2,"State","TN","Category","7","Category2","Two-Year")</f>
        <v>0</v>
      </c>
      <c r="C149" s="298">
        <f>+GETPIVOTDATA("Sum of New-Total Undg CH FTE",'FTE Pivot for regular counts'!$A$2,"State","TN","Category","8","Category2","Two-Year")</f>
        <v>0</v>
      </c>
      <c r="D149" s="298">
        <f>+GETPIVOTDATA("Sum of New-Total Undg CH FTE",'FTE Pivot for regular counts'!$A$2,"State","TN","Category",9,"Category2","Two-Year")</f>
        <v>0</v>
      </c>
      <c r="E149" s="298">
        <f>+GETPIVOTDATA("Sum of New-Total Undg CH FTE",'FTE Pivot for regular counts'!$A$2,"State","TN","Category","10","Category2","Two-Year")</f>
        <v>0</v>
      </c>
      <c r="F149" s="299">
        <f>+GETPIVOTDATA("Sum of New-Total Undg CH FTE",'FTE Pivot for regular counts'!$A$2,"State","TN","Category2","Two-Year")</f>
        <v>0</v>
      </c>
      <c r="G149" s="298">
        <f>+GETPIVOTDATA("Sum of New-Total Undg CH FTE",'FTE Pivot for regular counts'!$A$2,"State","TN","Category","12","Category2","Technical")</f>
        <v>0</v>
      </c>
      <c r="H149" s="298">
        <f>+GETPIVOTDATA("Sum of New-Total Undg CH FTE",'FTE Pivot for regular counts'!$A$2,"State","TN","Category","13","Category2","Technical")</f>
        <v>12858.136666666669</v>
      </c>
      <c r="I149" s="298">
        <f>+GETPIVOTDATA("Sum of New-Total Undg CH FTE",'FTE Pivot for regular counts'!$A$2,"State","TN","Category2","Technical")</f>
        <v>12858.136666666669</v>
      </c>
      <c r="J149" s="298"/>
      <c r="K149" s="298"/>
      <c r="P149" s="15" t="s">
        <v>789</v>
      </c>
      <c r="Q149" s="298">
        <f>+GETPIVOTDATA("Sum of Old-Total Undg CH FTE",'FTE Pivot for regular counts'!$A$2,"State","TN","Category","7","Category2","Two-Year")</f>
        <v>0</v>
      </c>
      <c r="R149" s="298">
        <f>+GETPIVOTDATA("Sum of Old-Total Undg CH FTE",'FTE Pivot for regular counts'!$A$2,"State","TN","Category","8","Category2","Two-Year")</f>
        <v>0</v>
      </c>
      <c r="S149" s="298">
        <f>+GETPIVOTDATA("Sum of Old-Total Undg CH FTE",'FTE Pivot for regular counts'!$A$2,"State","TN","Category",9,"Category2","Two-Year")</f>
        <v>0</v>
      </c>
      <c r="T149" s="298">
        <f>+GETPIVOTDATA("Sum of Old-Total Undg CH FTE",'FTE Pivot for regular counts'!$A$2,"State","TN","Category","10","Category2","Two-Year")</f>
        <v>0</v>
      </c>
      <c r="U149" s="299">
        <f>+GETPIVOTDATA("Sum of Old-Total Undg CH FTE",'FTE Pivot for regular counts'!$A$2,"State","TN","Category2","Two-Year")</f>
        <v>0</v>
      </c>
      <c r="V149" s="298">
        <f>+GETPIVOTDATA("Sum of Old-Total Undg CH FTE",'FTE Pivot for regular counts'!$A$2,"State","TN","Category","12","Category2","Technical")</f>
        <v>0</v>
      </c>
      <c r="W149" s="298">
        <f>+GETPIVOTDATA("Sum of Old-Total Undg CH FTE",'FTE Pivot for regular counts'!$A$2,"State","TN","Category","13","Category2","Technical")</f>
        <v>12387.348888888891</v>
      </c>
      <c r="X149" s="298">
        <f>+GETPIVOTDATA("Sum of Old-Total Undg CH FTE",'FTE Pivot for regular counts'!$A$2,"State","TN","Category2","Technical")</f>
        <v>12387.348888888891</v>
      </c>
      <c r="Y149" s="298"/>
    </row>
    <row r="150" spans="1:56" ht="15" customHeight="1">
      <c r="A150" s="15" t="s">
        <v>790</v>
      </c>
      <c r="B150" s="298">
        <f>+GETPIVOTDATA("Sum of New-Total Undg CH FTE",'FTE Pivot for regular counts'!$A$2,"State","TX","Category","7","Category2","Two-Year")</f>
        <v>407.12555555555559</v>
      </c>
      <c r="C150" s="298">
        <f>+GETPIVOTDATA("Sum of New-Total Undg CH FTE",'FTE Pivot for regular counts'!$A$2,"State","TX","Category","8","Category2","Two-Year")</f>
        <v>10292.454444444447</v>
      </c>
      <c r="D150" s="298">
        <f>+GETPIVOTDATA("Sum of New-Total Undg CH FTE",'FTE Pivot for regular counts'!$A$2,"State","TX","Category",9,"Category2","Two-Year")</f>
        <v>3678.3799999999997</v>
      </c>
      <c r="E150" s="298">
        <f>+GETPIVOTDATA("Sum of New-Total Undg CH FTE",'FTE Pivot for regular counts'!$A$2,"State","TX","Category","10","Category2","Two-Year")</f>
        <v>721.68222222222221</v>
      </c>
      <c r="F150" s="299">
        <f>+GETPIVOTDATA("Sum of New-Total Undg CH FTE",'FTE Pivot for regular counts'!$A$2,"State","TX","Category2","Two-Year")</f>
        <v>15099.642222222225</v>
      </c>
      <c r="G150" s="298">
        <f>+GETPIVOTDATA("Sum of New-Total Undg CH FTE",'FTE Pivot for regular counts'!$A$2,"State","TX","Category","12","Category2","Technical")</f>
        <v>0</v>
      </c>
      <c r="H150" s="298">
        <f>+GETPIVOTDATA("Sum of New-Total Undg CH FTE",'FTE Pivot for regular counts'!$A$2,"State","TX","Category","13","Category2","Technical")</f>
        <v>0</v>
      </c>
      <c r="I150" s="298">
        <f>+GETPIVOTDATA("Sum of New-Total Undg CH FTE",'FTE Pivot for regular counts'!$A$2,"State","TX","Category2","Technical")</f>
        <v>0</v>
      </c>
      <c r="J150" s="298"/>
      <c r="K150" s="298"/>
      <c r="P150" s="15" t="s">
        <v>790</v>
      </c>
      <c r="Q150" s="298">
        <f>+GETPIVOTDATA("Sum of Old-Total Undg CH FTE",'FTE Pivot for regular counts'!$A$2,"State","TX","Category","7","Category2","Two-Year")</f>
        <v>404.9</v>
      </c>
      <c r="R150" s="298">
        <f>+GETPIVOTDATA("Sum of Old-Total Undg CH FTE",'FTE Pivot for regular counts'!$A$2,"State","TX","Category","8","Category2","Two-Year")</f>
        <v>10161.783333333333</v>
      </c>
      <c r="S150" s="298">
        <f>+GETPIVOTDATA("Sum of Old-Total Undg CH FTE",'FTE Pivot for regular counts'!$A$2,"State","TX","Category",9,"Category2","Two-Year")</f>
        <v>3761.3522222222218</v>
      </c>
      <c r="T150" s="298">
        <f>+GETPIVOTDATA("Sum of Old-Total Undg CH FTE",'FTE Pivot for regular counts'!$A$2,"State","TX","Category","10","Category2","Two-Year")</f>
        <v>750.43</v>
      </c>
      <c r="U150" s="299">
        <f>+GETPIVOTDATA("Sum of Old-Total Undg CH FTE",'FTE Pivot for regular counts'!$A$2,"State","TX","Category2","Two-Year")</f>
        <v>15078.465555555555</v>
      </c>
      <c r="V150" s="298">
        <f>+GETPIVOTDATA("Sum of Old-Total Undg CH FTE",'FTE Pivot for regular counts'!$A$2,"State","TX","Category","12","Category2","Technical")</f>
        <v>0</v>
      </c>
      <c r="W150" s="298">
        <f>+GETPIVOTDATA("Sum of Old-Total Undg CH FTE",'FTE Pivot for regular counts'!$A$2,"State","TX","Category","13","Category2","Technical")</f>
        <v>0</v>
      </c>
      <c r="X150" s="298">
        <f>+GETPIVOTDATA("Sum of Old-Total Undg CH FTE",'FTE Pivot for regular counts'!$A$2,"State","TX","Category2","Technical")</f>
        <v>0</v>
      </c>
      <c r="Y150" s="298"/>
    </row>
    <row r="151" spans="1:56" ht="15" customHeight="1">
      <c r="A151" s="15" t="s">
        <v>791</v>
      </c>
      <c r="B151" s="298">
        <f>+GETPIVOTDATA("Sum of New-Total Undg CH FTE",'FTE Pivot for regular counts'!$A$2,"State","VA","Category","7","Category2","Two-Year")</f>
        <v>0</v>
      </c>
      <c r="C151" s="298">
        <f>+GETPIVOTDATA("Sum of New-Total Undg CH FTE",'FTE Pivot for regular counts'!$A$2,"State","VA","Category","8","Category2","Two-Year")</f>
        <v>0</v>
      </c>
      <c r="D151" s="298">
        <f>+GETPIVOTDATA("Sum of New-Total Undg CH FTE",'FTE Pivot for regular counts'!$A$2,"State","VA","Category",9,"Category2","Two-Year")</f>
        <v>0</v>
      </c>
      <c r="E151" s="298">
        <f>+GETPIVOTDATA("Sum of New-Total Undg CH FTE",'FTE Pivot for regular counts'!$A$2,"State","VA","Category","10","Category2","Two-Year")</f>
        <v>0</v>
      </c>
      <c r="F151" s="299">
        <f>+GETPIVOTDATA("Sum of New-Total Undg CH FTE",'FTE Pivot for regular counts'!$A$2,"State","VA","Category2","Two-Year")</f>
        <v>0</v>
      </c>
      <c r="G151" s="298">
        <f>+GETPIVOTDATA("Sum of New-Total Undg CH FTE",'FTE Pivot for regular counts'!$A$2,"State","VA","Category","12","Category2","Technical")</f>
        <v>0</v>
      </c>
      <c r="H151" s="298">
        <f>+GETPIVOTDATA("Sum of New-Total Undg CH FTE",'FTE Pivot for regular counts'!$A$2,"State","VA","Category","13","Category2","Technical")</f>
        <v>0</v>
      </c>
      <c r="I151" s="298">
        <f>+GETPIVOTDATA("Sum of New-Total Undg CH FTE",'FTE Pivot for regular counts'!$A$2,"State","VA","Category2","Technical")</f>
        <v>0</v>
      </c>
      <c r="J151" s="298"/>
      <c r="K151" s="298"/>
      <c r="P151" s="15" t="s">
        <v>791</v>
      </c>
      <c r="Q151" s="298">
        <f>+GETPIVOTDATA("Sum of Old-Total Undg CH FTE",'FTE Pivot for regular counts'!$A$2,"State","VA","Category","7","Category2","Two-Year")</f>
        <v>0</v>
      </c>
      <c r="R151" s="298">
        <f>+GETPIVOTDATA("Sum of Old-Total Undg CH FTE",'FTE Pivot for regular counts'!$A$2,"State","VA","Category","8","Category2","Two-Year")</f>
        <v>0</v>
      </c>
      <c r="S151" s="298">
        <f>+GETPIVOTDATA("Sum of Old-Total Undg CH FTE",'FTE Pivot for regular counts'!$A$2,"State","VA","Category",9,"Category2","Two-Year")</f>
        <v>0</v>
      </c>
      <c r="T151" s="298">
        <f>+GETPIVOTDATA("Sum of Old-Total Undg CH FTE",'FTE Pivot for regular counts'!$A$2,"State","VA","Category","10","Category2","Two-Year")</f>
        <v>0</v>
      </c>
      <c r="U151" s="299">
        <f>+GETPIVOTDATA("Sum of Old-Total Undg CH FTE",'FTE Pivot for regular counts'!$A$2,"State","VA","Category2","Two-Year")</f>
        <v>0</v>
      </c>
      <c r="V151" s="298">
        <f>+GETPIVOTDATA("Sum of Old-Total Undg CH FTE",'FTE Pivot for regular counts'!$A$2,"State","VA","Category","12","Category2","Technical")</f>
        <v>0</v>
      </c>
      <c r="W151" s="298">
        <f>+GETPIVOTDATA("Sum of Old-Total Undg CH FTE",'FTE Pivot for regular counts'!$A$2,"State","VA","Category","13","Category2","Technical")</f>
        <v>0</v>
      </c>
      <c r="X151" s="298">
        <f>+GETPIVOTDATA("Sum of Old-Total Undg CH FTE",'FTE Pivot for regular counts'!$A$2,"State","VA","Category2","Technical")</f>
        <v>0</v>
      </c>
      <c r="Y151" s="298"/>
    </row>
    <row r="152" spans="1:56" ht="15" customHeight="1">
      <c r="A152" s="234" t="s">
        <v>792</v>
      </c>
      <c r="B152" s="302">
        <f>+GETPIVOTDATA("Sum of New-Total Undg CH FTE",'FTE Pivot for regular counts'!$A$2,"State","WV","Category","7","Category2","Two-Year")</f>
        <v>0</v>
      </c>
      <c r="C152" s="302">
        <f>+GETPIVOTDATA("Sum of New-Total Undg CH FTE",'FTE Pivot for regular counts'!$A$2,"State","WV","Category","8","Category2","Two-Year")</f>
        <v>0</v>
      </c>
      <c r="D152" s="302">
        <f>+GETPIVOTDATA("Sum of New-Total Undg CH FTE",'FTE Pivot for regular counts'!$A$2,"State","WV","Category",9,"Category2","Two-Year")</f>
        <v>0</v>
      </c>
      <c r="E152" s="302">
        <f>+GETPIVOTDATA("Sum of New-Total Undg CH FTE",'FTE Pivot for regular counts'!$A$2,"State","WV","Category","10","Category2","Two-Year")</f>
        <v>0</v>
      </c>
      <c r="F152" s="303">
        <f>+GETPIVOTDATA("Sum of New-Total Undg CH FTE",'FTE Pivot for regular counts'!$A$2,"State","WV","Category2","Two-Year")</f>
        <v>0</v>
      </c>
      <c r="G152" s="302">
        <f>+GETPIVOTDATA("Sum of New-Total Undg CH FTE",'FTE Pivot for regular counts'!$A$2,"State","WV","Category","12","Category2","Technical")</f>
        <v>0</v>
      </c>
      <c r="H152" s="302">
        <f>+GETPIVOTDATA("Sum of New-Total Undg CH FTE",'FTE Pivot for regular counts'!$A$2,"State","WV","Category","13","Category2","Technical")</f>
        <v>0</v>
      </c>
      <c r="I152" s="302">
        <f>+GETPIVOTDATA("Sum of New-Total Undg CH FTE",'FTE Pivot for regular counts'!$A$2,"State","WV","Category2","Technical")</f>
        <v>0</v>
      </c>
      <c r="J152" s="298"/>
      <c r="K152" s="298"/>
      <c r="P152" s="234" t="s">
        <v>792</v>
      </c>
      <c r="Q152" s="302">
        <f>+GETPIVOTDATA("Sum of Old-Total Undg CH FTE",'FTE Pivot for regular counts'!$A$2,"State","WV","Category","7","Category2","Two-Year")</f>
        <v>0</v>
      </c>
      <c r="R152" s="302">
        <f>+GETPIVOTDATA("Sum of Old-Total Undg CH FTE",'FTE Pivot for regular counts'!$A$2,"State","WV","Category","8","Category2","Two-Year")</f>
        <v>0</v>
      </c>
      <c r="S152" s="302">
        <f>+GETPIVOTDATA("Sum of Old-Total Undg CH FTE",'FTE Pivot for regular counts'!$A$2,"State","WV","Category",9,"Category2","Two-Year")</f>
        <v>0</v>
      </c>
      <c r="T152" s="302">
        <f>+GETPIVOTDATA("Sum of Old-Total Undg CH FTE",'FTE Pivot for regular counts'!$A$2,"State","WV","Category","10","Category2","Two-Year")</f>
        <v>0</v>
      </c>
      <c r="U152" s="303">
        <f>+GETPIVOTDATA("Sum of Old-Total Undg CH FTE",'FTE Pivot for regular counts'!$A$2,"State","WV","Category2","Two-Year")</f>
        <v>0</v>
      </c>
      <c r="V152" s="302">
        <f>+GETPIVOTDATA("Sum of Old-Total Undg CH FTE",'FTE Pivot for regular counts'!$A$2,"State","WV","Category","12","Category2","Technical")</f>
        <v>0</v>
      </c>
      <c r="W152" s="302">
        <f>+GETPIVOTDATA("Sum of Old-Total Undg CH FTE",'FTE Pivot for regular counts'!$A$2,"State","WV","Category","13","Category2","Technical")</f>
        <v>0</v>
      </c>
      <c r="X152" s="302">
        <f>+GETPIVOTDATA("Sum of Old-Total Undg CH FTE",'FTE Pivot for regular counts'!$A$2,"State","WV","Category2","Technical")</f>
        <v>0</v>
      </c>
      <c r="Y152" s="298"/>
    </row>
    <row r="153" spans="1:56" ht="36" customHeight="1">
      <c r="A153" s="603" t="s">
        <v>957</v>
      </c>
      <c r="B153" s="603"/>
      <c r="C153" s="603"/>
      <c r="D153" s="603"/>
      <c r="E153" s="603"/>
      <c r="F153" s="603"/>
      <c r="G153" s="603"/>
      <c r="H153" s="603"/>
      <c r="I153" s="603"/>
      <c r="J153" s="258"/>
      <c r="K153" s="227"/>
      <c r="L153" s="227"/>
    </row>
    <row r="154" spans="1:56" ht="10.5" customHeight="1">
      <c r="I154" s="247" t="s">
        <v>953</v>
      </c>
      <c r="J154" s="260"/>
      <c r="K154" s="289"/>
      <c r="L154" s="289"/>
    </row>
    <row r="155" spans="1:56" ht="18">
      <c r="A155" s="184" t="s">
        <v>807</v>
      </c>
      <c r="B155" s="184"/>
      <c r="C155" s="184"/>
      <c r="D155" s="184"/>
      <c r="E155" s="184"/>
      <c r="F155" s="184"/>
      <c r="G155" s="184"/>
      <c r="H155" s="184"/>
      <c r="I155" s="184"/>
      <c r="J155" s="184"/>
      <c r="K155" s="184"/>
      <c r="L155" s="260"/>
      <c r="AD155" s="129"/>
      <c r="AE155" s="30"/>
      <c r="AF155" s="30"/>
      <c r="AG155" s="30"/>
      <c r="AH155" s="30"/>
    </row>
    <row r="156" spans="1:56" ht="15.75" customHeight="1">
      <c r="A156" s="188"/>
      <c r="B156" s="188"/>
      <c r="C156" s="188"/>
      <c r="D156" s="188"/>
      <c r="E156" s="188"/>
      <c r="F156" s="188"/>
      <c r="G156" s="188"/>
      <c r="H156" s="188"/>
      <c r="I156" s="188"/>
      <c r="J156" s="188"/>
      <c r="K156" s="188"/>
      <c r="L156" s="268"/>
      <c r="AC156" s="30"/>
      <c r="AI156" s="30"/>
    </row>
    <row r="157" spans="1:56" ht="18.75" customHeight="1">
      <c r="A157" s="190" t="s">
        <v>796</v>
      </c>
      <c r="B157" s="190"/>
      <c r="C157" s="190"/>
      <c r="D157" s="190"/>
      <c r="E157" s="190"/>
      <c r="F157" s="190"/>
      <c r="G157" s="190"/>
      <c r="H157" s="190"/>
      <c r="I157" s="190"/>
      <c r="J157" s="190"/>
      <c r="K157" s="190"/>
      <c r="L157" s="188"/>
      <c r="AC157" s="304"/>
      <c r="AD157" s="304"/>
      <c r="AE157" s="304"/>
      <c r="AF157" s="304"/>
      <c r="AG157" s="304"/>
      <c r="AH157" s="304"/>
      <c r="AI157" s="304"/>
      <c r="AR157" s="129" t="s">
        <v>758</v>
      </c>
      <c r="AY157" s="129" t="s">
        <v>758</v>
      </c>
    </row>
    <row r="158" spans="1:56" ht="15.5">
      <c r="A158" s="190" t="s">
        <v>950</v>
      </c>
      <c r="B158" s="190"/>
      <c r="C158" s="190"/>
      <c r="D158" s="190"/>
      <c r="E158" s="190"/>
      <c r="F158" s="190"/>
      <c r="G158" s="190"/>
      <c r="H158" s="190"/>
      <c r="I158" s="190"/>
      <c r="J158" s="190"/>
      <c r="K158" s="190"/>
      <c r="L158" s="269"/>
      <c r="Q158" s="30" t="s">
        <v>757</v>
      </c>
      <c r="AC158" s="304"/>
      <c r="AD158" s="304"/>
      <c r="AE158" s="304"/>
      <c r="AF158" s="304"/>
      <c r="AG158" s="304"/>
      <c r="AH158" s="304"/>
      <c r="AI158" s="304"/>
      <c r="AR158" s="32" t="s">
        <v>760</v>
      </c>
      <c r="AY158" s="32" t="s">
        <v>757</v>
      </c>
    </row>
    <row r="159" spans="1:56" ht="15.5">
      <c r="E159" s="234"/>
      <c r="G159" s="234"/>
      <c r="H159" s="234"/>
      <c r="I159" s="234"/>
      <c r="J159" s="234"/>
      <c r="K159" s="234"/>
      <c r="L159" s="269"/>
      <c r="M159" s="269"/>
      <c r="P159" s="234"/>
      <c r="Q159" s="305" t="s">
        <v>759</v>
      </c>
      <c r="R159" s="234"/>
      <c r="S159" s="234"/>
      <c r="T159" s="234"/>
      <c r="U159" s="234"/>
      <c r="V159" s="234"/>
      <c r="W159" s="234"/>
      <c r="X159" s="234"/>
      <c r="Y159" s="234"/>
      <c r="Z159" s="234"/>
      <c r="AA159" s="234"/>
      <c r="AC159" s="304"/>
      <c r="AD159" s="306" t="s">
        <v>808</v>
      </c>
      <c r="AE159" s="304"/>
      <c r="AF159" s="304"/>
      <c r="AG159" s="304"/>
      <c r="AH159" s="304"/>
      <c r="AI159" s="304"/>
      <c r="AJ159" s="307"/>
      <c r="AK159" s="308" t="s">
        <v>808</v>
      </c>
      <c r="AL159" s="309"/>
      <c r="AM159" s="309"/>
      <c r="AN159" s="309"/>
      <c r="AO159" s="309"/>
      <c r="AP159" s="309"/>
      <c r="AR159" s="234"/>
      <c r="AS159" s="234" t="s">
        <v>809</v>
      </c>
      <c r="AT159" s="234">
        <v>1</v>
      </c>
      <c r="AU159" s="234">
        <v>2</v>
      </c>
      <c r="AV159" s="234">
        <v>3</v>
      </c>
      <c r="AW159" s="234" t="s">
        <v>761</v>
      </c>
      <c r="AY159" s="234"/>
      <c r="AZ159" s="234" t="s">
        <v>809</v>
      </c>
      <c r="BA159" s="234">
        <v>1</v>
      </c>
      <c r="BB159" s="234">
        <v>2</v>
      </c>
      <c r="BC159" s="234">
        <v>3</v>
      </c>
      <c r="BD159" s="234" t="s">
        <v>761</v>
      </c>
    </row>
    <row r="160" spans="1:56" ht="12.75" customHeight="1" thickBot="1">
      <c r="A160" s="197"/>
      <c r="B160" s="310" t="s">
        <v>804</v>
      </c>
      <c r="C160" s="200"/>
      <c r="D160" s="311">
        <v>1</v>
      </c>
      <c r="F160" s="312">
        <v>2</v>
      </c>
      <c r="H160" s="312">
        <v>3</v>
      </c>
      <c r="J160" s="312" t="s">
        <v>761</v>
      </c>
      <c r="K160" s="313"/>
      <c r="P160" s="202"/>
      <c r="Q160" s="202"/>
      <c r="R160" s="202" t="s">
        <v>810</v>
      </c>
      <c r="S160" s="202"/>
      <c r="T160" s="203" t="s">
        <v>811</v>
      </c>
      <c r="U160" s="202"/>
      <c r="V160" s="203">
        <v>2</v>
      </c>
      <c r="W160" s="202"/>
      <c r="X160" s="203">
        <v>3</v>
      </c>
      <c r="Y160" s="202"/>
      <c r="Z160" s="203" t="s">
        <v>812</v>
      </c>
      <c r="AA160" s="202"/>
      <c r="AC160" s="304"/>
      <c r="AD160" s="314" t="s">
        <v>801</v>
      </c>
      <c r="AE160" s="314"/>
      <c r="AF160" s="315"/>
      <c r="AG160" s="315"/>
      <c r="AH160" s="315"/>
      <c r="AI160" s="315"/>
      <c r="AJ160" s="316"/>
      <c r="AK160" s="317" t="s">
        <v>801</v>
      </c>
      <c r="AL160" s="317"/>
      <c r="AM160" s="318"/>
      <c r="AN160" s="318"/>
      <c r="AO160" s="318"/>
      <c r="AP160" s="318"/>
    </row>
    <row r="161" spans="1:88" ht="78" customHeight="1" thickBot="1">
      <c r="A161" s="319"/>
      <c r="B161" s="313" t="s">
        <v>764</v>
      </c>
      <c r="C161" s="207" t="s">
        <v>765</v>
      </c>
      <c r="D161" s="320" t="s">
        <v>764</v>
      </c>
      <c r="E161" s="207" t="s">
        <v>765</v>
      </c>
      <c r="F161" s="320" t="s">
        <v>764</v>
      </c>
      <c r="G161" s="207" t="s">
        <v>765</v>
      </c>
      <c r="H161" s="320" t="s">
        <v>764</v>
      </c>
      <c r="I161" s="207" t="s">
        <v>765</v>
      </c>
      <c r="J161" s="320" t="s">
        <v>764</v>
      </c>
      <c r="K161" s="207" t="s">
        <v>765</v>
      </c>
      <c r="Q161" s="234"/>
      <c r="R161" s="210" t="s">
        <v>813</v>
      </c>
      <c r="S161" s="210" t="s">
        <v>767</v>
      </c>
      <c r="T161" s="211" t="s">
        <v>813</v>
      </c>
      <c r="U161" s="210" t="s">
        <v>767</v>
      </c>
      <c r="V161" s="211" t="s">
        <v>813</v>
      </c>
      <c r="W161" s="210" t="s">
        <v>767</v>
      </c>
      <c r="X161" s="211" t="s">
        <v>813</v>
      </c>
      <c r="Y161" s="210" t="s">
        <v>767</v>
      </c>
      <c r="Z161" s="211" t="s">
        <v>813</v>
      </c>
      <c r="AA161" s="210" t="s">
        <v>767</v>
      </c>
      <c r="AC161" s="321" t="s">
        <v>760</v>
      </c>
      <c r="AD161" s="322" t="s">
        <v>804</v>
      </c>
      <c r="AE161" s="323">
        <v>1</v>
      </c>
      <c r="AF161" s="324">
        <v>2</v>
      </c>
      <c r="AG161" s="324">
        <v>3</v>
      </c>
      <c r="AH161" s="322" t="s">
        <v>814</v>
      </c>
      <c r="AI161" s="324" t="s">
        <v>761</v>
      </c>
      <c r="AJ161" s="325" t="s">
        <v>757</v>
      </c>
      <c r="AK161" s="326" t="s">
        <v>804</v>
      </c>
      <c r="AL161" s="327">
        <v>1</v>
      </c>
      <c r="AM161" s="327">
        <v>2</v>
      </c>
      <c r="AN161" s="327">
        <v>3</v>
      </c>
      <c r="AO161" s="327" t="s">
        <v>814</v>
      </c>
      <c r="AP161" s="327" t="s">
        <v>761</v>
      </c>
      <c r="AR161" s="234"/>
      <c r="AS161" s="212" t="s">
        <v>768</v>
      </c>
      <c r="AT161" s="212" t="s">
        <v>768</v>
      </c>
      <c r="AU161" s="212" t="s">
        <v>768</v>
      </c>
      <c r="AV161" s="212" t="s">
        <v>768</v>
      </c>
      <c r="AW161" s="212" t="s">
        <v>768</v>
      </c>
      <c r="AY161" s="234"/>
      <c r="AZ161" s="212" t="s">
        <v>768</v>
      </c>
      <c r="BA161" s="212" t="s">
        <v>768</v>
      </c>
      <c r="BB161" s="212" t="s">
        <v>768</v>
      </c>
      <c r="BC161" s="212" t="s">
        <v>768</v>
      </c>
      <c r="BD161" s="212" t="s">
        <v>768</v>
      </c>
    </row>
    <row r="162" spans="1:88" ht="12.75" customHeight="1">
      <c r="A162" s="15" t="s">
        <v>769</v>
      </c>
      <c r="B162" s="298">
        <f>+'NEW-Tables 80-86'!B101+'NEW-Tables 80-86'!B132</f>
        <v>334718.43888888892</v>
      </c>
      <c r="D162" s="328">
        <f>+'NEW-Tables 80-86'!C101+'NEW-Tables 80-86'!C132</f>
        <v>733220.48222222226</v>
      </c>
      <c r="F162" s="328">
        <f>+'NEW-Tables 80-86'!D101+'NEW-Tables 80-86'!D132</f>
        <v>354750.53333333333</v>
      </c>
      <c r="H162" s="328">
        <f>+'NEW-Tables 80-86'!E101+'NEW-Tables 80-86'!E132</f>
        <v>150136.74</v>
      </c>
      <c r="J162" s="328">
        <f>+'NEW-Tables 80-86'!F101+'NEW-Tables 80-86'!F132</f>
        <v>1572826.1944444445</v>
      </c>
      <c r="Q162" s="15" t="s">
        <v>769</v>
      </c>
      <c r="R162" s="329"/>
      <c r="S162" s="330">
        <f>C162-R162</f>
        <v>0</v>
      </c>
      <c r="T162" s="219"/>
      <c r="U162" s="330">
        <f>E162-T162</f>
        <v>0</v>
      </c>
      <c r="V162" s="219"/>
      <c r="W162" s="330">
        <f>G162-V162</f>
        <v>0</v>
      </c>
      <c r="X162" s="219"/>
      <c r="Y162" s="330">
        <f>I162-X162</f>
        <v>0</v>
      </c>
      <c r="Z162" s="219"/>
      <c r="AA162" s="330">
        <f>K162-Z162</f>
        <v>0</v>
      </c>
      <c r="AC162" s="304" t="s">
        <v>769</v>
      </c>
      <c r="AD162" s="331">
        <f t="shared" ref="AD162:AI162" si="20">SUM(AD164:AD182)</f>
        <v>307237.01333333342</v>
      </c>
      <c r="AE162" s="331">
        <f t="shared" si="20"/>
        <v>379970.16111111117</v>
      </c>
      <c r="AF162" s="331">
        <f t="shared" si="20"/>
        <v>272779.55333333334</v>
      </c>
      <c r="AG162" s="331">
        <f t="shared" si="20"/>
        <v>146520.88</v>
      </c>
      <c r="AH162" s="331">
        <f t="shared" si="20"/>
        <v>175961.87111111113</v>
      </c>
      <c r="AI162" s="331">
        <f t="shared" si="20"/>
        <v>1572826.1944444445</v>
      </c>
      <c r="AJ162" s="316" t="s">
        <v>769</v>
      </c>
      <c r="AK162" s="332">
        <f t="shared" ref="AK162:AP162" si="21">SUM(AK164:AK182)</f>
        <v>309461.08133333334</v>
      </c>
      <c r="AL162" s="332">
        <f t="shared" si="21"/>
        <v>322962.65666666662</v>
      </c>
      <c r="AM162" s="332">
        <f t="shared" si="21"/>
        <v>250409.34666666671</v>
      </c>
      <c r="AN162" s="332">
        <f t="shared" si="21"/>
        <v>117712.32700000002</v>
      </c>
      <c r="AO162" s="332">
        <f t="shared" si="21"/>
        <v>168419.17333333334</v>
      </c>
      <c r="AP162" s="332">
        <f t="shared" si="21"/>
        <v>1590477.2961111111</v>
      </c>
      <c r="AR162" s="15" t="s">
        <v>769</v>
      </c>
      <c r="AY162" s="15" t="s">
        <v>769</v>
      </c>
      <c r="BH162" s="58"/>
      <c r="BI162" s="58"/>
      <c r="BJ162" s="58"/>
    </row>
    <row r="163" spans="1:88" ht="12.75" customHeight="1">
      <c r="A163" s="333"/>
      <c r="B163" s="334"/>
      <c r="C163" s="335" t="s">
        <v>815</v>
      </c>
      <c r="D163" s="336" t="s">
        <v>803</v>
      </c>
      <c r="E163" s="335" t="s">
        <v>816</v>
      </c>
      <c r="F163" s="336" t="s">
        <v>803</v>
      </c>
      <c r="G163" s="335" t="s">
        <v>817</v>
      </c>
      <c r="H163" s="337" t="s">
        <v>803</v>
      </c>
      <c r="I163" s="335" t="s">
        <v>818</v>
      </c>
      <c r="J163" s="337" t="s">
        <v>803</v>
      </c>
      <c r="K163" s="335" t="s">
        <v>819</v>
      </c>
      <c r="L163" s="15" t="s">
        <v>803</v>
      </c>
      <c r="P163" s="58"/>
      <c r="R163" s="224" t="s">
        <v>820</v>
      </c>
      <c r="S163" s="338"/>
      <c r="T163" s="226" t="s">
        <v>821</v>
      </c>
      <c r="U163" s="338"/>
      <c r="V163" s="226" t="s">
        <v>822</v>
      </c>
      <c r="W163" s="338"/>
      <c r="X163" s="226" t="s">
        <v>823</v>
      </c>
      <c r="Y163" s="338"/>
      <c r="Z163" s="226" t="s">
        <v>824</v>
      </c>
      <c r="AA163" s="338"/>
      <c r="AB163" s="58"/>
      <c r="AC163" s="304"/>
      <c r="AD163" s="331"/>
      <c r="AE163" s="331"/>
      <c r="AF163" s="331"/>
      <c r="AG163" s="331"/>
      <c r="AH163" s="331"/>
      <c r="AI163" s="331"/>
      <c r="AJ163" s="316"/>
      <c r="AK163" s="332"/>
      <c r="AL163" s="332"/>
      <c r="AM163" s="332"/>
      <c r="AN163" s="309"/>
      <c r="AO163" s="309"/>
      <c r="AP163" s="309"/>
      <c r="BK163" s="58"/>
      <c r="BL163" s="58"/>
      <c r="BM163" s="58"/>
      <c r="BN163" s="58"/>
      <c r="BO163" s="58"/>
      <c r="BP163" s="58"/>
      <c r="BQ163" s="58"/>
      <c r="BR163" s="58"/>
      <c r="BS163" s="58"/>
      <c r="BT163" s="58"/>
      <c r="BU163" s="58"/>
      <c r="BV163" s="58"/>
      <c r="BW163" s="58"/>
      <c r="BX163" s="58"/>
      <c r="BY163" s="58"/>
      <c r="BZ163" s="58"/>
      <c r="CA163" s="58"/>
      <c r="CB163" s="58"/>
      <c r="CC163" s="58"/>
      <c r="CD163" s="58"/>
      <c r="CE163" s="58"/>
      <c r="CF163" s="58"/>
      <c r="CG163" s="58"/>
      <c r="CH163" s="58"/>
      <c r="CI163" s="58"/>
      <c r="CJ163" s="58"/>
    </row>
    <row r="164" spans="1:88" s="58" customFormat="1" ht="15" customHeight="1">
      <c r="A164" s="15" t="s">
        <v>777</v>
      </c>
      <c r="B164" s="298">
        <f>+'NEW-Tables 80-86'!B103+'NEW-Tables 80-86'!B134</f>
        <v>0</v>
      </c>
      <c r="C164" s="339">
        <f>+GETPIVOTDATA("Sum of New-HS % of Total",'Pivot-HS Student % of Undergrad'!$A$3,"State","AL","Category",7,"Category2","Two-Year")</f>
        <v>0</v>
      </c>
      <c r="D164" s="328">
        <f>+'NEW-Tables 80-86'!C103+'NEW-Tables 80-86'!C134</f>
        <v>12040</v>
      </c>
      <c r="E164" s="339">
        <f>+GETPIVOTDATA("Sum of New-HS % of Total",'Pivot-HS Student % of Undergrad'!$A$3,"State","AL","Category",8,"Category2","Two-Year")</f>
        <v>7.7486157253599114E-2</v>
      </c>
      <c r="F164" s="328">
        <f>+'NEW-Tables 80-86'!D103+'NEW-Tables 80-86'!D134</f>
        <v>33427.433333333334</v>
      </c>
      <c r="G164" s="339">
        <f>+GETPIVOTDATA("Sum of New-HS % of Total",'Pivot-HS Student % of Undergrad'!$A$3,"State","AL","Category",9,"Category2","Two-Year")</f>
        <v>6.861529901089225E-2</v>
      </c>
      <c r="H164" s="328">
        <f>+'NEW-Tables 80-86'!E103+'NEW-Tables 80-86'!E134</f>
        <v>10410.466666666667</v>
      </c>
      <c r="I164" s="339">
        <f>+GETPIVOTDATA("Sum of New-HS % of Total",'Pivot-HS Student % of Undergrad'!$A$3,"State","AL","Category",10,"Category2","Two-Year")</f>
        <v>0.1154703279391894</v>
      </c>
      <c r="J164" s="328">
        <f>+'NEW-Tables 80-86'!F103+'NEW-Tables 80-86'!F134</f>
        <v>55877.9</v>
      </c>
      <c r="K164" s="339">
        <f>+GETPIVOTDATA("Sum of New-HS % of Total",'Pivot-HS Student % of Undergrad'!$A$3,"State","AL","Category2","Group2")</f>
        <v>7.9256140024350719E-2</v>
      </c>
      <c r="L164" s="58" t="s">
        <v>803</v>
      </c>
      <c r="P164" s="15"/>
      <c r="Q164" s="15" t="s">
        <v>777</v>
      </c>
      <c r="R164" s="229">
        <f>+GETPIVOTDATA("Sum of Old-HS % of Total",'Pivot-HS Student % of Undergrad'!$A$3,"State","AL","Category",7,"Category2","Two-Year")</f>
        <v>0</v>
      </c>
      <c r="S164" s="340">
        <f>(C164-R164)*100</f>
        <v>0</v>
      </c>
      <c r="T164" s="219">
        <f>+GETPIVOTDATA("Sum of Old-HS % of Total",'Pivot-HS Student % of Undergrad'!$A$3,"State","AL","Category",8,"Category2","Two-Year")</f>
        <v>6.6913332497177971E-2</v>
      </c>
      <c r="U164" s="340">
        <f>(E164-T164)*100</f>
        <v>1.0572824756421142</v>
      </c>
      <c r="V164" s="219">
        <f>+GETPIVOTDATA("Sum of Old-HS % of Total",'Pivot-HS Student % of Undergrad'!$A$3,"State","AL","Category",9,"Category2","Two-Year")</f>
        <v>6.0404427022380969E-2</v>
      </c>
      <c r="W164" s="340">
        <f>(G164-V164)*100</f>
        <v>0.82108719885112813</v>
      </c>
      <c r="X164" s="219">
        <f>+GETPIVOTDATA("Sum of Old-HS % of Total",'Pivot-HS Student % of Undergrad'!$A$3,"State","AL","Category",10,"Category2","Two-Year")</f>
        <v>9.9450756914719773E-2</v>
      </c>
      <c r="Y164" s="340">
        <f>(I164-X164)*100</f>
        <v>1.601957102446963</v>
      </c>
      <c r="Z164" s="219">
        <f>+GETPIVOTDATA("Sum of Old-HS % of Total",'Pivot-HS Student % of Undergrad'!$A$3,"State","AL","Category2","Two-Year")</f>
        <v>6.9053694890111345E-2</v>
      </c>
      <c r="AA164" s="340">
        <f>(K164-Z164)*100</f>
        <v>1.0202445134239375</v>
      </c>
      <c r="AB164" s="15"/>
      <c r="AC164" s="304" t="s">
        <v>777</v>
      </c>
      <c r="AD164" s="331">
        <f>+B164</f>
        <v>0</v>
      </c>
      <c r="AE164" s="331">
        <f>+D164</f>
        <v>12040</v>
      </c>
      <c r="AF164" s="331">
        <f>+F164</f>
        <v>33427.433333333334</v>
      </c>
      <c r="AG164" s="331">
        <f>+H164</f>
        <v>10410.466666666667</v>
      </c>
      <c r="AH164" s="331"/>
      <c r="AI164" s="331">
        <f>+J164</f>
        <v>55877.9</v>
      </c>
      <c r="AJ164" s="316" t="s">
        <v>777</v>
      </c>
      <c r="AK164" s="332">
        <f>+'NEW-Tables 80-86'!R103+'NEW-Tables 80-86'!Q134</f>
        <v>0</v>
      </c>
      <c r="AL164" s="332">
        <f>+'NEW-Tables 80-86'!S103+'NEW-Tables 80-86'!R134</f>
        <v>12225.266666666666</v>
      </c>
      <c r="AM164" s="332">
        <f>+'NEW-Tables 80-86'!T103+'NEW-Tables 80-86'!S134</f>
        <v>33894.866666666669</v>
      </c>
      <c r="AN164" s="332">
        <f>+'NEW-Tables 80-86'!U103+'NEW-Tables 80-86'!T134</f>
        <v>10505.366666666669</v>
      </c>
      <c r="AO164" s="332"/>
      <c r="AP164" s="341">
        <f>+'NEW-Tables 80-86'!V103+'NEW-Tables 80-86'!U134</f>
        <v>56625.5</v>
      </c>
      <c r="AQ164" s="15"/>
      <c r="AR164" s="15" t="s">
        <v>777</v>
      </c>
      <c r="AS164" s="342">
        <f>C164*100</f>
        <v>0</v>
      </c>
      <c r="AT164" s="342">
        <f>E164*100</f>
        <v>7.7486157253599117</v>
      </c>
      <c r="AU164" s="342">
        <f>G164*100</f>
        <v>6.8615299010892254</v>
      </c>
      <c r="AV164" s="342">
        <f>I164*100</f>
        <v>11.547032793918941</v>
      </c>
      <c r="AW164" s="342">
        <f>K164*100</f>
        <v>7.9256140024350721</v>
      </c>
      <c r="AY164" s="15" t="s">
        <v>777</v>
      </c>
      <c r="AZ164" s="342">
        <f>R164*100</f>
        <v>0</v>
      </c>
      <c r="BA164" s="342">
        <f>T164*100</f>
        <v>6.6913332497177969</v>
      </c>
      <c r="BB164" s="342">
        <f>V164*100</f>
        <v>6.0404427022380967</v>
      </c>
      <c r="BC164" s="342">
        <f>X164*100</f>
        <v>9.9450756914719776</v>
      </c>
      <c r="BD164" s="342">
        <f>Z164*100</f>
        <v>6.9053694890111341</v>
      </c>
      <c r="BE164" s="15"/>
      <c r="BF164" s="15"/>
      <c r="BG164" s="15"/>
      <c r="BH164" s="15"/>
      <c r="BI164" s="15"/>
      <c r="BJ164" s="15"/>
      <c r="BK164" s="15"/>
      <c r="BL164" s="15"/>
      <c r="BM164" s="15"/>
      <c r="BN164" s="15"/>
      <c r="BO164" s="15"/>
      <c r="BP164" s="15"/>
      <c r="BQ164" s="15"/>
      <c r="BR164" s="15"/>
      <c r="BS164" s="15"/>
      <c r="BT164" s="15"/>
      <c r="BU164" s="15"/>
      <c r="BV164" s="15"/>
      <c r="BW164" s="15"/>
      <c r="BX164" s="15"/>
      <c r="BY164" s="15"/>
      <c r="BZ164" s="15"/>
      <c r="CA164" s="15"/>
      <c r="CB164" s="15"/>
      <c r="CC164" s="15"/>
      <c r="CD164" s="15"/>
      <c r="CE164" s="15"/>
      <c r="CF164" s="15"/>
      <c r="CG164" s="15"/>
      <c r="CH164" s="15"/>
      <c r="CI164" s="15"/>
      <c r="CJ164" s="15"/>
    </row>
    <row r="165" spans="1:88" ht="15" customHeight="1">
      <c r="A165" s="15" t="s">
        <v>778</v>
      </c>
      <c r="B165" s="298">
        <f>+'NEW-Tables 80-86'!B104+'NEW-Tables 80-86'!B135</f>
        <v>0</v>
      </c>
      <c r="C165" s="339">
        <f>+GETPIVOTDATA("Sum of New-HS % of Total",'Pivot-HS Student % of Undergrad'!$A$3,"State","AR","Category",7,"Category2","Two-Year")</f>
        <v>0</v>
      </c>
      <c r="D165" s="328">
        <f>+'NEW-Tables 80-86'!C104+'NEW-Tables 80-86'!C135</f>
        <v>5024.8666666666668</v>
      </c>
      <c r="E165" s="339">
        <f>+GETPIVOTDATA("Sum of New-HS % of Total",'Pivot-HS Student % of Undergrad'!$A$3,"State","AR","Category",8,"Category2","Two-Year")</f>
        <v>0.15957969034004219</v>
      </c>
      <c r="F165" s="328">
        <f>+'NEW-Tables 80-86'!D104+'NEW-Tables 80-86'!D135</f>
        <v>6288.4333333333334</v>
      </c>
      <c r="G165" s="339">
        <f>+GETPIVOTDATA("Sum of New-HS % of Total",'Pivot-HS Student % of Undergrad'!$A$3,"State","AR","Category",9,"Category2","Two-Year")</f>
        <v>8.5675817506215113E-2</v>
      </c>
      <c r="H165" s="328">
        <f>+'NEW-Tables 80-86'!E104+'NEW-Tables 80-86'!E135</f>
        <v>19640.466666666671</v>
      </c>
      <c r="I165" s="339">
        <f>+GETPIVOTDATA("Sum of New-HS % of Total",'Pivot-HS Student % of Undergrad'!$A$3,"State","AR","Category",10,"Category2","Two-Year")</f>
        <v>0.15709911848666189</v>
      </c>
      <c r="J165" s="328">
        <f>+'NEW-Tables 80-86'!F104+'NEW-Tables 80-86'!F135</f>
        <v>30953.76666666667</v>
      </c>
      <c r="K165" s="339">
        <f>+GETPIVOTDATA("Sum of New-HS % of Total",'Pivot-HS Student % of Undergrad'!$A$3,"State","AR","Category2","Group2")</f>
        <v>0.14299175221540081</v>
      </c>
      <c r="Q165" s="15" t="s">
        <v>778</v>
      </c>
      <c r="R165" s="229">
        <f>+GETPIVOTDATA("Sum of Old-HS % of Total",'Pivot-HS Student % of Undergrad'!$A$3,"State","AR","Category",7,"Category2","Two-Year")</f>
        <v>0</v>
      </c>
      <c r="S165" s="340">
        <f t="shared" ref="S165:S182" si="22">(C165-R165)*100</f>
        <v>0</v>
      </c>
      <c r="T165" s="219">
        <f>+GETPIVOTDATA("Sum of Old-HS % of Total",'Pivot-HS Student % of Undergrad'!$A$3,"State","AR","Category",8,"Category2","Two-Year")</f>
        <v>0.15115743060426898</v>
      </c>
      <c r="U165" s="340">
        <f t="shared" ref="U165:U182" si="23">(E165-T165)*100</f>
        <v>0.84222597357732076</v>
      </c>
      <c r="V165" s="219">
        <f>+GETPIVOTDATA("Sum of Old-HS % of Total",'Pivot-HS Student % of Undergrad'!$A$3,"State","AR","Category",9,"Category2","Two-Year")</f>
        <v>7.5908406794237798E-2</v>
      </c>
      <c r="W165" s="340">
        <f t="shared" ref="W165:W182" si="24">(G165-V165)*100</f>
        <v>0.97674107119773146</v>
      </c>
      <c r="X165" s="219">
        <f>+GETPIVOTDATA("Sum of Old-HS % of Total",'Pivot-HS Student % of Undergrad'!$A$3,"State","AR","Category",10,"Category2","Two-Year")</f>
        <v>0.15062050111441058</v>
      </c>
      <c r="Y165" s="340">
        <f t="shared" ref="Y165:Y182" si="25">(I165-X165)*100</f>
        <v>0.64786173722513052</v>
      </c>
      <c r="Z165" s="219">
        <f>+GETPIVOTDATA("Sum of Old-HS % of Total",'Pivot-HS Student % of Undergrad'!$A$3,"State","AR","Category2","Two-Year")</f>
        <v>0.13575746885489928</v>
      </c>
      <c r="AA165" s="340">
        <f t="shared" ref="AA165:AA182" si="26">(K165-Z165)*100</f>
        <v>0.72342833605015255</v>
      </c>
      <c r="AB165" s="343"/>
      <c r="AC165" s="304" t="s">
        <v>778</v>
      </c>
      <c r="AD165" s="331">
        <f>+B165</f>
        <v>0</v>
      </c>
      <c r="AE165" s="331">
        <f>+D165</f>
        <v>5024.8666666666668</v>
      </c>
      <c r="AF165" s="331">
        <f>+F165</f>
        <v>6288.4333333333334</v>
      </c>
      <c r="AG165" s="331">
        <f>+H165</f>
        <v>19640.466666666671</v>
      </c>
      <c r="AH165" s="331"/>
      <c r="AI165" s="331">
        <f>+J165</f>
        <v>30953.76666666667</v>
      </c>
      <c r="AJ165" s="316" t="s">
        <v>778</v>
      </c>
      <c r="AK165" s="332">
        <f>+'NEW-Tables 80-86'!R104+'NEW-Tables 80-86'!Q135</f>
        <v>0</v>
      </c>
      <c r="AL165" s="332">
        <f>+'NEW-Tables 80-86'!S104+'NEW-Tables 80-86'!R135</f>
        <v>4989.5</v>
      </c>
      <c r="AM165" s="332">
        <f>+'NEW-Tables 80-86'!T104+'NEW-Tables 80-86'!S135</f>
        <v>6201.333333333333</v>
      </c>
      <c r="AN165" s="332">
        <f>+'NEW-Tables 80-86'!U104+'NEW-Tables 80-86'!T135</f>
        <v>19801.2</v>
      </c>
      <c r="AO165" s="332"/>
      <c r="AP165" s="341">
        <f>+'NEW-Tables 80-86'!V104+'NEW-Tables 80-86'!U135</f>
        <v>30992.033333333333</v>
      </c>
      <c r="AR165" s="15" t="s">
        <v>778</v>
      </c>
      <c r="AS165" s="342">
        <f t="shared" ref="AS165:AS182" si="27">C165*100</f>
        <v>0</v>
      </c>
      <c r="AT165" s="342">
        <f t="shared" ref="AT165:AT182" si="28">E165*100</f>
        <v>15.957969034004218</v>
      </c>
      <c r="AU165" s="342">
        <f t="shared" ref="AU165:AU182" si="29">G165*100</f>
        <v>8.5675817506215104</v>
      </c>
      <c r="AV165" s="342">
        <f t="shared" ref="AV165:AV182" si="30">I165*100</f>
        <v>15.709911848666188</v>
      </c>
      <c r="AW165" s="342">
        <f t="shared" ref="AW165:AW182" si="31">K165*100</f>
        <v>14.29917522154008</v>
      </c>
      <c r="AY165" s="15" t="s">
        <v>778</v>
      </c>
      <c r="AZ165" s="342">
        <f t="shared" ref="AZ165:AZ182" si="32">R165*100</f>
        <v>0</v>
      </c>
      <c r="BA165" s="342">
        <f t="shared" ref="BA165:BA182" si="33">T165*100</f>
        <v>15.115743060426897</v>
      </c>
      <c r="BB165" s="342">
        <f t="shared" ref="BB165:BB182" si="34">V165*100</f>
        <v>7.5908406794237795</v>
      </c>
      <c r="BC165" s="342">
        <f t="shared" ref="BC165:BC182" si="35">X165*100</f>
        <v>15.062050111441058</v>
      </c>
      <c r="BD165" s="342">
        <f t="shared" ref="BD165:BD182" si="36">Z165*100</f>
        <v>13.575746885489929</v>
      </c>
    </row>
    <row r="166" spans="1:88" ht="15" customHeight="1">
      <c r="A166" s="15" t="s">
        <v>779</v>
      </c>
      <c r="B166" s="298">
        <f>+'NEW-Tables 80-86'!B105+'NEW-Tables 80-86'!B136</f>
        <v>0</v>
      </c>
      <c r="C166" s="339">
        <f>+GETPIVOTDATA("Sum of New-HS % of Total",'Pivot-HS Student % of Undergrad'!$A$3,"State","DE","Category",7,"Category2","Two-Year")</f>
        <v>0</v>
      </c>
      <c r="D166" s="328">
        <f>+'NEW-Tables 80-86'!C105+'NEW-Tables 80-86'!C136</f>
        <v>0</v>
      </c>
      <c r="E166" s="339">
        <f>+GETPIVOTDATA("Sum of New-HS % of Total",'Pivot-HS Student % of Undergrad'!$A$3,"State","DE","Category",8,"Category2","Two-Year")</f>
        <v>0</v>
      </c>
      <c r="F166" s="328">
        <f>+'NEW-Tables 80-86'!D105+'NEW-Tables 80-86'!D136</f>
        <v>8659.5666666666675</v>
      </c>
      <c r="G166" s="339">
        <f>+GETPIVOTDATA("Sum of New-HS % of Total",'Pivot-HS Student % of Undergrad'!$A$3,"State","DE","Category",9,"Category2","Two-Year")</f>
        <v>0</v>
      </c>
      <c r="H166" s="328">
        <f>+'NEW-Tables 80-86'!E105+'NEW-Tables 80-86'!E136</f>
        <v>0</v>
      </c>
      <c r="I166" s="339">
        <f>+GETPIVOTDATA("Sum of New-HS % of Total",'Pivot-HS Student % of Undergrad'!$A$3,"State","DE","Category",10,"Category2","Two-Year")</f>
        <v>0</v>
      </c>
      <c r="J166" s="328">
        <f>+'NEW-Tables 80-86'!F105+'NEW-Tables 80-86'!F136</f>
        <v>8659.5666666666675</v>
      </c>
      <c r="K166" s="339">
        <f>+GETPIVOTDATA("Sum of New-HS % of Total",'Pivot-HS Student % of Undergrad'!$A$3,"State","DE","Category2","Group2")</f>
        <v>0</v>
      </c>
      <c r="Q166" s="15" t="s">
        <v>779</v>
      </c>
      <c r="R166" s="229">
        <f>+GETPIVOTDATA("Sum of Old-HS % of Total",'Pivot-HS Student % of Undergrad'!$A$3,"State","DE","Category",7,"Category2","Two-Year")</f>
        <v>0</v>
      </c>
      <c r="S166" s="340">
        <f t="shared" si="22"/>
        <v>0</v>
      </c>
      <c r="T166" s="219">
        <f>+GETPIVOTDATA("Sum of Old-HS % of Total",'Pivot-HS Student % of Undergrad'!$A$3,"State","DE","Category",8,"Category2","Two-Year")</f>
        <v>0</v>
      </c>
      <c r="U166" s="340">
        <f t="shared" si="23"/>
        <v>0</v>
      </c>
      <c r="V166" s="219">
        <f>+GETPIVOTDATA("Sum of Old-HS % of Total",'Pivot-HS Student % of Undergrad'!$A$3,"State","DE","Category",9,"Category2","Two-Year")</f>
        <v>0</v>
      </c>
      <c r="W166" s="340">
        <f t="shared" si="24"/>
        <v>0</v>
      </c>
      <c r="X166" s="219">
        <f>+GETPIVOTDATA("Sum of Old-HS % of Total",'Pivot-HS Student % of Undergrad'!$A$3,"State","DE","Category",10,"Category2","Two-Year")</f>
        <v>0</v>
      </c>
      <c r="Y166" s="340">
        <f t="shared" si="25"/>
        <v>0</v>
      </c>
      <c r="Z166" s="219">
        <f>+GETPIVOTDATA("Sum of Old-HS % of Total",'Pivot-HS Student % of Undergrad'!$A$3,"State","DE","Category2","Two-Year")</f>
        <v>0</v>
      </c>
      <c r="AA166" s="340">
        <f t="shared" si="26"/>
        <v>0</v>
      </c>
      <c r="AC166" s="304" t="s">
        <v>779</v>
      </c>
      <c r="AD166" s="331">
        <f>+B166</f>
        <v>0</v>
      </c>
      <c r="AE166" s="331">
        <f>+D166</f>
        <v>0</v>
      </c>
      <c r="AF166" s="331">
        <f>+F166</f>
        <v>8659.5666666666675</v>
      </c>
      <c r="AG166" s="331">
        <f>+H166</f>
        <v>0</v>
      </c>
      <c r="AH166" s="331"/>
      <c r="AI166" s="331">
        <f>+J166</f>
        <v>8659.5666666666675</v>
      </c>
      <c r="AJ166" s="316" t="s">
        <v>779</v>
      </c>
      <c r="AK166" s="332">
        <f>+'NEW-Tables 80-86'!R105+'NEW-Tables 80-86'!Q136</f>
        <v>0</v>
      </c>
      <c r="AL166" s="332">
        <f>+'NEW-Tables 80-86'!S105+'NEW-Tables 80-86'!R136</f>
        <v>0</v>
      </c>
      <c r="AM166" s="332">
        <f>+'NEW-Tables 80-86'!T105+'NEW-Tables 80-86'!S136</f>
        <v>9012.6333333333332</v>
      </c>
      <c r="AN166" s="332">
        <f>+'NEW-Tables 80-86'!U105+'NEW-Tables 80-86'!T136</f>
        <v>0</v>
      </c>
      <c r="AO166" s="332"/>
      <c r="AP166" s="341">
        <f>+'NEW-Tables 80-86'!V105+'NEW-Tables 80-86'!U136</f>
        <v>9012.6333333333332</v>
      </c>
      <c r="AR166" s="15" t="s">
        <v>779</v>
      </c>
      <c r="AS166" s="342">
        <f t="shared" si="27"/>
        <v>0</v>
      </c>
      <c r="AT166" s="342">
        <f t="shared" si="28"/>
        <v>0</v>
      </c>
      <c r="AU166" s="342">
        <f t="shared" si="29"/>
        <v>0</v>
      </c>
      <c r="AV166" s="342">
        <f t="shared" si="30"/>
        <v>0</v>
      </c>
      <c r="AW166" s="342">
        <f t="shared" si="31"/>
        <v>0</v>
      </c>
      <c r="AY166" s="15" t="s">
        <v>779</v>
      </c>
      <c r="AZ166" s="342">
        <f t="shared" si="32"/>
        <v>0</v>
      </c>
      <c r="BA166" s="342">
        <f t="shared" si="33"/>
        <v>0</v>
      </c>
      <c r="BB166" s="342">
        <f t="shared" si="34"/>
        <v>0</v>
      </c>
      <c r="BC166" s="342">
        <f t="shared" si="35"/>
        <v>0</v>
      </c>
      <c r="BD166" s="342">
        <f t="shared" si="36"/>
        <v>0</v>
      </c>
    </row>
    <row r="167" spans="1:88" ht="15" customHeight="1">
      <c r="A167" s="15" t="s">
        <v>780</v>
      </c>
      <c r="B167" s="298">
        <f>+'NEW-Tables 80-86'!B106+'NEW-Tables 80-86'!B137</f>
        <v>288115.04666666669</v>
      </c>
      <c r="C167" s="339">
        <f>+GETPIVOTDATA("Sum of New-HS % of Total",'Pivot-HS Student % of Undergrad'!$A$3,"State","FL","Category",7,"Category2","Two-Year")</f>
        <v>4.586934750385506E-2</v>
      </c>
      <c r="D167" s="328">
        <f>+'NEW-Tables 80-86'!C106+'NEW-Tables 80-86'!C137</f>
        <v>30798.445555555554</v>
      </c>
      <c r="E167" s="339">
        <f>+GETPIVOTDATA("Sum of New-HS % of Total",'Pivot-HS Student % of Undergrad'!$A$3,"State","FL","Category",8,"Category2","Two-Year")</f>
        <v>2.4349748865907312E-2</v>
      </c>
      <c r="F167" s="328">
        <f>+'NEW-Tables 80-86'!D106+'NEW-Tables 80-86'!D137</f>
        <v>0</v>
      </c>
      <c r="G167" s="339">
        <f>+GETPIVOTDATA("Sum of New-HS % of Total",'Pivot-HS Student % of Undergrad'!$A$3,"State","FL","Category",9,"Category2","Two-Year")</f>
        <v>0</v>
      </c>
      <c r="H167" s="328">
        <f>+'NEW-Tables 80-86'!E106+'NEW-Tables 80-86'!E137</f>
        <v>1553.9866666666667</v>
      </c>
      <c r="I167" s="339">
        <f>+GETPIVOTDATA("Sum of New-HS % of Total",'Pivot-HS Student % of Undergrad'!$A$3,"State","FL","Category",10,"Category2","Two-Year")</f>
        <v>7.2526433636024387E-2</v>
      </c>
      <c r="J167" s="328">
        <f>+'NEW-Tables 80-86'!F106+'NEW-Tables 80-86'!F137</f>
        <v>320467.47888888884</v>
      </c>
      <c r="K167" s="339">
        <f>+GETPIVOTDATA("Sum of New-HS % of Total",'Pivot-HS Student % of Undergrad'!$A$3,"State","FL","Category2","Group2")</f>
        <v>4.3392812390435673E-2</v>
      </c>
      <c r="Q167" s="15" t="s">
        <v>780</v>
      </c>
      <c r="R167" s="229">
        <f>+GETPIVOTDATA("Sum of Old-HS % of Total",'Pivot-HS Student % of Undergrad'!$A$3,"State","FL","Category",7,"Category2","Two-Year")</f>
        <v>4.1737542729127504E-2</v>
      </c>
      <c r="S167" s="340">
        <f t="shared" si="22"/>
        <v>0.41318047747275555</v>
      </c>
      <c r="T167" s="344">
        <f>+GETPIVOTDATA("Sum of Old-HS % of Total",'Pivot-HS Student % of Undergrad'!$A$3,"State","FL","Category",8,"Category2","Two-Year")</f>
        <v>2.1347982074534606E-2</v>
      </c>
      <c r="U167" s="340">
        <f t="shared" si="23"/>
        <v>0.30017667913727064</v>
      </c>
      <c r="V167" s="219">
        <f>+GETPIVOTDATA("Sum of Old-HS % of Total",'Pivot-HS Student % of Undergrad'!$A$3,"State","FL","Category",9,"Category2","Two-Year")</f>
        <v>0</v>
      </c>
      <c r="W167" s="340">
        <f t="shared" si="24"/>
        <v>0</v>
      </c>
      <c r="X167" s="219">
        <f>+GETPIVOTDATA("Sum of Old-HS % of Total",'Pivot-HS Student % of Undergrad'!$A$3,"State","FL","Category",10,"Category2","Two-Year")</f>
        <v>6.3514137681741509E-2</v>
      </c>
      <c r="Y167" s="340">
        <f t="shared" si="25"/>
        <v>0.90122959542828784</v>
      </c>
      <c r="Z167" s="219">
        <f>+GETPIVOTDATA("Sum of Old-HS % of Total",'Pivot-HS Student % of Undergrad'!$A$3,"State","FL","Category2","Two-Year")</f>
        <v>3.9389100416592743E-2</v>
      </c>
      <c r="AA167" s="340">
        <f t="shared" si="26"/>
        <v>0.400371197384293</v>
      </c>
      <c r="AC167" s="304" t="s">
        <v>780</v>
      </c>
      <c r="AD167" s="331">
        <f>+B167</f>
        <v>288115.04666666669</v>
      </c>
      <c r="AE167" s="331">
        <f>+D167</f>
        <v>30798.445555555554</v>
      </c>
      <c r="AF167" s="331">
        <f>+F167</f>
        <v>0</v>
      </c>
      <c r="AG167" s="331">
        <f>+H167</f>
        <v>1553.9866666666667</v>
      </c>
      <c r="AH167" s="331"/>
      <c r="AI167" s="331">
        <f>+J167</f>
        <v>320467.47888888884</v>
      </c>
      <c r="AJ167" s="316" t="s">
        <v>780</v>
      </c>
      <c r="AK167" s="332">
        <f>+'NEW-Tables 80-86'!R106+'NEW-Tables 80-86'!Q137</f>
        <v>289377.20666666667</v>
      </c>
      <c r="AL167" s="332">
        <f>+'NEW-Tables 80-86'!S106+'NEW-Tables 80-86'!R137</f>
        <v>30880.847777777777</v>
      </c>
      <c r="AM167" s="332">
        <f>+'NEW-Tables 80-86'!T106+'NEW-Tables 80-86'!S137</f>
        <v>0</v>
      </c>
      <c r="AN167" s="332">
        <f>+'NEW-Tables 80-86'!U106+'NEW-Tables 80-86'!T137</f>
        <v>1585.54</v>
      </c>
      <c r="AO167" s="332"/>
      <c r="AP167" s="341">
        <f>+'NEW-Tables 80-86'!V106+'NEW-Tables 80-86'!U137</f>
        <v>321843.59444444446</v>
      </c>
      <c r="AR167" s="15" t="s">
        <v>780</v>
      </c>
      <c r="AS167" s="342">
        <f t="shared" si="27"/>
        <v>4.586934750385506</v>
      </c>
      <c r="AT167" s="342">
        <f t="shared" si="28"/>
        <v>2.434974886590731</v>
      </c>
      <c r="AU167" s="342">
        <f t="shared" si="29"/>
        <v>0</v>
      </c>
      <c r="AV167" s="342">
        <f t="shared" si="30"/>
        <v>7.2526433636024388</v>
      </c>
      <c r="AW167" s="342">
        <f t="shared" si="31"/>
        <v>4.3392812390435669</v>
      </c>
      <c r="AY167" s="15" t="s">
        <v>780</v>
      </c>
      <c r="AZ167" s="342">
        <f t="shared" si="32"/>
        <v>4.1737542729127508</v>
      </c>
      <c r="BA167" s="342">
        <f t="shared" si="33"/>
        <v>2.1347982074534606</v>
      </c>
      <c r="BB167" s="342">
        <f t="shared" si="34"/>
        <v>0</v>
      </c>
      <c r="BC167" s="342">
        <f t="shared" si="35"/>
        <v>6.3514137681741509</v>
      </c>
      <c r="BD167" s="342">
        <f t="shared" si="36"/>
        <v>3.9389100416592742</v>
      </c>
    </row>
    <row r="168" spans="1:88" ht="15" customHeight="1">
      <c r="B168" s="298"/>
      <c r="C168" s="339"/>
      <c r="D168" s="328"/>
      <c r="E168" s="339"/>
      <c r="F168" s="328"/>
      <c r="G168" s="339"/>
      <c r="H168" s="328"/>
      <c r="I168" s="339"/>
      <c r="J168" s="328"/>
      <c r="K168" s="339"/>
      <c r="R168" s="229"/>
      <c r="S168" s="340"/>
      <c r="T168" s="344"/>
      <c r="U168" s="340"/>
      <c r="V168" s="219"/>
      <c r="W168" s="340"/>
      <c r="X168" s="219"/>
      <c r="Y168" s="340"/>
      <c r="Z168" s="219"/>
      <c r="AA168" s="340"/>
      <c r="AC168" s="304"/>
      <c r="AD168" s="331"/>
      <c r="AE168" s="331"/>
      <c r="AF168" s="331"/>
      <c r="AG168" s="331"/>
      <c r="AH168" s="331"/>
      <c r="AI168" s="331"/>
      <c r="AJ168" s="316"/>
      <c r="AK168" s="332"/>
      <c r="AL168" s="332"/>
      <c r="AM168" s="332"/>
      <c r="AN168" s="332"/>
      <c r="AO168" s="332"/>
      <c r="AP168" s="341"/>
      <c r="AS168" s="342">
        <f t="shared" si="27"/>
        <v>0</v>
      </c>
      <c r="AT168" s="342">
        <f t="shared" si="28"/>
        <v>0</v>
      </c>
      <c r="AU168" s="342">
        <f t="shared" si="29"/>
        <v>0</v>
      </c>
      <c r="AV168" s="342">
        <f t="shared" si="30"/>
        <v>0</v>
      </c>
      <c r="AW168" s="342">
        <f t="shared" si="31"/>
        <v>0</v>
      </c>
      <c r="AZ168" s="342">
        <f t="shared" si="32"/>
        <v>0</v>
      </c>
      <c r="BA168" s="342">
        <f t="shared" si="33"/>
        <v>0</v>
      </c>
      <c r="BB168" s="342">
        <f t="shared" si="34"/>
        <v>0</v>
      </c>
      <c r="BC168" s="342">
        <f t="shared" si="35"/>
        <v>0</v>
      </c>
      <c r="BD168" s="342">
        <f t="shared" si="36"/>
        <v>0</v>
      </c>
    </row>
    <row r="169" spans="1:88" ht="15" customHeight="1">
      <c r="A169" s="15" t="s">
        <v>781</v>
      </c>
      <c r="B169" s="298">
        <f>+'NEW-Tables 80-86'!B108+'NEW-Tables 80-86'!B139</f>
        <v>10092.666666666666</v>
      </c>
      <c r="C169" s="339">
        <f>+GETPIVOTDATA("Sum of New-HS % of Total",'Pivot-HS Student % of Undergrad'!$A$3,"State","GA","Category",7,"Category2","Two-Year")</f>
        <v>6.744170684985798E-2</v>
      </c>
      <c r="D169" s="328">
        <f>+'NEW-Tables 80-86'!C108+'NEW-Tables 80-86'!C139</f>
        <v>0</v>
      </c>
      <c r="E169" s="339">
        <f>+GETPIVOTDATA("Sum of New-HS % of Total",'Pivot-HS Student % of Undergrad'!$A$3,"State","GA","Category",8,"Category2","Two-Year")</f>
        <v>0</v>
      </c>
      <c r="F169" s="328">
        <f>+'NEW-Tables 80-86'!D108+'NEW-Tables 80-86'!D139</f>
        <v>0</v>
      </c>
      <c r="G169" s="339">
        <f>+GETPIVOTDATA("Sum of New-HS % of Total",'Pivot-HS Student % of Undergrad'!$A$3,"State","GA","Category",9,"Category2","Two-Year")</f>
        <v>0</v>
      </c>
      <c r="H169" s="328">
        <f>+'NEW-Tables 80-86'!E108+'NEW-Tables 80-86'!E139</f>
        <v>0</v>
      </c>
      <c r="I169" s="339">
        <f>+GETPIVOTDATA("Sum of New-HS % of Total",'Pivot-HS Student % of Undergrad'!$A$3,"State","GA","Category",10,"Category2","Two-Year")</f>
        <v>0</v>
      </c>
      <c r="J169" s="328">
        <f>+'NEW-Tables 80-86'!F108+'NEW-Tables 80-86'!F139</f>
        <v>10092.666666666666</v>
      </c>
      <c r="K169" s="339">
        <f>+GETPIVOTDATA("Sum of New-HS % of Total",'Pivot-HS Student % of Undergrad'!$A$3,"State","GA","Category2","Group2")</f>
        <v>6.744170684985798E-2</v>
      </c>
      <c r="Q169" s="15" t="s">
        <v>781</v>
      </c>
      <c r="R169" s="229">
        <f>+GETPIVOTDATA("Sum of Old-HS % of Total",'Pivot-HS Student % of Undergrad'!$A$3,"State","GA","Category",7,"Category2","Two-Year")</f>
        <v>6.905854093304134E-2</v>
      </c>
      <c r="S169" s="340">
        <f t="shared" si="22"/>
        <v>-0.16168340831833605</v>
      </c>
      <c r="T169" s="219">
        <f>+GETPIVOTDATA("Sum of Old-HS % of Total",'Pivot-HS Student % of Undergrad'!$A$3,"State","GA","Category",8,"Category2","Two-Year")</f>
        <v>0</v>
      </c>
      <c r="U169" s="340">
        <f t="shared" si="23"/>
        <v>0</v>
      </c>
      <c r="V169" s="219">
        <f>+GETPIVOTDATA("Sum of Old-HS % of Total",'Pivot-HS Student % of Undergrad'!$A$3,"State","GA","Category",9,"Category2","Two-Year")</f>
        <v>0</v>
      </c>
      <c r="W169" s="340">
        <f t="shared" si="24"/>
        <v>0</v>
      </c>
      <c r="X169" s="219">
        <f>+GETPIVOTDATA("Sum of Old-HS % of Total",'Pivot-HS Student % of Undergrad'!$A$3,"State","GA","Category",10,"Category2","Two-Year")</f>
        <v>0</v>
      </c>
      <c r="Y169" s="340">
        <f t="shared" si="25"/>
        <v>0</v>
      </c>
      <c r="Z169" s="219">
        <f>+GETPIVOTDATA("Sum of Old-HS % of Total",'Pivot-HS Student % of Undergrad'!$A$3,"State","GA","Category2","Two-Year")</f>
        <v>6.905854093304134E-2</v>
      </c>
      <c r="AA169" s="340">
        <f t="shared" si="26"/>
        <v>-0.16168340831833605</v>
      </c>
      <c r="AC169" s="304" t="s">
        <v>781</v>
      </c>
      <c r="AD169" s="331">
        <f>+B169</f>
        <v>10092.666666666666</v>
      </c>
      <c r="AE169" s="331">
        <f>+D169</f>
        <v>0</v>
      </c>
      <c r="AF169" s="331">
        <f>+F169</f>
        <v>0</v>
      </c>
      <c r="AG169" s="331">
        <f>+H169</f>
        <v>0</v>
      </c>
      <c r="AH169" s="331"/>
      <c r="AI169" s="331">
        <f>+J169</f>
        <v>10092.666666666666</v>
      </c>
      <c r="AJ169" s="316" t="s">
        <v>781</v>
      </c>
      <c r="AK169" s="332">
        <f>+'NEW-Tables 80-86'!R108+'NEW-Tables 80-86'!Q139</f>
        <v>10558.674666666666</v>
      </c>
      <c r="AL169" s="332">
        <f>+'NEW-Tables 80-86'!S108+'NEW-Tables 80-86'!R139</f>
        <v>0</v>
      </c>
      <c r="AM169" s="332">
        <f>+'NEW-Tables 80-86'!T108+'NEW-Tables 80-86'!S139</f>
        <v>0</v>
      </c>
      <c r="AN169" s="332">
        <f>+'NEW-Tables 80-86'!U108+'NEW-Tables 80-86'!T139</f>
        <v>671.46033333333332</v>
      </c>
      <c r="AO169" s="332"/>
      <c r="AP169" s="341">
        <f>+'NEW-Tables 80-86'!V108+'NEW-Tables 80-86'!U139</f>
        <v>11230.134999999998</v>
      </c>
      <c r="AR169" s="15" t="s">
        <v>781</v>
      </c>
      <c r="AS169" s="342">
        <f t="shared" si="27"/>
        <v>6.7441706849857983</v>
      </c>
      <c r="AT169" s="342">
        <f t="shared" si="28"/>
        <v>0</v>
      </c>
      <c r="AU169" s="342">
        <f t="shared" si="29"/>
        <v>0</v>
      </c>
      <c r="AV169" s="342">
        <f t="shared" si="30"/>
        <v>0</v>
      </c>
      <c r="AW169" s="342">
        <f t="shared" si="31"/>
        <v>6.7441706849857983</v>
      </c>
      <c r="AY169" s="15" t="s">
        <v>781</v>
      </c>
      <c r="AZ169" s="342">
        <f t="shared" si="32"/>
        <v>6.9058540933041339</v>
      </c>
      <c r="BA169" s="342">
        <f t="shared" si="33"/>
        <v>0</v>
      </c>
      <c r="BB169" s="342">
        <f t="shared" si="34"/>
        <v>0</v>
      </c>
      <c r="BC169" s="342">
        <f t="shared" si="35"/>
        <v>0</v>
      </c>
      <c r="BD169" s="342">
        <f t="shared" si="36"/>
        <v>6.9058540933041339</v>
      </c>
    </row>
    <row r="170" spans="1:88" ht="15" customHeight="1">
      <c r="A170" s="15" t="s">
        <v>782</v>
      </c>
      <c r="B170" s="298">
        <f>+'NEW-Tables 80-86'!B109+'NEW-Tables 80-86'!B140</f>
        <v>0</v>
      </c>
      <c r="C170" s="339">
        <f>+GETPIVOTDATA("Sum of New-HS % of Total",'Pivot-HS Student % of Undergrad'!$A$3,"State","KY","Category",7,"Category2","Two-Year")</f>
        <v>0</v>
      </c>
      <c r="D170" s="328">
        <f>+'NEW-Tables 80-86'!C109+'NEW-Tables 80-86'!C140</f>
        <v>13203.369999999999</v>
      </c>
      <c r="E170" s="339">
        <f>+GETPIVOTDATA("Sum of New-HS % of Total",'Pivot-HS Student % of Undergrad'!$A$3,"State","KY","Category",8,"Category2","Two-Year")</f>
        <v>9.9682883990981103E-2</v>
      </c>
      <c r="F170" s="328">
        <f>+'NEW-Tables 80-86'!D109+'NEW-Tables 80-86'!D140</f>
        <v>16373.179999999998</v>
      </c>
      <c r="G170" s="339">
        <f>+GETPIVOTDATA("Sum of New-HS % of Total",'Pivot-HS Student % of Undergrad'!$A$3,"State","KY","Category",9,"Category2","Two-Year")</f>
        <v>0.12517584651647792</v>
      </c>
      <c r="H170" s="328">
        <f>+'NEW-Tables 80-86'!E109+'NEW-Tables 80-86'!E140</f>
        <v>9559.75</v>
      </c>
      <c r="I170" s="339">
        <f>+GETPIVOTDATA("Sum of New-HS % of Total",'Pivot-HS Student % of Undergrad'!$A$3,"State","KY","Category",10,"Category2","Two-Year")</f>
        <v>0.12810655787721087</v>
      </c>
      <c r="J170" s="328">
        <f>+'NEW-Tables 80-86'!F109+'NEW-Tables 80-86'!F140</f>
        <v>39136.299999999996</v>
      </c>
      <c r="K170" s="339">
        <f>+GETPIVOTDATA("Sum of New-HS % of Total",'Pivot-HS Student % of Undergrad'!$A$3,"State","KY","Category2","Group2")</f>
        <v>0.1172911934274148</v>
      </c>
      <c r="Q170" s="15" t="s">
        <v>782</v>
      </c>
      <c r="R170" s="229">
        <f>+GETPIVOTDATA("Sum of Old-HS % of Total",'Pivot-HS Student % of Undergrad'!$A$3,"State","KY","Category",7,"Category2","Two-Year")</f>
        <v>0</v>
      </c>
      <c r="S170" s="340">
        <f t="shared" si="22"/>
        <v>0</v>
      </c>
      <c r="T170" s="219">
        <f>+GETPIVOTDATA("Sum of Old-HS % of Total",'Pivot-HS Student % of Undergrad'!$A$3,"State","KY","Category",8,"Category2","Two-Year")</f>
        <v>8.421875041103169E-2</v>
      </c>
      <c r="U170" s="340">
        <f t="shared" si="23"/>
        <v>1.5464133579949413</v>
      </c>
      <c r="V170" s="219">
        <f>+GETPIVOTDATA("Sum of Old-HS % of Total",'Pivot-HS Student % of Undergrad'!$A$3,"State","KY","Category",9,"Category2","Two-Year")</f>
        <v>0.1122575864269738</v>
      </c>
      <c r="W170" s="340">
        <f t="shared" si="24"/>
        <v>1.2918260089504128</v>
      </c>
      <c r="X170" s="219">
        <f>+GETPIVOTDATA("Sum of Old-HS % of Total",'Pivot-HS Student % of Undergrad'!$A$3,"State","KY","Category",10,"Category2","Two-Year")</f>
        <v>0.11256755917251662</v>
      </c>
      <c r="Y170" s="340">
        <f t="shared" si="25"/>
        <v>1.5538998704694245</v>
      </c>
      <c r="Z170" s="219">
        <f>+GETPIVOTDATA("Sum of Old-HS % of Total",'Pivot-HS Student % of Undergrad'!$A$3,"State","KY","Category2","Two-Year")</f>
        <v>0.10334154448362551</v>
      </c>
      <c r="AA170" s="340">
        <f t="shared" si="26"/>
        <v>1.3949648943789292</v>
      </c>
      <c r="AC170" s="304" t="s">
        <v>782</v>
      </c>
      <c r="AD170" s="331">
        <f>+B170</f>
        <v>0</v>
      </c>
      <c r="AE170" s="331">
        <f>+D170</f>
        <v>13203.369999999999</v>
      </c>
      <c r="AF170" s="331">
        <f>+F170</f>
        <v>16373.179999999998</v>
      </c>
      <c r="AG170" s="331">
        <f>+H170</f>
        <v>9559.75</v>
      </c>
      <c r="AH170" s="331"/>
      <c r="AI170" s="331">
        <f>+J170</f>
        <v>39136.299999999996</v>
      </c>
      <c r="AJ170" s="316" t="s">
        <v>782</v>
      </c>
      <c r="AK170" s="332">
        <f>+'NEW-Tables 80-86'!R109+'NEW-Tables 80-86'!Q140</f>
        <v>0</v>
      </c>
      <c r="AL170" s="332">
        <f>+'NEW-Tables 80-86'!S109+'NEW-Tables 80-86'!R140</f>
        <v>12671.366666666667</v>
      </c>
      <c r="AM170" s="332">
        <f>+'NEW-Tables 80-86'!T109+'NEW-Tables 80-86'!S140</f>
        <v>17183.100000000002</v>
      </c>
      <c r="AN170" s="332">
        <f>+'NEW-Tables 80-86'!U109+'NEW-Tables 80-86'!T140</f>
        <v>9658.2000000000007</v>
      </c>
      <c r="AO170" s="332"/>
      <c r="AP170" s="341">
        <f>+'NEW-Tables 80-86'!V109+'NEW-Tables 80-86'!U140</f>
        <v>39512.666666666672</v>
      </c>
      <c r="AR170" s="15" t="s">
        <v>782</v>
      </c>
      <c r="AS170" s="342">
        <f t="shared" si="27"/>
        <v>0</v>
      </c>
      <c r="AT170" s="342">
        <f t="shared" si="28"/>
        <v>9.9682883990981104</v>
      </c>
      <c r="AU170" s="342">
        <f t="shared" si="29"/>
        <v>12.517584651647793</v>
      </c>
      <c r="AV170" s="342">
        <f t="shared" si="30"/>
        <v>12.810655787721087</v>
      </c>
      <c r="AW170" s="342">
        <f t="shared" si="31"/>
        <v>11.72911934274148</v>
      </c>
      <c r="AY170" s="15" t="s">
        <v>782</v>
      </c>
      <c r="AZ170" s="342">
        <f t="shared" si="32"/>
        <v>0</v>
      </c>
      <c r="BA170" s="342">
        <f t="shared" si="33"/>
        <v>8.4218750411031689</v>
      </c>
      <c r="BB170" s="342">
        <f t="shared" si="34"/>
        <v>11.225758642697379</v>
      </c>
      <c r="BC170" s="342">
        <f t="shared" si="35"/>
        <v>11.256755917251663</v>
      </c>
      <c r="BD170" s="342">
        <f t="shared" si="36"/>
        <v>10.33415444836255</v>
      </c>
    </row>
    <row r="171" spans="1:88" ht="15" customHeight="1">
      <c r="A171" s="15" t="s">
        <v>783</v>
      </c>
      <c r="B171" s="298">
        <f>+'NEW-Tables 80-86'!B110+'NEW-Tables 80-86'!B141</f>
        <v>0</v>
      </c>
      <c r="C171" s="339">
        <f>+GETPIVOTDATA("Sum of New-HS % of Total",'Pivot-HS Student % of Undergrad'!$A$3,"State","LA","Category",7,"Category2","Two-Year")</f>
        <v>0</v>
      </c>
      <c r="D171" s="328">
        <f>+'NEW-Tables 80-86'!C110+'NEW-Tables 80-86'!C141</f>
        <v>14677</v>
      </c>
      <c r="E171" s="339">
        <f>+GETPIVOTDATA("Sum of New-HS % of Total",'Pivot-HS Student % of Undergrad'!$A$3,"State","LA","Category",8,"Category2","Two-Year")</f>
        <v>2.4078490154663758E-2</v>
      </c>
      <c r="F171" s="328">
        <f>+'NEW-Tables 80-86'!D110+'NEW-Tables 80-86'!D141</f>
        <v>14501.583333333332</v>
      </c>
      <c r="G171" s="339">
        <f>+GETPIVOTDATA("Sum of New-HS % of Total",'Pivot-HS Student % of Undergrad'!$A$3,"State","LA","Category",9,"Category2","Two-Year")</f>
        <v>6.0400301116544743E-2</v>
      </c>
      <c r="H171" s="328">
        <f>+'NEW-Tables 80-86'!E110+'NEW-Tables 80-86'!E141</f>
        <v>5574.6999999999989</v>
      </c>
      <c r="I171" s="339">
        <f>+GETPIVOTDATA("Sum of New-HS % of Total",'Pivot-HS Student % of Undergrad'!$A$3,"State","LA","Category",10,"Category2","Two-Year")</f>
        <v>0.1140330421367966</v>
      </c>
      <c r="J171" s="328">
        <f>+'NEW-Tables 80-86'!F110+'NEW-Tables 80-86'!F141</f>
        <v>34753.283333333333</v>
      </c>
      <c r="K171" s="339">
        <f>+GETPIVOTDATA("Sum of New-HS % of Total",'Pivot-HS Student % of Undergrad'!$A$3,"State","LA","Category2","Group2")</f>
        <v>5.3663994337225691E-2</v>
      </c>
      <c r="Q171" s="15" t="s">
        <v>783</v>
      </c>
      <c r="R171" s="229">
        <f>+GETPIVOTDATA("Sum of Old-HS % of Total",'Pivot-HS Student % of Undergrad'!$A$3,"State","LA","Category",7,"Category2","Two-Year")</f>
        <v>0</v>
      </c>
      <c r="S171" s="340">
        <f t="shared" si="22"/>
        <v>0</v>
      </c>
      <c r="T171" s="219">
        <f>+GETPIVOTDATA("Sum of Old-HS % of Total",'Pivot-HS Student % of Undergrad'!$A$3,"State","LA","Category",8,"Category2","Two-Year")</f>
        <v>2.1577137703624374E-2</v>
      </c>
      <c r="U171" s="340">
        <f t="shared" si="23"/>
        <v>0.25013524510393847</v>
      </c>
      <c r="V171" s="219">
        <f>+GETPIVOTDATA("Sum of Old-HS % of Total",'Pivot-HS Student % of Undergrad'!$A$3,"State","LA","Category",9,"Category2","Two-Year")</f>
        <v>5.6479995428070695E-2</v>
      </c>
      <c r="W171" s="340">
        <f t="shared" si="24"/>
        <v>0.39203056884740473</v>
      </c>
      <c r="X171" s="219">
        <f>+GETPIVOTDATA("Sum of Old-HS % of Total",'Pivot-HS Student % of Undergrad'!$A$3,"State","LA","Category",10,"Category2","Two-Year")</f>
        <v>0.14494660980908267</v>
      </c>
      <c r="Y171" s="340">
        <f t="shared" si="25"/>
        <v>-3.0913567672286062</v>
      </c>
      <c r="Z171" s="219">
        <f>+GETPIVOTDATA("Sum of Old-HS % of Total",'Pivot-HS Student % of Undergrad'!$A$3,"State","LA","Category2","Two-Year")</f>
        <v>5.6396213521018701E-2</v>
      </c>
      <c r="AA171" s="340">
        <f t="shared" si="26"/>
        <v>-0.27322191837930099</v>
      </c>
      <c r="AC171" s="304" t="s">
        <v>783</v>
      </c>
      <c r="AD171" s="331">
        <f>+B171</f>
        <v>0</v>
      </c>
      <c r="AE171" s="331">
        <f>+D171</f>
        <v>14677</v>
      </c>
      <c r="AF171" s="331">
        <f>+F171</f>
        <v>14501.583333333332</v>
      </c>
      <c r="AG171" s="331">
        <f>+H171</f>
        <v>5574.6999999999989</v>
      </c>
      <c r="AH171" s="331"/>
      <c r="AI171" s="331">
        <f>+J171</f>
        <v>34753.283333333333</v>
      </c>
      <c r="AJ171" s="316" t="s">
        <v>783</v>
      </c>
      <c r="AK171" s="332">
        <f>+'NEW-Tables 80-86'!R110+'NEW-Tables 80-86'!Q141</f>
        <v>0</v>
      </c>
      <c r="AL171" s="332">
        <f>+'NEW-Tables 80-86'!S110+'NEW-Tables 80-86'!R141</f>
        <v>14784.166666666666</v>
      </c>
      <c r="AM171" s="332">
        <f>+'NEW-Tables 80-86'!T110+'NEW-Tables 80-86'!S141</f>
        <v>13998.466666666665</v>
      </c>
      <c r="AN171" s="332">
        <f>+'NEW-Tables 80-86'!U110+'NEW-Tables 80-86'!T141</f>
        <v>5800.0666666666666</v>
      </c>
      <c r="AO171" s="332"/>
      <c r="AP171" s="341">
        <f>+'NEW-Tables 80-86'!V110+'NEW-Tables 80-86'!U141</f>
        <v>34582.699999999997</v>
      </c>
      <c r="AR171" s="15" t="s">
        <v>783</v>
      </c>
      <c r="AS171" s="342">
        <f t="shared" si="27"/>
        <v>0</v>
      </c>
      <c r="AT171" s="342">
        <f t="shared" si="28"/>
        <v>2.4078490154663759</v>
      </c>
      <c r="AU171" s="342">
        <f t="shared" si="29"/>
        <v>6.0400301116544739</v>
      </c>
      <c r="AV171" s="342">
        <f t="shared" si="30"/>
        <v>11.403304213679661</v>
      </c>
      <c r="AW171" s="342">
        <f t="shared" si="31"/>
        <v>5.3663994337225693</v>
      </c>
      <c r="AY171" s="15" t="s">
        <v>783</v>
      </c>
      <c r="AZ171" s="342">
        <f t="shared" si="32"/>
        <v>0</v>
      </c>
      <c r="BA171" s="342">
        <f t="shared" si="33"/>
        <v>2.1577137703624372</v>
      </c>
      <c r="BB171" s="342">
        <f t="shared" si="34"/>
        <v>5.6479995428070691</v>
      </c>
      <c r="BC171" s="342">
        <f t="shared" si="35"/>
        <v>14.494660980908266</v>
      </c>
      <c r="BD171" s="342">
        <f t="shared" si="36"/>
        <v>5.6396213521018703</v>
      </c>
    </row>
    <row r="172" spans="1:88" ht="15" customHeight="1">
      <c r="A172" s="15" t="s">
        <v>955</v>
      </c>
      <c r="B172" s="298">
        <f>+'NEW-Tables 80-86'!B111+'NEW-Tables 80-86'!B142</f>
        <v>0</v>
      </c>
      <c r="C172" s="339">
        <f>+GETPIVOTDATA("Sum of New-HS % of Total",'Pivot-HS Student % of Undergrad'!$A$3,"State","MD","Category",7,"Category2","Two-Year")</f>
        <v>0</v>
      </c>
      <c r="D172" s="328">
        <f>+'NEW-Tables 80-86'!C111+'NEW-Tables 80-86'!C142</f>
        <v>59201.116666666669</v>
      </c>
      <c r="E172" s="339">
        <f>+GETPIVOTDATA("Sum of New-HS % of Total",'Pivot-HS Student % of Undergrad'!$A$3,"State","MD","Category",8,"Category2","Two-Year")</f>
        <v>0</v>
      </c>
      <c r="F172" s="328">
        <f>+'NEW-Tables 80-86'!D111+'NEW-Tables 80-86'!D142</f>
        <v>18232.45</v>
      </c>
      <c r="G172" s="339">
        <f>+GETPIVOTDATA("Sum of New-HS % of Total",'Pivot-HS Student % of Undergrad'!$A$3,"State","MD","Category",9,"Category2","Two-Year")</f>
        <v>0</v>
      </c>
      <c r="H172" s="328">
        <f>+'NEW-Tables 80-86'!E111+'NEW-Tables 80-86'!E142</f>
        <v>6247.0166666666664</v>
      </c>
      <c r="I172" s="339">
        <f>+GETPIVOTDATA("Sum of New-HS % of Total",'Pivot-HS Student % of Undergrad'!$A$3,"State","MD","Category",10,"Category2","Two-Year")</f>
        <v>0</v>
      </c>
      <c r="J172" s="328">
        <f>+'NEW-Tables 80-86'!F111+'NEW-Tables 80-86'!F142</f>
        <v>83680.583333333328</v>
      </c>
      <c r="K172" s="339">
        <f>+GETPIVOTDATA("Sum of New-HS % of Total",'Pivot-HS Student % of Undergrad'!$A$3,"State","MD","Category2","Group2")</f>
        <v>0</v>
      </c>
      <c r="Q172" s="15" t="s">
        <v>784</v>
      </c>
      <c r="R172" s="229">
        <f>+GETPIVOTDATA("Sum of Old-HS % of Total",'Pivot-HS Student % of Undergrad'!$A$3,"State","MD","Category",7,"Category2","Two-Year")</f>
        <v>0</v>
      </c>
      <c r="S172" s="340">
        <f t="shared" si="22"/>
        <v>0</v>
      </c>
      <c r="T172" s="219">
        <f>+GETPIVOTDATA("Sum of Old-HS % of Total",'Pivot-HS Student % of Undergrad'!$A$3,"State","MD","Category",8,"Category2","Two-Year")</f>
        <v>0</v>
      </c>
      <c r="U172" s="340">
        <f t="shared" si="23"/>
        <v>0</v>
      </c>
      <c r="V172" s="219">
        <f>+GETPIVOTDATA("Sum of Old-HS % of Total",'Pivot-HS Student % of Undergrad'!$A$3,"State","MD","Category",9,"Category2","Two-Year")</f>
        <v>0</v>
      </c>
      <c r="W172" s="340">
        <f t="shared" si="24"/>
        <v>0</v>
      </c>
      <c r="X172" s="219">
        <f>+GETPIVOTDATA("Sum of Old-HS % of Total",'Pivot-HS Student % of Undergrad'!$A$3,"State","MD","Category",10,"Category2","Two-Year")</f>
        <v>0</v>
      </c>
      <c r="Y172" s="340">
        <f t="shared" si="25"/>
        <v>0</v>
      </c>
      <c r="Z172" s="219">
        <f>+GETPIVOTDATA("Sum of Old-HS % of Total",'Pivot-HS Student % of Undergrad'!$A$3,"State","MD","Category2","Two-Year")</f>
        <v>0</v>
      </c>
      <c r="AA172" s="340">
        <f t="shared" si="26"/>
        <v>0</v>
      </c>
      <c r="AC172" s="304" t="s">
        <v>784</v>
      </c>
      <c r="AD172" s="331">
        <f>+B172</f>
        <v>0</v>
      </c>
      <c r="AE172" s="331">
        <f>+D172</f>
        <v>59201.116666666669</v>
      </c>
      <c r="AF172" s="331">
        <f>+F172</f>
        <v>18232.45</v>
      </c>
      <c r="AG172" s="331">
        <f>+H172</f>
        <v>6247.0166666666664</v>
      </c>
      <c r="AH172" s="331"/>
      <c r="AI172" s="331">
        <f>+J172</f>
        <v>83680.583333333328</v>
      </c>
      <c r="AJ172" s="316" t="s">
        <v>784</v>
      </c>
      <c r="AK172" s="332">
        <f>+'NEW-Tables 80-86'!R111+'NEW-Tables 80-86'!Q142</f>
        <v>0</v>
      </c>
      <c r="AL172" s="332">
        <f>+'NEW-Tables 80-86'!S111+'NEW-Tables 80-86'!R142</f>
        <v>60140.666666666664</v>
      </c>
      <c r="AM172" s="332">
        <f>+'NEW-Tables 80-86'!T111+'NEW-Tables 80-86'!S142</f>
        <v>18950.896666666667</v>
      </c>
      <c r="AN172" s="332">
        <f>+'NEW-Tables 80-86'!U111+'NEW-Tables 80-86'!T142</f>
        <v>6453.2333333333336</v>
      </c>
      <c r="AO172" s="332"/>
      <c r="AP172" s="341">
        <f>+'NEW-Tables 80-86'!V111+'NEW-Tables 80-86'!U142</f>
        <v>85544.796666666662</v>
      </c>
      <c r="AR172" s="15" t="s">
        <v>784</v>
      </c>
      <c r="AS172" s="342">
        <f t="shared" si="27"/>
        <v>0</v>
      </c>
      <c r="AT172" s="342">
        <f t="shared" si="28"/>
        <v>0</v>
      </c>
      <c r="AU172" s="342">
        <f t="shared" si="29"/>
        <v>0</v>
      </c>
      <c r="AV172" s="342">
        <f t="shared" si="30"/>
        <v>0</v>
      </c>
      <c r="AW172" s="342">
        <f t="shared" si="31"/>
        <v>0</v>
      </c>
      <c r="AY172" s="15" t="s">
        <v>784</v>
      </c>
      <c r="AZ172" s="342">
        <f t="shared" si="32"/>
        <v>0</v>
      </c>
      <c r="BA172" s="342">
        <f t="shared" si="33"/>
        <v>0</v>
      </c>
      <c r="BB172" s="342">
        <f t="shared" si="34"/>
        <v>0</v>
      </c>
      <c r="BC172" s="342">
        <f t="shared" si="35"/>
        <v>0</v>
      </c>
      <c r="BD172" s="342">
        <f t="shared" si="36"/>
        <v>0</v>
      </c>
    </row>
    <row r="173" spans="1:88" ht="15" customHeight="1">
      <c r="B173" s="298"/>
      <c r="C173" s="339"/>
      <c r="D173" s="328"/>
      <c r="E173" s="339"/>
      <c r="F173" s="328"/>
      <c r="G173" s="339"/>
      <c r="H173" s="328"/>
      <c r="I173" s="339"/>
      <c r="J173" s="328"/>
      <c r="K173" s="339"/>
      <c r="R173" s="229"/>
      <c r="S173" s="340"/>
      <c r="T173" s="219"/>
      <c r="U173" s="340"/>
      <c r="V173" s="219"/>
      <c r="W173" s="340"/>
      <c r="X173" s="219"/>
      <c r="Y173" s="340"/>
      <c r="Z173" s="219"/>
      <c r="AA173" s="340"/>
      <c r="AC173" s="304"/>
      <c r="AD173" s="331"/>
      <c r="AE173" s="331"/>
      <c r="AF173" s="331"/>
      <c r="AG173" s="331"/>
      <c r="AH173" s="331"/>
      <c r="AI173" s="331"/>
      <c r="AJ173" s="316"/>
      <c r="AK173" s="332"/>
      <c r="AL173" s="332"/>
      <c r="AM173" s="332"/>
      <c r="AN173" s="332"/>
      <c r="AO173" s="332"/>
      <c r="AP173" s="341"/>
      <c r="AS173" s="342">
        <f t="shared" si="27"/>
        <v>0</v>
      </c>
      <c r="AT173" s="342">
        <f t="shared" si="28"/>
        <v>0</v>
      </c>
      <c r="AU173" s="342">
        <f t="shared" si="29"/>
        <v>0</v>
      </c>
      <c r="AV173" s="342">
        <f t="shared" si="30"/>
        <v>0</v>
      </c>
      <c r="AW173" s="342">
        <f t="shared" si="31"/>
        <v>0</v>
      </c>
      <c r="AZ173" s="342">
        <f t="shared" si="32"/>
        <v>0</v>
      </c>
      <c r="BA173" s="342">
        <f t="shared" si="33"/>
        <v>0</v>
      </c>
      <c r="BB173" s="342">
        <f t="shared" si="34"/>
        <v>0</v>
      </c>
      <c r="BC173" s="342">
        <f t="shared" si="35"/>
        <v>0</v>
      </c>
      <c r="BD173" s="342">
        <f t="shared" si="36"/>
        <v>0</v>
      </c>
    </row>
    <row r="174" spans="1:88" ht="15" customHeight="1">
      <c r="A174" s="15" t="s">
        <v>785</v>
      </c>
      <c r="B174" s="298">
        <f>+'NEW-Tables 80-86'!B113+'NEW-Tables 80-86'!B144</f>
        <v>0</v>
      </c>
      <c r="C174" s="339">
        <f>+GETPIVOTDATA("Sum of New-HS % of Total",'Pivot-HS Student % of Undergrad'!$A$3,"State","MS","Category",7,"Category2","Two-Year")</f>
        <v>0</v>
      </c>
      <c r="D174" s="328">
        <f>+'NEW-Tables 80-86'!C113+'NEW-Tables 80-86'!C144</f>
        <v>28246.9</v>
      </c>
      <c r="E174" s="339">
        <f>+GETPIVOTDATA("Sum of New-HS % of Total",'Pivot-HS Student % of Undergrad'!$A$3,"State","MS","Category",8,"Category2","Two-Year")</f>
        <v>8.0906813373030906E-2</v>
      </c>
      <c r="F174" s="328">
        <f>+'NEW-Tables 80-86'!D113+'NEW-Tables 80-86'!D144</f>
        <v>29220.283333333333</v>
      </c>
      <c r="G174" s="339">
        <f>+GETPIVOTDATA("Sum of New-HS % of Total",'Pivot-HS Student % of Undergrad'!$A$3,"State","MS","Category",9,"Category2","Two-Year")</f>
        <v>6.6218842276797446E-2</v>
      </c>
      <c r="H174" s="328">
        <f>+'NEW-Tables 80-86'!E113+'NEW-Tables 80-86'!E144</f>
        <v>3576.4</v>
      </c>
      <c r="I174" s="339">
        <f>+GETPIVOTDATA("Sum of New-HS % of Total",'Pivot-HS Student % of Undergrad'!$A$3,"State","MS","Category",10,"Category2","Two-Year")</f>
        <v>5.7040599485516159E-2</v>
      </c>
      <c r="J174" s="328">
        <f>+'NEW-Tables 80-86'!F113+'NEW-Tables 80-86'!F144</f>
        <v>61043.583333333336</v>
      </c>
      <c r="K174" s="339">
        <f>+GETPIVOTDATA("Sum of New-HS % of Total",'Pivot-HS Student % of Undergrad'!$A$3,"State","MS","Category2","Group2")</f>
        <v>7.2477724248931438E-2</v>
      </c>
      <c r="Q174" s="15" t="s">
        <v>785</v>
      </c>
      <c r="R174" s="229">
        <f>+GETPIVOTDATA("Sum of Old-HS % of Total",'Pivot-HS Student % of Undergrad'!$A$3,"State","MS","Category",7,"Category2","Two-Year")</f>
        <v>0</v>
      </c>
      <c r="S174" s="340">
        <f t="shared" si="22"/>
        <v>0</v>
      </c>
      <c r="T174" s="219">
        <f>+GETPIVOTDATA("Sum of Old-HS % of Total",'Pivot-HS Student % of Undergrad'!$A$3,"State","MS","Category",8,"Category2","Two-Year")</f>
        <v>6.8498320951897701E-2</v>
      </c>
      <c r="U174" s="340">
        <f t="shared" si="23"/>
        <v>1.2408492421133204</v>
      </c>
      <c r="V174" s="219">
        <f>+GETPIVOTDATA("Sum of Old-HS % of Total",'Pivot-HS Student % of Undergrad'!$A$3,"State","MS","Category",9,"Category2","Two-Year")</f>
        <v>6.5046352394343226E-2</v>
      </c>
      <c r="W174" s="340">
        <f t="shared" si="24"/>
        <v>0.11724898824542196</v>
      </c>
      <c r="X174" s="219">
        <f>+GETPIVOTDATA("Sum of Old-HS % of Total",'Pivot-HS Student % of Undergrad'!$A$3,"State","MS","Category",10,"Category2","Two-Year")</f>
        <v>4.6798941045859549E-2</v>
      </c>
      <c r="Y174" s="340">
        <f t="shared" si="25"/>
        <v>1.0241658439656611</v>
      </c>
      <c r="Z174" s="219">
        <f>+GETPIVOTDATA("Sum of Old-HS % of Total",'Pivot-HS Student % of Undergrad'!$A$3,"State","MS","Category2","Two-Year")</f>
        <v>6.5634427613237872E-2</v>
      </c>
      <c r="AA174" s="340">
        <f t="shared" si="26"/>
        <v>0.68432966356935654</v>
      </c>
      <c r="AC174" s="304" t="s">
        <v>785</v>
      </c>
      <c r="AD174" s="331">
        <f>+B174</f>
        <v>0</v>
      </c>
      <c r="AE174" s="331">
        <f>+D174</f>
        <v>28246.9</v>
      </c>
      <c r="AF174" s="331">
        <f>+F174</f>
        <v>29220.283333333333</v>
      </c>
      <c r="AG174" s="331">
        <f>+H174</f>
        <v>3576.4</v>
      </c>
      <c r="AH174" s="331"/>
      <c r="AI174" s="331">
        <f>+J174</f>
        <v>61043.583333333336</v>
      </c>
      <c r="AJ174" s="316" t="s">
        <v>785</v>
      </c>
      <c r="AK174" s="332">
        <f>+'NEW-Tables 80-86'!R113+'NEW-Tables 80-86'!Q144</f>
        <v>0</v>
      </c>
      <c r="AL174" s="332">
        <f>+'NEW-Tables 80-86'!S113+'NEW-Tables 80-86'!R144</f>
        <v>29232.833333333336</v>
      </c>
      <c r="AM174" s="332">
        <f>+'NEW-Tables 80-86'!T113+'NEW-Tables 80-86'!S144</f>
        <v>29847.433333333331</v>
      </c>
      <c r="AN174" s="332">
        <f>+'NEW-Tables 80-86'!U113+'NEW-Tables 80-86'!T144</f>
        <v>3512.8999999999996</v>
      </c>
      <c r="AO174" s="332"/>
      <c r="AP174" s="341">
        <f>+'NEW-Tables 80-86'!V113+'NEW-Tables 80-86'!U144</f>
        <v>62593.166666666664</v>
      </c>
      <c r="AR174" s="15" t="s">
        <v>785</v>
      </c>
      <c r="AS174" s="342">
        <f t="shared" si="27"/>
        <v>0</v>
      </c>
      <c r="AT174" s="342">
        <f t="shared" si="28"/>
        <v>8.0906813373030904</v>
      </c>
      <c r="AU174" s="342">
        <f t="shared" si="29"/>
        <v>6.6218842276797449</v>
      </c>
      <c r="AV174" s="342">
        <f t="shared" si="30"/>
        <v>5.7040599485516159</v>
      </c>
      <c r="AW174" s="342">
        <f t="shared" si="31"/>
        <v>7.2477724248931441</v>
      </c>
      <c r="AY174" s="15" t="s">
        <v>785</v>
      </c>
      <c r="AZ174" s="342">
        <f t="shared" si="32"/>
        <v>0</v>
      </c>
      <c r="BA174" s="342">
        <f t="shared" si="33"/>
        <v>6.84983209518977</v>
      </c>
      <c r="BB174" s="342">
        <f t="shared" si="34"/>
        <v>6.5046352394343225</v>
      </c>
      <c r="BC174" s="342">
        <f t="shared" si="35"/>
        <v>4.679894104585955</v>
      </c>
      <c r="BD174" s="342">
        <f t="shared" si="36"/>
        <v>6.5634427613237873</v>
      </c>
    </row>
    <row r="175" spans="1:88" ht="15" customHeight="1">
      <c r="A175" s="15" t="s">
        <v>786</v>
      </c>
      <c r="B175" s="298">
        <f>+'NEW-Tables 80-86'!B114+'NEW-Tables 80-86'!B145</f>
        <v>0</v>
      </c>
      <c r="C175" s="339">
        <f>+GETPIVOTDATA("Sum of New-HS % of Total",'Pivot-HS Student % of Undergrad'!$A$3,"State","NC","Category",7,"Category2","Two-Year")</f>
        <v>0</v>
      </c>
      <c r="D175" s="328">
        <f>+'NEW-Tables 80-86'!C114+'NEW-Tables 80-86'!C145</f>
        <v>81908.162222222221</v>
      </c>
      <c r="E175" s="339">
        <f>+GETPIVOTDATA("Sum of New-HS % of Total",'Pivot-HS Student % of Undergrad'!$A$3,"State","NC","Category",8,"Category2","Two-Year")</f>
        <v>9.7325333497650504E-2</v>
      </c>
      <c r="F175" s="328">
        <f>+'NEW-Tables 80-86'!D114+'NEW-Tables 80-86'!D145</f>
        <v>67088.233333333337</v>
      </c>
      <c r="G175" s="339">
        <f>+GETPIVOTDATA("Sum of New-HS % of Total",'Pivot-HS Student % of Undergrad'!$A$3,"State","NC","Category",9,"Category2","Two-Year")</f>
        <v>0.21461751043687893</v>
      </c>
      <c r="H175" s="328">
        <f>+'NEW-Tables 80-86'!E114+'NEW-Tables 80-86'!E145</f>
        <v>33872.017777777779</v>
      </c>
      <c r="I175" s="339">
        <f>+GETPIVOTDATA("Sum of New-HS % of Total",'Pivot-HS Student % of Undergrad'!$A$3,"State","NC","Category",10,"Category2","Two-Year")</f>
        <v>0.25733461667871649</v>
      </c>
      <c r="J175" s="328">
        <f>+'NEW-Tables 80-86'!F114+'NEW-Tables 80-86'!F145</f>
        <v>182868.41333333333</v>
      </c>
      <c r="K175" s="339">
        <f>+GETPIVOTDATA("Sum of New-HS % of Total",'Pivot-HS Student % of Undergrad'!$A$3,"State","NC","Category2","Group2")</f>
        <v>0.1675737313364204</v>
      </c>
      <c r="Q175" s="15" t="s">
        <v>786</v>
      </c>
      <c r="R175" s="229">
        <f>+GETPIVOTDATA("Sum of Old-HS % of Total",'Pivot-HS Student % of Undergrad'!$A$3,"State","NC","Category",7,"Category2","Two-Year")</f>
        <v>0</v>
      </c>
      <c r="S175" s="340">
        <f t="shared" si="22"/>
        <v>0</v>
      </c>
      <c r="T175" s="219">
        <f>+GETPIVOTDATA("Sum of Old-HS % of Total",'Pivot-HS Student % of Undergrad'!$A$3,"State","NC","Category",8,"Category2","Two-Year")</f>
        <v>8.0520750235136967E-2</v>
      </c>
      <c r="U175" s="340">
        <f t="shared" si="23"/>
        <v>1.6804583262513537</v>
      </c>
      <c r="V175" s="219">
        <f>+GETPIVOTDATA("Sum of Old-HS % of Total",'Pivot-HS Student % of Undergrad'!$A$3,"State","NC","Category",9,"Category2","Two-Year")</f>
        <v>0.19884091004191826</v>
      </c>
      <c r="W175" s="340">
        <f t="shared" si="24"/>
        <v>1.5776600394960676</v>
      </c>
      <c r="X175" s="219">
        <f>+GETPIVOTDATA("Sum of Old-HS % of Total",'Pivot-HS Student % of Undergrad'!$A$3,"State","NC","Category",10,"Category2","Two-Year")</f>
        <v>0.2500193982407089</v>
      </c>
      <c r="Y175" s="340">
        <f t="shared" si="25"/>
        <v>0.73152184380075869</v>
      </c>
      <c r="Z175" s="219">
        <f>+GETPIVOTDATA("Sum of Old-HS % of Total",'Pivot-HS Student % of Undergrad'!$A$3,"State","NC","Category2","Two-Year")</f>
        <v>0.15247939032234104</v>
      </c>
      <c r="AA175" s="340">
        <f t="shared" si="26"/>
        <v>1.509434101407936</v>
      </c>
      <c r="AC175" s="304" t="s">
        <v>786</v>
      </c>
      <c r="AD175" s="331">
        <f>+B175</f>
        <v>0</v>
      </c>
      <c r="AE175" s="331">
        <f>+D175</f>
        <v>81908.162222222221</v>
      </c>
      <c r="AF175" s="331">
        <f>+F175</f>
        <v>67088.233333333337</v>
      </c>
      <c r="AG175" s="331">
        <f>+H175</f>
        <v>33872.017777777779</v>
      </c>
      <c r="AH175" s="331"/>
      <c r="AI175" s="331">
        <f>+J175</f>
        <v>182868.41333333333</v>
      </c>
      <c r="AJ175" s="316" t="s">
        <v>786</v>
      </c>
      <c r="AK175" s="332">
        <f>+'NEW-Tables 80-86'!R114+'NEW-Tables 80-86'!Q145</f>
        <v>0</v>
      </c>
      <c r="AL175" s="332">
        <f>+'NEW-Tables 80-86'!S114+'NEW-Tables 80-86'!R145</f>
        <v>81430.308888888889</v>
      </c>
      <c r="AM175" s="332">
        <f>+'NEW-Tables 80-86'!T114+'NEW-Tables 80-86'!S145</f>
        <v>66114.180000000022</v>
      </c>
      <c r="AN175" s="332">
        <f>+'NEW-Tables 80-86'!U114+'NEW-Tables 80-86'!T145</f>
        <v>33053.825555555559</v>
      </c>
      <c r="AO175" s="332"/>
      <c r="AP175" s="341">
        <f>+'NEW-Tables 80-86'!V114+'NEW-Tables 80-86'!U145</f>
        <v>180598.31444444446</v>
      </c>
      <c r="AR175" s="15" t="s">
        <v>786</v>
      </c>
      <c r="AS175" s="342">
        <f t="shared" si="27"/>
        <v>0</v>
      </c>
      <c r="AT175" s="342">
        <f t="shared" si="28"/>
        <v>9.7325333497650508</v>
      </c>
      <c r="AU175" s="342">
        <f t="shared" si="29"/>
        <v>21.461751043687894</v>
      </c>
      <c r="AV175" s="342">
        <f t="shared" si="30"/>
        <v>25.733461667871648</v>
      </c>
      <c r="AW175" s="342">
        <f t="shared" si="31"/>
        <v>16.757373133642041</v>
      </c>
      <c r="AY175" s="15" t="s">
        <v>786</v>
      </c>
      <c r="AZ175" s="342">
        <f t="shared" si="32"/>
        <v>0</v>
      </c>
      <c r="BA175" s="342">
        <f t="shared" si="33"/>
        <v>8.0520750235136962</v>
      </c>
      <c r="BB175" s="342">
        <f t="shared" si="34"/>
        <v>19.884091004191827</v>
      </c>
      <c r="BC175" s="342">
        <f t="shared" si="35"/>
        <v>25.001939824070892</v>
      </c>
      <c r="BD175" s="342">
        <f t="shared" si="36"/>
        <v>15.247939032234104</v>
      </c>
    </row>
    <row r="176" spans="1:88" ht="15" customHeight="1">
      <c r="A176" s="15" t="s">
        <v>787</v>
      </c>
      <c r="B176" s="298">
        <f>+'NEW-Tables 80-86'!B115+'NEW-Tables 80-86'!B146</f>
        <v>6146.9</v>
      </c>
      <c r="C176" s="339">
        <f>+GETPIVOTDATA("Sum of New-HS % of Total",'Pivot-HS Student % of Undergrad'!$A$3,"State","OK","Category",7,"Category2","Two-Year")</f>
        <v>5.5328702272690301E-2</v>
      </c>
      <c r="D176" s="328">
        <f>+'NEW-Tables 80-86'!C115+'NEW-Tables 80-86'!C146</f>
        <v>16023.033333333333</v>
      </c>
      <c r="E176" s="339">
        <f>+GETPIVOTDATA("Sum of New-HS % of Total",'Pivot-HS Student % of Undergrad'!$A$3,"State","OK","Category",8,"Category2","Two-Year")</f>
        <v>8.0646402782660789E-2</v>
      </c>
      <c r="F176" s="328">
        <f>+'NEW-Tables 80-86'!D115+'NEW-Tables 80-86'!D146</f>
        <v>6359.7</v>
      </c>
      <c r="G176" s="339">
        <f>+GETPIVOTDATA("Sum of New-HS % of Total",'Pivot-HS Student % of Undergrad'!$A$3,"State","OK","Category",9,"Category2","Two-Year")</f>
        <v>5.4321220602648969E-2</v>
      </c>
      <c r="H176" s="328">
        <f>+'NEW-Tables 80-86'!E115+'NEW-Tables 80-86'!E146</f>
        <v>8942.8333333333339</v>
      </c>
      <c r="I176" s="339">
        <f>+GETPIVOTDATA("Sum of New-HS % of Total",'Pivot-HS Student % of Undergrad'!$A$3,"State","OK","Category",10,"Category2","Two-Year")</f>
        <v>0.12699181840207241</v>
      </c>
      <c r="J176" s="328">
        <f>+'NEW-Tables 80-86'!F115+'NEW-Tables 80-86'!F146</f>
        <v>37472.466666666667</v>
      </c>
      <c r="K176" s="339">
        <f>+GETPIVOTDATA("Sum of New-HS % of Total",'Pivot-HS Student % of Undergrad'!$A$3,"State","OK","Category2","Group2")</f>
        <v>8.3085892397440256E-2</v>
      </c>
      <c r="Q176" s="15" t="s">
        <v>787</v>
      </c>
      <c r="R176" s="229">
        <f>+GETPIVOTDATA("Sum of Old-HS % of Total",'Pivot-HS Student % of Undergrad'!$A$3,"State","OK","Category",7,"Category2","Two-Year")</f>
        <v>4.6284362098479512E-2</v>
      </c>
      <c r="S176" s="340">
        <f t="shared" si="22"/>
        <v>0.90443401742107898</v>
      </c>
      <c r="T176" s="219">
        <f>+GETPIVOTDATA("Sum of Old-HS % of Total",'Pivot-HS Student % of Undergrad'!$A$3,"State","OK","Category",8,"Category2","Two-Year")</f>
        <v>7.0798621579230572E-2</v>
      </c>
      <c r="U176" s="340">
        <f t="shared" si="23"/>
        <v>0.9847781203430217</v>
      </c>
      <c r="V176" s="219">
        <f>+GETPIVOTDATA("Sum of Old-HS % of Total",'Pivot-HS Student % of Undergrad'!$A$3,"State","OK","Category",9,"Category2","Two-Year")</f>
        <v>4.6635637589418473E-2</v>
      </c>
      <c r="W176" s="340">
        <f t="shared" si="24"/>
        <v>0.76855830132304959</v>
      </c>
      <c r="X176" s="219">
        <f>+GETPIVOTDATA("Sum of Old-HS % of Total",'Pivot-HS Student % of Undergrad'!$A$3,"State","OK","Category",10,"Category2","Two-Year")</f>
        <v>0.11214701236660631</v>
      </c>
      <c r="Y176" s="340">
        <f t="shared" si="25"/>
        <v>1.4844806035466105</v>
      </c>
      <c r="Z176" s="219">
        <f>+GETPIVOTDATA("Sum of Old-HS % of Total",'Pivot-HS Student % of Undergrad'!$A$3,"State","OK","Category2","Two-Year")</f>
        <v>7.3233896611064317E-2</v>
      </c>
      <c r="AA176" s="340">
        <f t="shared" si="26"/>
        <v>0.98519957863759389</v>
      </c>
      <c r="AC176" s="304" t="s">
        <v>787</v>
      </c>
      <c r="AD176" s="331">
        <f>+B176</f>
        <v>6146.9</v>
      </c>
      <c r="AE176" s="331">
        <f>+D176</f>
        <v>16023.033333333333</v>
      </c>
      <c r="AF176" s="331">
        <f>+F176</f>
        <v>6359.7</v>
      </c>
      <c r="AG176" s="331">
        <f>+H176</f>
        <v>8942.8333333333339</v>
      </c>
      <c r="AH176" s="331"/>
      <c r="AI176" s="331">
        <f>+J176</f>
        <v>37472.466666666667</v>
      </c>
      <c r="AJ176" s="316" t="s">
        <v>787</v>
      </c>
      <c r="AK176" s="332">
        <f>+'NEW-Tables 80-86'!R115+'NEW-Tables 80-86'!Q146</f>
        <v>6620.6666666666661</v>
      </c>
      <c r="AL176" s="332">
        <f>+'NEW-Tables 80-86'!S115+'NEW-Tables 80-86'!R146</f>
        <v>17469.266666666666</v>
      </c>
      <c r="AM176" s="332">
        <f>+'NEW-Tables 80-86'!T115+'NEW-Tables 80-86'!S146</f>
        <v>6882.4333333333343</v>
      </c>
      <c r="AN176" s="332">
        <f>+'NEW-Tables 80-86'!U115+'NEW-Tables 80-86'!T146</f>
        <v>10382.800000000001</v>
      </c>
      <c r="AO176" s="332"/>
      <c r="AP176" s="341">
        <f>+'NEW-Tables 80-86'!V115+'NEW-Tables 80-86'!U146</f>
        <v>41355.166666666672</v>
      </c>
      <c r="AR176" s="15" t="s">
        <v>787</v>
      </c>
      <c r="AS176" s="342">
        <f t="shared" si="27"/>
        <v>5.5328702272690302</v>
      </c>
      <c r="AT176" s="342">
        <f t="shared" si="28"/>
        <v>8.0646402782660793</v>
      </c>
      <c r="AU176" s="342">
        <f t="shared" si="29"/>
        <v>5.4321220602648967</v>
      </c>
      <c r="AV176" s="342">
        <f t="shared" si="30"/>
        <v>12.699181840207242</v>
      </c>
      <c r="AW176" s="342">
        <f t="shared" si="31"/>
        <v>8.3085892397440251</v>
      </c>
      <c r="AY176" s="15" t="s">
        <v>787</v>
      </c>
      <c r="AZ176" s="342">
        <f t="shared" si="32"/>
        <v>4.6284362098479512</v>
      </c>
      <c r="BA176" s="342">
        <f t="shared" si="33"/>
        <v>7.0798621579230572</v>
      </c>
      <c r="BB176" s="342">
        <f t="shared" si="34"/>
        <v>4.663563758941847</v>
      </c>
      <c r="BC176" s="342">
        <f t="shared" si="35"/>
        <v>11.21470123666063</v>
      </c>
      <c r="BD176" s="342">
        <f t="shared" si="36"/>
        <v>7.3233896611064315</v>
      </c>
    </row>
    <row r="177" spans="1:56" ht="15" customHeight="1">
      <c r="A177" s="15" t="s">
        <v>788</v>
      </c>
      <c r="B177" s="298">
        <f>+'NEW-Tables 80-86'!B116+'NEW-Tables 80-86'!B147</f>
        <v>0</v>
      </c>
      <c r="C177" s="339">
        <f>+GETPIVOTDATA("Sum of New-HS % of Total",'Pivot-HS Student % of Undergrad'!$A$3,"State","SC","Category",7,"Category2","Two-Year")</f>
        <v>0</v>
      </c>
      <c r="D177" s="328">
        <f>+'NEW-Tables 80-86'!C116+'NEW-Tables 80-86'!C147</f>
        <v>27911.933333333334</v>
      </c>
      <c r="E177" s="339">
        <f>+GETPIVOTDATA("Sum of New-HS % of Total",'Pivot-HS Student % of Undergrad'!$A$3,"State","SC","Category",8,"Category2","Two-Year")</f>
        <v>7.0790510152169084E-2</v>
      </c>
      <c r="F177" s="328">
        <f>+'NEW-Tables 80-86'!D116+'NEW-Tables 80-86'!D147</f>
        <v>19925.133333333335</v>
      </c>
      <c r="G177" s="339">
        <f>+GETPIVOTDATA("Sum of New-HS % of Total",'Pivot-HS Student % of Undergrad'!$A$3,"State","SC","Category",9,"Category2","Two-Year")</f>
        <v>8.4064682126761173E-2</v>
      </c>
      <c r="H177" s="328">
        <f>+'NEW-Tables 80-86'!E116+'NEW-Tables 80-86'!E147</f>
        <v>9789.6666666666679</v>
      </c>
      <c r="I177" s="339">
        <f>+GETPIVOTDATA("Sum of New-HS % of Total",'Pivot-HS Student % of Undergrad'!$A$3,"State","SC","Category",10,"Category2","Two-Year")</f>
        <v>0.21478770131771596</v>
      </c>
      <c r="J177" s="328">
        <f>+'NEW-Tables 80-86'!F116+'NEW-Tables 80-86'!F147</f>
        <v>57626.733333333337</v>
      </c>
      <c r="K177" s="339">
        <f>+GETPIVOTDATA("Sum of New-HS % of Total",'Pivot-HS Student % of Undergrad'!$A$3,"State","SC","Category2","Group2")</f>
        <v>9.9842549927637747E-2</v>
      </c>
      <c r="Q177" s="15" t="s">
        <v>788</v>
      </c>
      <c r="R177" s="229">
        <f>+GETPIVOTDATA("Sum of Old-HS % of Total",'Pivot-HS Student % of Undergrad'!$A$3,"State","SC","Category",7,"Category2","Two-Year")</f>
        <v>0</v>
      </c>
      <c r="S177" s="340">
        <f t="shared" si="22"/>
        <v>0</v>
      </c>
      <c r="T177" s="219">
        <f>+GETPIVOTDATA("Sum of Old-HS % of Total",'Pivot-HS Student % of Undergrad'!$A$3,"State","SC","Category",8,"Category2","Two-Year")</f>
        <v>6.3505102818505813E-2</v>
      </c>
      <c r="U177" s="340">
        <f t="shared" si="23"/>
        <v>0.72854073336632719</v>
      </c>
      <c r="V177" s="219">
        <f>+GETPIVOTDATA("Sum of Old-HS % of Total",'Pivot-HS Student % of Undergrad'!$A$3,"State","SC","Category",9,"Category2","Two-Year")</f>
        <v>8.5902925196992053E-2</v>
      </c>
      <c r="W177" s="340">
        <f t="shared" si="24"/>
        <v>-0.183824307023088</v>
      </c>
      <c r="X177" s="219">
        <f>+GETPIVOTDATA("Sum of Old-HS % of Total",'Pivot-HS Student % of Undergrad'!$A$3,"State","SC","Category",10,"Category2","Two-Year")</f>
        <v>0.13781101820004021</v>
      </c>
      <c r="Y177" s="340">
        <f t="shared" si="25"/>
        <v>7.6976683117675746</v>
      </c>
      <c r="Z177" s="219">
        <f>+GETPIVOTDATA("Sum of Old-HS % of Total",'Pivot-HS Student % of Undergrad'!$A$3,"State","SC","Category2","Two-Year")</f>
        <v>8.3623168033084228E-2</v>
      </c>
      <c r="AA177" s="340">
        <f t="shared" si="26"/>
        <v>1.621938189455352</v>
      </c>
      <c r="AC177" s="304" t="s">
        <v>788</v>
      </c>
      <c r="AD177" s="331">
        <f>+B177</f>
        <v>0</v>
      </c>
      <c r="AE177" s="331">
        <f>+D177</f>
        <v>27911.933333333334</v>
      </c>
      <c r="AF177" s="331">
        <f>+F177</f>
        <v>19925.133333333335</v>
      </c>
      <c r="AG177" s="331">
        <f>+H177</f>
        <v>9789.6666666666679</v>
      </c>
      <c r="AH177" s="331"/>
      <c r="AI177" s="331">
        <f>+J177</f>
        <v>57626.733333333337</v>
      </c>
      <c r="AJ177" s="316" t="s">
        <v>788</v>
      </c>
      <c r="AK177" s="332">
        <f>+'NEW-Tables 80-86'!R116+'NEW-Tables 80-86'!Q147</f>
        <v>0</v>
      </c>
      <c r="AL177" s="332">
        <f>+'NEW-Tables 80-86'!S116+'NEW-Tables 80-86'!R147</f>
        <v>28647.566666666666</v>
      </c>
      <c r="AM177" s="332">
        <f>+'NEW-Tables 80-86'!T116+'NEW-Tables 80-86'!S147</f>
        <v>20381.533333333333</v>
      </c>
      <c r="AN177" s="332">
        <f>+'NEW-Tables 80-86'!U116+'NEW-Tables 80-86'!T147</f>
        <v>9778.3666666666668</v>
      </c>
      <c r="AO177" s="332"/>
      <c r="AP177" s="341">
        <f>+'NEW-Tables 80-86'!V116+'NEW-Tables 80-86'!U147</f>
        <v>58807.466666666667</v>
      </c>
      <c r="AR177" s="15" t="s">
        <v>788</v>
      </c>
      <c r="AS177" s="342">
        <f t="shared" si="27"/>
        <v>0</v>
      </c>
      <c r="AT177" s="342">
        <f t="shared" si="28"/>
        <v>7.0790510152169084</v>
      </c>
      <c r="AU177" s="342">
        <f t="shared" si="29"/>
        <v>8.406468212676117</v>
      </c>
      <c r="AV177" s="342">
        <f t="shared" si="30"/>
        <v>21.478770131771597</v>
      </c>
      <c r="AW177" s="342">
        <f t="shared" si="31"/>
        <v>9.9842549927637751</v>
      </c>
      <c r="AY177" s="15" t="s">
        <v>788</v>
      </c>
      <c r="AZ177" s="342">
        <f t="shared" si="32"/>
        <v>0</v>
      </c>
      <c r="BA177" s="342">
        <f t="shared" si="33"/>
        <v>6.350510281850581</v>
      </c>
      <c r="BB177" s="342">
        <f t="shared" si="34"/>
        <v>8.5902925196992044</v>
      </c>
      <c r="BC177" s="342">
        <f t="shared" si="35"/>
        <v>13.781101820004022</v>
      </c>
      <c r="BD177" s="342">
        <f t="shared" si="36"/>
        <v>8.3623168033084223</v>
      </c>
    </row>
    <row r="178" spans="1:56" ht="15" customHeight="1">
      <c r="B178" s="298"/>
      <c r="C178" s="339"/>
      <c r="D178" s="328"/>
      <c r="E178" s="339"/>
      <c r="F178" s="328"/>
      <c r="G178" s="339"/>
      <c r="H178" s="328"/>
      <c r="I178" s="339"/>
      <c r="J178" s="328"/>
      <c r="K178" s="339"/>
      <c r="R178" s="229"/>
      <c r="S178" s="340"/>
      <c r="T178" s="219"/>
      <c r="U178" s="340"/>
      <c r="V178" s="219"/>
      <c r="W178" s="340"/>
      <c r="X178" s="219"/>
      <c r="Y178" s="340"/>
      <c r="Z178" s="219"/>
      <c r="AA178" s="340"/>
      <c r="AC178" s="304"/>
      <c r="AD178" s="331"/>
      <c r="AE178" s="331"/>
      <c r="AF178" s="331"/>
      <c r="AG178" s="331"/>
      <c r="AH178" s="331"/>
      <c r="AI178" s="331"/>
      <c r="AJ178" s="316"/>
      <c r="AK178" s="332"/>
      <c r="AL178" s="332"/>
      <c r="AM178" s="332"/>
      <c r="AN178" s="332"/>
      <c r="AO178" s="332"/>
      <c r="AP178" s="341"/>
      <c r="AS178" s="342">
        <f t="shared" si="27"/>
        <v>0</v>
      </c>
      <c r="AT178" s="342">
        <f t="shared" si="28"/>
        <v>0</v>
      </c>
      <c r="AU178" s="342">
        <f t="shared" si="29"/>
        <v>0</v>
      </c>
      <c r="AV178" s="342">
        <f t="shared" si="30"/>
        <v>0</v>
      </c>
      <c r="AW178" s="342">
        <f t="shared" si="31"/>
        <v>0</v>
      </c>
      <c r="AZ178" s="342">
        <f t="shared" si="32"/>
        <v>0</v>
      </c>
      <c r="BA178" s="342">
        <f t="shared" si="33"/>
        <v>0</v>
      </c>
      <c r="BB178" s="342">
        <f t="shared" si="34"/>
        <v>0</v>
      </c>
      <c r="BC178" s="342">
        <f t="shared" si="35"/>
        <v>0</v>
      </c>
      <c r="BD178" s="342">
        <f t="shared" si="36"/>
        <v>0</v>
      </c>
    </row>
    <row r="179" spans="1:56" ht="11.25" customHeight="1">
      <c r="A179" s="15" t="s">
        <v>789</v>
      </c>
      <c r="B179" s="298">
        <f>+'NEW-Tables 80-86'!B118+'NEW-Tables 80-86'!B149</f>
        <v>0</v>
      </c>
      <c r="C179" s="339">
        <f>+GETPIVOTDATA("Sum of New-HS % of Total",'Pivot-HS Student % of Undergrad'!$A$3,"State","TN","Category",7,"Category2","Two-Year")</f>
        <v>0</v>
      </c>
      <c r="D179" s="328">
        <f>+'NEW-Tables 80-86'!C118+'NEW-Tables 80-86'!C149</f>
        <v>30270.366666666669</v>
      </c>
      <c r="E179" s="339">
        <f>+GETPIVOTDATA("Sum of New-HS % of Total",'Pivot-HS Student % of Undergrad'!$A$3,"State","TN","Category",8,"Category2","Two-Year")</f>
        <v>6.2212659025163222E-2</v>
      </c>
      <c r="F179" s="328">
        <f>+'NEW-Tables 80-86'!D118+'NEW-Tables 80-86'!D149</f>
        <v>26590.26666666667</v>
      </c>
      <c r="G179" s="339">
        <f>+GETPIVOTDATA("Sum of New-HS % of Total",'Pivot-HS Student % of Undergrad'!$A$3,"State","TN","Category",9,"Category2","Two-Year")</f>
        <v>0.10878918100357525</v>
      </c>
      <c r="H179" s="328">
        <f>+'NEW-Tables 80-86'!E118+'NEW-Tables 80-86'!E149</f>
        <v>1770.2666666666667</v>
      </c>
      <c r="I179" s="339">
        <f>+GETPIVOTDATA("Sum of New-HS % of Total",'Pivot-HS Student % of Undergrad'!$A$3,"State","TN","Category",10,"Category2","Two-Year")</f>
        <v>0.1132032838743692</v>
      </c>
      <c r="J179" s="328">
        <f>+'NEW-Tables 80-86'!F118+'NEW-Tables 80-86'!F149</f>
        <v>58630.900000000009</v>
      </c>
      <c r="K179" s="339">
        <f>+GETPIVOTDATA("Sum of New-HS % of Total",'Pivot-HS Student % of Undergrad'!$A$3,"State","TN","Category2","Group2")</f>
        <v>8.4875608822878951E-2</v>
      </c>
      <c r="Q179" s="15" t="s">
        <v>789</v>
      </c>
      <c r="R179" s="229">
        <f>+GETPIVOTDATA("Sum of Old-HS % of Total",'Pivot-HS Student % of Undergrad'!$A$3,"State","TN","Category",7,"Category2","Two-Year")</f>
        <v>0</v>
      </c>
      <c r="S179" s="340">
        <f t="shared" si="22"/>
        <v>0</v>
      </c>
      <c r="T179" s="219">
        <f>+GETPIVOTDATA("Sum of Old-HS % of Total",'Pivot-HS Student % of Undergrad'!$A$3,"State","TN","Category",8,"Category2","Two-Year")</f>
        <v>5.8774977424933803E-2</v>
      </c>
      <c r="U179" s="340">
        <f t="shared" si="23"/>
        <v>0.34376816002294197</v>
      </c>
      <c r="V179" s="219">
        <f>+GETPIVOTDATA("Sum of Old-HS % of Total",'Pivot-HS Student % of Undergrad'!$A$3,"State","TN","Category",9,"Category2","Two-Year")</f>
        <v>0.10166289226787448</v>
      </c>
      <c r="W179" s="340">
        <f t="shared" si="24"/>
        <v>0.7126288735700772</v>
      </c>
      <c r="X179" s="219">
        <f>+GETPIVOTDATA("Sum of Old-HS % of Total",'Pivot-HS Student % of Undergrad'!$A$3,"State","TN","Category",10,"Category2","Two-Year")</f>
        <v>0.16123209502736696</v>
      </c>
      <c r="Y179" s="340">
        <f t="shared" si="25"/>
        <v>-4.8028811152997761</v>
      </c>
      <c r="Z179" s="219">
        <f>+GETPIVOTDATA("Sum of Old-HS % of Total",'Pivot-HS Student % of Undergrad'!$A$3,"State","TN","Category2","Two-Year")</f>
        <v>8.0868408129279049E-2</v>
      </c>
      <c r="AA179" s="340">
        <f t="shared" si="26"/>
        <v>0.40072006935999022</v>
      </c>
      <c r="AC179" s="304" t="s">
        <v>789</v>
      </c>
      <c r="AD179" s="331">
        <f>+B179</f>
        <v>0</v>
      </c>
      <c r="AE179" s="331">
        <f>+D179</f>
        <v>30270.366666666669</v>
      </c>
      <c r="AF179" s="331">
        <f>+F179</f>
        <v>26590.26666666667</v>
      </c>
      <c r="AG179" s="331">
        <f>+H179</f>
        <v>1770.2666666666667</v>
      </c>
      <c r="AH179" s="331"/>
      <c r="AI179" s="331">
        <f>+J179</f>
        <v>58630.900000000009</v>
      </c>
      <c r="AJ179" s="316" t="s">
        <v>789</v>
      </c>
      <c r="AK179" s="332">
        <f>+'NEW-Tables 80-86'!R118+'NEW-Tables 80-86'!Q149</f>
        <v>0</v>
      </c>
      <c r="AL179" s="332">
        <f>+'NEW-Tables 80-86'!S118+'NEW-Tables 80-86'!R149</f>
        <v>30490.866666666669</v>
      </c>
      <c r="AM179" s="332">
        <f>+'NEW-Tables 80-86'!T118+'NEW-Tables 80-86'!S149</f>
        <v>25758.333333333336</v>
      </c>
      <c r="AN179" s="332">
        <f>+'NEW-Tables 80-86'!U118+'NEW-Tables 80-86'!T149</f>
        <v>1717.4</v>
      </c>
      <c r="AO179" s="332"/>
      <c r="AP179" s="341">
        <f>+'NEW-Tables 80-86'!V118+'NEW-Tables 80-86'!U149</f>
        <v>57966.600000000006</v>
      </c>
      <c r="AR179" s="15" t="s">
        <v>789</v>
      </c>
      <c r="AS179" s="342">
        <f t="shared" si="27"/>
        <v>0</v>
      </c>
      <c r="AT179" s="342">
        <f t="shared" si="28"/>
        <v>6.2212659025163219</v>
      </c>
      <c r="AU179" s="342">
        <f t="shared" si="29"/>
        <v>10.878918100357525</v>
      </c>
      <c r="AV179" s="342">
        <f t="shared" si="30"/>
        <v>11.32032838743692</v>
      </c>
      <c r="AW179" s="342">
        <f t="shared" si="31"/>
        <v>8.4875608822878945</v>
      </c>
      <c r="AY179" s="15" t="s">
        <v>789</v>
      </c>
      <c r="AZ179" s="342">
        <f t="shared" si="32"/>
        <v>0</v>
      </c>
      <c r="BA179" s="342">
        <f t="shared" si="33"/>
        <v>5.8774977424933805</v>
      </c>
      <c r="BB179" s="342">
        <f t="shared" si="34"/>
        <v>10.166289226787448</v>
      </c>
      <c r="BC179" s="342">
        <f t="shared" si="35"/>
        <v>16.123209502736696</v>
      </c>
      <c r="BD179" s="342">
        <f t="shared" si="36"/>
        <v>8.086840812927905</v>
      </c>
    </row>
    <row r="180" spans="1:56" ht="15" customHeight="1">
      <c r="A180" s="15" t="s">
        <v>790</v>
      </c>
      <c r="B180" s="298">
        <f>+'NEW-Tables 80-86'!B119+'NEW-Tables 80-86'!B150</f>
        <v>27481.425555555557</v>
      </c>
      <c r="C180" s="339">
        <f>+GETPIVOTDATA("Sum of New-HS % of Total",'Pivot-HS Student % of Undergrad'!$A$3,"State","TX","Category",7,"Category2","Two-Year")</f>
        <v>0.29811420178299469</v>
      </c>
      <c r="D180" s="328">
        <f>+'NEW-Tables 80-86'!C119+'NEW-Tables 80-86'!C150</f>
        <v>353250.32111111109</v>
      </c>
      <c r="E180" s="339">
        <f>+GETPIVOTDATA("Sum of New-HS % of Total",'Pivot-HS Student % of Undergrad'!$A$3,"State","TX","Category",8,"Category2","Two-Year")</f>
        <v>0.14784896803650127</v>
      </c>
      <c r="F180" s="328">
        <f>+'NEW-Tables 80-86'!D119+'NEW-Tables 80-86'!D150</f>
        <v>81970.98000000001</v>
      </c>
      <c r="G180" s="339">
        <f>+GETPIVOTDATA("Sum of New-HS % of Total",'Pivot-HS Student % of Undergrad'!$A$3,"State","TX","Category",9,"Category2","Two-Year")</f>
        <v>0.19651410222677496</v>
      </c>
      <c r="H180" s="328">
        <f>+'NEW-Tables 80-86'!E119+'NEW-Tables 80-86'!E150</f>
        <v>17772.615555555552</v>
      </c>
      <c r="I180" s="339">
        <f>+GETPIVOTDATA("Sum of New-HS % of Total",'Pivot-HS Student % of Undergrad'!$A$3,"State","TX","Category",10,"Category2","Two-Year")</f>
        <v>0.14635562471653554</v>
      </c>
      <c r="J180" s="328">
        <f>+'NEW-Tables 80-86'!F119+'NEW-Tables 80-86'!F150</f>
        <v>480475.34222222219</v>
      </c>
      <c r="K180" s="339">
        <f>+GETPIVOTDATA("Sum of New-HS % of Total",'Pivot-HS Student % of Undergrad'!$A$3,"State","TX","Category2","Group2")</f>
        <v>0.16472346966117912</v>
      </c>
      <c r="Q180" s="15" t="s">
        <v>790</v>
      </c>
      <c r="R180" s="229">
        <f>+GETPIVOTDATA("Sum of Old-HS % of Total",'Pivot-HS Student % of Undergrad'!$A$3,"State","TX","Category",7,"Category2","Two-Year")</f>
        <v>0.27014228643012511</v>
      </c>
      <c r="S180" s="340">
        <f t="shared" si="22"/>
        <v>2.7971915352869581</v>
      </c>
      <c r="T180" s="219">
        <f>+GETPIVOTDATA("Sum of Old-HS % of Total",'Pivot-HS Student % of Undergrad'!$A$3,"State","TX","Category",8,"Category2","Two-Year")</f>
        <v>0.13513353004843143</v>
      </c>
      <c r="U180" s="340">
        <f t="shared" si="23"/>
        <v>1.2715437988069844</v>
      </c>
      <c r="V180" s="219">
        <f>+GETPIVOTDATA("Sum of Old-HS % of Total",'Pivot-HS Student % of Undergrad'!$A$3,"State","TX","Category",9,"Category2","Two-Year")</f>
        <v>0.16993958247210467</v>
      </c>
      <c r="W180" s="340">
        <f t="shared" si="24"/>
        <v>2.6574519754670289</v>
      </c>
      <c r="X180" s="219">
        <f>+GETPIVOTDATA("Sum of Old-HS % of Total",'Pivot-HS Student % of Undergrad'!$A$3,"State","TX","Category",10,"Category2","Two-Year")</f>
        <v>0.15296316014740116</v>
      </c>
      <c r="Y180" s="340">
        <f t="shared" si="25"/>
        <v>-0.66075354308656187</v>
      </c>
      <c r="Z180" s="219">
        <f>+GETPIVOTDATA("Sum of Old-HS % of Total",'Pivot-HS Student % of Undergrad'!$A$3,"State","TX","Category2","Two-Year")</f>
        <v>0.14922003366842579</v>
      </c>
      <c r="AA180" s="340">
        <f t="shared" si="26"/>
        <v>1.5503435992753334</v>
      </c>
      <c r="AC180" s="304" t="s">
        <v>790</v>
      </c>
      <c r="AD180" s="345">
        <f>+'FTE Pivot for regular counts'!AF171</f>
        <v>0</v>
      </c>
      <c r="AE180" s="345">
        <f>+'FTE Pivot for regular counts'!AG171</f>
        <v>0</v>
      </c>
      <c r="AF180" s="345">
        <f>+'FTE Pivot for regular counts'!AH171</f>
        <v>0</v>
      </c>
      <c r="AG180" s="345">
        <f>+'FTE Pivot for regular counts'!AI171</f>
        <v>14156.755555555555</v>
      </c>
      <c r="AH180" s="345">
        <f>+'FTE Pivot for regular counts'!AJ171</f>
        <v>78296.671111111122</v>
      </c>
      <c r="AI180" s="331">
        <f>+J180</f>
        <v>480475.34222222219</v>
      </c>
      <c r="AJ180" s="316" t="s">
        <v>790</v>
      </c>
      <c r="AK180" s="332">
        <f>+'FTE Pivot for regular counts'!AF170</f>
        <v>0</v>
      </c>
      <c r="AL180" s="346">
        <f>+'FTE Pivot for regular counts'!AG170</f>
        <v>0</v>
      </c>
      <c r="AM180" s="346">
        <f>+'FTE Pivot for regular counts'!AH170</f>
        <v>0</v>
      </c>
      <c r="AN180" s="346">
        <f>+'FTE Pivot for regular counts'!AI170</f>
        <v>-15177.518888888888</v>
      </c>
      <c r="AO180" s="346">
        <f>+'FTE Pivot for regular counts'!AJ170</f>
        <v>70039.673333333325</v>
      </c>
      <c r="AP180" s="341">
        <f>+'NEW-Tables 80-86'!V119+'NEW-Tables 80-86'!U150</f>
        <v>486241.96555555548</v>
      </c>
      <c r="AR180" s="15" t="s">
        <v>790</v>
      </c>
      <c r="AS180" s="342">
        <f t="shared" si="27"/>
        <v>29.811420178299468</v>
      </c>
      <c r="AT180" s="342">
        <f t="shared" si="28"/>
        <v>14.784896803650128</v>
      </c>
      <c r="AU180" s="342">
        <f t="shared" si="29"/>
        <v>19.651410222677494</v>
      </c>
      <c r="AV180" s="342">
        <f t="shared" si="30"/>
        <v>14.635562471653554</v>
      </c>
      <c r="AW180" s="342">
        <f t="shared" si="31"/>
        <v>16.472346966117911</v>
      </c>
      <c r="AY180" s="15" t="s">
        <v>790</v>
      </c>
      <c r="AZ180" s="342">
        <f t="shared" si="32"/>
        <v>27.014228643012512</v>
      </c>
      <c r="BA180" s="342">
        <f t="shared" si="33"/>
        <v>13.513353004843143</v>
      </c>
      <c r="BB180" s="342">
        <f t="shared" si="34"/>
        <v>16.993958247210468</v>
      </c>
      <c r="BC180" s="342">
        <f t="shared" si="35"/>
        <v>15.296316014740116</v>
      </c>
      <c r="BD180" s="342">
        <f t="shared" si="36"/>
        <v>14.92200336684258</v>
      </c>
    </row>
    <row r="181" spans="1:56" ht="15" customHeight="1">
      <c r="A181" s="15" t="s">
        <v>791</v>
      </c>
      <c r="B181" s="298">
        <f>+'NEW-Tables 80-86'!B120+'NEW-Tables 80-86'!B151</f>
        <v>0</v>
      </c>
      <c r="C181" s="339">
        <f>+GETPIVOTDATA("Sum of New-HS % of Total",'Pivot-HS Student % of Undergrad'!$A$3,"State","VA","Category",7,"Category2","Two-Year")</f>
        <v>0</v>
      </c>
      <c r="D181" s="328">
        <f>+'NEW-Tables 80-86'!C120+'NEW-Tables 80-86'!C151</f>
        <v>60664.966666666667</v>
      </c>
      <c r="E181" s="339">
        <f>+GETPIVOTDATA("Sum of New-HS % of Total",'Pivot-HS Student % of Undergrad'!$A$3,"State","VA","Category",8,"Category2","Two-Year")</f>
        <v>0.18568047785954442</v>
      </c>
      <c r="F181" s="328">
        <f>+'NEW-Tables 80-86'!D120+'NEW-Tables 80-86'!D151</f>
        <v>23934.799999999996</v>
      </c>
      <c r="G181" s="339">
        <f>+GETPIVOTDATA("Sum of New-HS % of Total",'Pivot-HS Student % of Undergrad'!$A$3,"State","VA","Category",9,"Category2","Two-Year")</f>
        <v>0.46870943841881557</v>
      </c>
      <c r="H181" s="328">
        <f>+'NEW-Tables 80-86'!E120+'NEW-Tables 80-86'!E151</f>
        <v>14328.066666666668</v>
      </c>
      <c r="I181" s="339">
        <f>+GETPIVOTDATA("Sum of New-HS % of Total",'Pivot-HS Student % of Undergrad'!$A$3,"State","VA","Category",10,"Category2","Two-Year")</f>
        <v>0.56447950642329037</v>
      </c>
      <c r="J181" s="328">
        <f>+'NEW-Tables 80-86'!F120+'NEW-Tables 80-86'!F151</f>
        <v>98927.833333333328</v>
      </c>
      <c r="K181" s="339">
        <f>+GETPIVOTDATA("Sum of New-HS % of Total",'Pivot-HS Student % of Undergrad'!$A$3,"State","VA","Category2","Group2")</f>
        <v>0.30901987475718834</v>
      </c>
      <c r="Q181" s="15" t="s">
        <v>791</v>
      </c>
      <c r="R181" s="229">
        <f>+GETPIVOTDATA("Sum of Old-HS % of Total",'Pivot-HS Student % of Undergrad'!$A$3,"State","VA","Category",7,"Category2","Two-Year")</f>
        <v>0</v>
      </c>
      <c r="S181" s="340">
        <f t="shared" si="22"/>
        <v>0</v>
      </c>
      <c r="T181" s="219">
        <f>+GETPIVOTDATA("Sum of Old-HS % of Total",'Pivot-HS Student % of Undergrad'!$A$3,"State","VA","Category",8,"Category2","Two-Year")</f>
        <v>0.1646198125190938</v>
      </c>
      <c r="U181" s="340">
        <f t="shared" si="23"/>
        <v>2.1060665340450617</v>
      </c>
      <c r="V181" s="219">
        <f>+GETPIVOTDATA("Sum of Old-HS % of Total",'Pivot-HS Student % of Undergrad'!$A$3,"State","VA","Category",9,"Category2","Two-Year")</f>
        <v>0.4663611758861359</v>
      </c>
      <c r="W181" s="340">
        <f t="shared" si="24"/>
        <v>0.2348262532679668</v>
      </c>
      <c r="X181" s="219">
        <f>+GETPIVOTDATA("Sum of Old-HS % of Total",'Pivot-HS Student % of Undergrad'!$A$3,"State","VA","Category",10,"Category2","Two-Year")</f>
        <v>0.578760069150697</v>
      </c>
      <c r="Y181" s="340">
        <f t="shared" si="25"/>
        <v>-1.4280562727406632</v>
      </c>
      <c r="Z181" s="219">
        <f>+GETPIVOTDATA("Sum of Old-HS % of Total",'Pivot-HS Student % of Undergrad'!$A$3,"State","VA","Category2","Two-Year")</f>
        <v>0.29711343464405171</v>
      </c>
      <c r="AA181" s="340">
        <f t="shared" si="26"/>
        <v>1.1906440113136629</v>
      </c>
      <c r="AC181" s="331" t="s">
        <v>791</v>
      </c>
      <c r="AD181" s="331"/>
      <c r="AE181" s="331">
        <f>+D181</f>
        <v>60664.966666666667</v>
      </c>
      <c r="AF181" s="331">
        <f>+F181</f>
        <v>23934.799999999996</v>
      </c>
      <c r="AG181" s="345">
        <f>'FTE Pivot for regular counts'!AI183</f>
        <v>14328.066666666666</v>
      </c>
      <c r="AH181" s="345">
        <f>+'FTE Pivot for regular counts'!AJ183</f>
        <v>97665.2</v>
      </c>
      <c r="AI181" s="331">
        <f>+J181</f>
        <v>98927.833333333328</v>
      </c>
      <c r="AJ181" s="316" t="s">
        <v>791</v>
      </c>
      <c r="AK181" s="332"/>
      <c r="AL181" s="332"/>
      <c r="AM181" s="332"/>
      <c r="AN181" s="346">
        <f>'FTE Pivot for regular counts'!AI182</f>
        <v>12738.266666666666</v>
      </c>
      <c r="AO181" s="346">
        <f>+'FTE Pivot for regular counts'!AJ182</f>
        <v>98379.5</v>
      </c>
      <c r="AP181" s="341">
        <f>+'NEW-Tables 80-86'!V120+'NEW-Tables 80-86'!U151</f>
        <v>101250.66666666667</v>
      </c>
      <c r="AR181" s="15" t="s">
        <v>791</v>
      </c>
      <c r="AS181" s="342">
        <f t="shared" si="27"/>
        <v>0</v>
      </c>
      <c r="AT181" s="342">
        <f t="shared" si="28"/>
        <v>18.568047785954441</v>
      </c>
      <c r="AU181" s="342">
        <f t="shared" si="29"/>
        <v>46.870943841881555</v>
      </c>
      <c r="AV181" s="342">
        <f t="shared" si="30"/>
        <v>56.447950642329033</v>
      </c>
      <c r="AW181" s="342">
        <f t="shared" si="31"/>
        <v>30.901987475718833</v>
      </c>
      <c r="AY181" s="15" t="s">
        <v>791</v>
      </c>
      <c r="AZ181" s="342">
        <f t="shared" si="32"/>
        <v>0</v>
      </c>
      <c r="BA181" s="342">
        <f t="shared" si="33"/>
        <v>16.461981251909378</v>
      </c>
      <c r="BB181" s="342">
        <f t="shared" si="34"/>
        <v>46.636117588613587</v>
      </c>
      <c r="BC181" s="342">
        <f t="shared" si="35"/>
        <v>57.876006915069702</v>
      </c>
      <c r="BD181" s="342">
        <f t="shared" si="36"/>
        <v>29.711343464405171</v>
      </c>
    </row>
    <row r="182" spans="1:56" ht="15" customHeight="1">
      <c r="A182" s="234" t="s">
        <v>792</v>
      </c>
      <c r="B182" s="302">
        <f>+'NEW-Tables 80-86'!B121+'NEW-Tables 80-86'!B152</f>
        <v>2882.4</v>
      </c>
      <c r="C182" s="347">
        <f>+GETPIVOTDATA("Sum of New-HS % of Total",'Pivot-HS Student % of Undergrad'!$A$3,"State","WV","Category",7,"Category2","Two-Year")</f>
        <v>0.11951845684152096</v>
      </c>
      <c r="D182" s="348">
        <f>+'NEW-Tables 80-86'!C121+'NEW-Tables 80-86'!C152</f>
        <v>0</v>
      </c>
      <c r="E182" s="347">
        <f>+GETPIVOTDATA("Sum of New-HS % of Total",'Pivot-HS Student % of Undergrad'!$A$3,"State","WV","Category",8,"Category2","Two-Year")</f>
        <v>0</v>
      </c>
      <c r="F182" s="348">
        <f>+'NEW-Tables 80-86'!D121+'NEW-Tables 80-86'!D152</f>
        <v>2178.4899999999998</v>
      </c>
      <c r="G182" s="347">
        <f>+GETPIVOTDATA("Sum of New-HS % of Total",'Pivot-HS Student % of Undergrad'!$A$3,"State","WV","Category",9,"Category2","Two-Year")</f>
        <v>0.12721349803457135</v>
      </c>
      <c r="H182" s="348">
        <f>+'NEW-Tables 80-86'!E121+'NEW-Tables 80-86'!E152</f>
        <v>7098.4866666666667</v>
      </c>
      <c r="I182" s="347">
        <f>+GETPIVOTDATA("Sum of New-HS % of Total",'Pivot-HS Student % of Undergrad'!$A$3,"State","WV","Category",10,"Category2","Two-Year")</f>
        <v>7.8664654344165377E-2</v>
      </c>
      <c r="J182" s="348">
        <f>+'NEW-Tables 80-86'!F121+'NEW-Tables 80-86'!F152</f>
        <v>12159.376666666667</v>
      </c>
      <c r="K182" s="347">
        <f>+GETPIVOTDATA("Sum of New-HS % of Total",'Pivot-HS Student % of Undergrad'!$A$3,"State","WV","Category2","Group2")</f>
        <v>9.7047189644863932E-2</v>
      </c>
      <c r="Q182" s="234" t="s">
        <v>792</v>
      </c>
      <c r="R182" s="239">
        <f>+GETPIVOTDATA("Sum of Old-HS % of Total",'Pivot-HS Student % of Undergrad'!$A$3,"State","WV","Category",7,"Category2","Two-Year")</f>
        <v>6.9339882482556001E-2</v>
      </c>
      <c r="S182" s="340">
        <f t="shared" si="22"/>
        <v>5.017857435896496</v>
      </c>
      <c r="T182" s="241">
        <f>+GETPIVOTDATA("Sum of Old-HS % of Total",'Pivot-HS Student % of Undergrad'!$A$3,"State","WV","Category",8,"Category2","Two-Year")</f>
        <v>0</v>
      </c>
      <c r="U182" s="340">
        <f t="shared" si="23"/>
        <v>0</v>
      </c>
      <c r="V182" s="241">
        <f>+GETPIVOTDATA("Sum of Old-HS % of Total",'Pivot-HS Student % of Undergrad'!$A$3,"State","WV","Category",9,"Category2","Two-Year")</f>
        <v>0.11168409791206593</v>
      </c>
      <c r="W182" s="340">
        <f t="shared" si="24"/>
        <v>1.5529400122505421</v>
      </c>
      <c r="X182" s="241">
        <f>+GETPIVOTDATA("Sum of Old-HS % of Total",'Pivot-HS Student % of Undergrad'!$A$3,"State","WV","Category",10,"Category2","Two-Year")</f>
        <v>7.3606758841062311E-2</v>
      </c>
      <c r="Y182" s="340">
        <f t="shared" si="25"/>
        <v>0.50578955031030659</v>
      </c>
      <c r="Z182" s="241">
        <f>+GETPIVOTDATA("Sum of Old-HS % of Total",'Pivot-HS Student % of Undergrad'!$A$3,"State","WV","Category2","Two-Year")</f>
        <v>7.9351357844915829E-2</v>
      </c>
      <c r="AA182" s="340">
        <f t="shared" si="26"/>
        <v>1.7695831799948103</v>
      </c>
      <c r="AC182" s="331" t="s">
        <v>792</v>
      </c>
      <c r="AD182" s="331">
        <f>+B182</f>
        <v>2882.4</v>
      </c>
      <c r="AE182" s="331">
        <f>+D182</f>
        <v>0</v>
      </c>
      <c r="AF182" s="331">
        <f>+F182</f>
        <v>2178.4899999999998</v>
      </c>
      <c r="AG182" s="331">
        <f>+H182</f>
        <v>7098.4866666666667</v>
      </c>
      <c r="AH182" s="304"/>
      <c r="AI182" s="331">
        <f>+J182</f>
        <v>12159.376666666667</v>
      </c>
      <c r="AJ182" s="349" t="s">
        <v>792</v>
      </c>
      <c r="AK182" s="350">
        <f>+'NEW-Tables 80-86'!R121+'NEW-Tables 80-86'!Q152</f>
        <v>2904.5333333333333</v>
      </c>
      <c r="AL182" s="350">
        <f>+'NEW-Tables 80-86'!S121+'NEW-Tables 80-86'!R152</f>
        <v>0</v>
      </c>
      <c r="AM182" s="350">
        <f>+'NEW-Tables 80-86'!T121+'NEW-Tables 80-86'!S152</f>
        <v>2184.1366666666668</v>
      </c>
      <c r="AN182" s="350">
        <f>+'NEW-Tables 80-86'!U121+'NEW-Tables 80-86'!T152</f>
        <v>7231.2200000000012</v>
      </c>
      <c r="AO182" s="350"/>
      <c r="AP182" s="351">
        <f>+'NEW-Tables 80-86'!V121+'NEW-Tables 80-86'!U152</f>
        <v>12319.890000000001</v>
      </c>
      <c r="AR182" s="234" t="s">
        <v>792</v>
      </c>
      <c r="AS182" s="352">
        <f t="shared" si="27"/>
        <v>11.951845684152095</v>
      </c>
      <c r="AT182" s="352">
        <f t="shared" si="28"/>
        <v>0</v>
      </c>
      <c r="AU182" s="352">
        <f t="shared" si="29"/>
        <v>12.721349803457136</v>
      </c>
      <c r="AV182" s="352">
        <f t="shared" si="30"/>
        <v>7.8664654344165381</v>
      </c>
      <c r="AW182" s="352">
        <f t="shared" si="31"/>
        <v>9.7047189644863927</v>
      </c>
      <c r="AY182" s="234" t="s">
        <v>792</v>
      </c>
      <c r="AZ182" s="352">
        <f t="shared" si="32"/>
        <v>6.9339882482556003</v>
      </c>
      <c r="BA182" s="352">
        <f t="shared" si="33"/>
        <v>0</v>
      </c>
      <c r="BB182" s="352">
        <f t="shared" si="34"/>
        <v>11.168409791206594</v>
      </c>
      <c r="BC182" s="352">
        <f t="shared" si="35"/>
        <v>7.3606758841062314</v>
      </c>
      <c r="BD182" s="352">
        <f t="shared" si="36"/>
        <v>7.9351357844915826</v>
      </c>
    </row>
    <row r="183" spans="1:56" ht="34.5" customHeight="1">
      <c r="A183" s="603" t="s">
        <v>960</v>
      </c>
      <c r="B183" s="603"/>
      <c r="C183" s="603"/>
      <c r="D183" s="603"/>
      <c r="E183" s="603"/>
      <c r="F183" s="603"/>
      <c r="G183" s="603"/>
      <c r="H183" s="603"/>
      <c r="I183" s="603"/>
      <c r="J183" s="603"/>
      <c r="K183" s="603"/>
    </row>
    <row r="184" spans="1:56">
      <c r="A184" s="606" t="s">
        <v>956</v>
      </c>
      <c r="B184" s="606"/>
      <c r="C184" s="606"/>
      <c r="D184" s="606"/>
      <c r="E184" s="606"/>
      <c r="F184" s="606"/>
      <c r="G184" s="606"/>
      <c r="H184" s="606"/>
      <c r="I184" s="606"/>
      <c r="J184" s="600"/>
      <c r="K184" s="600"/>
    </row>
    <row r="185" spans="1:56" ht="10.5" customHeight="1">
      <c r="K185" s="247" t="s">
        <v>953</v>
      </c>
      <c r="L185" s="227"/>
      <c r="M185" s="227"/>
    </row>
    <row r="186" spans="1:56" ht="18" customHeight="1">
      <c r="A186" s="184" t="s">
        <v>825</v>
      </c>
      <c r="B186" s="187"/>
      <c r="C186" s="187"/>
      <c r="D186" s="187"/>
      <c r="E186" s="187"/>
      <c r="F186" s="187"/>
      <c r="G186" s="187"/>
      <c r="H186" s="187"/>
      <c r="I186" s="187"/>
      <c r="M186" s="290"/>
      <c r="S186" s="260"/>
    </row>
    <row r="187" spans="1:56" ht="15.5">
      <c r="A187" s="188"/>
      <c r="B187" s="187"/>
      <c r="C187" s="187"/>
      <c r="D187" s="187"/>
      <c r="E187" s="187"/>
      <c r="F187" s="187"/>
      <c r="G187" s="187"/>
      <c r="H187" s="187"/>
      <c r="I187" s="187"/>
      <c r="M187" s="290"/>
      <c r="S187" s="260"/>
      <c r="AA187" s="30"/>
      <c r="AB187" s="129"/>
      <c r="AC187" s="304"/>
      <c r="AD187" s="306" t="s">
        <v>808</v>
      </c>
      <c r="AE187" s="304"/>
      <c r="AF187" s="304"/>
      <c r="AG187" s="304"/>
      <c r="AH187" s="304"/>
      <c r="AI187" s="304"/>
      <c r="AJ187" s="306" t="s">
        <v>808</v>
      </c>
      <c r="AK187" s="304"/>
      <c r="AL187" s="304"/>
      <c r="AO187" s="129" t="s">
        <v>758</v>
      </c>
      <c r="AT187" s="129" t="s">
        <v>758</v>
      </c>
    </row>
    <row r="188" spans="1:56" ht="15.75" customHeight="1">
      <c r="A188" s="190" t="s">
        <v>796</v>
      </c>
      <c r="B188" s="187"/>
      <c r="C188" s="187"/>
      <c r="D188" s="187"/>
      <c r="E188" s="187"/>
      <c r="F188" s="187"/>
      <c r="G188" s="187"/>
      <c r="H188" s="187"/>
      <c r="I188" s="187"/>
      <c r="M188" s="290"/>
      <c r="S188" s="260"/>
      <c r="AA188" s="30"/>
      <c r="AB188" s="30"/>
      <c r="AC188" s="304"/>
      <c r="AD188" s="353" t="s">
        <v>760</v>
      </c>
      <c r="AE188" s="304"/>
      <c r="AF188" s="304"/>
      <c r="AG188" s="304"/>
      <c r="AH188" s="304"/>
      <c r="AI188" s="304"/>
      <c r="AJ188" s="353" t="s">
        <v>757</v>
      </c>
      <c r="AK188" s="304"/>
      <c r="AL188" s="304"/>
      <c r="AO188" s="32" t="s">
        <v>760</v>
      </c>
      <c r="AT188" s="32" t="s">
        <v>757</v>
      </c>
    </row>
    <row r="189" spans="1:56" ht="15.5">
      <c r="A189" s="190" t="s">
        <v>951</v>
      </c>
      <c r="B189" s="187"/>
      <c r="C189" s="187"/>
      <c r="D189" s="187"/>
      <c r="E189" s="187"/>
      <c r="F189" s="187"/>
      <c r="G189" s="187"/>
      <c r="H189" s="187"/>
      <c r="I189" s="187"/>
      <c r="M189" s="290"/>
      <c r="Q189" s="30" t="s">
        <v>757</v>
      </c>
      <c r="S189" s="260"/>
      <c r="AA189" s="30"/>
      <c r="AB189" s="30"/>
      <c r="AC189" s="304"/>
      <c r="AD189" s="304"/>
      <c r="AE189" s="304"/>
      <c r="AF189" s="304"/>
      <c r="AG189" s="304"/>
      <c r="AH189" s="304"/>
      <c r="AI189" s="304"/>
      <c r="AJ189" s="304"/>
      <c r="AK189" s="304"/>
      <c r="AL189" s="304"/>
    </row>
    <row r="190" spans="1:56" ht="13">
      <c r="C190" s="234"/>
      <c r="D190" s="234"/>
      <c r="E190" s="234"/>
      <c r="F190" s="234"/>
      <c r="G190" s="234"/>
      <c r="M190" s="290"/>
      <c r="Q190" s="305" t="s">
        <v>759</v>
      </c>
      <c r="R190" s="234"/>
      <c r="S190" s="234"/>
      <c r="T190" s="234"/>
      <c r="U190" s="234"/>
      <c r="V190" s="234"/>
      <c r="W190" s="234"/>
      <c r="AA190" s="30"/>
      <c r="AB190" s="30"/>
      <c r="AC190" s="304"/>
      <c r="AD190" s="354" t="s">
        <v>808</v>
      </c>
      <c r="AE190" s="304"/>
      <c r="AF190" s="304"/>
      <c r="AG190" s="304"/>
      <c r="AH190" s="304"/>
      <c r="AI190" s="304"/>
      <c r="AJ190" s="354" t="s">
        <v>808</v>
      </c>
      <c r="AK190" s="304"/>
      <c r="AL190" s="304"/>
    </row>
    <row r="191" spans="1:56" ht="28.5" customHeight="1">
      <c r="A191" s="197"/>
      <c r="B191" s="355">
        <v>1</v>
      </c>
      <c r="D191" s="356">
        <v>2</v>
      </c>
      <c r="F191" s="357" t="s">
        <v>761</v>
      </c>
      <c r="M191" s="290"/>
      <c r="Q191" s="140"/>
      <c r="R191" s="140" t="s">
        <v>826</v>
      </c>
      <c r="T191" s="358">
        <v>2</v>
      </c>
      <c r="V191" s="358" t="s">
        <v>827</v>
      </c>
      <c r="AA191" s="30"/>
      <c r="AB191" s="30"/>
      <c r="AC191" s="304"/>
      <c r="AD191" s="359" t="s">
        <v>802</v>
      </c>
      <c r="AE191" s="360"/>
      <c r="AF191" s="361"/>
      <c r="AG191" s="362"/>
      <c r="AH191" s="304"/>
      <c r="AI191" s="304"/>
      <c r="AJ191" s="359" t="s">
        <v>802</v>
      </c>
      <c r="AK191" s="360"/>
      <c r="AL191" s="361"/>
      <c r="AP191" s="359">
        <v>1</v>
      </c>
      <c r="AQ191" s="360">
        <v>2</v>
      </c>
      <c r="AR191" s="361" t="s">
        <v>761</v>
      </c>
      <c r="AU191" s="359">
        <v>1</v>
      </c>
      <c r="AV191" s="360">
        <v>2</v>
      </c>
      <c r="AW191" s="361" t="s">
        <v>761</v>
      </c>
    </row>
    <row r="192" spans="1:56" ht="78" customHeight="1">
      <c r="A192" s="319"/>
      <c r="B192" s="313" t="s">
        <v>764</v>
      </c>
      <c r="C192" s="207" t="s">
        <v>765</v>
      </c>
      <c r="D192" s="320" t="s">
        <v>764</v>
      </c>
      <c r="E192" s="207" t="s">
        <v>765</v>
      </c>
      <c r="F192" s="320" t="s">
        <v>764</v>
      </c>
      <c r="G192" s="207" t="s">
        <v>765</v>
      </c>
      <c r="M192" s="290"/>
      <c r="Q192" s="234"/>
      <c r="R192" s="210" t="s">
        <v>813</v>
      </c>
      <c r="S192" s="210" t="s">
        <v>767</v>
      </c>
      <c r="T192" s="211" t="s">
        <v>813</v>
      </c>
      <c r="U192" s="210" t="s">
        <v>767</v>
      </c>
      <c r="V192" s="211" t="s">
        <v>813</v>
      </c>
      <c r="W192" s="210" t="s">
        <v>767</v>
      </c>
      <c r="X192" s="363"/>
      <c r="Y192" s="363"/>
      <c r="AA192" s="30"/>
      <c r="AB192" s="30"/>
      <c r="AC192" s="304"/>
      <c r="AD192" s="364">
        <v>1</v>
      </c>
      <c r="AE192" s="365">
        <v>2</v>
      </c>
      <c r="AF192" s="324" t="s">
        <v>761</v>
      </c>
      <c r="AG192" s="324"/>
      <c r="AH192" s="304"/>
      <c r="AI192" s="304"/>
      <c r="AJ192" s="364">
        <v>1</v>
      </c>
      <c r="AK192" s="365">
        <v>2</v>
      </c>
      <c r="AL192" s="324" t="s">
        <v>761</v>
      </c>
      <c r="AP192" s="212" t="s">
        <v>768</v>
      </c>
      <c r="AQ192" s="212" t="s">
        <v>768</v>
      </c>
      <c r="AR192" s="212" t="s">
        <v>768</v>
      </c>
      <c r="AU192" s="212" t="s">
        <v>768</v>
      </c>
      <c r="AV192" s="212" t="s">
        <v>768</v>
      </c>
      <c r="AW192" s="212" t="s">
        <v>768</v>
      </c>
    </row>
    <row r="193" spans="1:49" ht="12.75" customHeight="1">
      <c r="A193" s="15" t="s">
        <v>769</v>
      </c>
      <c r="B193" s="298">
        <f>+'NEW-Tables 80-86'!G101+'NEW-Tables 80-86'!G132</f>
        <v>86240.361044444449</v>
      </c>
      <c r="D193" s="328">
        <f>+'NEW-Tables 80-86'!H101+'NEW-Tables 80-86'!H132</f>
        <v>30518.443522222224</v>
      </c>
      <c r="F193" s="328">
        <f>+'NEW-Tables 80-86'!I101+'NEW-Tables 80-86'!I132</f>
        <v>116758.80456666667</v>
      </c>
      <c r="M193" s="290"/>
      <c r="Q193" s="15" t="s">
        <v>769</v>
      </c>
      <c r="R193" s="217"/>
      <c r="S193" s="330">
        <f>C193-R193</f>
        <v>0</v>
      </c>
      <c r="T193" s="219"/>
      <c r="U193" s="330">
        <f>E193-T193</f>
        <v>0</v>
      </c>
      <c r="V193" s="219"/>
      <c r="W193" s="330">
        <f>G193-V193</f>
        <v>0</v>
      </c>
      <c r="X193" s="339"/>
      <c r="Y193" s="366"/>
      <c r="AA193" s="30"/>
      <c r="AB193" s="30"/>
      <c r="AC193" s="304" t="s">
        <v>769</v>
      </c>
      <c r="AD193" s="367">
        <f>SUM(AD195:AD213)</f>
        <v>86240.361044444449</v>
      </c>
      <c r="AE193" s="331">
        <f>SUM(AE195:AE213)</f>
        <v>30518.443522222224</v>
      </c>
      <c r="AF193" s="331">
        <f>SUM(AF195:AF213)</f>
        <v>116758.80456666667</v>
      </c>
      <c r="AG193" s="331"/>
      <c r="AH193" s="304"/>
      <c r="AI193" s="304" t="s">
        <v>769</v>
      </c>
      <c r="AJ193" s="331">
        <f>SUM(AJ195:AJ213)</f>
        <v>84628.817277777795</v>
      </c>
      <c r="AK193" s="331">
        <f>SUM(AK195:AK213)</f>
        <v>30332.621499999994</v>
      </c>
      <c r="AL193" s="331">
        <f>SUM(AL195:AL213)</f>
        <v>114961.43877777779</v>
      </c>
      <c r="AO193" s="304" t="s">
        <v>769</v>
      </c>
      <c r="AT193" s="304" t="s">
        <v>769</v>
      </c>
    </row>
    <row r="194" spans="1:49" ht="10.5" customHeight="1">
      <c r="A194" s="333"/>
      <c r="B194" s="333"/>
      <c r="C194" s="335" t="s">
        <v>828</v>
      </c>
      <c r="D194" s="337" t="s">
        <v>803</v>
      </c>
      <c r="E194" s="335" t="s">
        <v>829</v>
      </c>
      <c r="F194" s="337" t="s">
        <v>803</v>
      </c>
      <c r="G194" s="335" t="s">
        <v>830</v>
      </c>
      <c r="J194" s="15" t="s">
        <v>803</v>
      </c>
      <c r="M194" s="290"/>
      <c r="R194" s="224"/>
      <c r="S194" s="330"/>
      <c r="T194" s="226"/>
      <c r="U194" s="330"/>
      <c r="V194" s="226"/>
      <c r="W194" s="330"/>
      <c r="X194" s="339"/>
      <c r="Y194" s="368"/>
      <c r="AA194" s="30"/>
      <c r="AB194" s="30"/>
      <c r="AC194" s="304"/>
      <c r="AD194" s="331"/>
      <c r="AE194" s="331"/>
      <c r="AF194" s="331"/>
      <c r="AG194" s="331"/>
      <c r="AH194" s="304"/>
      <c r="AI194" s="304"/>
      <c r="AJ194" s="331"/>
      <c r="AK194" s="331"/>
      <c r="AL194" s="331"/>
      <c r="AO194" s="304"/>
      <c r="AT194" s="304"/>
    </row>
    <row r="195" spans="1:49">
      <c r="A195" s="15" t="s">
        <v>777</v>
      </c>
      <c r="B195" s="298">
        <f>+'NEW-Tables 80-86'!G103+'NEW-Tables 80-86'!G134</f>
        <v>1477.9</v>
      </c>
      <c r="C195" s="339">
        <f>+GETPIVOTDATA("Sum of New-HS % of Total",'Pivot-HS Student % of Undergrad'!$A$3,"State","AL","Category",12,"Category2","Technical")</f>
        <v>4.4951169452150573E-2</v>
      </c>
      <c r="D195" s="328">
        <f>+'NEW-Tables 80-86'!H103+'NEW-Tables 80-86'!H134</f>
        <v>1503.8333333333333</v>
      </c>
      <c r="E195" s="339">
        <f>+GETPIVOTDATA("Sum of New-HS % of Total",'Pivot-HS Student % of Undergrad'!$A$3,"State","AL","Category",13,"Category2","Technical")</f>
        <v>5.0692674276848058E-2</v>
      </c>
      <c r="F195" s="328">
        <f>+'NEW-Tables 80-86'!I103+'NEW-Tables 80-86'!I134</f>
        <v>2981.7333333333336</v>
      </c>
      <c r="G195" s="339">
        <f>+GETPIVOTDATA("Sum of New-HS % of Total",'Pivot-HS Student % of Undergrad'!$A$3,"State","AL","Category2","Group3")</f>
        <v>4.784688995215311E-2</v>
      </c>
      <c r="M195" s="290"/>
      <c r="Q195" s="15" t="s">
        <v>777</v>
      </c>
      <c r="R195" s="229">
        <f>+GETPIVOTDATA("Sum of Old-HS % of Total",'Pivot-HS Student % of Undergrad'!$A$3,"State","AL","Category",12,"Category2","Technical")</f>
        <v>4.7841529403351526E-2</v>
      </c>
      <c r="S195" s="340">
        <f>(C195-R195)*100</f>
        <v>-0.28903599512009537</v>
      </c>
      <c r="T195" s="219">
        <f>+GETPIVOTDATA("Sum of Old-HS % of Total",'Pivot-HS Student % of Undergrad'!$A$3,"State","AL","Category",13,"Category2","Technical")</f>
        <v>5.5931251678425817E-2</v>
      </c>
      <c r="U195" s="340">
        <f>(E195-T195)*100</f>
        <v>-0.52385774015777586</v>
      </c>
      <c r="V195" s="219">
        <f>+GETPIVOTDATA("Sum of Old-HS % of Total",'Pivot-HS Student % of Undergrad'!$A$3,"State","AL","Category2","Technical")</f>
        <v>5.1838093400231572E-2</v>
      </c>
      <c r="W195" s="340">
        <f>(G195-V195)*100</f>
        <v>-0.39912034480784619</v>
      </c>
      <c r="X195" s="339"/>
      <c r="Y195" s="368"/>
      <c r="AA195" s="30"/>
      <c r="AB195" s="30"/>
      <c r="AC195" s="304" t="s">
        <v>777</v>
      </c>
      <c r="AD195" s="367">
        <f>+B195</f>
        <v>1477.9</v>
      </c>
      <c r="AE195" s="331">
        <f>+D195</f>
        <v>1503.8333333333333</v>
      </c>
      <c r="AF195" s="331">
        <f>+F195</f>
        <v>2981.7333333333336</v>
      </c>
      <c r="AG195" s="331"/>
      <c r="AH195" s="304"/>
      <c r="AI195" s="304" t="s">
        <v>777</v>
      </c>
      <c r="AJ195" s="369">
        <f>+'NEW-Tables 80-86'!W103+'NEW-Tables 80-86'!V134</f>
        <v>1398.3666666666666</v>
      </c>
      <c r="AK195" s="331">
        <f>+'NEW-Tables 80-86'!X103+'NEW-Tables 80-86'!W134</f>
        <v>1365.3666666666666</v>
      </c>
      <c r="AL195" s="331">
        <f>+'NEW-Tables 80-86'!Y103+'NEW-Tables 80-86'!X134</f>
        <v>2763.7333333333331</v>
      </c>
      <c r="AO195" s="304" t="s">
        <v>777</v>
      </c>
      <c r="AP195" s="370">
        <f>C195*100</f>
        <v>4.4951169452150577</v>
      </c>
      <c r="AQ195" s="370">
        <f>E195*100</f>
        <v>5.0692674276848058</v>
      </c>
      <c r="AR195" s="370">
        <f>G195*100</f>
        <v>4.7846889952153111</v>
      </c>
      <c r="AT195" s="304" t="s">
        <v>777</v>
      </c>
      <c r="AU195" s="370">
        <f>R195*100</f>
        <v>4.7841529403351526</v>
      </c>
      <c r="AV195" s="370">
        <f>T195*100</f>
        <v>5.5931251678425813</v>
      </c>
      <c r="AW195" s="370">
        <f>V195*100</f>
        <v>5.1838093400231573</v>
      </c>
    </row>
    <row r="196" spans="1:49">
      <c r="A196" s="15" t="s">
        <v>778</v>
      </c>
      <c r="B196" s="298">
        <f>+'NEW-Tables 80-86'!G104+'NEW-Tables 80-86'!G135</f>
        <v>0</v>
      </c>
      <c r="C196" s="339">
        <f>+GETPIVOTDATA("Sum of New-HS % of Total",'Pivot-HS Student % of Undergrad'!$A$3,"State","AR","Category",12,"Category2","Technical")</f>
        <v>0</v>
      </c>
      <c r="D196" s="328">
        <f>+'NEW-Tables 80-86'!H104+'NEW-Tables 80-86'!H135</f>
        <v>0</v>
      </c>
      <c r="E196" s="339">
        <f>+GETPIVOTDATA("Sum of New-HS % of Total",'Pivot-HS Student % of Undergrad'!$A$3,"State","AR","Category",13,"Category2","Technical")</f>
        <v>0</v>
      </c>
      <c r="F196" s="328">
        <f>+'NEW-Tables 80-86'!I104+'NEW-Tables 80-86'!I135</f>
        <v>0</v>
      </c>
      <c r="G196" s="339">
        <f>+GETPIVOTDATA("Sum of New-HS % of Total",'Pivot-HS Student % of Undergrad'!$A$3,"State","AR","Category2","Group3")</f>
        <v>0</v>
      </c>
      <c r="M196" s="290"/>
      <c r="Q196" s="15" t="s">
        <v>778</v>
      </c>
      <c r="R196" s="229">
        <f>+GETPIVOTDATA("Sum of Old-HS % of Total",'Pivot-HS Student % of Undergrad'!$A$3,"State","AR","Category",12,"Category2","Technical")</f>
        <v>0</v>
      </c>
      <c r="S196" s="340">
        <f t="shared" ref="S196:S213" si="37">(C196-R196)*100</f>
        <v>0</v>
      </c>
      <c r="T196" s="219">
        <f>+GETPIVOTDATA("Sum of Old-HS % of Total",'Pivot-HS Student % of Undergrad'!$A$3,"State","AR","Category",13,"Category2","Technical")</f>
        <v>0</v>
      </c>
      <c r="U196" s="340">
        <f t="shared" ref="U196:U213" si="38">(E196-T196)*100</f>
        <v>0</v>
      </c>
      <c r="V196" s="219">
        <f>+GETPIVOTDATA("Sum of Old-HS % of Total",'Pivot-HS Student % of Undergrad'!$A$3,"State","AR","Category2","Technical")</f>
        <v>0</v>
      </c>
      <c r="W196" s="340">
        <f t="shared" ref="W196:W213" si="39">(G196-V196)*100</f>
        <v>0</v>
      </c>
      <c r="X196" s="339"/>
      <c r="Y196" s="371"/>
      <c r="AA196" s="30"/>
      <c r="AB196" s="30"/>
      <c r="AC196" s="304" t="s">
        <v>778</v>
      </c>
      <c r="AD196" s="367">
        <f>+B196</f>
        <v>0</v>
      </c>
      <c r="AE196" s="331">
        <f>+D196</f>
        <v>0</v>
      </c>
      <c r="AF196" s="331">
        <f>+F196</f>
        <v>0</v>
      </c>
      <c r="AG196" s="331"/>
      <c r="AH196" s="304"/>
      <c r="AI196" s="304" t="s">
        <v>778</v>
      </c>
      <c r="AJ196" s="369">
        <f>+'NEW-Tables 80-86'!W104+'NEW-Tables 80-86'!V135</f>
        <v>0</v>
      </c>
      <c r="AK196" s="331">
        <f>+'NEW-Tables 80-86'!X104+'NEW-Tables 80-86'!W135</f>
        <v>0</v>
      </c>
      <c r="AL196" s="331">
        <f>+'NEW-Tables 80-86'!Y104+'NEW-Tables 80-86'!X135</f>
        <v>0</v>
      </c>
      <c r="AO196" s="304" t="s">
        <v>778</v>
      </c>
      <c r="AP196" s="370">
        <f t="shared" ref="AP196:AP213" si="40">C196*100</f>
        <v>0</v>
      </c>
      <c r="AQ196" s="370">
        <f t="shared" ref="AQ196:AQ213" si="41">E196*100</f>
        <v>0</v>
      </c>
      <c r="AR196" s="370">
        <f t="shared" ref="AR196:AR213" si="42">G196*100</f>
        <v>0</v>
      </c>
      <c r="AT196" s="304" t="s">
        <v>778</v>
      </c>
      <c r="AU196" s="370">
        <f t="shared" ref="AU196:AU213" si="43">R196*100</f>
        <v>0</v>
      </c>
      <c r="AV196" s="370">
        <f t="shared" ref="AV196:AV213" si="44">T196*100</f>
        <v>0</v>
      </c>
      <c r="AW196" s="370">
        <f t="shared" ref="AW196:AW213" si="45">V196*100</f>
        <v>0</v>
      </c>
    </row>
    <row r="197" spans="1:49">
      <c r="A197" s="15" t="s">
        <v>779</v>
      </c>
      <c r="B197" s="298">
        <f>+'NEW-Tables 80-86'!G105+'NEW-Tables 80-86'!G136</f>
        <v>0</v>
      </c>
      <c r="C197" s="339">
        <f>+GETPIVOTDATA("Sum of New-HS % of Total",'Pivot-HS Student % of Undergrad'!$A$3,"State","DE","Category",12,"Category2","Technical")</f>
        <v>0</v>
      </c>
      <c r="D197" s="328">
        <f>+'NEW-Tables 80-86'!H105+'NEW-Tables 80-86'!H136</f>
        <v>0</v>
      </c>
      <c r="E197" s="339">
        <f>+GETPIVOTDATA("Sum of New-HS % of Total",'Pivot-HS Student % of Undergrad'!$A$3,"State","DE","Category",13,"Category2","Technical")</f>
        <v>0</v>
      </c>
      <c r="F197" s="328">
        <f>+'NEW-Tables 80-86'!I105+'NEW-Tables 80-86'!I136</f>
        <v>0</v>
      </c>
      <c r="G197" s="339">
        <f>+GETPIVOTDATA("Sum of New-HS % of Total",'Pivot-HS Student % of Undergrad'!$A$3,"State","DE","Category2","Group3")</f>
        <v>0</v>
      </c>
      <c r="M197" s="290"/>
      <c r="Q197" s="15" t="s">
        <v>779</v>
      </c>
      <c r="R197" s="229">
        <f>+GETPIVOTDATA("Sum of Old-HS % of Total",'Pivot-HS Student % of Undergrad'!$A$3,"State","DE","Category",12,"Category2","Technical")</f>
        <v>0</v>
      </c>
      <c r="S197" s="340">
        <f t="shared" si="37"/>
        <v>0</v>
      </c>
      <c r="T197" s="219">
        <f>+GETPIVOTDATA("Sum of Old-HS % of Total",'Pivot-HS Student % of Undergrad'!$A$3,"State","DE","Category",13,"Category2","Technical")</f>
        <v>0</v>
      </c>
      <c r="U197" s="340">
        <f t="shared" si="38"/>
        <v>0</v>
      </c>
      <c r="V197" s="219">
        <f>+GETPIVOTDATA("Sum of Old-HS % of Total",'Pivot-HS Student % of Undergrad'!$A$3,"State","DE","Category2","Technical")</f>
        <v>0</v>
      </c>
      <c r="W197" s="340">
        <f t="shared" si="39"/>
        <v>0</v>
      </c>
      <c r="X197" s="339"/>
      <c r="Y197" s="368"/>
      <c r="AA197" s="30"/>
      <c r="AB197" s="30"/>
      <c r="AC197" s="304" t="s">
        <v>779</v>
      </c>
      <c r="AD197" s="367">
        <f>+B197</f>
        <v>0</v>
      </c>
      <c r="AE197" s="331">
        <f>+D197</f>
        <v>0</v>
      </c>
      <c r="AF197" s="331">
        <f>+F197</f>
        <v>0</v>
      </c>
      <c r="AG197" s="331"/>
      <c r="AH197" s="304"/>
      <c r="AI197" s="304" t="s">
        <v>779</v>
      </c>
      <c r="AJ197" s="369">
        <f>+'NEW-Tables 80-86'!W105+'NEW-Tables 80-86'!V136</f>
        <v>0</v>
      </c>
      <c r="AK197" s="331">
        <f>+'NEW-Tables 80-86'!X105+'NEW-Tables 80-86'!W136</f>
        <v>0</v>
      </c>
      <c r="AL197" s="331">
        <f>+'NEW-Tables 80-86'!Y105+'NEW-Tables 80-86'!X136</f>
        <v>0</v>
      </c>
      <c r="AO197" s="304" t="s">
        <v>779</v>
      </c>
      <c r="AP197" s="370">
        <f t="shared" si="40"/>
        <v>0</v>
      </c>
      <c r="AQ197" s="370">
        <f t="shared" si="41"/>
        <v>0</v>
      </c>
      <c r="AR197" s="370">
        <f t="shared" si="42"/>
        <v>0</v>
      </c>
      <c r="AT197" s="304" t="s">
        <v>779</v>
      </c>
      <c r="AU197" s="370">
        <f t="shared" si="43"/>
        <v>0</v>
      </c>
      <c r="AV197" s="370">
        <f t="shared" si="44"/>
        <v>0</v>
      </c>
      <c r="AW197" s="370">
        <f t="shared" si="45"/>
        <v>0</v>
      </c>
    </row>
    <row r="198" spans="1:49">
      <c r="A198" s="15" t="s">
        <v>780</v>
      </c>
      <c r="B198" s="298">
        <f>+'NEW-Tables 80-86'!G106+'NEW-Tables 80-86'!G137</f>
        <v>0</v>
      </c>
      <c r="C198" s="339">
        <f>+GETPIVOTDATA("Sum of New-HS % of Total",'Pivot-HS Student % of Undergrad'!$A$3,"State","FL","Category",12,"Category2","Technical")</f>
        <v>0</v>
      </c>
      <c r="D198" s="328">
        <f>+'NEW-Tables 80-86'!H106+'NEW-Tables 80-86'!H137</f>
        <v>0</v>
      </c>
      <c r="E198" s="339">
        <f>+GETPIVOTDATA("Sum of New-HS % of Total",'Pivot-HS Student % of Undergrad'!$A$3,"State","FL","Category",13,"Category2","Technical")</f>
        <v>0</v>
      </c>
      <c r="F198" s="328">
        <f>+'NEW-Tables 80-86'!I106+'NEW-Tables 80-86'!I137</f>
        <v>0</v>
      </c>
      <c r="G198" s="339">
        <f>+GETPIVOTDATA("Sum of New-HS % of Total",'Pivot-HS Student % of Undergrad'!$A$3,"State","FL","Category2","Group3")</f>
        <v>0</v>
      </c>
      <c r="M198" s="290"/>
      <c r="Q198" s="15" t="s">
        <v>780</v>
      </c>
      <c r="R198" s="229">
        <f>+GETPIVOTDATA("Sum of Old-HS % of Total",'Pivot-HS Student % of Undergrad'!$A$3,"State","FL","Category",12,"Category2","Technical")</f>
        <v>0</v>
      </c>
      <c r="S198" s="340">
        <f t="shared" si="37"/>
        <v>0</v>
      </c>
      <c r="T198" s="219">
        <f>+GETPIVOTDATA("Sum of Old-HS % of Total",'Pivot-HS Student % of Undergrad'!$A$3,"State","FL","Category",13,"Category2","Technical")</f>
        <v>0</v>
      </c>
      <c r="U198" s="340">
        <f t="shared" si="38"/>
        <v>0</v>
      </c>
      <c r="V198" s="219">
        <f>+GETPIVOTDATA("Sum of Old-HS % of Total",'Pivot-HS Student % of Undergrad'!$A$3,"State","FL","Category2","Technical")</f>
        <v>0</v>
      </c>
      <c r="W198" s="340">
        <f t="shared" si="39"/>
        <v>0</v>
      </c>
      <c r="X198" s="339"/>
      <c r="Y198" s="368"/>
      <c r="AA198" s="30"/>
      <c r="AB198" s="30"/>
      <c r="AC198" s="304" t="s">
        <v>780</v>
      </c>
      <c r="AD198" s="367">
        <f>+B198</f>
        <v>0</v>
      </c>
      <c r="AE198" s="331">
        <f>+D198</f>
        <v>0</v>
      </c>
      <c r="AF198" s="331">
        <f>+F198</f>
        <v>0</v>
      </c>
      <c r="AG198" s="331"/>
      <c r="AH198" s="304"/>
      <c r="AI198" s="304" t="s">
        <v>780</v>
      </c>
      <c r="AJ198" s="369">
        <f>+'NEW-Tables 80-86'!W106+'NEW-Tables 80-86'!V137</f>
        <v>0</v>
      </c>
      <c r="AK198" s="331">
        <f>+'NEW-Tables 80-86'!X106+'NEW-Tables 80-86'!W137</f>
        <v>0</v>
      </c>
      <c r="AL198" s="331">
        <f>+'NEW-Tables 80-86'!Y106+'NEW-Tables 80-86'!X137</f>
        <v>0</v>
      </c>
      <c r="AO198" s="304" t="s">
        <v>780</v>
      </c>
      <c r="AP198" s="370">
        <f t="shared" si="40"/>
        <v>0</v>
      </c>
      <c r="AQ198" s="370">
        <f t="shared" si="41"/>
        <v>0</v>
      </c>
      <c r="AR198" s="370">
        <f t="shared" si="42"/>
        <v>0</v>
      </c>
      <c r="AT198" s="304" t="s">
        <v>780</v>
      </c>
      <c r="AU198" s="370">
        <f t="shared" si="43"/>
        <v>0</v>
      </c>
      <c r="AV198" s="370">
        <f t="shared" si="44"/>
        <v>0</v>
      </c>
      <c r="AW198" s="370">
        <f t="shared" si="45"/>
        <v>0</v>
      </c>
    </row>
    <row r="199" spans="1:49">
      <c r="B199" s="298"/>
      <c r="C199" s="339"/>
      <c r="D199" s="328"/>
      <c r="E199" s="339"/>
      <c r="F199" s="328"/>
      <c r="G199" s="339"/>
      <c r="M199" s="290"/>
      <c r="R199" s="229"/>
      <c r="S199" s="340"/>
      <c r="T199" s="219"/>
      <c r="U199" s="340"/>
      <c r="V199" s="219"/>
      <c r="W199" s="340"/>
      <c r="X199" s="339"/>
      <c r="Y199" s="368"/>
      <c r="AA199" s="30"/>
      <c r="AB199" s="30"/>
      <c r="AC199" s="304"/>
      <c r="AD199" s="367"/>
      <c r="AE199" s="331"/>
      <c r="AF199" s="331"/>
      <c r="AG199" s="331"/>
      <c r="AH199" s="304"/>
      <c r="AI199" s="304"/>
      <c r="AJ199" s="369"/>
      <c r="AK199" s="331"/>
      <c r="AL199" s="331"/>
      <c r="AO199" s="304"/>
      <c r="AP199" s="370">
        <f t="shared" si="40"/>
        <v>0</v>
      </c>
      <c r="AQ199" s="370">
        <f t="shared" si="41"/>
        <v>0</v>
      </c>
      <c r="AR199" s="370">
        <f t="shared" si="42"/>
        <v>0</v>
      </c>
      <c r="AT199" s="304"/>
      <c r="AU199" s="370">
        <f t="shared" si="43"/>
        <v>0</v>
      </c>
      <c r="AV199" s="370">
        <f t="shared" si="44"/>
        <v>0</v>
      </c>
      <c r="AW199" s="370">
        <f t="shared" si="45"/>
        <v>0</v>
      </c>
    </row>
    <row r="200" spans="1:49">
      <c r="A200" s="15" t="s">
        <v>781</v>
      </c>
      <c r="B200" s="298">
        <f>+'NEW-Tables 80-86'!G108+'NEW-Tables 80-86'!G139</f>
        <v>67961.233333333337</v>
      </c>
      <c r="C200" s="339">
        <f>+GETPIVOTDATA("Sum of New-HS % of Total",'Pivot-HS Student % of Undergrad'!$A$3,"State","GA","Category",12,"Category2","Technical")</f>
        <v>0.17114266613760687</v>
      </c>
      <c r="D200" s="328">
        <f>+'NEW-Tables 80-86'!H108+'NEW-Tables 80-86'!H139</f>
        <v>0</v>
      </c>
      <c r="E200" s="339">
        <f>+GETPIVOTDATA("Sum of New-HS % of Total",'Pivot-HS Student % of Undergrad'!$A$3,"State","GA","Category",13,"Category2","Technical")</f>
        <v>0</v>
      </c>
      <c r="F200" s="328">
        <f>+'NEW-Tables 80-86'!I108+'NEW-Tables 80-86'!I139</f>
        <v>67961.233333333337</v>
      </c>
      <c r="G200" s="339">
        <f>+GETPIVOTDATA("Sum of New-HS % of Total",'Pivot-HS Student % of Undergrad'!$A$3,"State","GA","Category2","Group3")</f>
        <v>0.17114266613760687</v>
      </c>
      <c r="M200" s="290"/>
      <c r="Q200" s="15" t="s">
        <v>781</v>
      </c>
      <c r="R200" s="229">
        <f>+GETPIVOTDATA("Sum of Old-HS % of Total",'Pivot-HS Student % of Undergrad'!$A$3,"State","GA","Category",12,"Category2","Technical")</f>
        <v>0.14964061475611437</v>
      </c>
      <c r="S200" s="340">
        <f t="shared" si="37"/>
        <v>2.15020513814925</v>
      </c>
      <c r="T200" s="219">
        <f>+GETPIVOTDATA("Sum of Old-HS % of Total",'Pivot-HS Student % of Undergrad'!$A$3,"State","GA","Category",13,"Category2","Technical")</f>
        <v>0</v>
      </c>
      <c r="U200" s="340">
        <f t="shared" si="38"/>
        <v>0</v>
      </c>
      <c r="V200" s="219">
        <f>+GETPIVOTDATA("Sum of Old-HS % of Total",'Pivot-HS Student % of Undergrad'!$A$3,"State","GA","Category2","Technical")</f>
        <v>0.14964061475611437</v>
      </c>
      <c r="W200" s="340">
        <f t="shared" si="39"/>
        <v>2.15020513814925</v>
      </c>
      <c r="X200" s="339"/>
      <c r="Y200" s="368"/>
      <c r="AA200" s="30"/>
      <c r="AB200" s="30"/>
      <c r="AC200" s="304" t="s">
        <v>781</v>
      </c>
      <c r="AD200" s="367">
        <f>+B200</f>
        <v>67961.233333333337</v>
      </c>
      <c r="AE200" s="331">
        <f>+D200</f>
        <v>0</v>
      </c>
      <c r="AF200" s="331">
        <f>+F200</f>
        <v>67961.233333333337</v>
      </c>
      <c r="AG200" s="331"/>
      <c r="AH200" s="304"/>
      <c r="AI200" s="304" t="s">
        <v>781</v>
      </c>
      <c r="AJ200" s="369">
        <f>+'NEW-Tables 80-86'!W108+'NEW-Tables 80-86'!V139</f>
        <v>66137.013333333336</v>
      </c>
      <c r="AK200" s="331">
        <f>+'NEW-Tables 80-86'!X108+'NEW-Tables 80-86'!W139</f>
        <v>0</v>
      </c>
      <c r="AL200" s="331">
        <f>+'NEW-Tables 80-86'!Y108+'NEW-Tables 80-86'!X139</f>
        <v>66137.013333333336</v>
      </c>
      <c r="AO200" s="304" t="s">
        <v>781</v>
      </c>
      <c r="AP200" s="370">
        <f t="shared" si="40"/>
        <v>17.114266613760687</v>
      </c>
      <c r="AQ200" s="370">
        <f t="shared" si="41"/>
        <v>0</v>
      </c>
      <c r="AR200" s="370">
        <f t="shared" si="42"/>
        <v>17.114266613760687</v>
      </c>
      <c r="AT200" s="304" t="s">
        <v>781</v>
      </c>
      <c r="AU200" s="370">
        <f t="shared" si="43"/>
        <v>14.964061475611437</v>
      </c>
      <c r="AV200" s="370">
        <f t="shared" si="44"/>
        <v>0</v>
      </c>
      <c r="AW200" s="370">
        <f t="shared" si="45"/>
        <v>14.964061475611437</v>
      </c>
    </row>
    <row r="201" spans="1:49">
      <c r="A201" s="15" t="s">
        <v>782</v>
      </c>
      <c r="B201" s="298">
        <f>+'NEW-Tables 80-86'!G109+'NEW-Tables 80-86'!G140</f>
        <v>5195.9566666666669</v>
      </c>
      <c r="C201" s="339">
        <f>+GETPIVOTDATA("Sum of New-HS % of Total",'Pivot-HS Student % of Undergrad'!$A$3,"State","KY","Category",12,"Category2","Technical")</f>
        <v>0.13010436961560495</v>
      </c>
      <c r="D201" s="328">
        <f>+'NEW-Tables 80-86'!H109+'NEW-Tables 80-86'!H140</f>
        <v>0</v>
      </c>
      <c r="E201" s="339">
        <f>+GETPIVOTDATA("Sum of New-HS % of Total",'Pivot-HS Student % of Undergrad'!$A$3,"State","KY","Category",13,"Category2","Technical")</f>
        <v>0</v>
      </c>
      <c r="F201" s="328">
        <f>+'NEW-Tables 80-86'!I109+'NEW-Tables 80-86'!I140</f>
        <v>5195.9566666666669</v>
      </c>
      <c r="G201" s="339">
        <f>+GETPIVOTDATA("Sum of New-HS % of Total",'Pivot-HS Student % of Undergrad'!$A$3,"State","KY","Category2","Group3")</f>
        <v>0.13010436961560495</v>
      </c>
      <c r="M201" s="290"/>
      <c r="Q201" s="15" t="s">
        <v>782</v>
      </c>
      <c r="R201" s="229">
        <f>+GETPIVOTDATA("Sum of Old-HS % of Total",'Pivot-HS Student % of Undergrad'!$A$3,"State","KY","Category",12,"Category2","Technical")</f>
        <v>0.12032542011202987</v>
      </c>
      <c r="S201" s="340">
        <f t="shared" si="37"/>
        <v>0.97789495035750795</v>
      </c>
      <c r="T201" s="219">
        <f>+GETPIVOTDATA("Sum of Old-HS % of Total",'Pivot-HS Student % of Undergrad'!$A$3,"State","KY","Category",13,"Category2","Technical")</f>
        <v>0</v>
      </c>
      <c r="U201" s="340">
        <f t="shared" si="38"/>
        <v>0</v>
      </c>
      <c r="V201" s="219">
        <f>+GETPIVOTDATA("Sum of Old-HS % of Total",'Pivot-HS Student % of Undergrad'!$A$3,"State","KY","Category2","Technical")</f>
        <v>0.12032542011202987</v>
      </c>
      <c r="W201" s="340">
        <f t="shared" si="39"/>
        <v>0.97789495035750795</v>
      </c>
      <c r="X201" s="339"/>
      <c r="Y201" s="368"/>
      <c r="AA201" s="30"/>
      <c r="AB201" s="30"/>
      <c r="AC201" s="304" t="s">
        <v>782</v>
      </c>
      <c r="AD201" s="367">
        <f>+B201</f>
        <v>5195.9566666666669</v>
      </c>
      <c r="AE201" s="331">
        <f>+D201</f>
        <v>0</v>
      </c>
      <c r="AF201" s="331">
        <f>+F201</f>
        <v>5195.9566666666669</v>
      </c>
      <c r="AG201" s="331"/>
      <c r="AH201" s="304"/>
      <c r="AI201" s="304" t="s">
        <v>782</v>
      </c>
      <c r="AJ201" s="369">
        <f>+'NEW-Tables 80-86'!W109+'NEW-Tables 80-86'!V140</f>
        <v>4998.6666666666661</v>
      </c>
      <c r="AK201" s="331">
        <f>+'NEW-Tables 80-86'!X109+'NEW-Tables 80-86'!W140</f>
        <v>0</v>
      </c>
      <c r="AL201" s="331">
        <f>+'NEW-Tables 80-86'!Y109+'NEW-Tables 80-86'!X140</f>
        <v>4998.6666666666661</v>
      </c>
      <c r="AO201" s="304" t="s">
        <v>782</v>
      </c>
      <c r="AP201" s="370">
        <f t="shared" si="40"/>
        <v>13.010436961560496</v>
      </c>
      <c r="AQ201" s="370">
        <f t="shared" si="41"/>
        <v>0</v>
      </c>
      <c r="AR201" s="370">
        <f t="shared" si="42"/>
        <v>13.010436961560496</v>
      </c>
      <c r="AT201" s="304" t="s">
        <v>782</v>
      </c>
      <c r="AU201" s="370">
        <f t="shared" si="43"/>
        <v>12.032542011202988</v>
      </c>
      <c r="AV201" s="370">
        <f t="shared" si="44"/>
        <v>0</v>
      </c>
      <c r="AW201" s="370">
        <f t="shared" si="45"/>
        <v>12.032542011202988</v>
      </c>
    </row>
    <row r="202" spans="1:49">
      <c r="A202" s="15" t="s">
        <v>783</v>
      </c>
      <c r="B202" s="298">
        <f>+'NEW-Tables 80-86'!G110+'NEW-Tables 80-86'!G141</f>
        <v>7890.55</v>
      </c>
      <c r="C202" s="339">
        <f>+GETPIVOTDATA("Sum of New-HS % of Total",'Pivot-HS Student % of Undergrad'!$A$3,"State","LA","Category",12,"Category2","Technical")</f>
        <v>0.10058022993749907</v>
      </c>
      <c r="D202" s="328">
        <f>+'NEW-Tables 80-86'!H110+'NEW-Tables 80-86'!H141</f>
        <v>820.6</v>
      </c>
      <c r="E202" s="339">
        <f>+GETPIVOTDATA("Sum of New-HS % of Total",'Pivot-HS Student % of Undergrad'!$A$3,"State","LA","Category",13,"Category2","Technical")</f>
        <v>5.8453164351287674E-2</v>
      </c>
      <c r="F202" s="328">
        <f>+'NEW-Tables 80-86'!I110+'NEW-Tables 80-86'!I141</f>
        <v>8711.15</v>
      </c>
      <c r="G202" s="339">
        <f>+GETPIVOTDATA("Sum of New-HS % of Total",'Pivot-HS Student % of Undergrad'!$A$3,"State","LA","Category2","Group3")</f>
        <v>9.661181359521992E-2</v>
      </c>
      <c r="M202" s="290"/>
      <c r="Q202" s="15" t="s">
        <v>783</v>
      </c>
      <c r="R202" s="229">
        <f>+GETPIVOTDATA("Sum of Old-HS % of Total",'Pivot-HS Student % of Undergrad'!$A$3,"State","LA","Category",12,"Category2","Technical")</f>
        <v>0.11124390855905231</v>
      </c>
      <c r="S202" s="340">
        <f t="shared" si="37"/>
        <v>-1.0663678621553236</v>
      </c>
      <c r="T202" s="219">
        <f>+GETPIVOTDATA("Sum of Old-HS % of Total",'Pivot-HS Student % of Undergrad'!$A$3,"State","LA","Category",13,"Category2","Technical")</f>
        <v>5.7726122571514348E-2</v>
      </c>
      <c r="U202" s="340">
        <f t="shared" si="38"/>
        <v>7.2704177977332696E-2</v>
      </c>
      <c r="V202" s="219">
        <f>+GETPIVOTDATA("Sum of Old-HS % of Total",'Pivot-HS Student % of Undergrad'!$A$3,"State","LA","Category2","Technical")</f>
        <v>0.10626197700415203</v>
      </c>
      <c r="W202" s="340">
        <f t="shared" si="39"/>
        <v>-0.96501634089321131</v>
      </c>
      <c r="X202" s="339"/>
      <c r="Y202" s="368"/>
      <c r="AA202" s="30"/>
      <c r="AB202" s="30"/>
      <c r="AC202" s="304" t="s">
        <v>783</v>
      </c>
      <c r="AD202" s="367">
        <f>+B202</f>
        <v>7890.55</v>
      </c>
      <c r="AE202" s="331">
        <f>+D202</f>
        <v>820.6</v>
      </c>
      <c r="AF202" s="331">
        <f>+F202</f>
        <v>8711.15</v>
      </c>
      <c r="AG202" s="331"/>
      <c r="AH202" s="304"/>
      <c r="AI202" s="304" t="s">
        <v>783</v>
      </c>
      <c r="AJ202" s="369">
        <f>+'NEW-Tables 80-86'!W110+'NEW-Tables 80-86'!V141</f>
        <v>7572.1</v>
      </c>
      <c r="AK202" s="331">
        <f>+'NEW-Tables 80-86'!X110+'NEW-Tables 80-86'!W141</f>
        <v>777.23333333333335</v>
      </c>
      <c r="AL202" s="331">
        <f>+'NEW-Tables 80-86'!Y110+'NEW-Tables 80-86'!X141</f>
        <v>8349.3333333333339</v>
      </c>
      <c r="AO202" s="304" t="s">
        <v>783</v>
      </c>
      <c r="AP202" s="370">
        <f t="shared" si="40"/>
        <v>10.058022993749907</v>
      </c>
      <c r="AQ202" s="370">
        <f t="shared" si="41"/>
        <v>5.8453164351287672</v>
      </c>
      <c r="AR202" s="370">
        <f t="shared" si="42"/>
        <v>9.6611813595219918</v>
      </c>
      <c r="AT202" s="304" t="s">
        <v>783</v>
      </c>
      <c r="AU202" s="370">
        <f t="shared" si="43"/>
        <v>11.124390855905231</v>
      </c>
      <c r="AV202" s="370">
        <f t="shared" si="44"/>
        <v>5.7726122571514349</v>
      </c>
      <c r="AW202" s="370">
        <f t="shared" si="45"/>
        <v>10.626197700415203</v>
      </c>
    </row>
    <row r="203" spans="1:49">
      <c r="A203" s="15" t="s">
        <v>784</v>
      </c>
      <c r="B203" s="298">
        <f>+'NEW-Tables 80-86'!G111+'NEW-Tables 80-86'!G142</f>
        <v>0</v>
      </c>
      <c r="C203" s="339">
        <f>+GETPIVOTDATA("Sum of New-HS % of Total",'Pivot-HS Student % of Undergrad'!$A$3,"State","MD","Category",12,"Category2","Technical")</f>
        <v>0</v>
      </c>
      <c r="D203" s="328">
        <f>+'NEW-Tables 80-86'!H111+'NEW-Tables 80-86'!H142</f>
        <v>0</v>
      </c>
      <c r="E203" s="339">
        <f>+GETPIVOTDATA("Sum of New-HS % of Total",'Pivot-HS Student % of Undergrad'!$A$3,"State","MD","Category",13,"Category2","Technical")</f>
        <v>0</v>
      </c>
      <c r="F203" s="328">
        <f>+'NEW-Tables 80-86'!I111+'NEW-Tables 80-86'!I142</f>
        <v>0</v>
      </c>
      <c r="G203" s="339">
        <f>+GETPIVOTDATA("Sum of New-HS % of Total",'Pivot-HS Student % of Undergrad'!$A$3,"State","MD","Category2","Group3")</f>
        <v>0</v>
      </c>
      <c r="M203" s="290"/>
      <c r="Q203" s="15" t="s">
        <v>784</v>
      </c>
      <c r="R203" s="229">
        <f>+GETPIVOTDATA("Sum of Old-HS % of Total",'Pivot-HS Student % of Undergrad'!$A$3,"State","MD","Category",12,"Category2","Technical")</f>
        <v>0</v>
      </c>
      <c r="S203" s="340">
        <f t="shared" si="37"/>
        <v>0</v>
      </c>
      <c r="T203" s="219">
        <f>+GETPIVOTDATA("Sum of Old-HS % of Total",'Pivot-HS Student % of Undergrad'!$A$3,"State","MD","Category",13,"Category2","Technical")</f>
        <v>0</v>
      </c>
      <c r="U203" s="340">
        <f t="shared" si="38"/>
        <v>0</v>
      </c>
      <c r="V203" s="219">
        <f>+GETPIVOTDATA("Sum of Old-HS % of Total",'Pivot-HS Student % of Undergrad'!$A$3,"State","MD","Category2","Technical")</f>
        <v>0</v>
      </c>
      <c r="W203" s="340">
        <f t="shared" si="39"/>
        <v>0</v>
      </c>
      <c r="X203" s="339"/>
      <c r="Y203" s="368"/>
      <c r="AA203" s="30"/>
      <c r="AB203" s="30"/>
      <c r="AC203" s="304" t="s">
        <v>784</v>
      </c>
      <c r="AD203" s="367">
        <f>+B203</f>
        <v>0</v>
      </c>
      <c r="AE203" s="331">
        <f>+D203</f>
        <v>0</v>
      </c>
      <c r="AF203" s="331">
        <f>+F203</f>
        <v>0</v>
      </c>
      <c r="AG203" s="331"/>
      <c r="AH203" s="304"/>
      <c r="AI203" s="304" t="s">
        <v>784</v>
      </c>
      <c r="AJ203" s="369">
        <f>+'NEW-Tables 80-86'!W111+'NEW-Tables 80-86'!V142</f>
        <v>0</v>
      </c>
      <c r="AK203" s="331">
        <f>+'NEW-Tables 80-86'!X111+'NEW-Tables 80-86'!W142</f>
        <v>0</v>
      </c>
      <c r="AL203" s="331">
        <f>+'NEW-Tables 80-86'!Y111+'NEW-Tables 80-86'!X142</f>
        <v>0</v>
      </c>
      <c r="AO203" s="304" t="s">
        <v>784</v>
      </c>
      <c r="AP203" s="370">
        <f t="shared" si="40"/>
        <v>0</v>
      </c>
      <c r="AQ203" s="370">
        <f t="shared" si="41"/>
        <v>0</v>
      </c>
      <c r="AR203" s="370">
        <f t="shared" si="42"/>
        <v>0</v>
      </c>
      <c r="AT203" s="304" t="s">
        <v>784</v>
      </c>
      <c r="AU203" s="370">
        <f t="shared" si="43"/>
        <v>0</v>
      </c>
      <c r="AV203" s="370">
        <f t="shared" si="44"/>
        <v>0</v>
      </c>
      <c r="AW203" s="370">
        <f t="shared" si="45"/>
        <v>0</v>
      </c>
    </row>
    <row r="204" spans="1:49">
      <c r="B204" s="298"/>
      <c r="C204" s="339"/>
      <c r="D204" s="328"/>
      <c r="E204" s="339"/>
      <c r="F204" s="328"/>
      <c r="G204" s="339"/>
      <c r="M204" s="290"/>
      <c r="R204" s="229"/>
      <c r="S204" s="340"/>
      <c r="T204" s="219"/>
      <c r="U204" s="340"/>
      <c r="V204" s="219"/>
      <c r="W204" s="340"/>
      <c r="X204" s="339"/>
      <c r="Y204" s="368"/>
      <c r="AA204" s="30"/>
      <c r="AB204" s="30"/>
      <c r="AC204" s="304"/>
      <c r="AD204" s="367"/>
      <c r="AE204" s="331"/>
      <c r="AF204" s="331"/>
      <c r="AG204" s="331"/>
      <c r="AH204" s="304"/>
      <c r="AI204" s="304"/>
      <c r="AJ204" s="369"/>
      <c r="AK204" s="331"/>
      <c r="AL204" s="331"/>
      <c r="AO204" s="304"/>
      <c r="AP204" s="370">
        <f t="shared" si="40"/>
        <v>0</v>
      </c>
      <c r="AQ204" s="370">
        <f t="shared" si="41"/>
        <v>0</v>
      </c>
      <c r="AR204" s="370">
        <f t="shared" si="42"/>
        <v>0</v>
      </c>
      <c r="AT204" s="304"/>
      <c r="AU204" s="370">
        <f t="shared" si="43"/>
        <v>0</v>
      </c>
      <c r="AV204" s="370">
        <f t="shared" si="44"/>
        <v>0</v>
      </c>
      <c r="AW204" s="370">
        <f t="shared" si="45"/>
        <v>0</v>
      </c>
    </row>
    <row r="205" spans="1:49">
      <c r="A205" s="15" t="s">
        <v>785</v>
      </c>
      <c r="B205" s="298">
        <f>+'NEW-Tables 80-86'!G113+'NEW-Tables 80-86'!G144</f>
        <v>0</v>
      </c>
      <c r="C205" s="339">
        <f>+GETPIVOTDATA("Sum of New-HS % of Total",'Pivot-HS Student % of Undergrad'!$A$3,"State","MS","Category",12,"Category2","Technical")</f>
        <v>0</v>
      </c>
      <c r="D205" s="328">
        <f>+'NEW-Tables 80-86'!H113+'NEW-Tables 80-86'!H144</f>
        <v>0</v>
      </c>
      <c r="E205" s="339">
        <f>+GETPIVOTDATA("Sum of New-HS % of Total",'Pivot-HS Student % of Undergrad'!$A$3,"State","MS","Category",13,"Category2","Technical")</f>
        <v>0</v>
      </c>
      <c r="F205" s="328">
        <f>+'NEW-Tables 80-86'!I113+'NEW-Tables 80-86'!I144</f>
        <v>0</v>
      </c>
      <c r="G205" s="339">
        <f>+GETPIVOTDATA("Sum of New-HS % of Total",'Pivot-HS Student % of Undergrad'!$A$3,"State","MS","Category2","Group3")</f>
        <v>0</v>
      </c>
      <c r="M205" s="290"/>
      <c r="Q205" s="15" t="s">
        <v>785</v>
      </c>
      <c r="R205" s="229">
        <f>+GETPIVOTDATA("Sum of Old-HS % of Total",'Pivot-HS Student % of Undergrad'!$A$3,"State","MS","Category",12,"Category2","Technical")</f>
        <v>0</v>
      </c>
      <c r="S205" s="340">
        <f t="shared" si="37"/>
        <v>0</v>
      </c>
      <c r="T205" s="219">
        <f>+GETPIVOTDATA("Sum of Old-HS % of Total",'Pivot-HS Student % of Undergrad'!$A$3,"State","MS","Category",13,"Category2","Technical")</f>
        <v>0</v>
      </c>
      <c r="U205" s="340">
        <f t="shared" si="38"/>
        <v>0</v>
      </c>
      <c r="V205" s="219">
        <f>+GETPIVOTDATA("Sum of Old-HS % of Total",'Pivot-HS Student % of Undergrad'!$A$3,"State","MS","Category2","Technical")</f>
        <v>0</v>
      </c>
      <c r="W205" s="340">
        <f t="shared" si="39"/>
        <v>0</v>
      </c>
      <c r="X205" s="339"/>
      <c r="Y205" s="368"/>
      <c r="AA205" s="30"/>
      <c r="AB205" s="30"/>
      <c r="AC205" s="304" t="s">
        <v>785</v>
      </c>
      <c r="AD205" s="367">
        <f>+B205</f>
        <v>0</v>
      </c>
      <c r="AE205" s="331">
        <f>+D205</f>
        <v>0</v>
      </c>
      <c r="AF205" s="331">
        <f>+F205</f>
        <v>0</v>
      </c>
      <c r="AG205" s="331"/>
      <c r="AH205" s="304"/>
      <c r="AI205" s="304" t="s">
        <v>785</v>
      </c>
      <c r="AJ205" s="369">
        <f>+'NEW-Tables 80-86'!W113+'NEW-Tables 80-86'!V144</f>
        <v>0</v>
      </c>
      <c r="AK205" s="331">
        <f>+'NEW-Tables 80-86'!X113+'NEW-Tables 80-86'!W144</f>
        <v>0</v>
      </c>
      <c r="AL205" s="331">
        <f>+'NEW-Tables 80-86'!Y113+'NEW-Tables 80-86'!X144</f>
        <v>0</v>
      </c>
      <c r="AO205" s="304" t="s">
        <v>785</v>
      </c>
      <c r="AP205" s="370">
        <f t="shared" si="40"/>
        <v>0</v>
      </c>
      <c r="AQ205" s="370">
        <f t="shared" si="41"/>
        <v>0</v>
      </c>
      <c r="AR205" s="370">
        <f t="shared" si="42"/>
        <v>0</v>
      </c>
      <c r="AT205" s="304" t="s">
        <v>785</v>
      </c>
      <c r="AU205" s="370">
        <f t="shared" si="43"/>
        <v>0</v>
      </c>
      <c r="AV205" s="370">
        <f t="shared" si="44"/>
        <v>0</v>
      </c>
      <c r="AW205" s="370">
        <f t="shared" si="45"/>
        <v>0</v>
      </c>
    </row>
    <row r="206" spans="1:49">
      <c r="A206" s="15" t="s">
        <v>786</v>
      </c>
      <c r="B206" s="298">
        <f>+'NEW-Tables 80-86'!G114+'NEW-Tables 80-86'!G145</f>
        <v>0</v>
      </c>
      <c r="C206" s="339">
        <f>+GETPIVOTDATA("Sum of New-HS % of Total",'Pivot-HS Student % of Undergrad'!$A$3,"State","NC","Category",12,"Category2","Technical")</f>
        <v>0</v>
      </c>
      <c r="D206" s="328">
        <f>+'NEW-Tables 80-86'!H114+'NEW-Tables 80-86'!H145</f>
        <v>0</v>
      </c>
      <c r="E206" s="339">
        <f>+GETPIVOTDATA("Sum of New-HS % of Total",'Pivot-HS Student % of Undergrad'!$A$3,"State","NC","Category",13,"Category2","Technical")</f>
        <v>0</v>
      </c>
      <c r="F206" s="328">
        <f>+'NEW-Tables 80-86'!I114+'NEW-Tables 80-86'!I145</f>
        <v>0</v>
      </c>
      <c r="G206" s="339">
        <f>+GETPIVOTDATA("Sum of New-HS % of Total",'Pivot-HS Student % of Undergrad'!$A$3,"State","NC","Category2","Group3")</f>
        <v>0</v>
      </c>
      <c r="M206" s="290"/>
      <c r="Q206" s="15" t="s">
        <v>786</v>
      </c>
      <c r="R206" s="229">
        <f>+GETPIVOTDATA("Sum of Old-HS % of Total",'Pivot-HS Student % of Undergrad'!$A$3,"State","NC","Category",12,"Category2","Technical")</f>
        <v>0</v>
      </c>
      <c r="S206" s="340">
        <f t="shared" si="37"/>
        <v>0</v>
      </c>
      <c r="T206" s="219">
        <f>+GETPIVOTDATA("Sum of Old-HS % of Total",'Pivot-HS Student % of Undergrad'!$A$3,"State","NC","Category",13,"Category2","Technical")</f>
        <v>0</v>
      </c>
      <c r="U206" s="340">
        <f t="shared" si="38"/>
        <v>0</v>
      </c>
      <c r="V206" s="219">
        <f>+GETPIVOTDATA("Sum of Old-HS % of Total",'Pivot-HS Student % of Undergrad'!$A$3,"State","NC","Category2","Technical")</f>
        <v>0</v>
      </c>
      <c r="W206" s="340">
        <f t="shared" si="39"/>
        <v>0</v>
      </c>
      <c r="X206" s="339"/>
      <c r="Y206" s="371"/>
      <c r="AA206" s="30"/>
      <c r="AB206" s="30"/>
      <c r="AC206" s="304" t="s">
        <v>786</v>
      </c>
      <c r="AD206" s="367">
        <f>+B206</f>
        <v>0</v>
      </c>
      <c r="AE206" s="331">
        <f>+D206</f>
        <v>0</v>
      </c>
      <c r="AF206" s="331">
        <f>+F206</f>
        <v>0</v>
      </c>
      <c r="AG206" s="331"/>
      <c r="AH206" s="304"/>
      <c r="AI206" s="304" t="s">
        <v>786</v>
      </c>
      <c r="AJ206" s="369">
        <f>+'NEW-Tables 80-86'!W114+'NEW-Tables 80-86'!V145</f>
        <v>0</v>
      </c>
      <c r="AK206" s="331">
        <f>+'NEW-Tables 80-86'!X114+'NEW-Tables 80-86'!W145</f>
        <v>0</v>
      </c>
      <c r="AL206" s="331">
        <f>+'NEW-Tables 80-86'!Y114+'NEW-Tables 80-86'!X145</f>
        <v>0</v>
      </c>
      <c r="AO206" s="304" t="s">
        <v>786</v>
      </c>
      <c r="AP206" s="370">
        <f t="shared" si="40"/>
        <v>0</v>
      </c>
      <c r="AQ206" s="370">
        <f t="shared" si="41"/>
        <v>0</v>
      </c>
      <c r="AR206" s="370">
        <f t="shared" si="42"/>
        <v>0</v>
      </c>
      <c r="AT206" s="304" t="s">
        <v>786</v>
      </c>
      <c r="AU206" s="370">
        <f t="shared" si="43"/>
        <v>0</v>
      </c>
      <c r="AV206" s="370">
        <f t="shared" si="44"/>
        <v>0</v>
      </c>
      <c r="AW206" s="370">
        <f t="shared" si="45"/>
        <v>0</v>
      </c>
    </row>
    <row r="207" spans="1:49">
      <c r="A207" s="15" t="s">
        <v>787</v>
      </c>
      <c r="B207" s="298">
        <f>+'NEW-Tables 80-86'!G115+'NEW-Tables 80-86'!G146</f>
        <v>3714.7210444444445</v>
      </c>
      <c r="C207" s="339">
        <f>+GETPIVOTDATA("Sum of New-HS % of Total",'Pivot-HS Student % of Undergrad'!$A$3,"State","OK","Category",12,"Category2","Technical")</f>
        <v>0</v>
      </c>
      <c r="D207" s="328">
        <f>+'NEW-Tables 80-86'!H115+'NEW-Tables 80-86'!H146</f>
        <v>15335.873522222222</v>
      </c>
      <c r="E207" s="339">
        <f>+GETPIVOTDATA("Sum of New-HS % of Total",'Pivot-HS Student % of Undergrad'!$A$3,"State","OK","Category",13,"Category2","Technical")</f>
        <v>0</v>
      </c>
      <c r="F207" s="328">
        <f>+'NEW-Tables 80-86'!I115+'NEW-Tables 80-86'!I146</f>
        <v>19050.594566666667</v>
      </c>
      <c r="G207" s="339">
        <f>+GETPIVOTDATA("Sum of New-HS % of Total",'Pivot-HS Student % of Undergrad'!$A$3,"State","OK","Category2","Group3")</f>
        <v>0</v>
      </c>
      <c r="M207" s="290"/>
      <c r="Q207" s="15" t="s">
        <v>787</v>
      </c>
      <c r="R207" s="229">
        <f>+GETPIVOTDATA("Sum of Old-HS % of Total",'Pivot-HS Student % of Undergrad'!$A$3,"State","OK","Category",12,"Category2","Technical")</f>
        <v>0</v>
      </c>
      <c r="S207" s="340">
        <f t="shared" si="37"/>
        <v>0</v>
      </c>
      <c r="T207" s="219">
        <f>+GETPIVOTDATA("Sum of Old-HS % of Total",'Pivot-HS Student % of Undergrad'!$A$3,"State","OK","Category",13,"Category2","Technical")</f>
        <v>0</v>
      </c>
      <c r="U207" s="340">
        <f t="shared" si="38"/>
        <v>0</v>
      </c>
      <c r="V207" s="219">
        <f>+GETPIVOTDATA("Sum of Old-HS % of Total",'Pivot-HS Student % of Undergrad'!$A$3,"State","OK","Category2","Technical")</f>
        <v>0</v>
      </c>
      <c r="W207" s="340">
        <f t="shared" si="39"/>
        <v>0</v>
      </c>
      <c r="X207" s="339"/>
      <c r="Y207" s="368"/>
      <c r="AA207" s="30"/>
      <c r="AB207" s="30"/>
      <c r="AC207" s="304" t="s">
        <v>787</v>
      </c>
      <c r="AD207" s="367">
        <f>+B207</f>
        <v>3714.7210444444445</v>
      </c>
      <c r="AE207" s="331">
        <f>+D207</f>
        <v>15335.873522222222</v>
      </c>
      <c r="AF207" s="331">
        <f>+F207</f>
        <v>19050.594566666667</v>
      </c>
      <c r="AG207" s="331"/>
      <c r="AH207" s="304"/>
      <c r="AI207" s="304" t="s">
        <v>787</v>
      </c>
      <c r="AJ207" s="369">
        <f>+'NEW-Tables 80-86'!W115+'NEW-Tables 80-86'!V146</f>
        <v>4522.6706111111107</v>
      </c>
      <c r="AK207" s="331">
        <f>+'NEW-Tables 80-86'!X115+'NEW-Tables 80-86'!W146</f>
        <v>15802.672611111106</v>
      </c>
      <c r="AL207" s="331">
        <f>+'NEW-Tables 80-86'!Y115+'NEW-Tables 80-86'!X146</f>
        <v>20325.343222222218</v>
      </c>
      <c r="AO207" s="304" t="s">
        <v>787</v>
      </c>
      <c r="AP207" s="370">
        <f t="shared" si="40"/>
        <v>0</v>
      </c>
      <c r="AQ207" s="370">
        <f t="shared" si="41"/>
        <v>0</v>
      </c>
      <c r="AR207" s="370">
        <f t="shared" si="42"/>
        <v>0</v>
      </c>
      <c r="AT207" s="304" t="s">
        <v>787</v>
      </c>
      <c r="AU207" s="370">
        <f t="shared" si="43"/>
        <v>0</v>
      </c>
      <c r="AV207" s="370">
        <f t="shared" si="44"/>
        <v>0</v>
      </c>
      <c r="AW207" s="370">
        <f t="shared" si="45"/>
        <v>0</v>
      </c>
    </row>
    <row r="208" spans="1:49">
      <c r="A208" s="15" t="s">
        <v>788</v>
      </c>
      <c r="B208" s="298">
        <f>+'NEW-Tables 80-86'!G116+'NEW-Tables 80-86'!G147</f>
        <v>0</v>
      </c>
      <c r="C208" s="339">
        <f>+GETPIVOTDATA("Sum of New-HS % of Total",'Pivot-HS Student % of Undergrad'!$A$3,"State","SC","Category",12,"Category2","Technical")</f>
        <v>0</v>
      </c>
      <c r="D208" s="328">
        <f>+'NEW-Tables 80-86'!H116+'NEW-Tables 80-86'!H147</f>
        <v>0</v>
      </c>
      <c r="E208" s="339">
        <f>+GETPIVOTDATA("Sum of New-HS % of Total",'Pivot-HS Student % of Undergrad'!$A$3,"State","SC","Category",13,"Category2","Technical")</f>
        <v>0</v>
      </c>
      <c r="F208" s="328">
        <f>+'NEW-Tables 80-86'!I116+'NEW-Tables 80-86'!I147</f>
        <v>0</v>
      </c>
      <c r="G208" s="339">
        <f>+GETPIVOTDATA("Sum of New-HS % of Total",'Pivot-HS Student % of Undergrad'!$A$3,"State","SC","Category2","Group3")</f>
        <v>0</v>
      </c>
      <c r="M208" s="290"/>
      <c r="Q208" s="15" t="s">
        <v>788</v>
      </c>
      <c r="R208" s="229">
        <f>+GETPIVOTDATA("Sum of Old-HS % of Total",'Pivot-HS Student % of Undergrad'!$A$3,"State","SC","Category",12,"Category2","Technical")</f>
        <v>0</v>
      </c>
      <c r="S208" s="340">
        <f t="shared" si="37"/>
        <v>0</v>
      </c>
      <c r="T208" s="219">
        <f>+GETPIVOTDATA("Sum of Old-HS % of Total",'Pivot-HS Student % of Undergrad'!$A$3,"State","SC","Category",13,"Category2","Technical")</f>
        <v>0</v>
      </c>
      <c r="U208" s="340">
        <f t="shared" si="38"/>
        <v>0</v>
      </c>
      <c r="V208" s="219">
        <f>+GETPIVOTDATA("Sum of Old-HS % of Total",'Pivot-HS Student % of Undergrad'!$A$3,"State","SC","Category2","Technical")</f>
        <v>0</v>
      </c>
      <c r="W208" s="340">
        <f t="shared" si="39"/>
        <v>0</v>
      </c>
      <c r="X208" s="339"/>
      <c r="Y208" s="368"/>
      <c r="AA208" s="30"/>
      <c r="AB208" s="30"/>
      <c r="AC208" s="304" t="s">
        <v>788</v>
      </c>
      <c r="AD208" s="367">
        <f>+B208</f>
        <v>0</v>
      </c>
      <c r="AE208" s="331">
        <f>+D208</f>
        <v>0</v>
      </c>
      <c r="AF208" s="331">
        <f>+F208</f>
        <v>0</v>
      </c>
      <c r="AG208" s="331"/>
      <c r="AH208" s="304"/>
      <c r="AI208" s="304" t="s">
        <v>788</v>
      </c>
      <c r="AJ208" s="369">
        <f>+'NEW-Tables 80-86'!W116+'NEW-Tables 80-86'!V147</f>
        <v>0</v>
      </c>
      <c r="AK208" s="331">
        <f>+'NEW-Tables 80-86'!X116+'NEW-Tables 80-86'!W147</f>
        <v>0</v>
      </c>
      <c r="AL208" s="331">
        <f>+'NEW-Tables 80-86'!Y116+'NEW-Tables 80-86'!X147</f>
        <v>0</v>
      </c>
      <c r="AO208" s="304" t="s">
        <v>788</v>
      </c>
      <c r="AP208" s="370">
        <f t="shared" si="40"/>
        <v>0</v>
      </c>
      <c r="AQ208" s="370">
        <f t="shared" si="41"/>
        <v>0</v>
      </c>
      <c r="AR208" s="370">
        <f t="shared" si="42"/>
        <v>0</v>
      </c>
      <c r="AT208" s="304" t="s">
        <v>788</v>
      </c>
      <c r="AU208" s="370">
        <f t="shared" si="43"/>
        <v>0</v>
      </c>
      <c r="AV208" s="370">
        <f t="shared" si="44"/>
        <v>0</v>
      </c>
      <c r="AW208" s="370">
        <f t="shared" si="45"/>
        <v>0</v>
      </c>
    </row>
    <row r="209" spans="1:49" ht="11.25" customHeight="1">
      <c r="B209" s="298"/>
      <c r="C209" s="339"/>
      <c r="D209" s="328"/>
      <c r="E209" s="339"/>
      <c r="F209" s="328"/>
      <c r="G209" s="339"/>
      <c r="M209" s="290"/>
      <c r="R209" s="229"/>
      <c r="S209" s="340">
        <f t="shared" si="37"/>
        <v>0</v>
      </c>
      <c r="T209" s="219"/>
      <c r="U209" s="340">
        <f t="shared" si="38"/>
        <v>0</v>
      </c>
      <c r="V209" s="219"/>
      <c r="W209" s="340">
        <f t="shared" si="39"/>
        <v>0</v>
      </c>
      <c r="X209" s="339"/>
      <c r="Y209" s="368"/>
      <c r="AA209" s="30"/>
      <c r="AB209" s="30"/>
      <c r="AC209" s="304"/>
      <c r="AD209" s="367"/>
      <c r="AE209" s="331"/>
      <c r="AF209" s="331"/>
      <c r="AG209" s="331"/>
      <c r="AH209" s="304"/>
      <c r="AI209" s="304"/>
      <c r="AJ209" s="369"/>
      <c r="AK209" s="331"/>
      <c r="AL209" s="331"/>
      <c r="AO209" s="304"/>
      <c r="AP209" s="370">
        <f t="shared" si="40"/>
        <v>0</v>
      </c>
      <c r="AQ209" s="370">
        <f t="shared" si="41"/>
        <v>0</v>
      </c>
      <c r="AR209" s="370">
        <f t="shared" si="42"/>
        <v>0</v>
      </c>
      <c r="AT209" s="304"/>
      <c r="AU209" s="370">
        <f t="shared" si="43"/>
        <v>0</v>
      </c>
      <c r="AV209" s="370">
        <f t="shared" si="44"/>
        <v>0</v>
      </c>
      <c r="AW209" s="370">
        <f t="shared" si="45"/>
        <v>0</v>
      </c>
    </row>
    <row r="210" spans="1:49" ht="11.25" customHeight="1">
      <c r="A210" s="15" t="s">
        <v>789</v>
      </c>
      <c r="B210" s="298">
        <f>+'NEW-Tables 80-86'!G118+'NEW-Tables 80-86'!G149</f>
        <v>0</v>
      </c>
      <c r="C210" s="339">
        <f>+GETPIVOTDATA("Sum of New-HS % of Total",'Pivot-HS Student % of Undergrad'!$A$3,"State","TN","Category",12,"Category2","Technical")</f>
        <v>0</v>
      </c>
      <c r="D210" s="328">
        <f>+'NEW-Tables 80-86'!H118+'NEW-Tables 80-86'!H149</f>
        <v>12858.136666666669</v>
      </c>
      <c r="E210" s="339">
        <f>+GETPIVOTDATA("Sum of New-HS % of Total",'Pivot-HS Student % of Undergrad'!$A$3,"State","TN","Category",13,"Category2","Technical")</f>
        <v>0</v>
      </c>
      <c r="F210" s="328">
        <f>+'NEW-Tables 80-86'!I118+'NEW-Tables 80-86'!I149</f>
        <v>12858.136666666669</v>
      </c>
      <c r="G210" s="339">
        <f>+GETPIVOTDATA("Sum of New-HS % of Total",'Pivot-HS Student % of Undergrad'!$A$3,"State","TN","Category2","Group3")</f>
        <v>0</v>
      </c>
      <c r="M210" s="290"/>
      <c r="Q210" s="15" t="s">
        <v>789</v>
      </c>
      <c r="R210" s="229">
        <f>+GETPIVOTDATA("Sum of Old-HS % of Total",'Pivot-HS Student % of Undergrad'!$A$3,"State","TN","Category",12,"Category2","Technical")</f>
        <v>0</v>
      </c>
      <c r="S210" s="340">
        <f t="shared" si="37"/>
        <v>0</v>
      </c>
      <c r="T210" s="219">
        <f>+GETPIVOTDATA("Sum of Old-HS % of Total",'Pivot-HS Student % of Undergrad'!$A$3,"State","TN","Category",13,"Category2","Technical")</f>
        <v>0</v>
      </c>
      <c r="U210" s="340">
        <f t="shared" si="38"/>
        <v>0</v>
      </c>
      <c r="V210" s="219">
        <f>+GETPIVOTDATA("Sum of Old-HS % of Total",'Pivot-HS Student % of Undergrad'!$A$3,"State","TN","Category2","Technical")</f>
        <v>0</v>
      </c>
      <c r="W210" s="340">
        <f t="shared" si="39"/>
        <v>0</v>
      </c>
      <c r="X210" s="339"/>
      <c r="Y210" s="368"/>
      <c r="AA210" s="30"/>
      <c r="AB210" s="30"/>
      <c r="AC210" s="304" t="s">
        <v>789</v>
      </c>
      <c r="AD210" s="367">
        <f>+B210</f>
        <v>0</v>
      </c>
      <c r="AE210" s="331">
        <f>+D210</f>
        <v>12858.136666666669</v>
      </c>
      <c r="AF210" s="331">
        <f>+F210</f>
        <v>12858.136666666669</v>
      </c>
      <c r="AG210" s="331"/>
      <c r="AH210" s="304"/>
      <c r="AI210" s="304" t="s">
        <v>789</v>
      </c>
      <c r="AJ210" s="369">
        <f>+'NEW-Tables 80-86'!W118+'NEW-Tables 80-86'!V149</f>
        <v>0</v>
      </c>
      <c r="AK210" s="331">
        <f>+'NEW-Tables 80-86'!X118+'NEW-Tables 80-86'!W149</f>
        <v>12387.348888888891</v>
      </c>
      <c r="AL210" s="331">
        <f>+'NEW-Tables 80-86'!Y118+'NEW-Tables 80-86'!X149</f>
        <v>12387.348888888891</v>
      </c>
      <c r="AO210" s="304" t="s">
        <v>789</v>
      </c>
      <c r="AP210" s="370">
        <f t="shared" si="40"/>
        <v>0</v>
      </c>
      <c r="AQ210" s="370">
        <f t="shared" si="41"/>
        <v>0</v>
      </c>
      <c r="AR210" s="370">
        <f t="shared" si="42"/>
        <v>0</v>
      </c>
      <c r="AT210" s="304" t="s">
        <v>789</v>
      </c>
      <c r="AU210" s="370">
        <f t="shared" si="43"/>
        <v>0</v>
      </c>
      <c r="AV210" s="370">
        <f t="shared" si="44"/>
        <v>0</v>
      </c>
      <c r="AW210" s="370">
        <f t="shared" si="45"/>
        <v>0</v>
      </c>
    </row>
    <row r="211" spans="1:49">
      <c r="A211" s="15" t="s">
        <v>790</v>
      </c>
      <c r="B211" s="298">
        <f>+'NEW-Tables 80-86'!G119+'NEW-Tables 80-86'!G150</f>
        <v>0</v>
      </c>
      <c r="C211" s="339">
        <f>+GETPIVOTDATA("Sum of New-HS % of Total",'Pivot-HS Student % of Undergrad'!$A$3,"State","TX","Category",12,"Category2","Technical")</f>
        <v>0</v>
      </c>
      <c r="D211" s="328">
        <f>+'NEW-Tables 80-86'!H119+'NEW-Tables 80-86'!H150</f>
        <v>0</v>
      </c>
      <c r="E211" s="339">
        <f>+GETPIVOTDATA("Sum of New-HS % of Total",'Pivot-HS Student % of Undergrad'!$A$3,"State","TX","Category",13,"Category2","Technical")</f>
        <v>0</v>
      </c>
      <c r="F211" s="328">
        <f>+'NEW-Tables 80-86'!I119+'NEW-Tables 80-86'!I150</f>
        <v>0</v>
      </c>
      <c r="G211" s="339">
        <f>+GETPIVOTDATA("Sum of New-HS % of Total",'Pivot-HS Student % of Undergrad'!$A$3,"State","TX","Category2","Group3")</f>
        <v>0</v>
      </c>
      <c r="M211" s="290"/>
      <c r="Q211" s="15" t="s">
        <v>790</v>
      </c>
      <c r="R211" s="229">
        <f>+GETPIVOTDATA("Sum of Old-HS % of Total",'Pivot-HS Student % of Undergrad'!$A$3,"State","TX","Category",12,"Category2","Technical")</f>
        <v>0</v>
      </c>
      <c r="S211" s="340">
        <f t="shared" si="37"/>
        <v>0</v>
      </c>
      <c r="T211" s="219">
        <f>+GETPIVOTDATA("Sum of Old-HS % of Total",'Pivot-HS Student % of Undergrad'!$A$3,"State","TX","Category",13,"Category2","Technical")</f>
        <v>0</v>
      </c>
      <c r="U211" s="340">
        <f t="shared" si="38"/>
        <v>0</v>
      </c>
      <c r="V211" s="219">
        <f>+GETPIVOTDATA("Sum of Old-HS % of Total",'Pivot-HS Student % of Undergrad'!$A$3,"State","TX","Category2","Technical")</f>
        <v>0</v>
      </c>
      <c r="W211" s="340">
        <f t="shared" si="39"/>
        <v>0</v>
      </c>
      <c r="X211" s="339"/>
      <c r="Y211" s="371"/>
      <c r="AA211" s="30"/>
      <c r="AB211" s="30"/>
      <c r="AC211" s="304" t="s">
        <v>790</v>
      </c>
      <c r="AD211" s="367">
        <f>+B211</f>
        <v>0</v>
      </c>
      <c r="AE211" s="331">
        <f>+D211</f>
        <v>0</v>
      </c>
      <c r="AF211" s="331">
        <f>+F211</f>
        <v>0</v>
      </c>
      <c r="AG211" s="331"/>
      <c r="AH211" s="304"/>
      <c r="AI211" s="304" t="s">
        <v>790</v>
      </c>
      <c r="AJ211" s="369">
        <f>+'NEW-Tables 80-86'!W119+'NEW-Tables 80-86'!V150</f>
        <v>0</v>
      </c>
      <c r="AK211" s="331">
        <f>+'NEW-Tables 80-86'!X119+'NEW-Tables 80-86'!W150</f>
        <v>0</v>
      </c>
      <c r="AL211" s="331">
        <f>+'NEW-Tables 80-86'!Y119+'NEW-Tables 80-86'!X150</f>
        <v>0</v>
      </c>
      <c r="AO211" s="304" t="s">
        <v>790</v>
      </c>
      <c r="AP211" s="370">
        <f t="shared" si="40"/>
        <v>0</v>
      </c>
      <c r="AQ211" s="370">
        <f t="shared" si="41"/>
        <v>0</v>
      </c>
      <c r="AR211" s="370">
        <f t="shared" si="42"/>
        <v>0</v>
      </c>
      <c r="AT211" s="304" t="s">
        <v>790</v>
      </c>
      <c r="AU211" s="370">
        <f t="shared" si="43"/>
        <v>0</v>
      </c>
      <c r="AV211" s="370">
        <f t="shared" si="44"/>
        <v>0</v>
      </c>
      <c r="AW211" s="370">
        <f t="shared" si="45"/>
        <v>0</v>
      </c>
    </row>
    <row r="212" spans="1:49">
      <c r="A212" s="15" t="s">
        <v>791</v>
      </c>
      <c r="B212" s="298">
        <f>+'NEW-Tables 80-86'!G120+'NEW-Tables 80-86'!G151</f>
        <v>0</v>
      </c>
      <c r="C212" s="339">
        <f>+GETPIVOTDATA("Sum of New-HS % of Total",'Pivot-HS Student % of Undergrad'!$A$3,"State","VA","Category",12,"Category2","Technical")</f>
        <v>0</v>
      </c>
      <c r="D212" s="328">
        <f>+'NEW-Tables 80-86'!H120+'NEW-Tables 80-86'!H151</f>
        <v>0</v>
      </c>
      <c r="E212" s="339">
        <f>+GETPIVOTDATA("Sum of New-HS % of Total",'Pivot-HS Student % of Undergrad'!$A$3,"State","VA","Category",13,"Category2","Technical")</f>
        <v>0</v>
      </c>
      <c r="F212" s="328">
        <f>+'NEW-Tables 80-86'!I120+'NEW-Tables 80-86'!I151</f>
        <v>0</v>
      </c>
      <c r="G212" s="339">
        <f>+GETPIVOTDATA("Sum of New-HS % of Total",'Pivot-HS Student % of Undergrad'!$A$3,"State","VA","Category2","Group3")</f>
        <v>0</v>
      </c>
      <c r="M212" s="290"/>
      <c r="Q212" s="15" t="s">
        <v>791</v>
      </c>
      <c r="R212" s="229">
        <f>+GETPIVOTDATA("Sum of Old-HS % of Total",'Pivot-HS Student % of Undergrad'!$A$3,"State","VA","Category",12,"Category2","Technical")</f>
        <v>0</v>
      </c>
      <c r="S212" s="340">
        <f t="shared" si="37"/>
        <v>0</v>
      </c>
      <c r="T212" s="219">
        <f>+GETPIVOTDATA("Sum of Old-HS % of Total",'Pivot-HS Student % of Undergrad'!$A$3,"State","VA","Category",13,"Category2","Technical")</f>
        <v>0</v>
      </c>
      <c r="U212" s="340">
        <f t="shared" si="38"/>
        <v>0</v>
      </c>
      <c r="V212" s="219">
        <f>+GETPIVOTDATA("Sum of Old-HS % of Total",'Pivot-HS Student % of Undergrad'!$A$3,"State","VA","Category2","Technical")</f>
        <v>0</v>
      </c>
      <c r="W212" s="340">
        <f t="shared" si="39"/>
        <v>0</v>
      </c>
      <c r="X212" s="339"/>
      <c r="Y212" s="368"/>
      <c r="AA212" s="30"/>
      <c r="AB212" s="30"/>
      <c r="AC212" s="304" t="s">
        <v>791</v>
      </c>
      <c r="AD212" s="367">
        <f>+B212</f>
        <v>0</v>
      </c>
      <c r="AE212" s="331">
        <f>+D212</f>
        <v>0</v>
      </c>
      <c r="AF212" s="331">
        <f>+F212</f>
        <v>0</v>
      </c>
      <c r="AG212" s="331"/>
      <c r="AH212" s="304"/>
      <c r="AI212" s="304" t="s">
        <v>791</v>
      </c>
      <c r="AJ212" s="369">
        <f>+'NEW-Tables 80-86'!W120+'NEW-Tables 80-86'!V151</f>
        <v>0</v>
      </c>
      <c r="AK212" s="331">
        <f>+'NEW-Tables 80-86'!X120+'NEW-Tables 80-86'!W151</f>
        <v>0</v>
      </c>
      <c r="AL212" s="331">
        <f>+'NEW-Tables 80-86'!Y120+'NEW-Tables 80-86'!X151</f>
        <v>0</v>
      </c>
      <c r="AO212" s="304" t="s">
        <v>791</v>
      </c>
      <c r="AP212" s="370">
        <f t="shared" si="40"/>
        <v>0</v>
      </c>
      <c r="AQ212" s="370">
        <f t="shared" si="41"/>
        <v>0</v>
      </c>
      <c r="AR212" s="370">
        <f t="shared" si="42"/>
        <v>0</v>
      </c>
      <c r="AT212" s="304" t="s">
        <v>791</v>
      </c>
      <c r="AU212" s="370">
        <f t="shared" si="43"/>
        <v>0</v>
      </c>
      <c r="AV212" s="370">
        <f t="shared" si="44"/>
        <v>0</v>
      </c>
      <c r="AW212" s="370">
        <f t="shared" si="45"/>
        <v>0</v>
      </c>
    </row>
    <row r="213" spans="1:49">
      <c r="A213" s="234" t="s">
        <v>792</v>
      </c>
      <c r="B213" s="302">
        <f>+'NEW-Tables 80-86'!G121+'NEW-Tables 80-86'!G152</f>
        <v>0</v>
      </c>
      <c r="C213" s="347">
        <f>+GETPIVOTDATA("Sum of New-HS % of Total",'Pivot-HS Student % of Undergrad'!$A$3,"State","WV","Category",12,"Category2","Technical")</f>
        <v>0</v>
      </c>
      <c r="D213" s="348">
        <f>+'NEW-Tables 80-86'!H121+'NEW-Tables 80-86'!H152</f>
        <v>0</v>
      </c>
      <c r="E213" s="347">
        <f>+GETPIVOTDATA("Sum of New-HS % of Total",'Pivot-HS Student % of Undergrad'!$A$3,"State","WV","Category",13,"Category2","Technical")</f>
        <v>0</v>
      </c>
      <c r="F213" s="348">
        <f>+'NEW-Tables 80-86'!I121+'NEW-Tables 80-86'!I152</f>
        <v>0</v>
      </c>
      <c r="G213" s="347">
        <f>+GETPIVOTDATA("Sum of New-HS % of Total",'Pivot-HS Student % of Undergrad'!$A$3,"State","WV","Category2","Group3")</f>
        <v>0</v>
      </c>
      <c r="M213" s="290"/>
      <c r="Q213" s="234" t="s">
        <v>792</v>
      </c>
      <c r="R213" s="239">
        <f>+GETPIVOTDATA("Sum of Old-HS % of Total",'Pivot-HS Student % of Undergrad'!$A$3,"State","WV","Category",12,"Category2","Technical")</f>
        <v>0</v>
      </c>
      <c r="S213" s="340">
        <f t="shared" si="37"/>
        <v>0</v>
      </c>
      <c r="T213" s="241">
        <f>+GETPIVOTDATA("Sum of Old-HS % of Total",'Pivot-HS Student % of Undergrad'!$A$3,"State","WV","Category",13,"Category2","Technical")</f>
        <v>0</v>
      </c>
      <c r="U213" s="340">
        <f t="shared" si="38"/>
        <v>0</v>
      </c>
      <c r="V213" s="241">
        <f>+GETPIVOTDATA("Sum of Old-HS % of Total",'Pivot-HS Student % of Undergrad'!$A$3,"State","WV","Category2","Technical")</f>
        <v>0</v>
      </c>
      <c r="W213" s="340">
        <f t="shared" si="39"/>
        <v>0</v>
      </c>
      <c r="X213" s="339"/>
      <c r="Y213" s="368"/>
      <c r="AA213" s="30"/>
      <c r="AB213" s="30"/>
      <c r="AC213" s="372" t="s">
        <v>792</v>
      </c>
      <c r="AD213" s="373">
        <f>+B213</f>
        <v>0</v>
      </c>
      <c r="AE213" s="374">
        <f>+D213</f>
        <v>0</v>
      </c>
      <c r="AF213" s="374">
        <f>+F213</f>
        <v>0</v>
      </c>
      <c r="AG213" s="374"/>
      <c r="AH213" s="304"/>
      <c r="AI213" s="372" t="s">
        <v>792</v>
      </c>
      <c r="AJ213" s="375">
        <f>+'NEW-Tables 80-86'!W121+'NEW-Tables 80-86'!V152</f>
        <v>0</v>
      </c>
      <c r="AK213" s="374">
        <f>+'NEW-Tables 80-86'!X121+'NEW-Tables 80-86'!W152</f>
        <v>0</v>
      </c>
      <c r="AL213" s="374">
        <f>+'NEW-Tables 80-86'!Y121+'NEW-Tables 80-86'!X152</f>
        <v>0</v>
      </c>
      <c r="AO213" s="372" t="s">
        <v>792</v>
      </c>
      <c r="AP213" s="370">
        <f t="shared" si="40"/>
        <v>0</v>
      </c>
      <c r="AQ213" s="370">
        <f t="shared" si="41"/>
        <v>0</v>
      </c>
      <c r="AR213" s="370">
        <f t="shared" si="42"/>
        <v>0</v>
      </c>
      <c r="AT213" s="372" t="s">
        <v>792</v>
      </c>
      <c r="AU213" s="370">
        <f t="shared" si="43"/>
        <v>0</v>
      </c>
      <c r="AV213" s="370">
        <f t="shared" si="44"/>
        <v>0</v>
      </c>
      <c r="AW213" s="370">
        <f t="shared" si="45"/>
        <v>0</v>
      </c>
    </row>
    <row r="214" spans="1:49" ht="57.75" customHeight="1">
      <c r="A214" s="603" t="s">
        <v>961</v>
      </c>
      <c r="B214" s="603"/>
      <c r="C214" s="603"/>
      <c r="D214" s="603"/>
      <c r="E214" s="603"/>
      <c r="F214" s="603"/>
      <c r="G214" s="603"/>
      <c r="H214" s="258"/>
      <c r="I214" s="258"/>
      <c r="M214" s="290"/>
      <c r="AA214" s="30"/>
      <c r="AB214" s="30"/>
      <c r="AC214" s="30"/>
      <c r="AD214" s="30"/>
      <c r="AE214" s="30"/>
      <c r="AF214" s="30"/>
    </row>
    <row r="215" spans="1:49" ht="10.5" customHeight="1">
      <c r="B215" s="289"/>
      <c r="C215" s="289"/>
      <c r="D215" s="289"/>
      <c r="E215" s="289"/>
      <c r="F215" s="289"/>
      <c r="G215" s="247" t="s">
        <v>953</v>
      </c>
      <c r="H215" s="289"/>
      <c r="I215" s="260"/>
      <c r="M215" s="290"/>
      <c r="AA215" s="30"/>
      <c r="AB215" s="30"/>
      <c r="AC215" s="30"/>
      <c r="AD215" s="30"/>
      <c r="AE215" s="30"/>
    </row>
    <row r="216" spans="1:49" ht="13.5" customHeight="1">
      <c r="A216" s="289"/>
      <c r="B216" s="289"/>
      <c r="C216" s="289"/>
      <c r="D216" s="289"/>
      <c r="E216" s="289"/>
      <c r="F216" s="289"/>
      <c r="G216" s="289"/>
      <c r="H216" s="289"/>
      <c r="M216" s="290"/>
      <c r="S216" s="260"/>
    </row>
    <row r="217" spans="1:49" ht="24" customHeight="1">
      <c r="A217" s="376" t="s">
        <v>831</v>
      </c>
      <c r="B217" s="185"/>
      <c r="C217" s="185"/>
      <c r="D217" s="185"/>
      <c r="E217" s="186"/>
      <c r="F217" s="187"/>
      <c r="G217" s="187"/>
      <c r="H217" s="187"/>
      <c r="M217" s="290"/>
      <c r="AK217" s="30"/>
    </row>
    <row r="218" spans="1:49" ht="15.5">
      <c r="A218" s="188"/>
      <c r="B218" s="188"/>
      <c r="C218" s="188"/>
      <c r="D218" s="188"/>
      <c r="E218" s="186"/>
      <c r="F218" s="187"/>
      <c r="G218" s="187"/>
      <c r="H218" s="187"/>
    </row>
    <row r="219" spans="1:49" ht="18" customHeight="1">
      <c r="A219" s="190" t="s">
        <v>796</v>
      </c>
      <c r="B219" s="190"/>
      <c r="C219" s="190"/>
      <c r="D219" s="190"/>
      <c r="E219" s="186"/>
      <c r="F219" s="187"/>
      <c r="G219" s="187"/>
      <c r="H219" s="187"/>
    </row>
    <row r="220" spans="1:49" ht="15.5">
      <c r="A220" s="190" t="s">
        <v>832</v>
      </c>
      <c r="B220" s="190"/>
      <c r="C220" s="190"/>
      <c r="D220" s="190"/>
      <c r="E220" s="186"/>
      <c r="F220" s="187"/>
      <c r="G220" s="187"/>
      <c r="H220" s="187"/>
      <c r="Q220" s="15" t="s">
        <v>757</v>
      </c>
    </row>
    <row r="221" spans="1:49" ht="15.5">
      <c r="A221" s="190" t="s">
        <v>952</v>
      </c>
      <c r="B221" s="190"/>
      <c r="C221" s="190"/>
      <c r="D221" s="190"/>
      <c r="E221" s="186"/>
      <c r="F221" s="187"/>
      <c r="G221" s="187"/>
      <c r="H221" s="187"/>
      <c r="Q221" s="129" t="s">
        <v>833</v>
      </c>
      <c r="R221" s="129"/>
    </row>
    <row r="222" spans="1:49" ht="13">
      <c r="Q222" s="377" t="s">
        <v>834</v>
      </c>
      <c r="R222" s="377"/>
      <c r="S222" s="378"/>
      <c r="T222" s="378"/>
      <c r="U222" s="379"/>
      <c r="V222" s="380" t="s">
        <v>835</v>
      </c>
      <c r="W222" s="378"/>
      <c r="X222" s="378"/>
      <c r="Y222" s="378"/>
      <c r="Z222" s="380" t="s">
        <v>836</v>
      </c>
      <c r="AA222" s="378"/>
      <c r="AB222" s="378"/>
      <c r="AC222" s="378"/>
    </row>
    <row r="223" spans="1:49" ht="39.75" customHeight="1">
      <c r="A223" s="381"/>
      <c r="B223" s="382" t="s">
        <v>749</v>
      </c>
      <c r="C223" s="202"/>
      <c r="D223" s="382" t="s">
        <v>801</v>
      </c>
      <c r="E223" s="200" t="s">
        <v>803</v>
      </c>
      <c r="F223" s="200" t="s">
        <v>802</v>
      </c>
      <c r="G223" s="383" t="s">
        <v>803</v>
      </c>
      <c r="H223" s="207" t="s">
        <v>5</v>
      </c>
      <c r="I223" s="384"/>
      <c r="Q223" s="385"/>
      <c r="R223" s="385" t="s">
        <v>749</v>
      </c>
      <c r="S223" s="385" t="s">
        <v>801</v>
      </c>
      <c r="T223" s="386" t="s">
        <v>802</v>
      </c>
      <c r="U223" s="387" t="s">
        <v>837</v>
      </c>
      <c r="V223" s="388" t="s">
        <v>749</v>
      </c>
      <c r="W223" s="385" t="s">
        <v>801</v>
      </c>
      <c r="X223" s="386" t="s">
        <v>802</v>
      </c>
      <c r="Y223" s="386" t="s">
        <v>837</v>
      </c>
      <c r="Z223" s="388" t="s">
        <v>749</v>
      </c>
      <c r="AA223" s="385" t="s">
        <v>801</v>
      </c>
      <c r="AB223" s="386" t="s">
        <v>802</v>
      </c>
      <c r="AC223" s="386" t="s">
        <v>837</v>
      </c>
    </row>
    <row r="224" spans="1:49" ht="11.25" customHeight="1">
      <c r="A224" s="15" t="s">
        <v>769</v>
      </c>
      <c r="B224" s="213">
        <f>+GETPIVOTDATA("Sum of New Grand Total FTE",'FTE Pivot for regular counts'!$A$2,"Category2","Four-Year")</f>
        <v>2247055.4168333337</v>
      </c>
      <c r="D224" s="227">
        <f>+GETPIVOTDATA("Sum of New Grand Total FTE",'FTE Pivot for regular counts'!$A$2,"Category2","Two-Year")</f>
        <v>1572826.1944444445</v>
      </c>
      <c r="F224" s="389">
        <f>+GETPIVOTDATA("Sum of New Grand Total FTE",'FTE Pivot for regular counts'!$A$2,"Category2","Technical")</f>
        <v>116758.80456666667</v>
      </c>
      <c r="G224" s="390"/>
      <c r="H224" s="298">
        <f>+F224+D224+B224</f>
        <v>3936640.4158444451</v>
      </c>
      <c r="Q224" s="15" t="s">
        <v>769</v>
      </c>
      <c r="R224" s="213">
        <f>+GETPIVOTDATA("Sum of Old Grand Total FTE",'FTE Pivot for regular counts'!$A$2,"Category2","Four-Year")</f>
        <v>2242735.3148333333</v>
      </c>
      <c r="S224" s="227">
        <f>+GETPIVOTDATA("Sum of Old Grand Total FTE",'FTE Pivot for regular counts'!$A$2,"Category2","Two-Year")</f>
        <v>1590477.2961111111</v>
      </c>
      <c r="T224" s="227">
        <f>+GETPIVOTDATA("Sum of Old Grand Total FTE",'FTE Pivot for regular counts'!$A$2,"Category2","Technical")</f>
        <v>114961.43877777779</v>
      </c>
      <c r="U224" s="391">
        <f>SUM(R224:T224)</f>
        <v>3948174.0497222221</v>
      </c>
      <c r="V224" s="392">
        <f>+B224-R224</f>
        <v>4320.102000000421</v>
      </c>
      <c r="W224" s="393">
        <f>+D224-S224</f>
        <v>-17651.101666666567</v>
      </c>
      <c r="X224" s="393">
        <f>+F224-T224</f>
        <v>1797.3657888888847</v>
      </c>
      <c r="Y224" s="393">
        <f>+H224-U224</f>
        <v>-11533.633877777029</v>
      </c>
      <c r="Z224" s="394">
        <f>(B224-R224)/R224</f>
        <v>1.9262647586754862E-3</v>
      </c>
      <c r="AA224" s="395">
        <f>(D224-S224)/S224</f>
        <v>-1.1097990339016733E-2</v>
      </c>
      <c r="AB224" s="395">
        <f t="shared" ref="AB224:AB241" si="46">IF(T224&gt;0,((F224-T224)/T224),)</f>
        <v>1.5634510214883619E-2</v>
      </c>
      <c r="AC224" s="395">
        <f>(H224-U224)/U224</f>
        <v>-2.9212577086333083E-3</v>
      </c>
      <c r="AI224" s="339"/>
      <c r="AJ224" s="339"/>
      <c r="AK224" s="339"/>
      <c r="AL224" s="339"/>
    </row>
    <row r="225" spans="1:38" ht="15" customHeight="1">
      <c r="B225" s="227"/>
      <c r="D225" s="227"/>
      <c r="F225" s="227"/>
      <c r="G225" s="390"/>
      <c r="H225" s="227"/>
      <c r="R225" s="227"/>
      <c r="S225" s="227"/>
      <c r="T225" s="227"/>
      <c r="U225" s="227"/>
      <c r="V225" s="392"/>
      <c r="W225" s="393"/>
      <c r="X225" s="393"/>
      <c r="Y225" s="393"/>
      <c r="Z225" s="394"/>
      <c r="AA225" s="395"/>
      <c r="AB225" s="395">
        <f t="shared" si="46"/>
        <v>0</v>
      </c>
      <c r="AC225" s="395"/>
      <c r="AI225" s="339"/>
      <c r="AJ225" s="339"/>
      <c r="AK225" s="339"/>
      <c r="AL225" s="339"/>
    </row>
    <row r="226" spans="1:38" ht="13.5" customHeight="1">
      <c r="A226" s="15" t="s">
        <v>777</v>
      </c>
      <c r="B226" s="227">
        <f>+GETPIVOTDATA("Sum of New Grand Total FTE",'FTE Pivot for regular counts'!$A$2,"State","AL","Category2","Four-Year")</f>
        <v>143682.71666666665</v>
      </c>
      <c r="D226" s="227">
        <f>+GETPIVOTDATA("Sum of New Grand Total FTE",'FTE Pivot for regular counts'!$A$2,"State","AL","Category2","Two-Year")</f>
        <v>55877.9</v>
      </c>
      <c r="F226" s="389">
        <f>+GETPIVOTDATA("Sum of New Grand Total FTE",'FTE Pivot for regular counts'!$A$2,"State","AL","Category2","Technical")</f>
        <v>2981.7333333333336</v>
      </c>
      <c r="G226" s="390"/>
      <c r="H226" s="298">
        <f t="shared" ref="H226:H241" si="47">+F226+D226+B226</f>
        <v>202542.34999999998</v>
      </c>
      <c r="Q226" s="15" t="s">
        <v>777</v>
      </c>
      <c r="R226" s="227">
        <f>+GETPIVOTDATA("Sum of Old Grand Total FTE",'FTE Pivot for regular counts'!$A$2,"State","AL","Category2","Four-Year")</f>
        <v>142023.98333333334</v>
      </c>
      <c r="S226" s="227">
        <f>+GETPIVOTDATA("Sum of Old Grand Total FTE",'FTE Pivot for regular counts'!$A$2,"State","AL","Category2","Two-Year")</f>
        <v>56625.5</v>
      </c>
      <c r="T226" s="227">
        <f>+GETPIVOTDATA("Sum of Old Grand Total FTE",'FTE Pivot for regular counts'!$A$2,"State","AL","Category2","Technical")</f>
        <v>2763.7333333333331</v>
      </c>
      <c r="U226" s="396">
        <f t="shared" ref="U226:U241" si="48">SUM(R226:T226)</f>
        <v>201413.21666666667</v>
      </c>
      <c r="V226" s="392">
        <f t="shared" ref="V226:V241" si="49">+B226-R226</f>
        <v>1658.7333333333081</v>
      </c>
      <c r="W226" s="393">
        <f t="shared" ref="W226:W241" si="50">+D226-S226</f>
        <v>-747.59999999999854</v>
      </c>
      <c r="X226" s="393">
        <f t="shared" ref="X226:X241" si="51">+F226-T226</f>
        <v>218.00000000000045</v>
      </c>
      <c r="Y226" s="393">
        <f t="shared" ref="Y226:Y241" si="52">+H226-U226</f>
        <v>1129.1333333333023</v>
      </c>
      <c r="Z226" s="394">
        <f t="shared" ref="Z226:Z241" si="53">(B226-R226)/R226</f>
        <v>1.1679248070660187E-2</v>
      </c>
      <c r="AA226" s="395">
        <f t="shared" ref="AA226:AA241" si="54">(D226-S226)/S226</f>
        <v>-1.3202532427969706E-2</v>
      </c>
      <c r="AB226" s="395">
        <f t="shared" si="46"/>
        <v>7.8878811269780177E-2</v>
      </c>
      <c r="AC226" s="395">
        <f t="shared" ref="AC226:AC241" si="55">(H226-U226)/U226</f>
        <v>5.6060538231807637E-3</v>
      </c>
      <c r="AI226" s="339"/>
      <c r="AJ226" s="339"/>
      <c r="AK226" s="339"/>
      <c r="AL226" s="339"/>
    </row>
    <row r="227" spans="1:38" ht="15" customHeight="1">
      <c r="A227" s="15" t="s">
        <v>778</v>
      </c>
      <c r="B227" s="227">
        <f>+GETPIVOTDATA("Sum of New Grand Total FTE",'FTE Pivot for regular counts'!$A$2,"State","AR","Category2","Four-Year")</f>
        <v>81346.833333333343</v>
      </c>
      <c r="D227" s="227">
        <f>+GETPIVOTDATA("Sum of New Grand Total FTE",'FTE Pivot for regular counts'!$A$2,"State","AR","Category2","Two-Year")</f>
        <v>30953.76666666667</v>
      </c>
      <c r="F227" s="389">
        <f>+GETPIVOTDATA("Sum of New Grand Total FTE",'FTE Pivot for regular counts'!$A$2,"State","AR","Category2","Technical")</f>
        <v>0</v>
      </c>
      <c r="G227" s="390"/>
      <c r="H227" s="298">
        <f t="shared" si="47"/>
        <v>112300.6</v>
      </c>
      <c r="Q227" s="15" t="s">
        <v>778</v>
      </c>
      <c r="R227" s="227">
        <f>+GETPIVOTDATA("Sum of Old Grand Total FTE",'FTE Pivot for regular counts'!$A$2,"State","AR","Category2","Four-Year")</f>
        <v>83128.225000000006</v>
      </c>
      <c r="S227" s="227">
        <f>+GETPIVOTDATA("Sum of Old Grand Total FTE",'FTE Pivot for regular counts'!$A$2,"State","AR","Category2","Two-Year")</f>
        <v>30992.033333333333</v>
      </c>
      <c r="T227" s="227">
        <f>+GETPIVOTDATA("Sum of Old Grand Total FTE",'FTE Pivot for regular counts'!$A$2,"State","AR","Category2","Technical")</f>
        <v>0</v>
      </c>
      <c r="U227" s="396">
        <f t="shared" si="48"/>
        <v>114120.25833333333</v>
      </c>
      <c r="V227" s="392">
        <f t="shared" si="49"/>
        <v>-1781.3916666666628</v>
      </c>
      <c r="W227" s="393">
        <f t="shared" si="50"/>
        <v>-38.266666666662786</v>
      </c>
      <c r="X227" s="393">
        <f t="shared" si="51"/>
        <v>0</v>
      </c>
      <c r="Y227" s="393">
        <f t="shared" si="52"/>
        <v>-1819.6583333333256</v>
      </c>
      <c r="Z227" s="394">
        <f t="shared" si="53"/>
        <v>-2.1429444291233966E-2</v>
      </c>
      <c r="AA227" s="395">
        <f t="shared" si="54"/>
        <v>-1.2347259134335422E-3</v>
      </c>
      <c r="AB227" s="395">
        <f t="shared" si="46"/>
        <v>0</v>
      </c>
      <c r="AC227" s="395">
        <f t="shared" si="55"/>
        <v>-1.5945094761512842E-2</v>
      </c>
      <c r="AI227" s="339"/>
      <c r="AJ227" s="339"/>
      <c r="AK227" s="339"/>
      <c r="AL227" s="339"/>
    </row>
    <row r="228" spans="1:38" ht="15" customHeight="1">
      <c r="A228" s="15" t="s">
        <v>779</v>
      </c>
      <c r="B228" s="227">
        <f>+GETPIVOTDATA("Sum of New Grand Total FTE",'FTE Pivot for regular counts'!$A$2,"State","DE","Category2","Four-Year")</f>
        <v>27711.35833333333</v>
      </c>
      <c r="D228" s="227">
        <f>+GETPIVOTDATA("Sum of New Grand Total FTE",'FTE Pivot for regular counts'!$A$2,"State","DE","Category2","Two-Year")</f>
        <v>8659.5666666666675</v>
      </c>
      <c r="F228" s="389">
        <f>+GETPIVOTDATA("Sum of New Grand Total FTE",'FTE Pivot for regular counts'!$A$2,"State","DE","Category2","Technical")</f>
        <v>0</v>
      </c>
      <c r="G228" s="390"/>
      <c r="H228" s="298">
        <f t="shared" si="47"/>
        <v>36370.924999999996</v>
      </c>
      <c r="Q228" s="15" t="s">
        <v>779</v>
      </c>
      <c r="R228" s="227">
        <f>+GETPIVOTDATA("Sum of Old Grand Total FTE",'FTE Pivot for regular counts'!$A$2,"State","DE","Category2","Four-Year")</f>
        <v>27330.841666666664</v>
      </c>
      <c r="S228" s="227">
        <f>+GETPIVOTDATA("Sum of Old Grand Total FTE",'FTE Pivot for regular counts'!$A$2,"State","DE","Category2","Two-Year")</f>
        <v>9012.6333333333332</v>
      </c>
      <c r="T228" s="227">
        <f>+GETPIVOTDATA("Sum of Old Grand Total FTE",'FTE Pivot for regular counts'!$A$2,"State","DE","Category2","Technical")</f>
        <v>0</v>
      </c>
      <c r="U228" s="396">
        <f t="shared" si="48"/>
        <v>36343.474999999999</v>
      </c>
      <c r="V228" s="392">
        <f t="shared" si="49"/>
        <v>380.51666666666642</v>
      </c>
      <c r="W228" s="393">
        <f t="shared" si="50"/>
        <v>-353.0666666666657</v>
      </c>
      <c r="X228" s="393">
        <f t="shared" si="51"/>
        <v>0</v>
      </c>
      <c r="Y228" s="393">
        <f t="shared" si="52"/>
        <v>27.44999999999709</v>
      </c>
      <c r="Z228" s="394">
        <f t="shared" si="53"/>
        <v>1.3922610628224944E-2</v>
      </c>
      <c r="AA228" s="395">
        <f t="shared" si="54"/>
        <v>-3.9174640042310874E-2</v>
      </c>
      <c r="AB228" s="395">
        <f t="shared" si="46"/>
        <v>0</v>
      </c>
      <c r="AC228" s="395">
        <f t="shared" si="55"/>
        <v>7.5529376318574624E-4</v>
      </c>
      <c r="AI228" s="339"/>
      <c r="AJ228" s="339"/>
      <c r="AK228" s="339"/>
      <c r="AL228" s="339"/>
    </row>
    <row r="229" spans="1:38" ht="15" customHeight="1">
      <c r="A229" s="15" t="s">
        <v>780</v>
      </c>
      <c r="B229" s="227">
        <f>+GETPIVOTDATA("Sum of New Grand Total FTE",'FTE Pivot for regular counts'!$A$2,"State","FL","Category2","Four-Year")</f>
        <v>0</v>
      </c>
      <c r="D229" s="227">
        <f>+GETPIVOTDATA("Sum of New Grand Total FTE",'FTE Pivot for regular counts'!$A$2,"State","FL","Category2","Two-Year")</f>
        <v>320467.47888888896</v>
      </c>
      <c r="F229" s="389">
        <f>+GETPIVOTDATA("Sum of New Grand Total FTE",'FTE Pivot for regular counts'!$A$2,"State","FL","Category2","Technical")</f>
        <v>0</v>
      </c>
      <c r="G229" s="390"/>
      <c r="H229" s="298">
        <f t="shared" si="47"/>
        <v>320467.47888888896</v>
      </c>
      <c r="Q229" s="15" t="s">
        <v>780</v>
      </c>
      <c r="R229" s="227">
        <f>+GETPIVOTDATA("Sum of Old Grand Total FTE",'FTE Pivot for regular counts'!$A$2,"State","FL","Category2","Four-Year")</f>
        <v>0</v>
      </c>
      <c r="S229" s="227">
        <f>+GETPIVOTDATA("Sum of Old Grand Total FTE",'FTE Pivot for regular counts'!$A$2,"State","FL","Category2","Two-Year")</f>
        <v>321843.59444444446</v>
      </c>
      <c r="T229" s="227">
        <f>+GETPIVOTDATA("Sum of Old Grand Total FTE",'FTE Pivot for regular counts'!$A$2,"State","FL","Category2","Technical")</f>
        <v>0</v>
      </c>
      <c r="U229" s="396">
        <f t="shared" si="48"/>
        <v>321843.59444444446</v>
      </c>
      <c r="V229" s="392">
        <f t="shared" si="49"/>
        <v>0</v>
      </c>
      <c r="W229" s="393">
        <f t="shared" si="50"/>
        <v>-1376.1155555555015</v>
      </c>
      <c r="X229" s="393">
        <f t="shared" si="51"/>
        <v>0</v>
      </c>
      <c r="Y229" s="393">
        <f t="shared" si="52"/>
        <v>-1376.1155555555015</v>
      </c>
      <c r="Z229" s="394" t="e">
        <f t="shared" si="53"/>
        <v>#DIV/0!</v>
      </c>
      <c r="AA229" s="395">
        <f t="shared" si="54"/>
        <v>-4.2757276494220916E-3</v>
      </c>
      <c r="AB229" s="395">
        <f t="shared" si="46"/>
        <v>0</v>
      </c>
      <c r="AC229" s="395">
        <f t="shared" si="55"/>
        <v>-4.2757276494220916E-3</v>
      </c>
      <c r="AI229" s="339"/>
      <c r="AJ229" s="339"/>
      <c r="AK229" s="339"/>
      <c r="AL229" s="339"/>
    </row>
    <row r="230" spans="1:38" ht="15" customHeight="1">
      <c r="A230" s="15" t="s">
        <v>781</v>
      </c>
      <c r="B230" s="227">
        <f>+GETPIVOTDATA("Sum of New Grand Total FTE",'FTE Pivot for regular counts'!$A$2,"State","GA","Category2","Four-Year")</f>
        <v>282872.40100000001</v>
      </c>
      <c r="D230" s="227">
        <f>+GETPIVOTDATA("Sum of New Grand Total FTE",'FTE Pivot for regular counts'!$A$2,"State","GA","Category2","Two-Year")</f>
        <v>10092.666666666666</v>
      </c>
      <c r="F230" s="389">
        <f>+GETPIVOTDATA("Sum of New Grand Total FTE",'FTE Pivot for regular counts'!$A$2,"State","GA","Category2","Technical")</f>
        <v>67961.233333333337</v>
      </c>
      <c r="G230" s="390"/>
      <c r="H230" s="298">
        <f t="shared" si="47"/>
        <v>360926.30100000004</v>
      </c>
      <c r="Q230" s="15" t="s">
        <v>781</v>
      </c>
      <c r="R230" s="227">
        <f>+GETPIVOTDATA("Sum of Old Grand Total FTE",'FTE Pivot for regular counts'!$A$2,"State","GA","Category2","Four-Year")</f>
        <v>278021.0465</v>
      </c>
      <c r="S230" s="227">
        <f>+GETPIVOTDATA("Sum of Old Grand Total FTE",'FTE Pivot for regular counts'!$A$2,"State","GA","Category2","Two-Year")</f>
        <v>11230.134999999998</v>
      </c>
      <c r="T230" s="227">
        <f>+GETPIVOTDATA("Sum of Old Grand Total FTE",'FTE Pivot for regular counts'!$A$2,"State","GA","Category2","Technical")</f>
        <v>66137.013333333336</v>
      </c>
      <c r="U230" s="396">
        <f t="shared" si="48"/>
        <v>355388.19483333337</v>
      </c>
      <c r="V230" s="392">
        <f t="shared" si="49"/>
        <v>4851.3545000000158</v>
      </c>
      <c r="W230" s="393">
        <f t="shared" si="50"/>
        <v>-1137.4683333333323</v>
      </c>
      <c r="X230" s="393">
        <f t="shared" si="51"/>
        <v>1824.2200000000012</v>
      </c>
      <c r="Y230" s="393">
        <f t="shared" si="52"/>
        <v>5538.1061666666646</v>
      </c>
      <c r="Z230" s="394">
        <f t="shared" si="53"/>
        <v>1.7449594414068993E-2</v>
      </c>
      <c r="AA230" s="395">
        <f t="shared" si="54"/>
        <v>-0.10128714688944812</v>
      </c>
      <c r="AB230" s="395">
        <f t="shared" si="46"/>
        <v>2.7582436945040978E-2</v>
      </c>
      <c r="AC230" s="395">
        <f t="shared" si="55"/>
        <v>1.5583258665257223E-2</v>
      </c>
      <c r="AI230" s="339"/>
      <c r="AJ230" s="339"/>
      <c r="AK230" s="339"/>
      <c r="AL230" s="339"/>
    </row>
    <row r="231" spans="1:38" ht="15" customHeight="1">
      <c r="A231" s="15" t="s">
        <v>782</v>
      </c>
      <c r="B231" s="227">
        <f>+GETPIVOTDATA("Sum of New Grand Total FTE",'FTE Pivot for regular counts'!$A$2,"State","KY","Category2","Four-Year")</f>
        <v>94081.108333333337</v>
      </c>
      <c r="D231" s="227">
        <f>+GETPIVOTDATA("Sum of New Grand Total FTE",'FTE Pivot for regular counts'!$A$2,"State","KY","Category2","Two-Year")</f>
        <v>39136.299999999996</v>
      </c>
      <c r="F231" s="389">
        <f>+GETPIVOTDATA("Sum of New Grand Total FTE",'FTE Pivot for regular counts'!$A$2,"State","KY","Category2","Technical")</f>
        <v>5195.9566666666669</v>
      </c>
      <c r="G231" s="390"/>
      <c r="H231" s="298">
        <f t="shared" si="47"/>
        <v>138413.36499999999</v>
      </c>
      <c r="Q231" s="15" t="s">
        <v>782</v>
      </c>
      <c r="R231" s="227">
        <f>+GETPIVOTDATA("Sum of Old Grand Total FTE",'FTE Pivot for regular counts'!$A$2,"State","KY","Category2","Four-Year")</f>
        <v>96590.71666666666</v>
      </c>
      <c r="S231" s="227">
        <f>+GETPIVOTDATA("Sum of Old Grand Total FTE",'FTE Pivot for regular counts'!$A$2,"State","KY","Category2","Two-Year")</f>
        <v>39512.666666666672</v>
      </c>
      <c r="T231" s="227">
        <f>+GETPIVOTDATA("Sum of Old Grand Total FTE",'FTE Pivot for regular counts'!$A$2,"State","KY","Category2","Technical")</f>
        <v>4998.6666666666661</v>
      </c>
      <c r="U231" s="396">
        <f t="shared" si="48"/>
        <v>141102.04999999999</v>
      </c>
      <c r="V231" s="392">
        <f t="shared" si="49"/>
        <v>-2509.6083333333227</v>
      </c>
      <c r="W231" s="393">
        <f t="shared" si="50"/>
        <v>-376.36666666667588</v>
      </c>
      <c r="X231" s="393">
        <f t="shared" si="51"/>
        <v>197.29000000000087</v>
      </c>
      <c r="Y231" s="393">
        <f t="shared" si="52"/>
        <v>-2688.6849999999977</v>
      </c>
      <c r="Z231" s="394">
        <f t="shared" si="53"/>
        <v>-2.598187921095926E-2</v>
      </c>
      <c r="AA231" s="395">
        <f t="shared" si="54"/>
        <v>-9.5252155426954008E-3</v>
      </c>
      <c r="AB231" s="395">
        <f t="shared" si="46"/>
        <v>3.9468524939984179E-2</v>
      </c>
      <c r="AC231" s="395">
        <f t="shared" si="55"/>
        <v>-1.905489679278223E-2</v>
      </c>
      <c r="AI231" s="339"/>
      <c r="AJ231" s="339"/>
      <c r="AK231" s="339"/>
      <c r="AL231" s="339"/>
    </row>
    <row r="232" spans="1:38" ht="15" customHeight="1">
      <c r="A232" s="15" t="s">
        <v>783</v>
      </c>
      <c r="B232" s="227">
        <f>+GETPIVOTDATA("Sum of New Grand Total FTE",'FTE Pivot for regular counts'!$A$2,"State","LA","Category2","Four-Year")</f>
        <v>121465.32916666666</v>
      </c>
      <c r="D232" s="227">
        <f>+GETPIVOTDATA("Sum of New Grand Total FTE",'FTE Pivot for regular counts'!$A$2,"State","LA","Category2","Two-Year")</f>
        <v>34753.283333333333</v>
      </c>
      <c r="F232" s="389">
        <f>+GETPIVOTDATA("Sum of New Grand Total FTE",'FTE Pivot for regular counts'!$A$2,"State","LA","Category2","Technical")</f>
        <v>8711.15</v>
      </c>
      <c r="G232" s="390"/>
      <c r="H232" s="298">
        <f t="shared" si="47"/>
        <v>164929.76250000001</v>
      </c>
      <c r="Q232" s="15" t="s">
        <v>783</v>
      </c>
      <c r="R232" s="227">
        <f>+GETPIVOTDATA("Sum of Old Grand Total FTE",'FTE Pivot for regular counts'!$A$2,"State","LA","Category2","Four-Year")</f>
        <v>120472.58749999999</v>
      </c>
      <c r="S232" s="227">
        <f>+GETPIVOTDATA("Sum of Old Grand Total FTE",'FTE Pivot for regular counts'!$A$2,"State","LA","Category2","Two-Year")</f>
        <v>34582.699999999997</v>
      </c>
      <c r="T232" s="227">
        <f>+GETPIVOTDATA("Sum of Old Grand Total FTE",'FTE Pivot for regular counts'!$A$2,"State","LA","Category2","Technical")</f>
        <v>8349.3333333333339</v>
      </c>
      <c r="U232" s="396">
        <f t="shared" si="48"/>
        <v>163404.62083333332</v>
      </c>
      <c r="V232" s="392">
        <f t="shared" si="49"/>
        <v>992.74166666666861</v>
      </c>
      <c r="W232" s="393">
        <f t="shared" si="50"/>
        <v>170.58333333333576</v>
      </c>
      <c r="X232" s="393">
        <f t="shared" si="51"/>
        <v>361.8166666666657</v>
      </c>
      <c r="Y232" s="393">
        <f t="shared" si="52"/>
        <v>1525.1416666666919</v>
      </c>
      <c r="Z232" s="394">
        <f t="shared" si="53"/>
        <v>8.2403946596288444E-3</v>
      </c>
      <c r="AA232" s="395">
        <f t="shared" si="54"/>
        <v>4.9326204528083633E-3</v>
      </c>
      <c r="AB232" s="395">
        <f t="shared" si="46"/>
        <v>4.3334797189396243E-2</v>
      </c>
      <c r="AC232" s="395">
        <f t="shared" si="55"/>
        <v>9.3335283842571389E-3</v>
      </c>
      <c r="AI232" s="339"/>
      <c r="AJ232" s="339"/>
      <c r="AK232" s="339"/>
      <c r="AL232" s="339"/>
    </row>
    <row r="233" spans="1:38" ht="15" customHeight="1">
      <c r="A233" s="15" t="s">
        <v>784</v>
      </c>
      <c r="B233" s="227">
        <f>+GETPIVOTDATA("Sum of New Grand Total FTE",'FTE Pivot for regular counts'!$A$2,"State","MD","Category2","Four-Year")</f>
        <v>103004.30833333333</v>
      </c>
      <c r="D233" s="227">
        <f>+GETPIVOTDATA("Sum of New Grand Total FTE",'FTE Pivot for regular counts'!$A$2,"State","MD","Category2","Two-Year")</f>
        <v>83680.583333333328</v>
      </c>
      <c r="F233" s="389">
        <f>+GETPIVOTDATA("Sum of New Grand Total FTE",'FTE Pivot for regular counts'!$A$2,"State","MD","Category2","Technical")</f>
        <v>0</v>
      </c>
      <c r="G233" s="390"/>
      <c r="H233" s="298">
        <f t="shared" si="47"/>
        <v>186684.89166666666</v>
      </c>
      <c r="Q233" s="15" t="s">
        <v>784</v>
      </c>
      <c r="R233" s="227">
        <f>+GETPIVOTDATA("Sum of Old Grand Total FTE",'FTE Pivot for regular counts'!$A$2,"State","MD","Category2","Four-Year")</f>
        <v>104545.3625</v>
      </c>
      <c r="S233" s="227">
        <f>+GETPIVOTDATA("Sum of Old Grand Total FTE",'FTE Pivot for regular counts'!$A$2,"State","MD","Category2","Two-Year")</f>
        <v>85544.796666666662</v>
      </c>
      <c r="T233" s="227">
        <f>+GETPIVOTDATA("Sum of Old Grand Total FTE",'FTE Pivot for regular counts'!$A$2,"State","MD","Category2","Technical")</f>
        <v>0</v>
      </c>
      <c r="U233" s="396">
        <f t="shared" si="48"/>
        <v>190090.15916666668</v>
      </c>
      <c r="V233" s="392">
        <f t="shared" si="49"/>
        <v>-1541.0541666666686</v>
      </c>
      <c r="W233" s="393">
        <f t="shared" si="50"/>
        <v>-1864.2133333333331</v>
      </c>
      <c r="X233" s="393">
        <f t="shared" si="51"/>
        <v>0</v>
      </c>
      <c r="Y233" s="393">
        <f t="shared" si="52"/>
        <v>-3405.2675000000163</v>
      </c>
      <c r="Z233" s="394">
        <f t="shared" si="53"/>
        <v>-1.4740531094018336E-2</v>
      </c>
      <c r="AA233" s="395">
        <f t="shared" si="54"/>
        <v>-2.179224693931316E-2</v>
      </c>
      <c r="AB233" s="395">
        <f t="shared" si="46"/>
        <v>0</v>
      </c>
      <c r="AC233" s="395">
        <f t="shared" si="55"/>
        <v>-1.7913959959465108E-2</v>
      </c>
      <c r="AI233" s="339"/>
      <c r="AJ233" s="339"/>
      <c r="AK233" s="339"/>
      <c r="AL233" s="339"/>
    </row>
    <row r="234" spans="1:38" ht="15" customHeight="1">
      <c r="A234" s="15" t="s">
        <v>785</v>
      </c>
      <c r="B234" s="227">
        <f>+GETPIVOTDATA("Sum of New Grand Total FTE",'FTE Pivot for regular counts'!$A$2,"State","MS","Category2","Four-Year")</f>
        <v>70794.144166666665</v>
      </c>
      <c r="D234" s="227">
        <f>+GETPIVOTDATA("Sum of New Grand Total FTE",'FTE Pivot for regular counts'!$A$2,"State","MS","Category2","Two-Year")</f>
        <v>61043.583333333336</v>
      </c>
      <c r="F234" s="389">
        <f>+GETPIVOTDATA("Sum of New Grand Total FTE",'FTE Pivot for regular counts'!$A$2,"State","MS","Category2","Technical")</f>
        <v>0</v>
      </c>
      <c r="G234" s="390"/>
      <c r="H234" s="298">
        <f t="shared" si="47"/>
        <v>131837.72750000001</v>
      </c>
      <c r="Q234" s="15" t="s">
        <v>785</v>
      </c>
      <c r="R234" s="227">
        <f>+GETPIVOTDATA("Sum of Old Grand Total FTE",'FTE Pivot for regular counts'!$A$2,"State","MS","Category2","Four-Year")</f>
        <v>71788.195833333331</v>
      </c>
      <c r="S234" s="227">
        <f>+GETPIVOTDATA("Sum of Old Grand Total FTE",'FTE Pivot for regular counts'!$A$2,"State","MS","Category2","Two-Year")</f>
        <v>62593.166666666664</v>
      </c>
      <c r="T234" s="227">
        <f>+GETPIVOTDATA("Sum of Old Grand Total FTE",'FTE Pivot for regular counts'!$A$2,"State","MS","Category2","Technical")</f>
        <v>0</v>
      </c>
      <c r="U234" s="396">
        <f t="shared" si="48"/>
        <v>134381.36249999999</v>
      </c>
      <c r="V234" s="392">
        <f t="shared" si="49"/>
        <v>-994.05166666666628</v>
      </c>
      <c r="W234" s="393">
        <f t="shared" si="50"/>
        <v>-1549.5833333333285</v>
      </c>
      <c r="X234" s="393">
        <f t="shared" si="51"/>
        <v>0</v>
      </c>
      <c r="Y234" s="393">
        <f t="shared" si="52"/>
        <v>-2543.6349999999802</v>
      </c>
      <c r="Z234" s="394">
        <f t="shared" si="53"/>
        <v>-1.3847007229078452E-2</v>
      </c>
      <c r="AA234" s="395">
        <f t="shared" si="54"/>
        <v>-2.4756429748721161E-2</v>
      </c>
      <c r="AB234" s="395">
        <f t="shared" si="46"/>
        <v>0</v>
      </c>
      <c r="AC234" s="395">
        <f t="shared" si="55"/>
        <v>-1.8928480502643962E-2</v>
      </c>
      <c r="AI234" s="339"/>
      <c r="AJ234" s="339"/>
      <c r="AK234" s="339"/>
      <c r="AL234" s="339"/>
    </row>
    <row r="235" spans="1:38" ht="12" customHeight="1">
      <c r="A235" s="15" t="s">
        <v>786</v>
      </c>
      <c r="B235" s="227">
        <f>+GETPIVOTDATA("Sum of New Grand Total FTE",'FTE Pivot for regular counts'!$A$2,"State","NC","Category2","Four-Year")</f>
        <v>213723.40416666665</v>
      </c>
      <c r="D235" s="227">
        <f>+GETPIVOTDATA("Sum of New Grand Total FTE",'FTE Pivot for regular counts'!$A$2,"State","NC","Category2","Two-Year")</f>
        <v>182868.4133333333</v>
      </c>
      <c r="F235" s="389">
        <f>+GETPIVOTDATA("Sum of New Grand Total FTE",'FTE Pivot for regular counts'!$A$2,"State","NC","Category2","Technical")</f>
        <v>0</v>
      </c>
      <c r="G235" s="390"/>
      <c r="H235" s="298">
        <f t="shared" si="47"/>
        <v>396591.81749999995</v>
      </c>
      <c r="Q235" s="15" t="s">
        <v>786</v>
      </c>
      <c r="R235" s="227">
        <f>+GETPIVOTDATA("Sum of Old Grand Total FTE",'FTE Pivot for regular counts'!$A$2,"State","NC","Category2","Four-Year")</f>
        <v>211598.70833333334</v>
      </c>
      <c r="S235" s="227">
        <f>+GETPIVOTDATA("Sum of Old Grand Total FTE",'FTE Pivot for regular counts'!$A$2,"State","NC","Category2","Two-Year")</f>
        <v>180598.31444444446</v>
      </c>
      <c r="T235" s="227">
        <f>+GETPIVOTDATA("Sum of Old Grand Total FTE",'FTE Pivot for regular counts'!$A$2,"State","NC","Category2","Technical")</f>
        <v>0</v>
      </c>
      <c r="U235" s="396">
        <f t="shared" si="48"/>
        <v>392197.02277777781</v>
      </c>
      <c r="V235" s="392">
        <f t="shared" si="49"/>
        <v>2124.6958333333023</v>
      </c>
      <c r="W235" s="393">
        <f t="shared" si="50"/>
        <v>2270.0988888888387</v>
      </c>
      <c r="X235" s="393">
        <f t="shared" si="51"/>
        <v>0</v>
      </c>
      <c r="Y235" s="393">
        <f t="shared" si="52"/>
        <v>4394.794722222141</v>
      </c>
      <c r="Z235" s="394">
        <f t="shared" si="53"/>
        <v>1.0041156914749451E-2</v>
      </c>
      <c r="AA235" s="395">
        <f t="shared" si="54"/>
        <v>1.2569878605302072E-2</v>
      </c>
      <c r="AB235" s="395">
        <f t="shared" si="46"/>
        <v>0</v>
      </c>
      <c r="AC235" s="395">
        <f t="shared" si="55"/>
        <v>1.120557899979845E-2</v>
      </c>
      <c r="AI235" s="339"/>
      <c r="AJ235" s="339"/>
      <c r="AK235" s="339"/>
      <c r="AL235" s="339"/>
    </row>
    <row r="236" spans="1:38" ht="15" customHeight="1">
      <c r="A236" s="15" t="s">
        <v>787</v>
      </c>
      <c r="B236" s="227">
        <f>+GETPIVOTDATA("Sum of New Grand Total FTE",'FTE Pivot for regular counts'!$A$2,"State","OK","Category2","Four-Year")</f>
        <v>89202.033333333326</v>
      </c>
      <c r="D236" s="227">
        <f>+GETPIVOTDATA("Sum of New Grand Total FTE",'FTE Pivot for regular counts'!$A$2,"State","OK","Category2","Two-Year")</f>
        <v>37472.466666666667</v>
      </c>
      <c r="F236" s="389">
        <f>+GETPIVOTDATA("Sum of New Grand Total FTE",'FTE Pivot for regular counts'!$A$2,"State","OK","Category2","Technical")</f>
        <v>19050.594566666667</v>
      </c>
      <c r="G236" s="390"/>
      <c r="H236" s="298">
        <f t="shared" si="47"/>
        <v>145725.09456666667</v>
      </c>
      <c r="Q236" s="15" t="s">
        <v>787</v>
      </c>
      <c r="R236" s="227">
        <f>+GETPIVOTDATA("Sum of Old Grand Total FTE",'FTE Pivot for regular counts'!$A$2,"State","OK","Category2","Four-Year")</f>
        <v>90625.933333333334</v>
      </c>
      <c r="S236" s="227">
        <f>+GETPIVOTDATA("Sum of Old Grand Total FTE",'FTE Pivot for regular counts'!$A$2,"State","OK","Category2","Two-Year")</f>
        <v>41355.166666666672</v>
      </c>
      <c r="T236" s="213">
        <f>+GETPIVOTDATA("Sum of Old Grand Total FTE",'FTE Pivot for regular counts'!$A$2,"State","OK","Category2","Technical")</f>
        <v>20325.343222222218</v>
      </c>
      <c r="U236" s="396">
        <f t="shared" si="48"/>
        <v>152306.44322222221</v>
      </c>
      <c r="V236" s="392">
        <f t="shared" si="49"/>
        <v>-1423.9000000000087</v>
      </c>
      <c r="W236" s="393">
        <f t="shared" si="50"/>
        <v>-3882.7000000000044</v>
      </c>
      <c r="X236" s="393">
        <f t="shared" si="51"/>
        <v>-1274.7486555555515</v>
      </c>
      <c r="Y236" s="393">
        <f t="shared" si="52"/>
        <v>-6581.3486555555428</v>
      </c>
      <c r="Z236" s="394">
        <f t="shared" si="53"/>
        <v>-1.5711838186126363E-2</v>
      </c>
      <c r="AA236" s="395">
        <f t="shared" si="54"/>
        <v>-9.3886696946371168E-2</v>
      </c>
      <c r="AB236" s="395">
        <f t="shared" si="46"/>
        <v>-6.2717201949231347E-2</v>
      </c>
      <c r="AC236" s="395">
        <f t="shared" si="55"/>
        <v>-4.3211229389376833E-2</v>
      </c>
      <c r="AI236" s="339"/>
      <c r="AJ236" s="339"/>
      <c r="AK236" s="339"/>
      <c r="AL236" s="339"/>
    </row>
    <row r="237" spans="1:38" ht="15" customHeight="1">
      <c r="A237" s="15" t="s">
        <v>788</v>
      </c>
      <c r="B237" s="227">
        <f>+GETPIVOTDATA("Sum of New Grand Total FTE",'FTE Pivot for regular counts'!$A$2,"State","SC","Category2","Four-Year")</f>
        <v>107986.41666666666</v>
      </c>
      <c r="D237" s="227">
        <f>+GETPIVOTDATA("Sum of New Grand Total FTE",'FTE Pivot for regular counts'!$A$2,"State","SC","Category2","Two-Year")</f>
        <v>57626.733333333337</v>
      </c>
      <c r="F237" s="389">
        <f>+GETPIVOTDATA("Sum of New Grand Total FTE",'FTE Pivot for regular counts'!$A$2,"State","SC","Category2","Technical")</f>
        <v>0</v>
      </c>
      <c r="G237" s="390"/>
      <c r="H237" s="298">
        <f t="shared" si="47"/>
        <v>165613.15</v>
      </c>
      <c r="Q237" s="15" t="s">
        <v>788</v>
      </c>
      <c r="R237" s="227">
        <f>+GETPIVOTDATA("Sum of Old Grand Total FTE",'FTE Pivot for regular counts'!$A$2,"State","SC","Category2","Four-Year")</f>
        <v>107445.63333333333</v>
      </c>
      <c r="S237" s="227">
        <f>+GETPIVOTDATA("Sum of Old Grand Total FTE",'FTE Pivot for regular counts'!$A$2,"State","SC","Category2","Two-Year")</f>
        <v>58807.466666666667</v>
      </c>
      <c r="T237" s="227">
        <f>+GETPIVOTDATA("Sum of Old Grand Total FTE",'FTE Pivot for regular counts'!$A$2,"State","SC","Category2","Technical")</f>
        <v>0</v>
      </c>
      <c r="U237" s="396">
        <f t="shared" si="48"/>
        <v>166253.1</v>
      </c>
      <c r="V237" s="392">
        <f t="shared" si="49"/>
        <v>540.78333333332557</v>
      </c>
      <c r="W237" s="393">
        <f t="shared" si="50"/>
        <v>-1180.7333333333299</v>
      </c>
      <c r="X237" s="393">
        <f t="shared" si="51"/>
        <v>0</v>
      </c>
      <c r="Y237" s="393">
        <f t="shared" si="52"/>
        <v>-639.95000000001164</v>
      </c>
      <c r="Z237" s="394">
        <f t="shared" si="53"/>
        <v>5.0330880516626444E-3</v>
      </c>
      <c r="AA237" s="395">
        <f t="shared" si="54"/>
        <v>-2.0077949285351462E-2</v>
      </c>
      <c r="AB237" s="395">
        <f t="shared" si="46"/>
        <v>0</v>
      </c>
      <c r="AC237" s="395">
        <f t="shared" si="55"/>
        <v>-3.8492515327534439E-3</v>
      </c>
      <c r="AI237" s="339"/>
      <c r="AJ237" s="339"/>
      <c r="AK237" s="339"/>
      <c r="AL237" s="339"/>
    </row>
    <row r="238" spans="1:38" ht="15" customHeight="1">
      <c r="A238" s="15" t="s">
        <v>789</v>
      </c>
      <c r="B238" s="227">
        <f>+GETPIVOTDATA("Sum of New Grand Total FTE",'FTE Pivot for regular counts'!$A$2,"State","TN","Category2","Four-Year")</f>
        <v>115355.78333333333</v>
      </c>
      <c r="D238" s="227">
        <f>+GETPIVOTDATA("Sum of New Grand Total FTE",'FTE Pivot for regular counts'!$A$2,"State","TN","Category2","Two-Year")</f>
        <v>58630.900000000009</v>
      </c>
      <c r="F238" s="389">
        <f>+GETPIVOTDATA("Sum of New Grand Total FTE",'FTE Pivot for regular counts'!$A$2,"State","TN","Category2","Technical")</f>
        <v>12858.136666666669</v>
      </c>
      <c r="G238" s="390"/>
      <c r="H238" s="298">
        <f t="shared" si="47"/>
        <v>186844.82</v>
      </c>
      <c r="Q238" s="15" t="s">
        <v>789</v>
      </c>
      <c r="R238" s="227">
        <f>+GETPIVOTDATA("Sum of Old Grand Total FTE",'FTE Pivot for regular counts'!$A$2,"State","TN","Category2","Four-Year")</f>
        <v>115558.39999999999</v>
      </c>
      <c r="S238" s="227">
        <f>+GETPIVOTDATA("Sum of Old Grand Total FTE",'FTE Pivot for regular counts'!$A$2,"State","TN","Category2","Two-Year")</f>
        <v>57966.600000000006</v>
      </c>
      <c r="T238" s="227">
        <f>+GETPIVOTDATA("Sum of Old Grand Total FTE",'FTE Pivot for regular counts'!$A$2,"State","TN","Category2","Technical")</f>
        <v>12387.348888888891</v>
      </c>
      <c r="U238" s="396">
        <f t="shared" si="48"/>
        <v>185912.3488888889</v>
      </c>
      <c r="V238" s="392">
        <f t="shared" si="49"/>
        <v>-202.61666666666861</v>
      </c>
      <c r="W238" s="393">
        <f t="shared" si="50"/>
        <v>664.30000000000291</v>
      </c>
      <c r="X238" s="393">
        <f t="shared" si="51"/>
        <v>470.78777777777759</v>
      </c>
      <c r="Y238" s="393">
        <f t="shared" si="52"/>
        <v>932.47111111111008</v>
      </c>
      <c r="Z238" s="394">
        <f t="shared" si="53"/>
        <v>-1.75337030165413E-3</v>
      </c>
      <c r="AA238" s="395">
        <f t="shared" si="54"/>
        <v>1.1460047682631081E-2</v>
      </c>
      <c r="AB238" s="395">
        <f t="shared" si="46"/>
        <v>3.8005531449918327E-2</v>
      </c>
      <c r="AC238" s="395">
        <f t="shared" si="55"/>
        <v>5.0156491308084349E-3</v>
      </c>
      <c r="AI238" s="339"/>
      <c r="AJ238" s="339"/>
      <c r="AK238" s="339"/>
      <c r="AL238" s="339"/>
    </row>
    <row r="239" spans="1:38" ht="15" customHeight="1">
      <c r="A239" s="15" t="s">
        <v>790</v>
      </c>
      <c r="B239" s="227">
        <f>+GETPIVOTDATA("Sum of New Grand Total FTE",'FTE Pivot for regular counts'!$A$2,"State","TX","Category2","Four-Year")</f>
        <v>542826.25000000012</v>
      </c>
      <c r="D239" s="227">
        <f>+GETPIVOTDATA("Sum of New Grand Total FTE",'FTE Pivot for regular counts'!$A$2,"State","TX","Category2","Two-Year")</f>
        <v>480475.3422222223</v>
      </c>
      <c r="F239" s="389">
        <f>+GETPIVOTDATA("Sum of New Grand Total FTE",'FTE Pivot for regular counts'!$A$2,"State","TX","Category2","Technical")</f>
        <v>0</v>
      </c>
      <c r="G239" s="390"/>
      <c r="H239" s="298">
        <f t="shared" si="47"/>
        <v>1023301.5922222224</v>
      </c>
      <c r="Q239" s="15" t="s">
        <v>790</v>
      </c>
      <c r="R239" s="227">
        <f>+GETPIVOTDATA("Sum of Old Grand Total FTE",'FTE Pivot for regular counts'!$A$2,"State","TX","Category2","Four-Year")</f>
        <v>540580.8833333333</v>
      </c>
      <c r="S239" s="227">
        <f>+GETPIVOTDATA("Sum of Old Grand Total FTE",'FTE Pivot for regular counts'!$A$2,"State","TX","Category2","Two-Year")</f>
        <v>486241.96555555565</v>
      </c>
      <c r="T239" s="389">
        <f>+GETPIVOTDATA("Sum of Old Grand Total FTE",'FTE Pivot for regular counts'!$A$2,"State","TX","Category2","Technical")</f>
        <v>0</v>
      </c>
      <c r="U239" s="396">
        <f t="shared" si="48"/>
        <v>1026822.848888889</v>
      </c>
      <c r="V239" s="392">
        <f t="shared" si="49"/>
        <v>2245.3666666668141</v>
      </c>
      <c r="W239" s="393">
        <f t="shared" si="50"/>
        <v>-5766.6233333333512</v>
      </c>
      <c r="X239" s="393">
        <f t="shared" si="51"/>
        <v>0</v>
      </c>
      <c r="Y239" s="393">
        <f t="shared" si="52"/>
        <v>-3521.2566666665953</v>
      </c>
      <c r="Z239" s="394">
        <f t="shared" si="53"/>
        <v>4.153618331490784E-3</v>
      </c>
      <c r="AA239" s="395">
        <f t="shared" si="54"/>
        <v>-1.1859575564903571E-2</v>
      </c>
      <c r="AB239" s="395">
        <f t="shared" si="46"/>
        <v>0</v>
      </c>
      <c r="AC239" s="395">
        <f t="shared" si="55"/>
        <v>-3.4292737744167838E-3</v>
      </c>
      <c r="AI239" s="339"/>
      <c r="AJ239" s="339"/>
      <c r="AK239" s="339"/>
      <c r="AL239" s="339"/>
    </row>
    <row r="240" spans="1:38" ht="15" customHeight="1">
      <c r="A240" s="15" t="s">
        <v>791</v>
      </c>
      <c r="B240" s="227">
        <f>+GETPIVOTDATA("Sum of New Grand Total FTE",'FTE Pivot for regular counts'!$A$2,"State","VA","Category2","Four-Year")</f>
        <v>201616.46333333332</v>
      </c>
      <c r="D240" s="227">
        <f>+GETPIVOTDATA("Sum of New Grand Total FTE",'FTE Pivot for regular counts'!$A$2,"State","VA","Category2","Two-Year")</f>
        <v>98927.833333333328</v>
      </c>
      <c r="F240" s="389">
        <f>+GETPIVOTDATA("Sum of New Grand Total FTE",'FTE Pivot for regular counts'!$A$2,"State","VA","Category2","Technical")</f>
        <v>0</v>
      </c>
      <c r="G240" s="390"/>
      <c r="H240" s="298">
        <f t="shared" si="47"/>
        <v>300544.29666666663</v>
      </c>
      <c r="Q240" s="15" t="s">
        <v>791</v>
      </c>
      <c r="R240" s="227">
        <f>+GETPIVOTDATA("Sum of Old Grand Total FTE",'FTE Pivot for regular counts'!$A$2,"State","VA","Category2","Four-Year")</f>
        <v>200305.1275</v>
      </c>
      <c r="S240" s="227">
        <f>+GETPIVOTDATA("Sum of Old Grand Total FTE",'FTE Pivot for regular counts'!$A$2,"State","VA","Category2","Two-Year")</f>
        <v>101250.66666666667</v>
      </c>
      <c r="T240" s="389">
        <f>+GETPIVOTDATA("Sum of Old Grand Total FTE",'FTE Pivot for regular counts'!$A$2,"State","VA","Category2","Technical")</f>
        <v>0</v>
      </c>
      <c r="U240" s="396">
        <f t="shared" si="48"/>
        <v>301555.79416666669</v>
      </c>
      <c r="V240" s="392">
        <f t="shared" si="49"/>
        <v>1311.3358333333163</v>
      </c>
      <c r="W240" s="393">
        <f t="shared" si="50"/>
        <v>-2322.833333333343</v>
      </c>
      <c r="X240" s="393">
        <f t="shared" si="51"/>
        <v>0</v>
      </c>
      <c r="Y240" s="393">
        <f t="shared" si="52"/>
        <v>-1011.4975000000559</v>
      </c>
      <c r="Z240" s="394">
        <f t="shared" si="53"/>
        <v>6.546691288935258E-3</v>
      </c>
      <c r="AA240" s="395">
        <f t="shared" si="54"/>
        <v>-2.29414127314389E-2</v>
      </c>
      <c r="AB240" s="395">
        <f t="shared" si="46"/>
        <v>0</v>
      </c>
      <c r="AC240" s="395">
        <f t="shared" si="55"/>
        <v>-3.3542631896537594E-3</v>
      </c>
    </row>
    <row r="241" spans="1:29" ht="15" customHeight="1">
      <c r="A241" s="234" t="s">
        <v>792</v>
      </c>
      <c r="B241" s="235">
        <f>+GETPIVOTDATA("Sum of New Grand Total FTE",'FTE Pivot for regular counts'!$A$2,"State","WV","Category2","Four-Year")</f>
        <v>51386.866666666669</v>
      </c>
      <c r="C241" s="234"/>
      <c r="D241" s="235">
        <f>+GETPIVOTDATA("Sum of New Grand Total FTE",'FTE Pivot for regular counts'!$A$2,"State","WV","Category2","Two-Year")</f>
        <v>12159.376666666667</v>
      </c>
      <c r="E241" s="234"/>
      <c r="F241" s="397">
        <f>+GETPIVOTDATA("Sum of New Grand Total FTE",'FTE Pivot for regular counts'!$A$2,"State","WV","Category2","Technical")</f>
        <v>0</v>
      </c>
      <c r="G241" s="398"/>
      <c r="H241" s="298">
        <f t="shared" si="47"/>
        <v>63546.243333333332</v>
      </c>
      <c r="Q241" s="234" t="s">
        <v>792</v>
      </c>
      <c r="R241" s="235">
        <f>+GETPIVOTDATA("Sum of Old Grand Total FTE",'FTE Pivot for regular counts'!$A$2,"State","WV","Category2","Four-Year")</f>
        <v>52719.67</v>
      </c>
      <c r="S241" s="235">
        <f>+GETPIVOTDATA("Sum of Old Grand Total FTE",'FTE Pivot for regular counts'!$A$2,"State","WV","Category2","Two-Year")</f>
        <v>12319.890000000001</v>
      </c>
      <c r="T241" s="397">
        <f>+GETPIVOTDATA("Sum of Old Grand Total FTE",'FTE Pivot for regular counts'!$A$2,"State","WV","Category2","Technical")</f>
        <v>0</v>
      </c>
      <c r="U241" s="399">
        <f t="shared" si="48"/>
        <v>65039.56</v>
      </c>
      <c r="V241" s="400">
        <f t="shared" si="49"/>
        <v>-1332.8033333333296</v>
      </c>
      <c r="W241" s="401">
        <f t="shared" si="50"/>
        <v>-160.51333333333423</v>
      </c>
      <c r="X241" s="401">
        <f t="shared" si="51"/>
        <v>0</v>
      </c>
      <c r="Y241" s="402">
        <f t="shared" si="52"/>
        <v>-1493.3166666666657</v>
      </c>
      <c r="Z241" s="403">
        <f t="shared" si="53"/>
        <v>-2.528094984914226E-2</v>
      </c>
      <c r="AA241" s="404">
        <f t="shared" si="54"/>
        <v>-1.3028795982215281E-2</v>
      </c>
      <c r="AB241" s="404">
        <f t="shared" si="46"/>
        <v>0</v>
      </c>
      <c r="AC241" s="404">
        <f t="shared" si="55"/>
        <v>-2.2960128676557248E-2</v>
      </c>
    </row>
    <row r="242" spans="1:29" ht="15" customHeight="1">
      <c r="A242" s="140"/>
      <c r="B242" s="405"/>
      <c r="C242" s="405"/>
      <c r="D242" s="405"/>
      <c r="E242" s="405"/>
      <c r="F242" s="405"/>
      <c r="G242" s="405"/>
      <c r="H242" s="405"/>
      <c r="I242" s="227"/>
      <c r="J242" s="227"/>
      <c r="K242" s="227"/>
    </row>
    <row r="243" spans="1:29" ht="20.25" customHeight="1">
      <c r="B243" s="227"/>
      <c r="C243" s="227"/>
      <c r="D243" s="227"/>
      <c r="E243" s="227"/>
      <c r="F243" s="227"/>
      <c r="G243" s="227"/>
      <c r="H243" s="227"/>
      <c r="L243" s="227"/>
      <c r="M243" s="227"/>
      <c r="Q243" s="406"/>
      <c r="S243" s="255"/>
    </row>
    <row r="244" spans="1:29" ht="71.25" customHeight="1">
      <c r="H244" s="260"/>
      <c r="Q244" s="201"/>
    </row>
  </sheetData>
  <mergeCells count="15">
    <mergeCell ref="A97:J97"/>
    <mergeCell ref="A30:O30"/>
    <mergeCell ref="A60:H60"/>
    <mergeCell ref="A91:H91"/>
    <mergeCell ref="A94:J94"/>
    <mergeCell ref="A96:J96"/>
    <mergeCell ref="A214:G214"/>
    <mergeCell ref="A122:I122"/>
    <mergeCell ref="A125:J125"/>
    <mergeCell ref="A127:J127"/>
    <mergeCell ref="A128:J128"/>
    <mergeCell ref="A153:I153"/>
    <mergeCell ref="A183:K183"/>
    <mergeCell ref="A123:I123"/>
    <mergeCell ref="A184:I184"/>
  </mergeCells>
  <pageMargins left="0.25" right="1.02083333333333E-2" top="1" bottom="0.85" header="0.75" footer="0.5"/>
  <pageSetup scale="93" firstPageNumber="88" fitToHeight="7" orientation="landscape" useFirstPageNumber="1" r:id="rId1"/>
  <headerFooter alignWithMargins="0">
    <oddHeader>&amp;RSREB-State Data Exchange</oddHeader>
    <oddFooter>&amp;C&amp;10&amp;P</oddFooter>
  </headerFooter>
  <rowBreaks count="6" manualBreakCount="6">
    <brk id="31" max="14" man="1"/>
    <brk id="62" max="14" man="1"/>
    <brk id="93" max="14" man="1"/>
    <brk id="124" max="14" man="1"/>
    <brk id="154" max="14" man="1"/>
    <brk id="185" max="14"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59999389629810485"/>
  </sheetPr>
  <dimension ref="A1:S242"/>
  <sheetViews>
    <sheetView showZeros="0" view="pageBreakPreview" zoomScaleNormal="100" zoomScaleSheetLayoutView="100" workbookViewId="0"/>
  </sheetViews>
  <sheetFormatPr defaultColWidth="9.33203125" defaultRowHeight="12.5"/>
  <cols>
    <col min="1" max="1" width="15" style="15" customWidth="1"/>
    <col min="2" max="2" width="12.33203125" style="15" customWidth="1"/>
    <col min="3" max="3" width="11.77734375" style="15" customWidth="1"/>
    <col min="4" max="4" width="12.109375" style="15" customWidth="1"/>
    <col min="5" max="5" width="10.77734375" style="15" customWidth="1"/>
    <col min="6" max="6" width="12.109375" style="15" customWidth="1"/>
    <col min="7" max="7" width="10" style="15" customWidth="1"/>
    <col min="8" max="8" width="12" style="15" customWidth="1"/>
    <col min="9" max="9" width="12.6640625" style="15" customWidth="1"/>
    <col min="10" max="10" width="11.6640625" style="15" customWidth="1"/>
    <col min="11" max="11" width="10" style="15" customWidth="1"/>
    <col min="12" max="12" width="10.44140625" style="15" customWidth="1"/>
    <col min="13" max="13" width="10" style="15" customWidth="1"/>
    <col min="14" max="14" width="12.109375" style="15" customWidth="1"/>
    <col min="15" max="15" width="10" style="15" customWidth="1"/>
    <col min="16" max="16384" width="9.33203125" style="15"/>
  </cols>
  <sheetData>
    <row r="1" spans="1:17" ht="18">
      <c r="A1" s="184" t="s">
        <v>755</v>
      </c>
      <c r="B1" s="185"/>
      <c r="C1" s="185"/>
      <c r="D1" s="185"/>
      <c r="E1" s="185"/>
      <c r="F1" s="185"/>
      <c r="G1" s="185"/>
      <c r="H1" s="185"/>
      <c r="I1" s="185"/>
      <c r="J1" s="185"/>
      <c r="K1" s="185"/>
      <c r="L1" s="185"/>
      <c r="M1" s="185"/>
      <c r="N1" s="186"/>
      <c r="O1" s="187"/>
    </row>
    <row r="2" spans="1:17" ht="15.5">
      <c r="A2" s="188"/>
      <c r="B2" s="188"/>
      <c r="C2" s="188"/>
      <c r="D2" s="188"/>
      <c r="E2" s="188"/>
      <c r="F2" s="188"/>
      <c r="G2" s="188"/>
      <c r="H2" s="188"/>
      <c r="I2" s="188"/>
      <c r="J2" s="188"/>
      <c r="K2" s="188"/>
      <c r="L2" s="188"/>
      <c r="M2" s="188"/>
      <c r="N2" s="189"/>
      <c r="O2" s="187"/>
    </row>
    <row r="3" spans="1:17" ht="15.5">
      <c r="A3" s="190" t="s">
        <v>756</v>
      </c>
      <c r="B3" s="187"/>
      <c r="C3" s="187"/>
      <c r="D3" s="187"/>
      <c r="E3" s="187"/>
      <c r="F3" s="187"/>
      <c r="G3" s="187"/>
      <c r="H3" s="187"/>
      <c r="I3" s="187"/>
      <c r="J3" s="187"/>
      <c r="K3" s="187"/>
      <c r="L3" s="187"/>
      <c r="M3" s="187"/>
      <c r="N3" s="187"/>
      <c r="O3" s="189"/>
    </row>
    <row r="4" spans="1:17" ht="15.5">
      <c r="A4" s="190" t="s">
        <v>910</v>
      </c>
      <c r="B4" s="187"/>
      <c r="C4" s="187"/>
      <c r="D4" s="187"/>
      <c r="E4" s="187"/>
      <c r="F4" s="187"/>
      <c r="G4" s="187"/>
      <c r="H4" s="187"/>
      <c r="I4" s="187"/>
      <c r="J4" s="187"/>
      <c r="K4" s="187"/>
      <c r="L4" s="187"/>
      <c r="M4" s="187"/>
      <c r="N4" s="191"/>
      <c r="O4" s="187"/>
    </row>
    <row r="5" spans="1:17" ht="15.75" customHeight="1"/>
    <row r="6" spans="1:17" ht="15" customHeight="1">
      <c r="A6" s="272"/>
      <c r="B6" s="610" t="s">
        <v>749</v>
      </c>
      <c r="C6" s="611"/>
      <c r="D6" s="611"/>
      <c r="E6" s="611"/>
      <c r="F6" s="611"/>
      <c r="G6" s="611"/>
      <c r="H6" s="296"/>
      <c r="I6" s="407"/>
      <c r="J6" s="407"/>
      <c r="K6" s="407"/>
      <c r="L6" s="407"/>
      <c r="M6" s="407"/>
      <c r="N6" s="407"/>
      <c r="O6" s="407"/>
    </row>
    <row r="7" spans="1:17" ht="17.25" customHeight="1">
      <c r="A7" s="197"/>
      <c r="B7" s="198">
        <v>1</v>
      </c>
      <c r="C7" s="187"/>
      <c r="D7" s="199">
        <v>2</v>
      </c>
      <c r="E7" s="187"/>
      <c r="F7" s="199">
        <v>3</v>
      </c>
      <c r="G7" s="187"/>
      <c r="H7" s="199">
        <v>4</v>
      </c>
      <c r="I7" s="200"/>
      <c r="J7" s="199">
        <v>5</v>
      </c>
      <c r="K7" s="200"/>
      <c r="L7" s="199">
        <v>6</v>
      </c>
      <c r="M7" s="200"/>
      <c r="N7" s="199" t="s">
        <v>761</v>
      </c>
      <c r="O7" s="200"/>
    </row>
    <row r="8" spans="1:17" ht="77.25" customHeight="1">
      <c r="A8" s="205"/>
      <c r="B8" s="206" t="s">
        <v>764</v>
      </c>
      <c r="C8" s="207" t="s">
        <v>765</v>
      </c>
      <c r="D8" s="208" t="s">
        <v>764</v>
      </c>
      <c r="E8" s="207" t="s">
        <v>765</v>
      </c>
      <c r="F8" s="208" t="s">
        <v>764</v>
      </c>
      <c r="G8" s="207" t="s">
        <v>765</v>
      </c>
      <c r="H8" s="208" t="s">
        <v>764</v>
      </c>
      <c r="I8" s="207" t="s">
        <v>765</v>
      </c>
      <c r="J8" s="208" t="s">
        <v>764</v>
      </c>
      <c r="K8" s="207" t="s">
        <v>765</v>
      </c>
      <c r="L8" s="208" t="s">
        <v>764</v>
      </c>
      <c r="M8" s="207" t="s">
        <v>765</v>
      </c>
      <c r="N8" s="208" t="s">
        <v>764</v>
      </c>
      <c r="O8" s="207" t="s">
        <v>765</v>
      </c>
      <c r="Q8" s="129"/>
    </row>
    <row r="9" spans="1:17" ht="15" customHeight="1">
      <c r="A9" s="15" t="s">
        <v>769</v>
      </c>
      <c r="B9" s="213">
        <f>+GETPIVOTDATA("Sum of Old-Total Undg SCH FTE",'FTE Pivot for regular counts'!$A$2,"Category",1,"Category2","Group1")</f>
        <v>868444.03333333333</v>
      </c>
      <c r="C9" s="214"/>
      <c r="D9" s="215">
        <f>+GETPIVOTDATA("Sum of Old-Total Undg SCH FTE",'FTE Pivot for regular counts'!$A$2,"Category",2,"Category2","Four-Year")</f>
        <v>202986.55</v>
      </c>
      <c r="E9" s="214"/>
      <c r="F9" s="216">
        <f>+GETPIVOTDATA("Sum of Old-Total Undg SCH FTE",'FTE Pivot for regular counts'!$A$2,"Category",3,"Category2","Four-Year")</f>
        <v>526777.33133333328</v>
      </c>
      <c r="G9" s="214"/>
      <c r="H9" s="216">
        <f>+GETPIVOTDATA("Sum of Old-Total Undg SCH FTE",'FTE Pivot for regular counts'!$A$2,"Category",4,"Category2","Four-Year")</f>
        <v>150546.97866666666</v>
      </c>
      <c r="I9" s="214"/>
      <c r="J9" s="216">
        <f>+GETPIVOTDATA("Sum of Old-Total Undg SCH FTE",'FTE Pivot for regular counts'!$A$2,"Category",5,"Category2","Four-Year")</f>
        <v>63013.57699999999</v>
      </c>
      <c r="K9" s="214"/>
      <c r="L9" s="216">
        <f>+GETPIVOTDATA("Sum of Old-Total Undg SCH FTE",'FTE Pivot for regular counts'!$A$2,"Category",6,"Category2","Four-Year")</f>
        <v>72850.831999999995</v>
      </c>
      <c r="M9" s="214"/>
      <c r="N9" s="216">
        <f>+GETPIVOTDATA("Sum of Old-Total Undg SCH FTE",'FTE Pivot for regular counts'!$A$2,"Category2","Four-Year")</f>
        <v>1884619.3023333333</v>
      </c>
      <c r="O9" s="214"/>
    </row>
    <row r="10" spans="1:17" ht="12.75" customHeight="1">
      <c r="B10" s="227"/>
      <c r="C10" s="222" t="s">
        <v>864</v>
      </c>
      <c r="D10" s="216"/>
      <c r="E10" s="222" t="s">
        <v>865</v>
      </c>
      <c r="F10" s="216"/>
      <c r="G10" s="222" t="s">
        <v>866</v>
      </c>
      <c r="H10" s="216"/>
      <c r="I10" s="222" t="s">
        <v>867</v>
      </c>
      <c r="J10" s="216"/>
      <c r="K10" s="222" t="s">
        <v>868</v>
      </c>
      <c r="L10" s="216"/>
      <c r="M10" s="222" t="s">
        <v>869</v>
      </c>
      <c r="N10" s="216"/>
      <c r="O10" s="222" t="s">
        <v>870</v>
      </c>
    </row>
    <row r="11" spans="1:17" ht="15" customHeight="1">
      <c r="A11" s="15" t="s">
        <v>777</v>
      </c>
      <c r="B11" s="227">
        <f>+GETPIVOTDATA("Sum of Old-Total Undg SCH FTE",'FTE Pivot for regular counts'!$A$2,"State","AL","Category",1,"Category2","Four-Year")</f>
        <v>65901.466666666674</v>
      </c>
      <c r="C11" s="228">
        <f>+GETPIVOTDATA("Sum of Old-HS % of Total",'Pivot-HS Student % of Undergrad'!$A$3,"State","AL","Category",1,"Category2","Four-Year")</f>
        <v>4.4652521643423213E-3</v>
      </c>
      <c r="D11" s="216">
        <f>+GETPIVOTDATA("Sum of Old-Total Undg SCH FTE",'FTE Pivot for regular counts'!$A$2,"State","AL","Category",2,"Category2","Four-Year")</f>
        <v>15565.3</v>
      </c>
      <c r="E11" s="228">
        <f>+GETPIVOTDATA("Sum of Old-HS % of Total",'Pivot-HS Student % of Undergrad'!$A$3,"State","AL","Category",2,"Category2","Four-Year")</f>
        <v>3.6020293002169356E-3</v>
      </c>
      <c r="F11" s="216">
        <f>+GETPIVOTDATA("Sum of Old-Total Undg SCH FTE",'FTE Pivot for regular counts'!$A$2,"State","AL","Category",3,"Category2","Four-Year")</f>
        <v>26008.033333333336</v>
      </c>
      <c r="G11" s="228">
        <f>+GETPIVOTDATA("Sum of Old-HS % of Total",'Pivot-HS Student % of Undergrad'!$A$3,"State","AL","Category",3,"Category2","Four-Year")</f>
        <v>1.0635175541915896E-2</v>
      </c>
      <c r="H11" s="216">
        <f>+GETPIVOTDATA("Sum of Old-Total Undg SCH FTE",'FTE Pivot for regular counts'!$A$2,"State","AL","Category",4,"Category2","Four-Year")</f>
        <v>7914.333333333333</v>
      </c>
      <c r="I11" s="228">
        <f>+GETPIVOTDATA("Sum of Old-HS % of Total",'Pivot-HS Student % of Undergrad'!$A$3,"State","AL","Category",4,"Category2","Four-Year")</f>
        <v>1.9837425767594659E-3</v>
      </c>
      <c r="J11" s="216">
        <f>+GETPIVOTDATA("Sum of Old-Total Undg SCH FTE",'FTE Pivot for regular counts'!$A$2,"State","AL","Category",5,"Category2","Four-Year")</f>
        <v>4163.7333333333336</v>
      </c>
      <c r="K11" s="228">
        <f>+GETPIVOTDATA("Sum of Old-HS % of Total",'Pivot-HS Student % of Undergrad'!$A$3,"State","AL","Category",5,"Category2","Four-Year")</f>
        <v>4.6913026770846675E-3</v>
      </c>
      <c r="L11" s="216">
        <f>+GETPIVOTDATA("Sum of Old-Total Undg SCH FTE",'FTE Pivot for regular counts'!$A$2,"State","AL","Category",6,"Category2","Four-Year")</f>
        <v>2182.8666666666668</v>
      </c>
      <c r="M11" s="228">
        <f>+GETPIVOTDATA("Sum of Old-HS % of Total",'Pivot-HS Student % of Undergrad'!$A$3,"State","AL","Category",6,"Category2","Four-Year")</f>
        <v>0</v>
      </c>
      <c r="N11" s="216">
        <f>+GETPIVOTDATA("Sum of Old-Total Undg SCH FTE",'FTE Pivot for regular counts'!$A$2,"State","AL","Category2","Four-Year")</f>
        <v>121735.73333333335</v>
      </c>
      <c r="O11" s="228">
        <f>+GETPIVOTDATA("Sum of Old-HS % of Total",'Pivot-HS Student % of Undergrad'!$A$3,"State","AL","Category2","Group1")</f>
        <v>5.4393779750234938E-3</v>
      </c>
    </row>
    <row r="12" spans="1:17" ht="15" customHeight="1">
      <c r="A12" s="15" t="s">
        <v>778</v>
      </c>
      <c r="B12" s="227">
        <f>+GETPIVOTDATA("Sum of Old-Total Undg SCH FTE",'FTE Pivot for regular counts'!$A$2,"State","AR","Category",1,"Category2","Four-Year")</f>
        <v>22231.733333333334</v>
      </c>
      <c r="C12" s="228">
        <f>+GETPIVOTDATA("Sum of Old-HS % of Total",'Pivot-HS Student % of Undergrad'!$A$3,"State","AR","Category",1,"Category2","Four-Year")</f>
        <v>3.3600618935095781E-3</v>
      </c>
      <c r="D12" s="216">
        <f>+GETPIVOTDATA("Sum of Old-Total Undg SCH FTE",'FTE Pivot for regular counts'!$A$2,"State","AR","Category",2,"Category2","Four-Year")</f>
        <v>6396.3666666666668</v>
      </c>
      <c r="E12" s="228">
        <f>+GETPIVOTDATA("Sum of Old-HS % of Total",'Pivot-HS Student % of Undergrad'!$A$3,"State","AR","Category",2,"Category2","Four-Year")</f>
        <v>9.3130996242658595E-2</v>
      </c>
      <c r="F12" s="216">
        <f>+GETPIVOTDATA("Sum of Old-Total Undg SCH FTE",'FTE Pivot for regular counts'!$A$2,"State","AR","Category",3,"Category2","Four-Year")</f>
        <v>25439.966666666667</v>
      </c>
      <c r="G12" s="228">
        <f>+GETPIVOTDATA("Sum of Old-HS % of Total",'Pivot-HS Student % of Undergrad'!$A$3,"State","AR","Category",3,"Category2","Four-Year")</f>
        <v>4.4449743775869729E-2</v>
      </c>
      <c r="H12" s="216">
        <f>+GETPIVOTDATA("Sum of Old-Total Undg SCH FTE",'FTE Pivot for regular counts'!$A$2,"State","AR","Category",4,"Category2","Four-Year")</f>
        <v>8687.7000000000007</v>
      </c>
      <c r="I12" s="228">
        <f>+GETPIVOTDATA("Sum of Old-HS % of Total",'Pivot-HS Student % of Undergrad'!$A$3,"State","AR","Category",4,"Category2","Four-Year")</f>
        <v>3.8901742310009167E-2</v>
      </c>
      <c r="J12" s="216">
        <f>+GETPIVOTDATA("Sum of Old-Total Undg SCH FTE",'FTE Pivot for regular counts'!$A$2,"State","AR","Category",5,"Category2","Four-Year")</f>
        <v>0</v>
      </c>
      <c r="K12" s="228">
        <f>+GETPIVOTDATA("Sum of Old-HS % of Total",'Pivot-HS Student % of Undergrad'!$A$3,"State","AR","Category",5,"Category2","Four-Year")</f>
        <v>0</v>
      </c>
      <c r="L12" s="216">
        <f>+GETPIVOTDATA("Sum of Old-Total Undg SCH FTE",'FTE Pivot for regular counts'!$A$2,"State","AR","Category",6,"Category2","Four-Year")</f>
        <v>7641.166666666667</v>
      </c>
      <c r="M12" s="228">
        <f>+GETPIVOTDATA("Sum of Old-HS % of Total",'Pivot-HS Student % of Undergrad'!$A$3,"State","AR","Category",6,"Category2","Four-Year")</f>
        <v>7.0499705542347371E-2</v>
      </c>
      <c r="N12" s="216">
        <f>+GETPIVOTDATA("Sum of Old-Total Undg SCH FTE",'FTE Pivot for regular counts'!$A$2,"State","AR","Category2","Four-Year")</f>
        <v>70396.933333333334</v>
      </c>
      <c r="O12" s="228">
        <f>+GETPIVOTDATA("Sum of Old-HS % of Total",'Pivot-HS Student % of Undergrad'!$A$3,"State","AR","Category2","Group1")</f>
        <v>3.8039535813113069E-2</v>
      </c>
    </row>
    <row r="13" spans="1:17" ht="15" customHeight="1">
      <c r="A13" s="15" t="s">
        <v>779</v>
      </c>
      <c r="B13" s="227">
        <f>+GETPIVOTDATA("Sum of Old-Total Undg SCH FTE",'FTE Pivot for regular counts'!$A$2,"State","DE","Category",1,"Category2","Four-Year")</f>
        <v>19795.866666666665</v>
      </c>
      <c r="C13" s="228">
        <f>+GETPIVOTDATA("Sum of Old-HS % of Total",'Pivot-HS Student % of Undergrad'!$A$3,"State","DE","Category",1,"Category2","Four-Year")</f>
        <v>0</v>
      </c>
      <c r="D13" s="216">
        <f>+GETPIVOTDATA("Sum of Old-Total Undg SCH FTE",'FTE Pivot for regular counts'!$A$2,"State","DE","Category",2,"Category2","Four-Year")</f>
        <v>0</v>
      </c>
      <c r="E13" s="228">
        <f>+GETPIVOTDATA("Sum of Old-HS % of Total",'Pivot-HS Student % of Undergrad'!$A$3,"State","DE","Category",2,"Category2","Four-Year")</f>
        <v>0</v>
      </c>
      <c r="F13" s="216">
        <f>+GETPIVOTDATA("Sum of Old-Total Undg SCH FTE",'FTE Pivot for regular counts'!$A$2,"State","DE","Category",3,"Category2","Four-Year")</f>
        <v>4212.2666666666664</v>
      </c>
      <c r="G13" s="228">
        <f>+GETPIVOTDATA("Sum of Old-HS % of Total",'Pivot-HS Student % of Undergrad'!$A$3,"State","DE","Category",3,"Category2","Four-Year")</f>
        <v>0</v>
      </c>
      <c r="H13" s="216">
        <f>+GETPIVOTDATA("Sum of Old-Total Undg SCH FTE",'FTE Pivot for regular counts'!$A$2,"State","DE","Category",4,"Category2","Four-Year")</f>
        <v>0</v>
      </c>
      <c r="I13" s="228">
        <f>+GETPIVOTDATA("Sum of Old-HS % of Total",'Pivot-HS Student % of Undergrad'!$A$3,"State","DE","Category",4,"Category2","Four-Year")</f>
        <v>0</v>
      </c>
      <c r="J13" s="216">
        <f>+GETPIVOTDATA("Sum of Old-Total Undg SCH FTE",'FTE Pivot for regular counts'!$A$2,"State","DE","Category",5,"Category2","Four-Year")</f>
        <v>0</v>
      </c>
      <c r="K13" s="228">
        <f>+GETPIVOTDATA("Sum of Old-HS % of Total",'Pivot-HS Student % of Undergrad'!$A$3,"State","DE","Category",5,"Category2","Four-Year")</f>
        <v>0</v>
      </c>
      <c r="L13" s="216">
        <f>+GETPIVOTDATA("Sum of Old-Total Undg SCH FTE",'FTE Pivot for regular counts'!$A$2,"State","DE","Category",6,"Category2","Four-Year")</f>
        <v>0</v>
      </c>
      <c r="M13" s="228">
        <f>+GETPIVOTDATA("Sum of Old-HS % of Total",'Pivot-HS Student % of Undergrad'!$A$3,"State","DE","Category",6,"Category2","Four-Year")</f>
        <v>0</v>
      </c>
      <c r="N13" s="216">
        <f>+GETPIVOTDATA("Sum of Old-Total Undg SCH FTE",'FTE Pivot for regular counts'!$A$2,"State","DE","Category2","Four-Year")</f>
        <v>24008.133333333331</v>
      </c>
      <c r="O13" s="228">
        <f>+GETPIVOTDATA("Sum of Old-HS % of Total",'Pivot-HS Student % of Undergrad'!$A$3,"State","DE","Category2","Group1")</f>
        <v>0</v>
      </c>
    </row>
    <row r="14" spans="1:17" ht="15" customHeight="1">
      <c r="A14" s="15" t="s">
        <v>780</v>
      </c>
      <c r="B14" s="227">
        <f>+GETPIVOTDATA("Sum of Old-Total Undg SCH FTE",'FTE Pivot for regular counts'!$A$2,"State","FL","Category",1,"Category2","Four-Year")</f>
        <v>0</v>
      </c>
      <c r="C14" s="228">
        <f>+GETPIVOTDATA("Sum of Old-HS % of Total",'Pivot-HS Student % of Undergrad'!$A$3,"State","FL","Category",1,"Category2","Four-Year")</f>
        <v>0</v>
      </c>
      <c r="D14" s="216">
        <f>+GETPIVOTDATA("Sum of Old-Total Undg SCH FTE",'FTE Pivot for regular counts'!$A$2,"State","FL","Category",2,"Category2","Four-Year")</f>
        <v>0</v>
      </c>
      <c r="E14" s="228">
        <f>+GETPIVOTDATA("Sum of Old-HS % of Total",'Pivot-HS Student % of Undergrad'!$A$3,"State","FL","Category",2,"Category2","Four-Year")</f>
        <v>0</v>
      </c>
      <c r="F14" s="216">
        <f>+GETPIVOTDATA("Sum of Old-Total Undg SCH FTE",'FTE Pivot for regular counts'!$A$2,"State","FL","Category",3,"Category2","Four-Year")</f>
        <v>0</v>
      </c>
      <c r="G14" s="228">
        <f>+GETPIVOTDATA("Sum of Old-HS % of Total",'Pivot-HS Student % of Undergrad'!$A$3,"State","FL","Category",3,"Category2","Four-Year")</f>
        <v>0</v>
      </c>
      <c r="H14" s="216">
        <f>+GETPIVOTDATA("Sum of Old-Total Undg SCH FTE",'FTE Pivot for regular counts'!$A$2,"State","FL","Category",4,"Category2","Four-Year")</f>
        <v>0</v>
      </c>
      <c r="I14" s="228">
        <f>+GETPIVOTDATA("Sum of Old-HS % of Total",'Pivot-HS Student % of Undergrad'!$A$3,"State","FL","Category",4,"Category2","Four-Year")</f>
        <v>0</v>
      </c>
      <c r="J14" s="216">
        <f>+GETPIVOTDATA("Sum of Old-Total Undg SCH FTE",'FTE Pivot for regular counts'!$A$2,"State","FL","Category",5,"Category2","Four-Year")</f>
        <v>0</v>
      </c>
      <c r="K14" s="228">
        <f>+GETPIVOTDATA("Sum of Old-HS % of Total",'Pivot-HS Student % of Undergrad'!$A$3,"State","FL","Category",5,"Category2","Four-Year")</f>
        <v>0</v>
      </c>
      <c r="L14" s="216">
        <f>+GETPIVOTDATA("Sum of Old-Total Undg SCH FTE",'FTE Pivot for regular counts'!$A$2,"State","FL","Category",6,"Category2","Four-Year")</f>
        <v>0</v>
      </c>
      <c r="M14" s="228">
        <f>+GETPIVOTDATA("Sum of Old-HS % of Total",'Pivot-HS Student % of Undergrad'!$A$3,"State","FL","Category",6,"Category2","Four-Year")</f>
        <v>0</v>
      </c>
      <c r="N14" s="216">
        <f>+GETPIVOTDATA("Sum of Old-Total Undg SCH FTE",'FTE Pivot for regular counts'!$A$2,"State","FL","Category2","Four-Year")</f>
        <v>0</v>
      </c>
      <c r="O14" s="228">
        <f>+GETPIVOTDATA("Sum of Old-HS % of Total",'Pivot-HS Student % of Undergrad'!$A$3,"State","FL","Category2","Group1")</f>
        <v>0</v>
      </c>
    </row>
    <row r="15" spans="1:17" ht="15" customHeight="1">
      <c r="B15" s="227"/>
      <c r="C15" s="228"/>
      <c r="D15" s="216"/>
      <c r="E15" s="228"/>
      <c r="F15" s="216"/>
      <c r="G15" s="228"/>
      <c r="H15" s="216"/>
      <c r="I15" s="228"/>
      <c r="J15" s="216"/>
      <c r="K15" s="228"/>
      <c r="L15" s="216"/>
      <c r="M15" s="228"/>
      <c r="N15" s="216"/>
      <c r="O15" s="228"/>
    </row>
    <row r="16" spans="1:17" ht="15" customHeight="1">
      <c r="A16" s="15" t="s">
        <v>781</v>
      </c>
      <c r="B16" s="227">
        <f>+GETPIVOTDATA("Sum of Old-Total Undg SCH FTE",'FTE Pivot for regular counts'!$A$2,"State","GA","Category",1,"Category2","Four-Year")</f>
        <v>65414.1</v>
      </c>
      <c r="C16" s="228">
        <f>+GETPIVOTDATA("Sum of Old-HS % of Total",'Pivot-HS Student % of Undergrad'!$A$3,"State","GA","Category",1,"Category2","Four-Year")</f>
        <v>1.3961312112628113E-2</v>
      </c>
      <c r="D16" s="216">
        <f>+GETPIVOTDATA("Sum of Old-Total Undg SCH FTE",'FTE Pivot for regular counts'!$A$2,"State","GA","Category",2,"Category2","Four-Year")</f>
        <v>14949.833333333334</v>
      </c>
      <c r="E16" s="228">
        <f>+GETPIVOTDATA("Sum of Old-HS % of Total",'Pivot-HS Student % of Undergrad'!$A$3,"State","GA","Category",2,"Category2","Four-Year")</f>
        <v>9.9711256535747333E-3</v>
      </c>
      <c r="F16" s="216">
        <f>+GETPIVOTDATA("Sum of Old-Total Undg SCH FTE",'FTE Pivot for regular counts'!$A$2,"State","GA","Category",3,"Category2","Four-Year")</f>
        <v>65843.274666666679</v>
      </c>
      <c r="G16" s="228">
        <f>+GETPIVOTDATA("Sum of Old-HS % of Total",'Pivot-HS Student % of Undergrad'!$A$3,"State","GA","Category",3,"Category2","Four-Year")</f>
        <v>1.53237619449304E-2</v>
      </c>
      <c r="H16" s="216">
        <f>+GETPIVOTDATA("Sum of Old-Total Undg SCH FTE",'FTE Pivot for regular counts'!$A$2,"State","GA","Category",4,"Category2","Four-Year")</f>
        <v>49510.97866666667</v>
      </c>
      <c r="I16" s="228">
        <f>+GETPIVOTDATA("Sum of Old-HS % of Total",'Pivot-HS Student % of Undergrad'!$A$3,"State","GA","Category",4,"Category2","Four-Year")</f>
        <v>3.9234641458691086E-2</v>
      </c>
      <c r="J16" s="216">
        <f>+GETPIVOTDATA("Sum of Old-Total Undg SCH FTE",'FTE Pivot for regular counts'!$A$2,"State","GA","Category",5,"Category2","Four-Year")</f>
        <v>3916.0603333333333</v>
      </c>
      <c r="K16" s="228">
        <f>+GETPIVOTDATA("Sum of Old-HS % of Total",'Pivot-HS Student % of Undergrad'!$A$3,"State","GA","Category",5,"Category2","Four-Year")</f>
        <v>2.2760970400439014E-2</v>
      </c>
      <c r="L16" s="216">
        <f>+GETPIVOTDATA("Sum of Old-Total Undg SCH FTE",'FTE Pivot for regular counts'!$A$2,"State","GA","Category",6,"Category2","Four-Year")</f>
        <v>29132.761999999999</v>
      </c>
      <c r="M16" s="228">
        <f>+GETPIVOTDATA("Sum of Old-HS % of Total",'Pivot-HS Student % of Undergrad'!$A$3,"State","GA","Category",6,"Category2","Four-Year")</f>
        <v>5.4691003894515727E-2</v>
      </c>
      <c r="N16" s="216">
        <f>+GETPIVOTDATA("Sum of Old-Total Undg SCH FTE",'FTE Pivot for regular counts'!$A$2,"State","GA","Category2","Four-Year")</f>
        <v>228767.00899999999</v>
      </c>
      <c r="O16" s="228">
        <f>+GETPIVOTDATA("Sum of Old-HS % of Total",'Pivot-HS Student % of Undergrad'!$A$3,"State","GA","Category2","Group1")</f>
        <v>2.4722499379700884E-2</v>
      </c>
    </row>
    <row r="17" spans="1:15" ht="15" customHeight="1">
      <c r="A17" s="15" t="s">
        <v>782</v>
      </c>
      <c r="B17" s="227">
        <f>+GETPIVOTDATA("Sum of Old-Total Undg SCH FTE",'FTE Pivot for regular counts'!$A$2,"State","KY","Category",1,"Category2","Four-Year")</f>
        <v>32948.033333333333</v>
      </c>
      <c r="C17" s="228">
        <f>+GETPIVOTDATA("Sum of Old-HS % of Total",'Pivot-HS Student % of Undergrad'!$A$3,"State","KY","Category",1,"Category2","Four-Year")</f>
        <v>4.9684300833332494E-3</v>
      </c>
      <c r="D17" s="216">
        <f>+GETPIVOTDATA("Sum of Old-Total Undg SCH FTE",'FTE Pivot for regular counts'!$A$2,"State","KY","Category",2,"Category2","Four-Year")</f>
        <v>0</v>
      </c>
      <c r="E17" s="228">
        <f>+GETPIVOTDATA("Sum of Old-HS % of Total",'Pivot-HS Student % of Undergrad'!$A$3,"State","KY","Category",2,"Category2","Four-Year")</f>
        <v>0</v>
      </c>
      <c r="F17" s="216">
        <f>+GETPIVOTDATA("Sum of Old-Total Undg SCH FTE",'FTE Pivot for regular counts'!$A$2,"State","KY","Category",3,"Category2","Four-Year")</f>
        <v>48885.433333333334</v>
      </c>
      <c r="G17" s="228">
        <f>+GETPIVOTDATA("Sum of Old-HS % of Total",'Pivot-HS Student % of Undergrad'!$A$3,"State","KY","Category",3,"Category2","Four-Year")</f>
        <v>5.6866974006571827E-2</v>
      </c>
      <c r="H17" s="216">
        <f>+GETPIVOTDATA("Sum of Old-Total Undg SCH FTE",'FTE Pivot for regular counts'!$A$2,"State","KY","Category",4,"Category2","Four-Year")</f>
        <v>1394</v>
      </c>
      <c r="I17" s="228">
        <f>+GETPIVOTDATA("Sum of Old-HS % of Total",'Pivot-HS Student % of Undergrad'!$A$3,"State","KY","Category",4,"Category2","Four-Year")</f>
        <v>0.14725011956001913</v>
      </c>
      <c r="J17" s="216">
        <f>+GETPIVOTDATA("Sum of Old-Total Undg SCH FTE",'FTE Pivot for regular counts'!$A$2,"State","KY","Category",5,"Category2","Four-Year")</f>
        <v>0</v>
      </c>
      <c r="K17" s="228">
        <f>+GETPIVOTDATA("Sum of Old-HS % of Total",'Pivot-HS Student % of Undergrad'!$A$3,"State","KY","Category",5,"Category2","Four-Year")</f>
        <v>0</v>
      </c>
      <c r="L17" s="216">
        <f>+GETPIVOTDATA("Sum of Old-Total Undg SCH FTE",'FTE Pivot for regular counts'!$A$2,"State","KY","Category",6,"Category2","Four-Year")</f>
        <v>0</v>
      </c>
      <c r="M17" s="228">
        <f>+GETPIVOTDATA("Sum of Old-HS % of Total",'Pivot-HS Student % of Undergrad'!$A$3,"State","KY","Category",6,"Category2","Four-Year")</f>
        <v>0</v>
      </c>
      <c r="N17" s="216">
        <f>+GETPIVOTDATA("Sum of Old-Total Undg SCH FTE",'FTE Pivot for regular counts'!$A$2,"State","KY","Category2","Four-Year")</f>
        <v>83227.466666666674</v>
      </c>
      <c r="O17" s="228">
        <f>+GETPIVOTDATA("Sum of Old-HS % of Total",'Pivot-HS Student % of Undergrad'!$A$3,"State","KY","Category2","Group1")</f>
        <v>3.7835265921827087E-2</v>
      </c>
    </row>
    <row r="18" spans="1:15" ht="15" customHeight="1">
      <c r="A18" s="15" t="s">
        <v>783</v>
      </c>
      <c r="B18" s="227">
        <f>+GETPIVOTDATA("Sum of Old-Total Undg SCH FTE",'FTE Pivot for regular counts'!$A$2,"State","LA","Category",1,"Category2","Four-Year")</f>
        <v>23245.066666666666</v>
      </c>
      <c r="C18" s="228">
        <f>+GETPIVOTDATA("Sum of Old-HS % of Total",'Pivot-HS Student % of Undergrad'!$A$3,"State","LA","Category",1,"Category2","Four-Year")</f>
        <v>1.5438401266505294E-2</v>
      </c>
      <c r="D18" s="216">
        <f>+GETPIVOTDATA("Sum of Old-Total Undg SCH FTE",'FTE Pivot for regular counts'!$A$2,"State","LA","Category",2,"Category2","Four-Year")</f>
        <v>28011.3</v>
      </c>
      <c r="E18" s="228">
        <f>+GETPIVOTDATA("Sum of Old-HS % of Total",'Pivot-HS Student % of Undergrad'!$A$3,"State","LA","Category",2,"Category2","Four-Year")</f>
        <v>3.9224646243956308E-2</v>
      </c>
      <c r="F18" s="216">
        <f>+GETPIVOTDATA("Sum of Old-Total Undg SCH FTE",'FTE Pivot for regular counts'!$A$2,"State","LA","Category",3,"Category2","Four-Year")</f>
        <v>28566.266666666666</v>
      </c>
      <c r="G18" s="228">
        <f>+GETPIVOTDATA("Sum of Old-HS % of Total",'Pivot-HS Student % of Undergrad'!$A$3,"State","LA","Category",3,"Category2","Four-Year")</f>
        <v>6.1339248624251448E-2</v>
      </c>
      <c r="H18" s="216">
        <f>+GETPIVOTDATA("Sum of Old-Total Undg SCH FTE",'FTE Pivot for regular counts'!$A$2,"State","LA","Category",4,"Category2","Four-Year")</f>
        <v>19163.933333333334</v>
      </c>
      <c r="I18" s="228">
        <f>+GETPIVOTDATA("Sum of Old-HS % of Total",'Pivot-HS Student % of Undergrad'!$A$3,"State","LA","Category",4,"Category2","Four-Year")</f>
        <v>2.51253222198644E-2</v>
      </c>
      <c r="J18" s="216">
        <f>+GETPIVOTDATA("Sum of Old-Total Undg SCH FTE",'FTE Pivot for regular counts'!$A$2,"State","LA","Category",5,"Category2","Four-Year")</f>
        <v>1618.8333333333333</v>
      </c>
      <c r="K18" s="228">
        <f>+GETPIVOTDATA("Sum of Old-HS % of Total",'Pivot-HS Student % of Undergrad'!$A$3,"State","LA","Category",5,"Category2","Four-Year")</f>
        <v>2.8662617111088234E-2</v>
      </c>
      <c r="L18" s="216">
        <f>+GETPIVOTDATA("Sum of Old-Total Undg SCH FTE",'FTE Pivot for regular counts'!$A$2,"State","LA","Category",6,"Category2","Four-Year")</f>
        <v>2481.3333333333335</v>
      </c>
      <c r="M18" s="228">
        <f>+GETPIVOTDATA("Sum of Old-HS % of Total",'Pivot-HS Student % of Undergrad'!$A$3,"State","LA","Category",6,"Category2","Four-Year")</f>
        <v>8.4591617409994629E-2</v>
      </c>
      <c r="N18" s="216">
        <f>+GETPIVOTDATA("Sum of Old-Total Undg SCH FTE",'FTE Pivot for regular counts'!$A$2,"State","LA","Category2","Four-Year")</f>
        <v>103086.73333333332</v>
      </c>
      <c r="O18" s="228">
        <f>+GETPIVOTDATA("Sum of Old-HS % of Total",'Pivot-HS Student % of Undergrad'!$A$3,"State","LA","Category2","Group1")</f>
        <v>3.8294290697606738E-2</v>
      </c>
    </row>
    <row r="19" spans="1:15" ht="15" customHeight="1">
      <c r="A19" s="15" t="s">
        <v>784</v>
      </c>
      <c r="B19" s="227">
        <f>+GETPIVOTDATA("Sum of Old-Total Undg SCH FTE",'FTE Pivot for regular counts'!$A$2,"State","MD","Category",1,"Category2","Four-Year")</f>
        <v>28800.733333333334</v>
      </c>
      <c r="C19" s="228">
        <f>+GETPIVOTDATA("Sum of Old-HS % of Total",'Pivot-HS Student % of Undergrad'!$A$3,"State","MD","Category",1,"Category2","Four-Year")</f>
        <v>0</v>
      </c>
      <c r="D19" s="216">
        <f>+GETPIVOTDATA("Sum of Old-Total Undg SCH FTE",'FTE Pivot for regular counts'!$A$2,"State","MD","Category",2,"Category2","Four-Year")</f>
        <v>17090.133333333331</v>
      </c>
      <c r="E19" s="228">
        <f>+GETPIVOTDATA("Sum of Old-HS % of Total",'Pivot-HS Student % of Undergrad'!$A$3,"State","MD","Category",2,"Category2","Four-Year")</f>
        <v>0</v>
      </c>
      <c r="F19" s="216">
        <f>+GETPIVOTDATA("Sum of Old-Total Undg SCH FTE",'FTE Pivot for regular counts'!$A$2,"State","MD","Category",3,"Category2","Four-Year")</f>
        <v>20318.783333333333</v>
      </c>
      <c r="G19" s="228">
        <f>+GETPIVOTDATA("Sum of Old-HS % of Total",'Pivot-HS Student % of Undergrad'!$A$3,"State","MD","Category",3,"Category2","Four-Year")</f>
        <v>0</v>
      </c>
      <c r="H19" s="216">
        <f>+GETPIVOTDATA("Sum of Old-Total Undg SCH FTE",'FTE Pivot for regular counts'!$A$2,"State","MD","Category",4,"Category2","Four-Year")</f>
        <v>19317.633333333331</v>
      </c>
      <c r="I19" s="228">
        <f>+GETPIVOTDATA("Sum of Old-HS % of Total",'Pivot-HS Student % of Undergrad'!$A$3,"State","MD","Category",4,"Category2","Four-Year")</f>
        <v>0</v>
      </c>
      <c r="J19" s="216">
        <f>+GETPIVOTDATA("Sum of Old-Total Undg SCH FTE",'FTE Pivot for regular counts'!$A$2,"State","MD","Category",5,"Category2","Four-Year")</f>
        <v>2057.1666666666665</v>
      </c>
      <c r="K19" s="228">
        <f>+GETPIVOTDATA("Sum of Old-HS % of Total",'Pivot-HS Student % of Undergrad'!$A$3,"State","MD","Category",5,"Category2","Four-Year")</f>
        <v>0</v>
      </c>
      <c r="L19" s="216">
        <f>+GETPIVOTDATA("Sum of Old-Total Undg SCH FTE",'FTE Pivot for regular counts'!$A$2,"State","MD","Category",6,"Category2","Four-Year")</f>
        <v>1602.85</v>
      </c>
      <c r="M19" s="228">
        <f>+GETPIVOTDATA("Sum of Old-HS % of Total",'Pivot-HS Student % of Undergrad'!$A$3,"State","MD","Category",6,"Category2","Four-Year")</f>
        <v>0</v>
      </c>
      <c r="N19" s="216">
        <f>+GETPIVOTDATA("Sum of Old-Total Undg SCH FTE",'FTE Pivot for regular counts'!$A$2,"State","MD","Category2","Four-Year")</f>
        <v>89187.3</v>
      </c>
      <c r="O19" s="228">
        <f>+GETPIVOTDATA("Sum of Old-HS % of Total",'Pivot-HS Student % of Undergrad'!$A$3,"State","MD","Category2","Group1")</f>
        <v>0</v>
      </c>
    </row>
    <row r="20" spans="1:15" ht="15" customHeight="1">
      <c r="B20" s="227"/>
      <c r="C20" s="228"/>
      <c r="D20" s="216"/>
      <c r="E20" s="228"/>
      <c r="F20" s="216"/>
      <c r="G20" s="228"/>
      <c r="H20" s="216"/>
      <c r="I20" s="228"/>
      <c r="J20" s="216"/>
      <c r="K20" s="228"/>
      <c r="L20" s="216"/>
      <c r="M20" s="228"/>
      <c r="N20" s="216"/>
      <c r="O20" s="228"/>
    </row>
    <row r="21" spans="1:15" ht="15" customHeight="1">
      <c r="A21" s="15" t="s">
        <v>785</v>
      </c>
      <c r="B21" s="227">
        <f>+GETPIVOTDATA("Sum of Old-Total Undg SCH FTE",'FTE Pivot for regular counts'!$A$2,"State","MS","Category",1,"Category2","Four-Year")</f>
        <v>46980.899999999994</v>
      </c>
      <c r="C21" s="228">
        <f>+GETPIVOTDATA("Sum of Old-HS % of Total",'Pivot-HS Student % of Undergrad'!$A$3,"State","MS","Category",1,"Category2","Four-Year")</f>
        <v>0</v>
      </c>
      <c r="D21" s="216">
        <f>+GETPIVOTDATA("Sum of Old-Total Undg SCH FTE",'FTE Pivot for regular counts'!$A$2,"State","MS","Category",2,"Category2","Four-Year")</f>
        <v>5041.4333333333334</v>
      </c>
      <c r="E21" s="228">
        <f>+GETPIVOTDATA("Sum of Old-HS % of Total",'Pivot-HS Student % of Undergrad'!$A$3,"State","MS","Category",2,"Category2","Four-Year")</f>
        <v>0</v>
      </c>
      <c r="F21" s="216">
        <f>+GETPIVOTDATA("Sum of Old-Total Undg SCH FTE",'FTE Pivot for regular counts'!$A$2,"State","MS","Category",3,"Category2","Four-Year")</f>
        <v>0</v>
      </c>
      <c r="G21" s="228">
        <f>+GETPIVOTDATA("Sum of Old-HS % of Total",'Pivot-HS Student % of Undergrad'!$A$3,"State","MS","Category",3,"Category2","Four-Year")</f>
        <v>0</v>
      </c>
      <c r="H21" s="216">
        <f>+GETPIVOTDATA("Sum of Old-Total Undg SCH FTE",'FTE Pivot for regular counts'!$A$2,"State","MS","Category",4,"Category2","Four-Year")</f>
        <v>9638.133333333335</v>
      </c>
      <c r="I21" s="228">
        <f>+GETPIVOTDATA("Sum of Old-HS % of Total",'Pivot-HS Student % of Undergrad'!$A$3,"State","MS","Category",4,"Category2","Four-Year")</f>
        <v>0</v>
      </c>
      <c r="J21" s="216">
        <f>+GETPIVOTDATA("Sum of Old-Total Undg SCH FTE",'FTE Pivot for regular counts'!$A$2,"State","MS","Category",5,"Category2","Four-Year")</f>
        <v>0</v>
      </c>
      <c r="K21" s="228">
        <f>+GETPIVOTDATA("Sum of Old-HS % of Total",'Pivot-HS Student % of Undergrad'!$A$3,"State","MS","Category",5,"Category2","Four-Year")</f>
        <v>0</v>
      </c>
      <c r="L21" s="216">
        <f>+GETPIVOTDATA("Sum of Old-Total Undg SCH FTE",'FTE Pivot for regular counts'!$A$2,"State","MS","Category",6,"Category2","Four-Year")</f>
        <v>0</v>
      </c>
      <c r="M21" s="228">
        <f>+GETPIVOTDATA("Sum of Old-HS % of Total",'Pivot-HS Student % of Undergrad'!$A$3,"State","MS","Category",6,"Category2","Four-Year")</f>
        <v>0</v>
      </c>
      <c r="N21" s="216">
        <f>+GETPIVOTDATA("Sum of Old-Total Undg SCH FTE",'FTE Pivot for regular counts'!$A$2,"State","MS","Category2","Four-Year")</f>
        <v>61660.46666666666</v>
      </c>
      <c r="O21" s="228">
        <f>+GETPIVOTDATA("Sum of Old-HS % of Total",'Pivot-HS Student % of Undergrad'!$A$3,"State","MS","Category2","Group1")</f>
        <v>0</v>
      </c>
    </row>
    <row r="22" spans="1:15" ht="15" customHeight="1">
      <c r="A22" s="15" t="s">
        <v>786</v>
      </c>
      <c r="B22" s="227">
        <f>+GETPIVOTDATA("Sum of Old-Total Undg SCH FTE",'FTE Pivot for regular counts'!$A$2,"State","NC","Category",1,"Category2","Four-Year")</f>
        <v>79927.266666666677</v>
      </c>
      <c r="C22" s="228">
        <f>+GETPIVOTDATA("Sum of Old-HS % of Total",'Pivot-HS Student % of Undergrad'!$A$3,"State","NC","Category",1,"Category2","Four-Year")</f>
        <v>2.7917047916063689E-3</v>
      </c>
      <c r="D22" s="216">
        <f>+GETPIVOTDATA("Sum of Old-Total Undg SCH FTE",'FTE Pivot for regular counts'!$A$2,"State","NC","Category",2,"Category2","Four-Year")</f>
        <v>21825.333333333332</v>
      </c>
      <c r="E22" s="228">
        <f>+GETPIVOTDATA("Sum of Old-HS % of Total",'Pivot-HS Student % of Undergrad'!$A$3,"State","NC","Category",2,"Category2","Four-Year")</f>
        <v>8.4000244364347248E-5</v>
      </c>
      <c r="F22" s="216">
        <f>+GETPIVOTDATA("Sum of Old-Total Undg SCH FTE",'FTE Pivot for regular counts'!$A$2,"State","NC","Category",3,"Category2","Four-Year")</f>
        <v>56308.066666666666</v>
      </c>
      <c r="G22" s="228">
        <f>+GETPIVOTDATA("Sum of Old-HS % of Total",'Pivot-HS Student % of Undergrad'!$A$3,"State","NC","Category",3,"Category2","Four-Year")</f>
        <v>4.3782951169814626E-3</v>
      </c>
      <c r="H22" s="216">
        <f>+GETPIVOTDATA("Sum of Old-Total Undg SCH FTE",'FTE Pivot for regular counts'!$A$2,"State","NC","Category",4,"Category2","Four-Year")</f>
        <v>4849.8666666666668</v>
      </c>
      <c r="I22" s="228">
        <f>+GETPIVOTDATA("Sum of Old-HS % of Total",'Pivot-HS Student % of Undergrad'!$A$3,"State","NC","Category",4,"Category2","Four-Year")</f>
        <v>5.4173310606477156E-2</v>
      </c>
      <c r="J22" s="216">
        <f>+GETPIVOTDATA("Sum of Old-Total Undg SCH FTE",'FTE Pivot for regular counts'!$A$2,"State","NC","Category",5,"Category2","Four-Year")</f>
        <v>9749.5999999999985</v>
      </c>
      <c r="K22" s="228">
        <f>+GETPIVOTDATA("Sum of Old-HS % of Total",'Pivot-HS Student % of Undergrad'!$A$3,"State","NC","Category",5,"Category2","Four-Year")</f>
        <v>0</v>
      </c>
      <c r="L22" s="216">
        <f>+GETPIVOTDATA("Sum of Old-Total Undg SCH FTE",'FTE Pivot for regular counts'!$A$2,"State","NC","Category",6,"Category2","Four-Year")</f>
        <v>4777.3666666666668</v>
      </c>
      <c r="M22" s="228">
        <f>+GETPIVOTDATA("Sum of Old-HS % of Total",'Pivot-HS Student % of Undergrad'!$A$3,"State","NC","Category",6,"Category2","Four-Year")</f>
        <v>0</v>
      </c>
      <c r="N22" s="216">
        <f>+GETPIVOTDATA("Sum of Old-Total Undg SCH FTE",'FTE Pivot for regular counts'!$A$2,"State","NC","Category2","Four-Year")</f>
        <v>177437.50000000003</v>
      </c>
      <c r="O22" s="228">
        <f>+GETPIVOTDATA("Sum of Old-HS % of Total",'Pivot-HS Student % of Undergrad'!$A$3,"State","NC","Category2","Group1")</f>
        <v>4.1379828578137845E-3</v>
      </c>
    </row>
    <row r="23" spans="1:15" ht="15" customHeight="1">
      <c r="A23" s="15" t="s">
        <v>787</v>
      </c>
      <c r="B23" s="227">
        <f>+GETPIVOTDATA("Sum of Old-Total Undg SCH FTE",'FTE Pivot for regular counts'!$A$2,"State","OK","Category",1,"Category2","Four-Year")</f>
        <v>39782</v>
      </c>
      <c r="C23" s="228">
        <f>+GETPIVOTDATA("Sum of Old-HS % of Total",'Pivot-HS Student % of Undergrad'!$A$3,"State","OK","Category",1,"Category2","Four-Year")</f>
        <v>2.7617180299297842E-3</v>
      </c>
      <c r="D23" s="216">
        <f>+GETPIVOTDATA("Sum of Old-Total Undg SCH FTE",'FTE Pivot for regular counts'!$A$2,"State","OK","Category",2,"Category2","Four-Year")</f>
        <v>0</v>
      </c>
      <c r="E23" s="228">
        <f>+GETPIVOTDATA("Sum of Old-HS % of Total",'Pivot-HS Student % of Undergrad'!$A$3,"State","OK","Category",2,"Category2","Four-Year")</f>
        <v>0</v>
      </c>
      <c r="F23" s="216">
        <f>+GETPIVOTDATA("Sum of Old-Total Undg SCH FTE",'FTE Pivot for regular counts'!$A$2,"State","OK","Category",3,"Category2","Four-Year")</f>
        <v>16979.833333333332</v>
      </c>
      <c r="G23" s="228">
        <f>+GETPIVOTDATA("Sum of Old-HS % of Total",'Pivot-HS Student % of Undergrad'!$A$3,"State","OK","Category",3,"Category2","Four-Year")</f>
        <v>1.5265167502625663E-2</v>
      </c>
      <c r="H23" s="216">
        <f>+GETPIVOTDATA("Sum of Old-Total Undg SCH FTE",'FTE Pivot for regular counts'!$A$2,"State","OK","Category",4,"Category2","Four-Year")</f>
        <v>6705.2666666666664</v>
      </c>
      <c r="I23" s="228">
        <f>+GETPIVOTDATA("Sum of Old-HS % of Total",'Pivot-HS Student % of Undergrad'!$A$3,"State","OK","Category",4,"Category2","Four-Year")</f>
        <v>2.0928822119925632E-2</v>
      </c>
      <c r="J23" s="216">
        <f>+GETPIVOTDATA("Sum of Old-Total Undg SCH FTE",'FTE Pivot for regular counts'!$A$2,"State","OK","Category",5,"Category2","Four-Year")</f>
        <v>9344.2000000000007</v>
      </c>
      <c r="K23" s="228">
        <f>+GETPIVOTDATA("Sum of Old-HS % of Total",'Pivot-HS Student % of Undergrad'!$A$3,"State","OK","Category",5,"Category2","Four-Year")</f>
        <v>2.2320441200602156E-2</v>
      </c>
      <c r="L23" s="216">
        <f>+GETPIVOTDATA("Sum of Old-Total Undg SCH FTE",'FTE Pivot for regular counts'!$A$2,"State","OK","Category",6,"Category2","Four-Year")</f>
        <v>4613.2999999999993</v>
      </c>
      <c r="M23" s="228">
        <f>+GETPIVOTDATA("Sum of Old-HS % of Total",'Pivot-HS Student % of Undergrad'!$A$3,"State","OK","Category",6,"Category2","Four-Year")</f>
        <v>3.6857202725453217E-2</v>
      </c>
      <c r="N23" s="216">
        <f>+GETPIVOTDATA("Sum of Old-Total Undg SCH FTE",'FTE Pivot for regular counts'!$A$2,"State","OK","Category2","Four-Year")</f>
        <v>77424.599999999991</v>
      </c>
      <c r="O23" s="228">
        <f>+GETPIVOTDATA("Sum of Old-HS % of Total",'Pivot-HS Student % of Undergrad'!$A$3,"State","OK","Category2","Group1")</f>
        <v>1.1469222960144449E-2</v>
      </c>
    </row>
    <row r="24" spans="1:15" ht="15" customHeight="1">
      <c r="A24" s="15" t="s">
        <v>788</v>
      </c>
      <c r="B24" s="227">
        <f>+GETPIVOTDATA("Sum of Old-Total Undg SCH FTE",'FTE Pivot for regular counts'!$A$2,"State","SC","Category",1,"Category2","Four-Year")</f>
        <v>46660.399999999994</v>
      </c>
      <c r="C24" s="233">
        <f>+GETPIVOTDATA("Sum of Old-HS % of Total",'Pivot-HS Student % of Undergrad'!$A$3,"State","SC","Category",1,"Category2","Four-Year")</f>
        <v>2.543198658105517E-4</v>
      </c>
      <c r="D24" s="216">
        <f>+GETPIVOTDATA("Sum of Old-Total Undg SCH FTE",'FTE Pivot for regular counts'!$A$2,"State","SC","Category",2,"Category2","Four-Year")</f>
        <v>0</v>
      </c>
      <c r="E24" s="228">
        <f>+GETPIVOTDATA("Sum of Old-HS % of Total",'Pivot-HS Student % of Undergrad'!$A$3,"State","SC","Category",2,"Category2","Four-Year")</f>
        <v>0</v>
      </c>
      <c r="F24" s="216">
        <f>+GETPIVOTDATA("Sum of Old-Total Undg SCH FTE",'FTE Pivot for regular counts'!$A$2,"State","SC","Category",3,"Category2","Four-Year")</f>
        <v>17845.183333333334</v>
      </c>
      <c r="G24" s="228">
        <f>+GETPIVOTDATA("Sum of Old-HS % of Total",'Pivot-HS Student % of Undergrad'!$A$3,"State","SC","Category",3,"Category2","Four-Year")</f>
        <v>5.2281899031301282E-3</v>
      </c>
      <c r="H24" s="216">
        <f>+GETPIVOTDATA("Sum of Old-Total Undg SCH FTE",'FTE Pivot for regular counts'!$A$2,"State","SC","Category",4,"Category2","Four-Year")</f>
        <v>9745.0666666666675</v>
      </c>
      <c r="I24" s="228">
        <f>+GETPIVOTDATA("Sum of Old-HS % of Total",'Pivot-HS Student % of Undergrad'!$A$3,"State","SC","Category",4,"Category2","Four-Year")</f>
        <v>8.4145140105078807E-3</v>
      </c>
      <c r="J24" s="216">
        <f>+GETPIVOTDATA("Sum of Old-Total Undg SCH FTE",'FTE Pivot for regular counts'!$A$2,"State","SC","Category",5,"Category2","Four-Year")</f>
        <v>5282.8666666666668</v>
      </c>
      <c r="K24" s="228">
        <f>+GETPIVOTDATA("Sum of Old-HS % of Total",'Pivot-HS Student % of Undergrad'!$A$3,"State","SC","Category",5,"Category2","Four-Year")</f>
        <v>1.3023770038695412E-2</v>
      </c>
      <c r="L24" s="216">
        <f>+GETPIVOTDATA("Sum of Old-Total Undg SCH FTE",'FTE Pivot for regular counts'!$A$2,"State","SC","Category",6,"Category2","Four-Year")</f>
        <v>12958.95</v>
      </c>
      <c r="M24" s="228">
        <f>+GETPIVOTDATA("Sum of Old-HS % of Total",'Pivot-HS Student % of Undergrad'!$A$3,"State","SC","Category",6,"Category2","Four-Year")</f>
        <v>2.1053660468890869E-2</v>
      </c>
      <c r="N24" s="216">
        <f>+GETPIVOTDATA("Sum of Old-Total Undg SCH FTE",'FTE Pivot for regular counts'!$A$2,"State","SC","Category2","Four-Year")</f>
        <v>92492.46666666666</v>
      </c>
      <c r="O24" s="228">
        <f>+GETPIVOTDATA("Sum of Old-HS % of Total",'Pivot-HS Student % of Undergrad'!$A$3,"State","SC","Category2","Group1")</f>
        <v>5.5453638156953136E-3</v>
      </c>
    </row>
    <row r="25" spans="1:15" ht="15" customHeight="1">
      <c r="B25" s="227"/>
      <c r="C25" s="233"/>
      <c r="D25" s="216"/>
      <c r="E25" s="228"/>
      <c r="F25" s="216"/>
      <c r="G25" s="228"/>
      <c r="H25" s="216"/>
      <c r="I25" s="228"/>
      <c r="J25" s="216"/>
      <c r="K25" s="228"/>
      <c r="L25" s="216"/>
      <c r="M25" s="228"/>
      <c r="N25" s="216"/>
      <c r="O25" s="228"/>
    </row>
    <row r="26" spans="1:15" ht="15" customHeight="1">
      <c r="A26" s="15" t="s">
        <v>789</v>
      </c>
      <c r="B26" s="227">
        <f>+GETPIVOTDATA("Sum of Old-Total Undg SCH FTE",'FTE Pivot for regular counts'!$A$2,"State","TN","Category",1,"Category2","Four-Year")</f>
        <v>35124.800000000003</v>
      </c>
      <c r="C26" s="228">
        <f>+GETPIVOTDATA("Sum of Old-HS % of Total",'Pivot-HS Student % of Undergrad'!$A$3,"State","TN","Category",1,"Category2","Four-Year")</f>
        <v>1.1113705036517409E-2</v>
      </c>
      <c r="D26" s="216">
        <f>+GETPIVOTDATA("Sum of Old-Total Undg SCH FTE",'FTE Pivot for regular counts'!$A$2,"State","TN","Category",2,"Category2","Four-Year")</f>
        <v>33188.933333333334</v>
      </c>
      <c r="E26" s="228">
        <f>+GETPIVOTDATA("Sum of Old-HS % of Total",'Pivot-HS Student % of Undergrad'!$A$3,"State","TN","Category",2,"Category2","Four-Year")</f>
        <v>1.3592785721639807E-2</v>
      </c>
      <c r="F26" s="216">
        <f>+GETPIVOTDATA("Sum of Old-Total Undg SCH FTE",'FTE Pivot for regular counts'!$A$2,"State","TN","Category",3,"Category2","Four-Year")</f>
        <v>26245.5</v>
      </c>
      <c r="G26" s="228">
        <f>+GETPIVOTDATA("Sum of Old-HS % of Total",'Pivot-HS Student % of Undergrad'!$A$3,"State","TN","Category",3,"Category2","Four-Year")</f>
        <v>1.1548646434626889E-2</v>
      </c>
      <c r="H26" s="216">
        <f>+GETPIVOTDATA("Sum of Old-Total Undg SCH FTE",'FTE Pivot for regular counts'!$A$2,"State","TN","Category",4,"Category2","Four-Year")</f>
        <v>0</v>
      </c>
      <c r="I26" s="228">
        <f>+GETPIVOTDATA("Sum of Old-HS % of Total",'Pivot-HS Student % of Undergrad'!$A$3,"State","TN","Category",4,"Category2","Four-Year")</f>
        <v>0</v>
      </c>
      <c r="J26" s="216">
        <f>+GETPIVOTDATA("Sum of Old-Total Undg SCH FTE",'FTE Pivot for regular counts'!$A$2,"State","TN","Category",5,"Category2","Four-Year")</f>
        <v>5573.333333333333</v>
      </c>
      <c r="K26" s="228">
        <f>+GETPIVOTDATA("Sum of Old-HS % of Total",'Pivot-HS Student % of Undergrad'!$A$3,"State","TN","Category",5,"Category2","Four-Year")</f>
        <v>4.36244019138756E-2</v>
      </c>
      <c r="L26" s="216">
        <f>+GETPIVOTDATA("Sum of Old-Total Undg SCH FTE",'FTE Pivot for regular counts'!$A$2,"State","TN","Category",6,"Category2","Four-Year")</f>
        <v>0</v>
      </c>
      <c r="M26" s="228">
        <f>+GETPIVOTDATA("Sum of Old-HS % of Total",'Pivot-HS Student % of Undergrad'!$A$3,"State","TN","Category",6,"Category2","Four-Year")</f>
        <v>0</v>
      </c>
      <c r="N26" s="216">
        <f>+GETPIVOTDATA("Sum of Old-Total Undg SCH FTE",'FTE Pivot for regular counts'!$A$2,"State","TN","Category2","Four-Year")</f>
        <v>100132.56666666667</v>
      </c>
      <c r="O26" s="228">
        <f>+GETPIVOTDATA("Sum of Old-HS % of Total",'Pivot-HS Student % of Undergrad'!$A$3,"State","TN","Category2","Group1")</f>
        <v>1.3874901460675665E-2</v>
      </c>
    </row>
    <row r="27" spans="1:15" ht="15" customHeight="1">
      <c r="A27" s="15" t="s">
        <v>790</v>
      </c>
      <c r="B27" s="227">
        <f>+GETPIVOTDATA("Sum of Old-Total Undg SCH FTE",'FTE Pivot for regular counts'!$A$2,"State","TX","Category",1,"Category2","Four-Year")</f>
        <v>233247.7</v>
      </c>
      <c r="C27" s="233">
        <f>+GETPIVOTDATA("Sum of Old-HS % of Total",'Pivot-HS Student % of Undergrad'!$A$3,"State","TX","Category",1,"Category2","Four-Year")</f>
        <v>1.0083700718163567E-3</v>
      </c>
      <c r="D27" s="216">
        <f>+GETPIVOTDATA("Sum of Old-Total Undg SCH FTE",'FTE Pivot for regular counts'!$A$2,"State","TX","Category",2,"Category2","Four-Year")</f>
        <v>54703.23333333333</v>
      </c>
      <c r="E27" s="228">
        <f>+GETPIVOTDATA("Sum of Old-HS % of Total",'Pivot-HS Student % of Undergrad'!$A$3,"State","TX","Category",2,"Category2","Four-Year")</f>
        <v>5.3957809928358901E-3</v>
      </c>
      <c r="F27" s="216">
        <f>+GETPIVOTDATA("Sum of Old-Total Undg SCH FTE",'FTE Pivot for regular counts'!$A$2,"State","TX","Category",3,"Category2","Four-Year")</f>
        <v>137376.06666666665</v>
      </c>
      <c r="G27" s="228">
        <f>+GETPIVOTDATA("Sum of Old-HS % of Total",'Pivot-HS Student % of Undergrad'!$A$3,"State","TX","Category",3,"Category2","Four-Year")</f>
        <v>2.369287032530169E-2</v>
      </c>
      <c r="H27" s="216">
        <f>+GETPIVOTDATA("Sum of Old-Total Undg SCH FTE",'FTE Pivot for regular counts'!$A$2,"State","TX","Category",4,"Category2","Four-Year")</f>
        <v>13620.066666666666</v>
      </c>
      <c r="I27" s="233">
        <f>+GETPIVOTDATA("Sum of Old-HS % of Total",'Pivot-HS Student % of Undergrad'!$A$3,"State","TX","Category",4,"Category2","Four-Year")</f>
        <v>1.4317110537882831E-3</v>
      </c>
      <c r="J27" s="216">
        <f>+GETPIVOTDATA("Sum of Old-Total Undg SCH FTE",'FTE Pivot for regular counts'!$A$2,"State","TX","Category",5,"Category2","Four-Year")</f>
        <v>6685.5666666666675</v>
      </c>
      <c r="K27" s="228">
        <f>+GETPIVOTDATA("Sum of Old-HS % of Total",'Pivot-HS Student % of Undergrad'!$A$3,"State","TX","Category",5,"Category2","Four-Year")</f>
        <v>0</v>
      </c>
      <c r="L27" s="216">
        <f>+GETPIVOTDATA("Sum of Old-Total Undg SCH FTE",'FTE Pivot for regular counts'!$A$2,"State","TX","Category",6,"Category2","Four-Year")</f>
        <v>0</v>
      </c>
      <c r="M27" s="228">
        <f>+GETPIVOTDATA("Sum of Old-HS % of Total",'Pivot-HS Student % of Undergrad'!$A$3,"State","TX","Category",6,"Category2","Four-Year")</f>
        <v>0</v>
      </c>
      <c r="N27" s="216">
        <f>+GETPIVOTDATA("Sum of Old-Total Undg SCH FTE",'FTE Pivot for regular counts'!$A$2,"State","TX","Category2","Four-Year")</f>
        <v>445632.6333333333</v>
      </c>
      <c r="O27" s="228">
        <f>+GETPIVOTDATA("Sum of Old-HS % of Total",'Pivot-HS Student % of Undergrad'!$A$3,"State","TX","Category2","Group1")</f>
        <v>8.5377499657976873E-3</v>
      </c>
    </row>
    <row r="28" spans="1:15" ht="15" customHeight="1">
      <c r="A28" s="15" t="s">
        <v>791</v>
      </c>
      <c r="B28" s="227">
        <f>+GETPIVOTDATA("Sum of Old-Total Undg SCH FTE",'FTE Pivot for regular counts'!$A$2,"State","VA","Category",1,"Category2","Four-Year")</f>
        <v>107643.96666666667</v>
      </c>
      <c r="C28" s="228">
        <f>+GETPIVOTDATA("Sum of Old-HS % of Total",'Pivot-HS Student % of Undergrad'!$A$3,"State","VA","Category",1,"Category2","Four-Year")</f>
        <v>7.9530699816277046E-3</v>
      </c>
      <c r="D28" s="216">
        <f>+GETPIVOTDATA("Sum of Old-Total Undg SCH FTE",'FTE Pivot for regular counts'!$A$2,"State","VA","Category",2,"Category2","Four-Year")</f>
        <v>6214.6833333333334</v>
      </c>
      <c r="E28" s="228">
        <f>+GETPIVOTDATA("Sum of Old-HS % of Total",'Pivot-HS Student % of Undergrad'!$A$3,"State","VA","Category",2,"Category2","Four-Year")</f>
        <v>0</v>
      </c>
      <c r="F28" s="216">
        <f>+GETPIVOTDATA("Sum of Old-Total Undg SCH FTE",'FTE Pivot for regular counts'!$A$2,"State","VA","Category",3,"Category2","Four-Year")</f>
        <v>44262.19</v>
      </c>
      <c r="G28" s="228">
        <f>+GETPIVOTDATA("Sum of Old-HS % of Total",'Pivot-HS Student % of Undergrad'!$A$3,"State","VA","Category",3,"Category2","Four-Year")</f>
        <v>5.8876436073316751E-3</v>
      </c>
      <c r="H28" s="216">
        <f>+GETPIVOTDATA("Sum of Old-Total Undg SCH FTE",'FTE Pivot for regular counts'!$A$2,"State","VA","Category",4,"Category2","Four-Year")</f>
        <v>0</v>
      </c>
      <c r="I28" s="233">
        <f>+GETPIVOTDATA("Sum of Old-HS % of Total",'Pivot-HS Student % of Undergrad'!$A$3,"State","VA","Category",4,"Category2","Four-Year")</f>
        <v>0</v>
      </c>
      <c r="J28" s="216">
        <f>+GETPIVOTDATA("Sum of Old-Total Undg SCH FTE",'FTE Pivot for regular counts'!$A$2,"State","VA","Category",5,"Category2","Four-Year")</f>
        <v>4721.7666666666664</v>
      </c>
      <c r="K28" s="233">
        <f>+GETPIVOTDATA("Sum of Old-HS % of Total",'Pivot-HS Student % of Undergrad'!$A$3,"State","VA","Category",5,"Category2","Four-Year")</f>
        <v>9.5303311613590953E-4</v>
      </c>
      <c r="L28" s="216">
        <f>+GETPIVOTDATA("Sum of Old-Total Undg SCH FTE",'FTE Pivot for regular counts'!$A$2,"State","VA","Category",6,"Category2","Four-Year")</f>
        <v>1544.5666666666666</v>
      </c>
      <c r="M28" s="233">
        <f>+GETPIVOTDATA("Sum of Old-HS % of Total",'Pivot-HS Student % of Undergrad'!$A$3,"State","VA","Category",6,"Category2","Four-Year")</f>
        <v>1.1675335045428059E-2</v>
      </c>
      <c r="N28" s="216">
        <f>+GETPIVOTDATA("Sum of Old-Total Undg SCH FTE",'FTE Pivot for regular counts'!$A$2,"State","VA","Category2","Four-Year")</f>
        <v>164387.17333333337</v>
      </c>
      <c r="O28" s="228">
        <f>+GETPIVOTDATA("Sum of Old-HS % of Total",'Pivot-HS Student % of Undergrad'!$A$3,"State","VA","Category2","Group1")</f>
        <v>6.9301838472717817E-3</v>
      </c>
    </row>
    <row r="29" spans="1:15" ht="15" customHeight="1">
      <c r="A29" s="234" t="s">
        <v>792</v>
      </c>
      <c r="B29" s="235">
        <f>+GETPIVOTDATA("Sum of Old-Total Undg SCH FTE",'FTE Pivot for regular counts'!$A$2,"State","WV","Category",1,"Category2","Four-Year")</f>
        <v>20740</v>
      </c>
      <c r="C29" s="236">
        <f>+GETPIVOTDATA("Sum of Old-HS % of Total",'Pivot-HS Student % of Undergrad'!$A$3,"State","WV","Category",1,"Category2","Four-Year")</f>
        <v>7.9476052716168435E-3</v>
      </c>
      <c r="D29" s="237">
        <f>+GETPIVOTDATA("Sum of Old-Total Undg SCH FTE",'FTE Pivot for regular counts'!$A$2,"State","WV","Category",2,"Category2","Four-Year")</f>
        <v>0</v>
      </c>
      <c r="E29" s="236">
        <f>+GETPIVOTDATA("Sum of Old-HS % of Total",'Pivot-HS Student % of Undergrad'!$A$3,"State","WV","Category",2,"Category2","Four-Year")</f>
        <v>0</v>
      </c>
      <c r="F29" s="237">
        <f>+GETPIVOTDATA("Sum of Old-Total Undg SCH FTE",'FTE Pivot for regular counts'!$A$2,"State","WV","Category",3,"Category2","Four-Year")</f>
        <v>8486.4666666666672</v>
      </c>
      <c r="G29" s="236">
        <f>+GETPIVOTDATA("Sum of Old-HS % of Total",'Pivot-HS Student % of Undergrad'!$A$3,"State","WV","Category",3,"Category2","Four-Year")</f>
        <v>5.2530695931561622E-2</v>
      </c>
      <c r="H29" s="237">
        <f>+GETPIVOTDATA("Sum of Old-Total Undg SCH FTE",'FTE Pivot for regular counts'!$A$2,"State","WV","Category",4,"Category2","Four-Year")</f>
        <v>0</v>
      </c>
      <c r="I29" s="236">
        <f>+GETPIVOTDATA("Sum of Old-HS % of Total",'Pivot-HS Student % of Undergrad'!$A$3,"State","WV","Category",4,"Category2","Four-Year")</f>
        <v>0</v>
      </c>
      <c r="J29" s="237">
        <f>+GETPIVOTDATA("Sum of Old-Total Undg SCH FTE",'FTE Pivot for regular counts'!$A$2,"State","WV","Category",5,"Category2","Four-Year")</f>
        <v>9900.4500000000007</v>
      </c>
      <c r="K29" s="238">
        <f>+GETPIVOTDATA("Sum of Old-HS % of Total",'Pivot-HS Student % of Undergrad'!$A$3,"State","WV","Category",5,"Category2","Four-Year")</f>
        <v>1.1411939187949369E-2</v>
      </c>
      <c r="L29" s="237">
        <f>+GETPIVOTDATA("Sum of Old-Total Undg SCH FTE",'FTE Pivot for regular counts'!$A$2,"State","WV","Category",6,"Category2","Four-Year")</f>
        <v>5915.67</v>
      </c>
      <c r="M29" s="236">
        <f>+GETPIVOTDATA("Sum of Old-HS % of Total",'Pivot-HS Student % of Undergrad'!$A$3,"State","WV","Category",6,"Category2","Four-Year")</f>
        <v>0.12150215726480122</v>
      </c>
      <c r="N29" s="237">
        <f>+GETPIVOTDATA("Sum of Old-Total Undg SCH FTE",'FTE Pivot for regular counts'!$A$2,"State","WV","Category2","Four-Year")</f>
        <v>45042.58666666667</v>
      </c>
      <c r="O29" s="236">
        <f>+GETPIVOTDATA("Sum of Old-HS % of Total",'Pivot-HS Student % of Undergrad'!$A$3,"State","WV","Category2","Group1")</f>
        <v>3.2022657668564915E-2</v>
      </c>
    </row>
    <row r="30" spans="1:15" ht="23.25" customHeight="1">
      <c r="A30" s="607" t="s">
        <v>962</v>
      </c>
      <c r="B30" s="608"/>
      <c r="C30" s="608"/>
      <c r="D30" s="608"/>
      <c r="E30" s="608"/>
      <c r="F30" s="608"/>
      <c r="G30" s="608"/>
      <c r="H30" s="608"/>
      <c r="I30" s="609"/>
      <c r="J30" s="609"/>
      <c r="K30" s="609"/>
      <c r="L30" s="609"/>
      <c r="M30" s="609"/>
      <c r="N30" s="609"/>
      <c r="O30" s="609"/>
    </row>
    <row r="31" spans="1:15">
      <c r="A31" s="259"/>
      <c r="B31" s="246"/>
      <c r="C31" s="246"/>
      <c r="D31" s="246"/>
      <c r="E31" s="246"/>
      <c r="F31" s="246"/>
      <c r="G31" s="246"/>
      <c r="J31" s="246"/>
      <c r="K31" s="246"/>
      <c r="L31" s="246"/>
      <c r="M31" s="246"/>
      <c r="N31" s="246"/>
      <c r="O31" s="260" t="s">
        <v>953</v>
      </c>
    </row>
    <row r="32" spans="1:15" ht="18">
      <c r="A32" s="184" t="s">
        <v>793</v>
      </c>
      <c r="B32" s="190"/>
      <c r="C32" s="190"/>
      <c r="D32" s="190"/>
      <c r="E32" s="190"/>
      <c r="F32" s="248"/>
      <c r="G32" s="190"/>
      <c r="H32" s="190"/>
      <c r="I32" s="246"/>
      <c r="J32" s="246"/>
      <c r="K32" s="246"/>
      <c r="L32" s="246"/>
      <c r="M32" s="246"/>
      <c r="N32" s="246"/>
    </row>
    <row r="33" spans="1:14" ht="15.5">
      <c r="A33" s="190"/>
      <c r="B33" s="190"/>
      <c r="C33" s="190"/>
      <c r="D33" s="190"/>
      <c r="E33" s="190"/>
      <c r="F33" s="190"/>
      <c r="G33" s="190"/>
      <c r="H33" s="190"/>
      <c r="I33" s="246"/>
      <c r="J33" s="246"/>
      <c r="K33" s="246"/>
      <c r="L33" s="246"/>
      <c r="M33" s="246"/>
      <c r="N33" s="246"/>
    </row>
    <row r="34" spans="1:14" ht="15.5">
      <c r="A34" s="190" t="s">
        <v>794</v>
      </c>
      <c r="B34" s="190"/>
      <c r="C34" s="190"/>
      <c r="D34" s="190"/>
      <c r="E34" s="190"/>
      <c r="F34" s="190"/>
      <c r="G34" s="190"/>
      <c r="H34" s="190"/>
      <c r="I34" s="246"/>
      <c r="J34" s="246"/>
      <c r="K34" s="246"/>
      <c r="L34" s="246"/>
      <c r="M34" s="246"/>
      <c r="N34" s="246"/>
    </row>
    <row r="35" spans="1:14" ht="15.5">
      <c r="A35" s="190" t="s">
        <v>910</v>
      </c>
      <c r="B35" s="190"/>
      <c r="C35" s="190"/>
      <c r="D35" s="190"/>
      <c r="E35" s="190"/>
      <c r="F35" s="190"/>
      <c r="G35" s="190"/>
      <c r="H35" s="190"/>
    </row>
    <row r="37" spans="1:14" ht="15" customHeight="1">
      <c r="A37" s="193"/>
      <c r="B37" s="193" t="s">
        <v>749</v>
      </c>
      <c r="C37" s="193"/>
      <c r="D37" s="193"/>
      <c r="E37" s="193"/>
      <c r="F37" s="193"/>
      <c r="G37" s="193"/>
      <c r="H37" s="249"/>
    </row>
    <row r="38" spans="1:14" ht="15" customHeight="1">
      <c r="A38" s="250"/>
      <c r="B38" s="251">
        <v>1</v>
      </c>
      <c r="C38" s="251">
        <v>2</v>
      </c>
      <c r="D38" s="251">
        <v>3</v>
      </c>
      <c r="E38" s="251">
        <v>4</v>
      </c>
      <c r="F38" s="251">
        <v>5</v>
      </c>
      <c r="G38" s="252">
        <v>6</v>
      </c>
      <c r="H38" s="251" t="s">
        <v>761</v>
      </c>
    </row>
    <row r="39" spans="1:14" ht="15" customHeight="1">
      <c r="A39" s="15" t="s">
        <v>769</v>
      </c>
      <c r="B39" s="253">
        <f>+GETPIVOTDATA("Sum of Old-Total Grad FTE",'FTE Pivot for regular counts'!$A$2,"Category",1,"Category2","Four-Year")</f>
        <v>201317.55833333332</v>
      </c>
      <c r="C39" s="253">
        <f>+GETPIVOTDATA("Sum of Old-Total Grad FTE",'FTE Pivot for regular counts'!$A$2,"Category",2,"Category2","Four-Year")</f>
        <v>45206.020833333336</v>
      </c>
      <c r="D39" s="253">
        <f>+GETPIVOTDATA("Sum of Old-Total Grad FTE",'FTE Pivot for regular counts'!$A$2,"Category",3,"Category2","Four-Year")</f>
        <v>79948.724999999991</v>
      </c>
      <c r="E39" s="253">
        <f>+GETPIVOTDATA("Sum of Old-Total Grad FTE",'FTE Pivot for regular counts'!$A$2,"Category",4,"Category2","Four-Year")</f>
        <v>22507.083333333332</v>
      </c>
      <c r="F39" s="253">
        <f>+GETPIVOTDATA("Sum of Old-Total Grad FTE",'FTE Pivot for regular counts'!$A$2,"Category",5,"Category2","Four-Year")</f>
        <v>8253.4166666666679</v>
      </c>
      <c r="G39" s="254">
        <f>+GETPIVOTDATA("Sum of Old-Total Grad FTE",'FTE Pivot for regular counts'!$A$2,"Category",6,"Category2","Four-Year")</f>
        <v>883.20833333333337</v>
      </c>
      <c r="H39" s="253">
        <f>+GETPIVOTDATA("Sum of Old-Total Grad FTE",'FTE Pivot for regular counts'!$A$2,"Category2","Four-Year")</f>
        <v>358116.01249999995</v>
      </c>
    </row>
    <row r="40" spans="1:14" ht="15" customHeight="1">
      <c r="B40" s="253"/>
      <c r="C40" s="253"/>
      <c r="D40" s="253"/>
      <c r="E40" s="253"/>
      <c r="F40" s="253"/>
      <c r="G40" s="254"/>
      <c r="H40" s="253"/>
    </row>
    <row r="41" spans="1:14" ht="15" customHeight="1">
      <c r="A41" s="15" t="s">
        <v>777</v>
      </c>
      <c r="B41" s="253">
        <f>+GETPIVOTDATA("Sum of Old-Total Grad FTE",'FTE Pivot for regular counts'!$A$2,"State","AL","Category",1,"Category2","Four-Year")</f>
        <v>10989.333333333334</v>
      </c>
      <c r="C41" s="253">
        <f>+GETPIVOTDATA("Sum of Old-Total Grad FTE",'FTE Pivot for regular counts'!$A$2,"State","AL","Category",2,"Category2","Four-Year")</f>
        <v>2001.9583333333335</v>
      </c>
      <c r="D41" s="253">
        <f>+GETPIVOTDATA("Sum of Old-Total Grad FTE",'FTE Pivot for regular counts'!$A$2,"State","AL","Category",3,"Category2","Four-Year")</f>
        <v>3711.3333333333335</v>
      </c>
      <c r="E41" s="253">
        <f>+GETPIVOTDATA("Sum of Old-Total Grad FTE",'FTE Pivot for regular counts'!$A$2,"State","AL","Category",4,"Category2","Four-Year")</f>
        <v>960.33333333333326</v>
      </c>
      <c r="F41" s="253">
        <f>+GETPIVOTDATA("Sum of Old-Total Grad FTE",'FTE Pivot for regular counts'!$A$2,"State","AL","Category",5,"Category2","Four-Year")</f>
        <v>2526.291666666667</v>
      </c>
      <c r="G41" s="254">
        <f>+GETPIVOTDATA("Sum of Old-Total Grad FTE",'FTE Pivot for regular counts'!$A$2,"State","AL","Category",6,"Category2","Four-Year")</f>
        <v>99</v>
      </c>
      <c r="H41" s="253">
        <f>+GETPIVOTDATA("Sum of Old-Total Grad FTE",'FTE Pivot for regular counts'!$A$2,"State","AL","Category2","Four-Year")</f>
        <v>20288.25</v>
      </c>
    </row>
    <row r="42" spans="1:14" ht="15" customHeight="1">
      <c r="A42" s="15" t="s">
        <v>778</v>
      </c>
      <c r="B42" s="253">
        <f>+GETPIVOTDATA("Sum of Old-Total Grad FTE",'FTE Pivot for regular counts'!$A$2,"State","AR","Category",1,"Category2","Four-Year")</f>
        <v>3247.75</v>
      </c>
      <c r="C42" s="253">
        <f>+GETPIVOTDATA("Sum of Old-Total Grad FTE",'FTE Pivot for regular counts'!$A$2,"State","AR","Category",2,"Category2","Four-Year")</f>
        <v>1750.4583333333333</v>
      </c>
      <c r="D42" s="253">
        <f>+GETPIVOTDATA("Sum of Old-Total Grad FTE",'FTE Pivot for regular counts'!$A$2,"State","AR","Category",3,"Category2","Four-Year")</f>
        <v>6393.375</v>
      </c>
      <c r="E42" s="253">
        <f>+GETPIVOTDATA("Sum of Old-Total Grad FTE",'FTE Pivot for regular counts'!$A$2,"State","AR","Category",4,"Category2","Four-Year")</f>
        <v>1260.2083333333333</v>
      </c>
      <c r="F42" s="253">
        <f>+GETPIVOTDATA("Sum of Old-Total Grad FTE",'FTE Pivot for regular counts'!$A$2,"State","AR","Category",5,"Category2","Four-Year")</f>
        <v>0</v>
      </c>
      <c r="G42" s="254">
        <f>+GETPIVOTDATA("Sum of Old-Total Grad FTE",'FTE Pivot for regular counts'!$A$2,"State","AR","Category",6,"Category2","Four-Year")</f>
        <v>79.5</v>
      </c>
      <c r="H42" s="253">
        <f>+GETPIVOTDATA("Sum of Old-Total Grad FTE",'FTE Pivot for regular counts'!$A$2,"State","AR","Category2","Four-Year")</f>
        <v>12731.291666666666</v>
      </c>
    </row>
    <row r="43" spans="1:14" ht="15" customHeight="1">
      <c r="A43" s="15" t="s">
        <v>779</v>
      </c>
      <c r="B43" s="253">
        <f>+GETPIVOTDATA("Sum of Old-Total Grad FTE",'FTE Pivot for regular counts'!$A$2,"State","DE","Category",1,"Category2","Four-Year")</f>
        <v>3058.875</v>
      </c>
      <c r="C43" s="253">
        <f>+GETPIVOTDATA("Sum of Old-Total Grad FTE",'FTE Pivot for regular counts'!$A$2,"State","DE","Category",2,"Category2","Four-Year")</f>
        <v>0</v>
      </c>
      <c r="D43" s="253">
        <f>+GETPIVOTDATA("Sum of Old-Total Grad FTE",'FTE Pivot for regular counts'!$A$2,"State","DE","Category",3,"Category2","Four-Year")</f>
        <v>263.83333333333331</v>
      </c>
      <c r="E43" s="253">
        <f>+GETPIVOTDATA("Sum of Old-Total Grad FTE",'FTE Pivot for regular counts'!$A$2,"State","DE","Category",4,"Category2","Four-Year")</f>
        <v>0</v>
      </c>
      <c r="F43" s="253">
        <f>+GETPIVOTDATA("Sum of Old-Total Grad FTE",'FTE Pivot for regular counts'!$A$2,"State","DE","Category",5,"Category2","Four-Year")</f>
        <v>0</v>
      </c>
      <c r="G43" s="254">
        <f>+GETPIVOTDATA("Sum of Old-Total Grad FTE",'FTE Pivot for regular counts'!$A$2,"State","DE","Category",6,"Category2","Four-Year")</f>
        <v>0</v>
      </c>
      <c r="H43" s="253">
        <f>+GETPIVOTDATA("Sum of Old-Total Grad FTE",'FTE Pivot for regular counts'!$A$2,"State","DE","Category2","Four-Year")</f>
        <v>3322.7083333333335</v>
      </c>
      <c r="N43" s="255"/>
    </row>
    <row r="44" spans="1:14" ht="15" customHeight="1">
      <c r="A44" s="15" t="s">
        <v>780</v>
      </c>
      <c r="B44" s="253">
        <f>+GETPIVOTDATA("Sum of Old-Total Grad FTE",'FTE Pivot for regular counts'!$A$2,"State","FL","Category",1,"Category2","Four-Year")</f>
        <v>0</v>
      </c>
      <c r="C44" s="253">
        <f>+GETPIVOTDATA("Sum of Old-Total Grad FTE",'FTE Pivot for regular counts'!$A$2,"State","FL","Category",2,"Category2","Four-Year")</f>
        <v>0</v>
      </c>
      <c r="D44" s="253">
        <f>+GETPIVOTDATA("Sum of Old-Total Grad FTE",'FTE Pivot for regular counts'!$A$2,"State","FL","Category",3,"Category2","Four-Year")</f>
        <v>0</v>
      </c>
      <c r="E44" s="253">
        <f>+GETPIVOTDATA("Sum of Old-Total Grad FTE",'FTE Pivot for regular counts'!$A$2,"State","FL","Category",4,"Category2","Four-Year")</f>
        <v>0</v>
      </c>
      <c r="F44" s="253">
        <f>+GETPIVOTDATA("Sum of Old-Total Grad FTE",'FTE Pivot for regular counts'!$A$2,"State","FL","Category",5,"Category2","Four-Year")</f>
        <v>0</v>
      </c>
      <c r="G44" s="254">
        <f>+GETPIVOTDATA("Sum of Old-Total Grad FTE",'FTE Pivot for regular counts'!$A$2,"State","FL","Category",6,"Category2","Four-Year")</f>
        <v>0</v>
      </c>
      <c r="H44" s="253">
        <f>+GETPIVOTDATA("Sum of Old-Total Grad FTE",'FTE Pivot for regular counts'!$A$2,"State","FL","Category2","Four-Year")</f>
        <v>0</v>
      </c>
    </row>
    <row r="45" spans="1:14" ht="15" customHeight="1">
      <c r="B45" s="253"/>
      <c r="C45" s="253"/>
      <c r="D45" s="253"/>
      <c r="E45" s="253"/>
      <c r="F45" s="253"/>
      <c r="G45" s="254"/>
      <c r="H45" s="253"/>
    </row>
    <row r="46" spans="1:14" ht="15" customHeight="1">
      <c r="A46" s="15" t="s">
        <v>781</v>
      </c>
      <c r="B46" s="253">
        <f>+GETPIVOTDATA("Sum of Old-Total Grad FTE",'FTE Pivot for regular counts'!$A$2,"State","GA","Category",1,"Category2","Four-Year")</f>
        <v>20743.95416666667</v>
      </c>
      <c r="C46" s="253">
        <f>+GETPIVOTDATA("Sum of Old-Total Grad FTE",'FTE Pivot for regular counts'!$A$2,"State","GA","Category",2,"Category2","Four-Year")</f>
        <v>13867.8125</v>
      </c>
      <c r="D46" s="253">
        <f>+GETPIVOTDATA("Sum of Old-Total Grad FTE",'FTE Pivot for regular counts'!$A$2,"State","GA","Category",3,"Category2","Four-Year")</f>
        <v>8113.833333333333</v>
      </c>
      <c r="E46" s="253">
        <f>+GETPIVOTDATA("Sum of Old-Total Grad FTE",'FTE Pivot for regular counts'!$A$2,"State","GA","Category",4,"Category2","Four-Year")</f>
        <v>6221.2291666666679</v>
      </c>
      <c r="F46" s="253">
        <f>+GETPIVOTDATA("Sum of Old-Total Grad FTE",'FTE Pivot for regular counts'!$A$2,"State","GA","Category",5,"Category2","Four-Year")</f>
        <v>155.58333333333334</v>
      </c>
      <c r="G46" s="254">
        <f>+GETPIVOTDATA("Sum of Old-Total Grad FTE",'FTE Pivot for regular counts'!$A$2,"State","GA","Category",6,"Category2","Four-Year")</f>
        <v>151.625</v>
      </c>
      <c r="H46" s="253">
        <f>+GETPIVOTDATA("Sum of Old-Total Grad FTE",'FTE Pivot for regular counts'!$A$2,"State","GA","Category2","Four-Year")</f>
        <v>49254.037500000013</v>
      </c>
    </row>
    <row r="47" spans="1:14" ht="15" customHeight="1">
      <c r="A47" s="15" t="s">
        <v>782</v>
      </c>
      <c r="B47" s="253">
        <f>+GETPIVOTDATA("Sum of Old-Total Grad FTE",'FTE Pivot for regular counts'!$A$2,"State","KY","Category",1,"Category2","Four-Year")</f>
        <v>6693.5416666666661</v>
      </c>
      <c r="C47" s="253">
        <f>+GETPIVOTDATA("Sum of Old-Total Grad FTE",'FTE Pivot for regular counts'!$A$2,"State","KY","Category",2,"Category2","Four-Year")</f>
        <v>0</v>
      </c>
      <c r="D47" s="253">
        <f>+GETPIVOTDATA("Sum of Old-Total Grad FTE",'FTE Pivot for regular counts'!$A$2,"State","KY","Category",3,"Category2","Four-Year")</f>
        <v>6591.541666666667</v>
      </c>
      <c r="E47" s="253">
        <f>+GETPIVOTDATA("Sum of Old-Total Grad FTE",'FTE Pivot for regular counts'!$A$2,"State","KY","Category",4,"Category2","Four-Year")</f>
        <v>78.166666666666671</v>
      </c>
      <c r="F47" s="253">
        <f>+GETPIVOTDATA("Sum of Old-Total Grad FTE",'FTE Pivot for regular counts'!$A$2,"State","KY","Category",5,"Category2","Four-Year")</f>
        <v>0</v>
      </c>
      <c r="G47" s="254">
        <f>+GETPIVOTDATA("Sum of Old-Total Grad FTE",'FTE Pivot for regular counts'!$A$2,"State","KY","Category",6,"Category2","Four-Year")</f>
        <v>0</v>
      </c>
      <c r="H47" s="253">
        <f>+GETPIVOTDATA("Sum of Old-Total Grad FTE",'FTE Pivot for regular counts'!$A$2,"State","KY","Category2","Four-Year")</f>
        <v>13363.249999999998</v>
      </c>
    </row>
    <row r="48" spans="1:14" ht="15" customHeight="1">
      <c r="A48" s="15" t="s">
        <v>783</v>
      </c>
      <c r="B48" s="253">
        <f>+GETPIVOTDATA("Sum of Old-Total Grad FTE",'FTE Pivot for regular counts'!$A$2,"State","LA","Category",1,"Category2","Four-Year")</f>
        <v>5736.229166666667</v>
      </c>
      <c r="C48" s="253">
        <f>+GETPIVOTDATA("Sum of Old-Total Grad FTE",'FTE Pivot for regular counts'!$A$2,"State","LA","Category",2,"Category2","Four-Year")</f>
        <v>3271.7916666666665</v>
      </c>
      <c r="D48" s="253">
        <f>+GETPIVOTDATA("Sum of Old-Total Grad FTE",'FTE Pivot for regular counts'!$A$2,"State","LA","Category",3,"Category2","Four-Year")</f>
        <v>3204.666666666667</v>
      </c>
      <c r="E48" s="253">
        <f>+GETPIVOTDATA("Sum of Old-Total Grad FTE",'FTE Pivot for regular counts'!$A$2,"State","LA","Category",4,"Category2","Four-Year")</f>
        <v>4777.9166666666661</v>
      </c>
      <c r="F48" s="253">
        <f>+GETPIVOTDATA("Sum of Old-Total Grad FTE",'FTE Pivot for regular counts'!$A$2,"State","LA","Category",5,"Category2","Four-Year")</f>
        <v>395.25</v>
      </c>
      <c r="G48" s="254">
        <f>+GETPIVOTDATA("Sum of Old-Total Grad FTE",'FTE Pivot for regular counts'!$A$2,"State","LA","Category",6,"Category2","Four-Year")</f>
        <v>0</v>
      </c>
      <c r="H48" s="253">
        <f>+GETPIVOTDATA("Sum of Old-Total Grad FTE",'FTE Pivot for regular counts'!$A$2,"State","LA","Category2","Four-Year")</f>
        <v>17385.854166666664</v>
      </c>
    </row>
    <row r="49" spans="1:10" ht="15" customHeight="1">
      <c r="A49" s="15" t="s">
        <v>784</v>
      </c>
      <c r="B49" s="253">
        <f>+GETPIVOTDATA("Sum of Old-Total Grad FTE",'FTE Pivot for regular counts'!$A$2,"State","MD","Category",1,"Category2","Four-Year")</f>
        <v>6625.625</v>
      </c>
      <c r="C49" s="253">
        <f>+GETPIVOTDATA("Sum of Old-Total Grad FTE",'FTE Pivot for regular counts'!$A$2,"State","MD","Category",2,"Category2","Four-Year")</f>
        <v>2429.5416666666665</v>
      </c>
      <c r="D49" s="253">
        <f>+GETPIVOTDATA("Sum of Old-Total Grad FTE",'FTE Pivot for regular counts'!$A$2,"State","MD","Category",3,"Category2","Four-Year")</f>
        <v>3665</v>
      </c>
      <c r="E49" s="253">
        <f>+GETPIVOTDATA("Sum of Old-Total Grad FTE",'FTE Pivot for regular counts'!$A$2,"State","MD","Category",4,"Category2","Four-Year")</f>
        <v>2365.6458333333335</v>
      </c>
      <c r="F49" s="253">
        <f>+GETPIVOTDATA("Sum of Old-Total Grad FTE",'FTE Pivot for regular counts'!$A$2,"State","MD","Category",5,"Category2","Four-Year")</f>
        <v>216.70833333333334</v>
      </c>
      <c r="G49" s="254">
        <f>+GETPIVOTDATA("Sum of Old-Total Grad FTE",'FTE Pivot for regular counts'!$A$2,"State","MD","Category",6,"Category2","Four-Year")</f>
        <v>55.541666666666664</v>
      </c>
      <c r="H49" s="253">
        <f>+GETPIVOTDATA("Sum of Old-Total Grad FTE",'FTE Pivot for regular counts'!$A$2,"State","MD","Category2","Four-Year")</f>
        <v>15358.0625</v>
      </c>
    </row>
    <row r="50" spans="1:10" ht="15" customHeight="1">
      <c r="B50" s="253"/>
      <c r="C50" s="253"/>
      <c r="D50" s="253"/>
      <c r="E50" s="253"/>
      <c r="F50" s="253"/>
      <c r="G50" s="254"/>
      <c r="H50" s="253"/>
    </row>
    <row r="51" spans="1:10" ht="15" customHeight="1">
      <c r="A51" s="15" t="s">
        <v>785</v>
      </c>
      <c r="B51" s="253">
        <f>+GETPIVOTDATA("Sum of Old-Total Grad FTE",'FTE Pivot for regular counts'!$A$2,"State","MS","Category",1,"Category2","Four-Year")</f>
        <v>7241.2083333333321</v>
      </c>
      <c r="C51" s="253">
        <f>+GETPIVOTDATA("Sum of Old-Total Grad FTE",'FTE Pivot for regular counts'!$A$2,"State","MS","Category",2,"Category2","Four-Year")</f>
        <v>1222.7708333333333</v>
      </c>
      <c r="D51" s="253">
        <f>+GETPIVOTDATA("Sum of Old-Total Grad FTE",'FTE Pivot for regular counts'!$A$2,"State","MS","Category",3,"Category2","Four-Year")</f>
        <v>0</v>
      </c>
      <c r="E51" s="253">
        <f>+GETPIVOTDATA("Sum of Old-Total Grad FTE",'FTE Pivot for regular counts'!$A$2,"State","MS","Category",4,"Category2","Four-Year")</f>
        <v>1663.7499999999998</v>
      </c>
      <c r="F51" s="253">
        <f>+GETPIVOTDATA("Sum of Old-Total Grad FTE",'FTE Pivot for regular counts'!$A$2,"State","MS","Category",5,"Category2","Four-Year")</f>
        <v>0</v>
      </c>
      <c r="G51" s="254">
        <f>+GETPIVOTDATA("Sum of Old-Total Grad FTE",'FTE Pivot for regular counts'!$A$2,"State","MS","Category",6,"Category2","Four-Year")</f>
        <v>0</v>
      </c>
      <c r="H51" s="253">
        <f>+GETPIVOTDATA("Sum of Old-Total Grad FTE",'FTE Pivot for regular counts'!$A$2,"State","MS","Category2","Four-Year")</f>
        <v>10127.729166666666</v>
      </c>
    </row>
    <row r="52" spans="1:10" ht="15" customHeight="1">
      <c r="A52" s="15" t="s">
        <v>786</v>
      </c>
      <c r="B52" s="253">
        <f>+GETPIVOTDATA("Sum of Old-Total Grad FTE",'FTE Pivot for regular counts'!$A$2,"State","NC","Category",1,"Category2","Four-Year")</f>
        <v>21836.041666666664</v>
      </c>
      <c r="C52" s="253">
        <f>+GETPIVOTDATA("Sum of Old-Total Grad FTE",'FTE Pivot for regular counts'!$A$2,"State","NC","Category",2,"Category2","Four-Year")</f>
        <v>3752.625</v>
      </c>
      <c r="D52" s="253">
        <f>+GETPIVOTDATA("Sum of Old-Total Grad FTE",'FTE Pivot for regular counts'!$A$2,"State","NC","Category",3,"Category2","Four-Year")</f>
        <v>6815.9166666666661</v>
      </c>
      <c r="E52" s="253">
        <f>+GETPIVOTDATA("Sum of Old-Total Grad FTE",'FTE Pivot for regular counts'!$A$2,"State","NC","Category",4,"Category2","Four-Year")</f>
        <v>604.08333333333337</v>
      </c>
      <c r="F52" s="253">
        <f>+GETPIVOTDATA("Sum of Old-Total Grad FTE",'FTE Pivot for regular counts'!$A$2,"State","NC","Category",5,"Category2","Four-Year")</f>
        <v>1115.7916666666665</v>
      </c>
      <c r="G52" s="254">
        <f>+GETPIVOTDATA("Sum of Old-Total Grad FTE",'FTE Pivot for regular counts'!$A$2,"State","NC","Category",6,"Category2","Four-Year")</f>
        <v>36.75</v>
      </c>
      <c r="H52" s="253">
        <f>+GETPIVOTDATA("Sum of Old-Total Grad FTE",'FTE Pivot for regular counts'!$A$2,"State","NC","Category2","Four-Year")</f>
        <v>34161.208333333328</v>
      </c>
    </row>
    <row r="53" spans="1:10" ht="15" customHeight="1">
      <c r="A53" s="15" t="s">
        <v>787</v>
      </c>
      <c r="B53" s="253">
        <f>+GETPIVOTDATA("Sum of Old-Total Grad FTE",'FTE Pivot for regular counts'!$A$2,"State","OK","Category",1,"Category2","Four-Year")</f>
        <v>8757.6666666666679</v>
      </c>
      <c r="C53" s="253">
        <f>+GETPIVOTDATA("Sum of Old-Total Grad FTE",'FTE Pivot for regular counts'!$A$2,"State","OK","Category",2,"Category2","Four-Year")</f>
        <v>0</v>
      </c>
      <c r="D53" s="253">
        <f>+GETPIVOTDATA("Sum of Old-Total Grad FTE",'FTE Pivot for regular counts'!$A$2,"State","OK","Category",3,"Category2","Four-Year")</f>
        <v>1862.375</v>
      </c>
      <c r="E53" s="253">
        <f>+GETPIVOTDATA("Sum of Old-Total Grad FTE",'FTE Pivot for regular counts'!$A$2,"State","OK","Category",4,"Category2","Four-Year")</f>
        <v>1538.0416666666667</v>
      </c>
      <c r="F53" s="253">
        <f>+GETPIVOTDATA("Sum of Old-Total Grad FTE",'FTE Pivot for regular counts'!$A$2,"State","OK","Category",5,"Category2","Four-Year")</f>
        <v>1024.125</v>
      </c>
      <c r="G53" s="254">
        <f>+GETPIVOTDATA("Sum of Old-Total Grad FTE",'FTE Pivot for regular counts'!$A$2,"State","OK","Category",6,"Category2","Four-Year")</f>
        <v>19.125</v>
      </c>
      <c r="H53" s="253">
        <f>+GETPIVOTDATA("Sum of Old-Total Grad FTE",'FTE Pivot for regular counts'!$A$2,"State","OK","Category2","Four-Year")</f>
        <v>13201.333333333334</v>
      </c>
    </row>
    <row r="54" spans="1:10" ht="15" customHeight="1">
      <c r="A54" s="15" t="s">
        <v>788</v>
      </c>
      <c r="B54" s="253">
        <f>+GETPIVOTDATA("Sum of Old-Total Grad FTE",'FTE Pivot for regular counts'!$A$2,"State","SC","Category",1,"Category2","Four-Year")</f>
        <v>11510.708333333334</v>
      </c>
      <c r="C54" s="253">
        <f>+GETPIVOTDATA("Sum of Old-Total Grad FTE",'FTE Pivot for regular counts'!$A$2,"State","SC","Category",2,"Category2","Four-Year")</f>
        <v>0</v>
      </c>
      <c r="D54" s="253">
        <f>+GETPIVOTDATA("Sum of Old-Total Grad FTE",'FTE Pivot for regular counts'!$A$2,"State","SC","Category",3,"Category2","Four-Year")</f>
        <v>1832.208333333333</v>
      </c>
      <c r="E54" s="253">
        <f>+GETPIVOTDATA("Sum of Old-Total Grad FTE",'FTE Pivot for regular counts'!$A$2,"State","SC","Category",4,"Category2","Four-Year")</f>
        <v>535.08333333333337</v>
      </c>
      <c r="F54" s="253">
        <f>+GETPIVOTDATA("Sum of Old-Total Grad FTE",'FTE Pivot for regular counts'!$A$2,"State","SC","Category",5,"Category2","Four-Year")</f>
        <v>730.5</v>
      </c>
      <c r="G54" s="254">
        <f>+GETPIVOTDATA("Sum of Old-Total Grad FTE",'FTE Pivot for regular counts'!$A$2,"State","SC","Category",6,"Category2","Four-Year")</f>
        <v>344.66666666666669</v>
      </c>
      <c r="H54" s="253">
        <f>+GETPIVOTDATA("Sum of Old-Total Grad FTE",'FTE Pivot for regular counts'!$A$2,"State","SC","Category2","Four-Year")</f>
        <v>14953.166666666668</v>
      </c>
    </row>
    <row r="55" spans="1:10" ht="15" customHeight="1">
      <c r="B55" s="253"/>
      <c r="C55" s="253"/>
      <c r="D55" s="253"/>
      <c r="E55" s="253"/>
      <c r="F55" s="253"/>
      <c r="G55" s="254"/>
      <c r="H55" s="253"/>
    </row>
    <row r="56" spans="1:10" ht="15" customHeight="1">
      <c r="A56" s="15" t="s">
        <v>789</v>
      </c>
      <c r="B56" s="253">
        <f>+GETPIVOTDATA("Sum of Old-Total Grad FTE",'FTE Pivot for regular counts'!$A$2,"State","TN","Category",1,"Category2","Four-Year")</f>
        <v>7616.2083333333339</v>
      </c>
      <c r="C56" s="253">
        <f>+GETPIVOTDATA("Sum of Old-Total Grad FTE",'FTE Pivot for regular counts'!$A$2,"State","TN","Category",2,"Category2","Four-Year")</f>
        <v>4885.208333333333</v>
      </c>
      <c r="D56" s="253">
        <f>+GETPIVOTDATA("Sum of Old-Total Grad FTE",'FTE Pivot for regular counts'!$A$2,"State","TN","Category",3,"Category2","Four-Year")</f>
        <v>2687.5</v>
      </c>
      <c r="E56" s="253">
        <f>+GETPIVOTDATA("Sum of Old-Total Grad FTE",'FTE Pivot for regular counts'!$A$2,"State","TN","Category",4,"Category2","Four-Year")</f>
        <v>0</v>
      </c>
      <c r="F56" s="253">
        <f>+GETPIVOTDATA("Sum of Old-Total Grad FTE",'FTE Pivot for regular counts'!$A$2,"State","TN","Category",5,"Category2","Four-Year")</f>
        <v>236.91666666666666</v>
      </c>
      <c r="G56" s="254">
        <f>+GETPIVOTDATA("Sum of Old-Total Grad FTE",'FTE Pivot for regular counts'!$A$2,"State","TN","Category",6,"Category2","Four-Year")</f>
        <v>0</v>
      </c>
      <c r="H56" s="253">
        <f>+GETPIVOTDATA("Sum of Old-Total Grad FTE",'FTE Pivot for regular counts'!$A$2,"State","TN","Category2","Four-Year")</f>
        <v>15425.833333333334</v>
      </c>
    </row>
    <row r="57" spans="1:10" ht="15" customHeight="1">
      <c r="A57" s="15" t="s">
        <v>790</v>
      </c>
      <c r="B57" s="253">
        <f>+GETPIVOTDATA("Sum of Old-Total Grad FTE",'FTE Pivot for regular counts'!$A$2,"State","TX","Category",1,"Category2","Four-Year")</f>
        <v>54063.249999999993</v>
      </c>
      <c r="C57" s="253">
        <f>+GETPIVOTDATA("Sum of Old-Total Grad FTE",'FTE Pivot for regular counts'!$A$2,"State","TX","Category",2,"Category2","Four-Year")</f>
        <v>9469.1666666666661</v>
      </c>
      <c r="D57" s="253">
        <f>+GETPIVOTDATA("Sum of Old-Total Grad FTE",'FTE Pivot for regular counts'!$A$2,"State","TX","Category",3,"Category2","Four-Year")</f>
        <v>28121.541666666668</v>
      </c>
      <c r="E57" s="253">
        <f>+GETPIVOTDATA("Sum of Old-Total Grad FTE",'FTE Pivot for regular counts'!$A$2,"State","TX","Category",4,"Category2","Four-Year")</f>
        <v>2502.625</v>
      </c>
      <c r="F57" s="253">
        <f>+GETPIVOTDATA("Sum of Old-Total Grad FTE",'FTE Pivot for regular counts'!$A$2,"State","TX","Category",5,"Category2","Four-Year")</f>
        <v>791.66666666666674</v>
      </c>
      <c r="G57" s="254">
        <f>+GETPIVOTDATA("Sum of Old-Total Grad FTE",'FTE Pivot for regular counts'!$A$2,"State","TX","Category",6,"Category2","Four-Year")</f>
        <v>0</v>
      </c>
      <c r="H57" s="253">
        <f>+GETPIVOTDATA("Sum of Old-Total Grad FTE",'FTE Pivot for regular counts'!$A$2,"State","TX","Category2","Four-Year")</f>
        <v>94948.25</v>
      </c>
    </row>
    <row r="58" spans="1:10" ht="15" customHeight="1">
      <c r="A58" s="15" t="s">
        <v>791</v>
      </c>
      <c r="B58" s="253">
        <f>+GETPIVOTDATA("Sum of Old-Total Grad FTE",'FTE Pivot for regular counts'!$A$2,"State","VA","Category",1,"Category2","Four-Year")</f>
        <v>29458.208333333332</v>
      </c>
      <c r="C58" s="253">
        <f>+GETPIVOTDATA("Sum of Old-Total Grad FTE",'FTE Pivot for regular counts'!$A$2,"State","VA","Category",2,"Category2","Four-Year")</f>
        <v>2554.6875</v>
      </c>
      <c r="D58" s="253">
        <f>+GETPIVOTDATA("Sum of Old-Total Grad FTE",'FTE Pivot for regular counts'!$A$2,"State","VA","Category",3,"Category2","Four-Year")</f>
        <v>3779.1416666666669</v>
      </c>
      <c r="E58" s="253">
        <f>+GETPIVOTDATA("Sum of Old-Total Grad FTE",'FTE Pivot for regular counts'!$A$2,"State","VA","Category",4,"Category2","Four-Year")</f>
        <v>0</v>
      </c>
      <c r="F58" s="253">
        <f>+GETPIVOTDATA("Sum of Old-Total Grad FTE",'FTE Pivot for regular counts'!$A$2,"State","VA","Category",5,"Category2","Four-Year")</f>
        <v>125.91666666666667</v>
      </c>
      <c r="G58" s="254">
        <f>+GETPIVOTDATA("Sum of Old-Total Grad FTE",'FTE Pivot for regular counts'!$A$2,"State","VA","Category",6,"Category2","Four-Year")</f>
        <v>0</v>
      </c>
      <c r="H58" s="253">
        <f>+GETPIVOTDATA("Sum of Old-Total Grad FTE",'FTE Pivot for regular counts'!$A$2,"State","VA","Category2","Four-Year")</f>
        <v>35917.954166666663</v>
      </c>
    </row>
    <row r="59" spans="1:10" ht="15" customHeight="1">
      <c r="A59" s="234" t="s">
        <v>792</v>
      </c>
      <c r="B59" s="256">
        <f>+GETPIVOTDATA("Sum of Old-Total Grad FTE",'FTE Pivot for regular counts'!$A$2,"State","WV","Category",1,"Category2","Four-Year")</f>
        <v>3738.9583333333335</v>
      </c>
      <c r="C59" s="256">
        <f>+GETPIVOTDATA("Sum of Old-Total Grad FTE",'FTE Pivot for regular counts'!$A$2,"State","WV","Category",2,"Category2","Four-Year")</f>
        <v>0</v>
      </c>
      <c r="D59" s="256">
        <f>+GETPIVOTDATA("Sum of Old-Total Grad FTE",'FTE Pivot for regular counts'!$A$2,"State","WV","Category",3,"Category2","Four-Year")</f>
        <v>2906.4583333333335</v>
      </c>
      <c r="E59" s="256">
        <f>+GETPIVOTDATA("Sum of Old-Total Grad FTE",'FTE Pivot for regular counts'!$A$2,"State","WV","Category",4,"Category2","Four-Year")</f>
        <v>0</v>
      </c>
      <c r="F59" s="256">
        <f>+GETPIVOTDATA("Sum of Old-Total Grad FTE",'FTE Pivot for regular counts'!$A$2,"State","WV","Category",5,"Category2","Four-Year")</f>
        <v>934.66666666666663</v>
      </c>
      <c r="G59" s="257">
        <f>+GETPIVOTDATA("Sum of Old-Total Grad FTE",'FTE Pivot for regular counts'!$A$2,"State","WV","Category",6,"Category2","Four-Year")</f>
        <v>97</v>
      </c>
      <c r="H59" s="256">
        <f>+GETPIVOTDATA("Sum of Old-Total Grad FTE",'FTE Pivot for regular counts'!$A$2,"State","WV","Category2","Four-Year")</f>
        <v>7677.0833333333339</v>
      </c>
    </row>
    <row r="60" spans="1:10" ht="37.5" customHeight="1">
      <c r="A60" s="607" t="s">
        <v>963</v>
      </c>
      <c r="B60" s="612"/>
      <c r="C60" s="612"/>
      <c r="D60" s="612"/>
      <c r="E60" s="612"/>
      <c r="F60" s="612"/>
      <c r="G60" s="612"/>
      <c r="H60" s="612"/>
    </row>
    <row r="61" spans="1:10">
      <c r="A61" s="259"/>
      <c r="B61" s="246"/>
      <c r="C61" s="246"/>
      <c r="D61" s="246"/>
      <c r="E61" s="246"/>
      <c r="F61" s="246"/>
      <c r="G61" s="246"/>
      <c r="H61" s="260" t="s">
        <v>953</v>
      </c>
    </row>
    <row r="62" spans="1:10">
      <c r="A62" s="259"/>
      <c r="B62" s="246"/>
      <c r="C62" s="246"/>
      <c r="D62" s="246"/>
      <c r="E62" s="246"/>
      <c r="F62" s="246"/>
      <c r="G62" s="246"/>
      <c r="H62" s="260"/>
    </row>
    <row r="63" spans="1:10" ht="18">
      <c r="A63" s="184" t="s">
        <v>795</v>
      </c>
      <c r="B63" s="184"/>
      <c r="C63" s="184"/>
      <c r="D63" s="184"/>
      <c r="E63" s="184"/>
      <c r="F63" s="184"/>
      <c r="G63" s="184"/>
      <c r="H63" s="184"/>
      <c r="J63" s="129"/>
    </row>
    <row r="64" spans="1:10" ht="15.5">
      <c r="A64" s="261"/>
      <c r="B64" s="190"/>
      <c r="C64" s="190"/>
      <c r="D64" s="190"/>
      <c r="E64" s="190"/>
      <c r="F64" s="190"/>
      <c r="G64" s="190"/>
      <c r="H64" s="190"/>
    </row>
    <row r="65" spans="1:8" ht="15.5">
      <c r="A65" s="190" t="s">
        <v>796</v>
      </c>
      <c r="B65" s="190"/>
      <c r="C65" s="190"/>
      <c r="D65" s="190"/>
      <c r="E65" s="190"/>
      <c r="F65" s="190"/>
      <c r="G65" s="190"/>
      <c r="H65" s="190"/>
    </row>
    <row r="66" spans="1:8" ht="15.5">
      <c r="A66" s="190" t="s">
        <v>910</v>
      </c>
      <c r="B66" s="190"/>
      <c r="C66" s="190"/>
      <c r="D66" s="190"/>
      <c r="E66" s="190"/>
      <c r="F66" s="190"/>
      <c r="G66" s="190"/>
      <c r="H66" s="190"/>
    </row>
    <row r="67" spans="1:8" ht="15.5">
      <c r="A67" s="190"/>
      <c r="B67" s="190"/>
      <c r="C67" s="190"/>
      <c r="D67" s="190"/>
      <c r="E67" s="190"/>
      <c r="F67" s="190"/>
      <c r="G67" s="190"/>
      <c r="H67" s="190"/>
    </row>
    <row r="68" spans="1:8" ht="15" customHeight="1">
      <c r="A68" s="193"/>
      <c r="B68" s="193" t="s">
        <v>749</v>
      </c>
      <c r="C68" s="193"/>
      <c r="D68" s="193"/>
      <c r="E68" s="193"/>
      <c r="F68" s="193"/>
      <c r="G68" s="193"/>
      <c r="H68" s="249"/>
    </row>
    <row r="69" spans="1:8" ht="15" customHeight="1">
      <c r="A69" s="250"/>
      <c r="B69" s="251">
        <v>1</v>
      </c>
      <c r="C69" s="251">
        <v>2</v>
      </c>
      <c r="D69" s="251">
        <v>3</v>
      </c>
      <c r="E69" s="251">
        <v>4</v>
      </c>
      <c r="F69" s="251">
        <v>5</v>
      </c>
      <c r="G69" s="252">
        <v>6</v>
      </c>
      <c r="H69" s="251" t="s">
        <v>761</v>
      </c>
    </row>
    <row r="70" spans="1:8" ht="15" customHeight="1">
      <c r="A70" s="15" t="s">
        <v>769</v>
      </c>
      <c r="B70" s="253">
        <f>+'OLD Tables'!B9+'OLD Tables'!B39</f>
        <v>1069761.5916666666</v>
      </c>
      <c r="C70" s="253">
        <f>+'OLD Tables'!D9+'OLD Tables'!C39</f>
        <v>248192.57083333333</v>
      </c>
      <c r="D70" s="253">
        <f>+'OLD Tables'!F9+'OLD Tables'!D39</f>
        <v>606726.05633333325</v>
      </c>
      <c r="E70" s="253">
        <f>+'OLD Tables'!H9+'OLD Tables'!E39</f>
        <v>173054.06200000001</v>
      </c>
      <c r="F70" s="253">
        <f>+'OLD Tables'!J9+'OLD Tables'!F39</f>
        <v>71266.993666666662</v>
      </c>
      <c r="G70" s="254">
        <f>+'OLD Tables'!L9+'OLD Tables'!G39</f>
        <v>73734.040333333323</v>
      </c>
      <c r="H70" s="253">
        <f>+'OLD Tables'!N9+'OLD Tables'!H39</f>
        <v>2242735.3148333333</v>
      </c>
    </row>
    <row r="71" spans="1:8" ht="15" customHeight="1">
      <c r="B71" s="253"/>
      <c r="C71" s="253"/>
      <c r="D71" s="253"/>
      <c r="E71" s="253"/>
      <c r="F71" s="253"/>
      <c r="G71" s="254"/>
      <c r="H71" s="253"/>
    </row>
    <row r="72" spans="1:8" ht="15" customHeight="1">
      <c r="A72" s="15" t="s">
        <v>777</v>
      </c>
      <c r="B72" s="253">
        <f>+'OLD Tables'!B11+'OLD Tables'!B41</f>
        <v>76890.8</v>
      </c>
      <c r="C72" s="253">
        <f>+'OLD Tables'!D11+'OLD Tables'!C41</f>
        <v>17567.258333333331</v>
      </c>
      <c r="D72" s="253">
        <f>+'OLD Tables'!F11+'OLD Tables'!D41</f>
        <v>29719.366666666669</v>
      </c>
      <c r="E72" s="253">
        <f>+'OLD Tables'!H11+'OLD Tables'!E41</f>
        <v>8874.6666666666661</v>
      </c>
      <c r="F72" s="253">
        <f>+'OLD Tables'!J11+'OLD Tables'!F41</f>
        <v>6690.0250000000005</v>
      </c>
      <c r="G72" s="254">
        <f>+'OLD Tables'!L11+'OLD Tables'!G41</f>
        <v>2281.8666666666668</v>
      </c>
      <c r="H72" s="253">
        <f>+'OLD Tables'!N11+'OLD Tables'!H41</f>
        <v>142023.98333333334</v>
      </c>
    </row>
    <row r="73" spans="1:8" ht="15" customHeight="1">
      <c r="A73" s="15" t="s">
        <v>778</v>
      </c>
      <c r="B73" s="253">
        <f>+'OLD Tables'!B12+'OLD Tables'!B42</f>
        <v>25479.483333333334</v>
      </c>
      <c r="C73" s="253">
        <f>+'OLD Tables'!D12+'OLD Tables'!C42</f>
        <v>8146.8249999999998</v>
      </c>
      <c r="D73" s="253">
        <f>+'OLD Tables'!F12+'OLD Tables'!D42</f>
        <v>31833.341666666667</v>
      </c>
      <c r="E73" s="253">
        <f>+'OLD Tables'!H12+'OLD Tables'!E42</f>
        <v>9947.9083333333347</v>
      </c>
      <c r="F73" s="253">
        <f>+'OLD Tables'!J12+'OLD Tables'!F42</f>
        <v>0</v>
      </c>
      <c r="G73" s="254">
        <f>+'OLD Tables'!L12+'OLD Tables'!G42</f>
        <v>7720.666666666667</v>
      </c>
      <c r="H73" s="253">
        <f>+'OLD Tables'!N12+'OLD Tables'!H42</f>
        <v>83128.225000000006</v>
      </c>
    </row>
    <row r="74" spans="1:8" ht="15" customHeight="1">
      <c r="A74" s="15" t="s">
        <v>779</v>
      </c>
      <c r="B74" s="253">
        <f>+'OLD Tables'!B13+'OLD Tables'!B43</f>
        <v>22854.741666666665</v>
      </c>
      <c r="C74" s="253">
        <f>+'OLD Tables'!D13+'OLD Tables'!C43</f>
        <v>0</v>
      </c>
      <c r="D74" s="253">
        <f>+'OLD Tables'!F13+'OLD Tables'!D43</f>
        <v>4476.0999999999995</v>
      </c>
      <c r="E74" s="15">
        <f>+'OLD Tables'!H13+'OLD Tables'!E43</f>
        <v>0</v>
      </c>
      <c r="F74" s="253">
        <f>+'OLD Tables'!J13+'OLD Tables'!F43</f>
        <v>0</v>
      </c>
      <c r="G74" s="254">
        <f>+'OLD Tables'!L13+'OLD Tables'!G43</f>
        <v>0</v>
      </c>
      <c r="H74" s="15">
        <f>+'OLD Tables'!N13+'OLD Tables'!H43</f>
        <v>27330.841666666664</v>
      </c>
    </row>
    <row r="75" spans="1:8" ht="15" customHeight="1">
      <c r="A75" s="15" t="s">
        <v>780</v>
      </c>
      <c r="B75" s="253">
        <f>+'OLD Tables'!B14+'OLD Tables'!B44</f>
        <v>0</v>
      </c>
      <c r="C75" s="253">
        <f>+'OLD Tables'!D14+'OLD Tables'!C44</f>
        <v>0</v>
      </c>
      <c r="D75" s="253">
        <f>+'OLD Tables'!F14+'OLD Tables'!D44</f>
        <v>0</v>
      </c>
      <c r="E75" s="253">
        <f>+'OLD Tables'!H14+'OLD Tables'!E44</f>
        <v>0</v>
      </c>
      <c r="F75" s="253">
        <f>+'OLD Tables'!J14+'OLD Tables'!F44</f>
        <v>0</v>
      </c>
      <c r="G75" s="254">
        <f>+'OLD Tables'!L14+'OLD Tables'!G44</f>
        <v>0</v>
      </c>
      <c r="H75" s="253">
        <f>+'OLD Tables'!N14+'OLD Tables'!H44</f>
        <v>0</v>
      </c>
    </row>
    <row r="76" spans="1:8" ht="15" customHeight="1">
      <c r="B76" s="253"/>
      <c r="C76" s="253"/>
      <c r="D76" s="253"/>
      <c r="E76" s="253"/>
      <c r="F76" s="253"/>
      <c r="G76" s="254"/>
      <c r="H76" s="253"/>
    </row>
    <row r="77" spans="1:8" ht="15" customHeight="1">
      <c r="A77" s="15" t="s">
        <v>781</v>
      </c>
      <c r="B77" s="253">
        <f>+'OLD Tables'!B16+'OLD Tables'!B46</f>
        <v>86158.054166666669</v>
      </c>
      <c r="C77" s="253">
        <f>+'OLD Tables'!D16+'OLD Tables'!C46</f>
        <v>28817.645833333336</v>
      </c>
      <c r="D77" s="253">
        <f>+'OLD Tables'!F16+'OLD Tables'!D46</f>
        <v>73957.108000000007</v>
      </c>
      <c r="E77" s="253">
        <f>+'OLD Tables'!H16+'OLD Tables'!E46</f>
        <v>55732.207833333334</v>
      </c>
      <c r="F77" s="253">
        <f>+'OLD Tables'!J16+'OLD Tables'!F46</f>
        <v>4071.6436666666668</v>
      </c>
      <c r="G77" s="254">
        <f>+'OLD Tables'!L16+'OLD Tables'!G46</f>
        <v>29284.386999999999</v>
      </c>
      <c r="H77" s="253">
        <f>+'OLD Tables'!N16+'OLD Tables'!H46</f>
        <v>278021.0465</v>
      </c>
    </row>
    <row r="78" spans="1:8" ht="15" customHeight="1">
      <c r="A78" s="15" t="s">
        <v>782</v>
      </c>
      <c r="B78" s="253">
        <f>+'OLD Tables'!B17+'OLD Tables'!B47</f>
        <v>39641.574999999997</v>
      </c>
      <c r="C78" s="253">
        <f>+'OLD Tables'!D17+'OLD Tables'!C47</f>
        <v>0</v>
      </c>
      <c r="D78" s="253">
        <f>+'OLD Tables'!F17+'OLD Tables'!D47</f>
        <v>55476.974999999999</v>
      </c>
      <c r="E78" s="253">
        <f>+'OLD Tables'!H17+'OLD Tables'!E47</f>
        <v>1472.1666666666667</v>
      </c>
      <c r="F78" s="253">
        <f>+'OLD Tables'!J17+'OLD Tables'!F47</f>
        <v>0</v>
      </c>
      <c r="G78" s="254">
        <f>+'OLD Tables'!L17+'OLD Tables'!G47</f>
        <v>0</v>
      </c>
      <c r="H78" s="253">
        <f>+'OLD Tables'!N17+'OLD Tables'!H47</f>
        <v>96590.716666666674</v>
      </c>
    </row>
    <row r="79" spans="1:8" ht="15" customHeight="1">
      <c r="A79" s="15" t="s">
        <v>783</v>
      </c>
      <c r="B79" s="253">
        <f>+'OLD Tables'!B18+'OLD Tables'!B48</f>
        <v>28981.295833333334</v>
      </c>
      <c r="C79" s="253">
        <f>+'OLD Tables'!D18+'OLD Tables'!C48</f>
        <v>31283.091666666667</v>
      </c>
      <c r="D79" s="253">
        <f>+'OLD Tables'!F18+'OLD Tables'!D48</f>
        <v>31770.933333333334</v>
      </c>
      <c r="E79" s="253">
        <f>+'OLD Tables'!H18+'OLD Tables'!E48</f>
        <v>23941.85</v>
      </c>
      <c r="F79" s="253">
        <f>+'OLD Tables'!J18+'OLD Tables'!F48</f>
        <v>2014.0833333333333</v>
      </c>
      <c r="G79" s="254">
        <f>+'OLD Tables'!L18+'OLD Tables'!G48</f>
        <v>2481.3333333333335</v>
      </c>
      <c r="H79" s="253">
        <f>+'OLD Tables'!N18+'OLD Tables'!H48</f>
        <v>120472.58749999999</v>
      </c>
    </row>
    <row r="80" spans="1:8" ht="15" customHeight="1">
      <c r="A80" s="15" t="s">
        <v>784</v>
      </c>
      <c r="B80" s="253">
        <f>+'OLD Tables'!B19+'OLD Tables'!B49</f>
        <v>35426.358333333337</v>
      </c>
      <c r="C80" s="253">
        <f>+'OLD Tables'!D19+'OLD Tables'!C49</f>
        <v>19519.674999999999</v>
      </c>
      <c r="D80" s="253">
        <f>+'OLD Tables'!F19+'OLD Tables'!D49</f>
        <v>23983.783333333333</v>
      </c>
      <c r="E80" s="253">
        <f>+'OLD Tables'!H19+'OLD Tables'!E49</f>
        <v>21683.279166666664</v>
      </c>
      <c r="F80" s="253">
        <f>+'OLD Tables'!J19+'OLD Tables'!F49</f>
        <v>2273.875</v>
      </c>
      <c r="G80" s="254">
        <f>+'OLD Tables'!L19+'OLD Tables'!G49</f>
        <v>1658.3916666666667</v>
      </c>
      <c r="H80" s="253">
        <f>+'OLD Tables'!N19+'OLD Tables'!H49</f>
        <v>104545.3625</v>
      </c>
    </row>
    <row r="81" spans="1:13" ht="15" customHeight="1">
      <c r="B81" s="253"/>
      <c r="C81" s="253"/>
      <c r="D81" s="253"/>
      <c r="E81" s="253"/>
      <c r="F81" s="253"/>
      <c r="G81" s="254"/>
      <c r="H81" s="253"/>
    </row>
    <row r="82" spans="1:13" ht="15" customHeight="1">
      <c r="A82" s="15" t="s">
        <v>785</v>
      </c>
      <c r="B82" s="253">
        <f>+'OLD Tables'!B21+'OLD Tables'!B51</f>
        <v>54222.108333333323</v>
      </c>
      <c r="C82" s="253">
        <f>+'OLD Tables'!D21+'OLD Tables'!C51</f>
        <v>6264.2041666666664</v>
      </c>
      <c r="D82" s="253">
        <f>+'OLD Tables'!F21+'OLD Tables'!D51</f>
        <v>0</v>
      </c>
      <c r="E82" s="253">
        <f>+'OLD Tables'!H21+'OLD Tables'!E51</f>
        <v>11301.883333333335</v>
      </c>
      <c r="F82" s="253">
        <f>+'OLD Tables'!J21+'OLD Tables'!F51</f>
        <v>0</v>
      </c>
      <c r="G82" s="254">
        <f>+'OLD Tables'!L21+'OLD Tables'!G51</f>
        <v>0</v>
      </c>
      <c r="H82" s="253">
        <f>+'OLD Tables'!N21+'OLD Tables'!H51</f>
        <v>71788.195833333331</v>
      </c>
    </row>
    <row r="83" spans="1:13" ht="15" customHeight="1">
      <c r="A83" s="15" t="s">
        <v>786</v>
      </c>
      <c r="B83" s="253">
        <f>+'OLD Tables'!B22+'OLD Tables'!B52</f>
        <v>101763.30833333335</v>
      </c>
      <c r="C83" s="253">
        <f>+'OLD Tables'!D22+'OLD Tables'!C52</f>
        <v>25577.958333333332</v>
      </c>
      <c r="D83" s="253">
        <f>+'OLD Tables'!F22+'OLD Tables'!D52</f>
        <v>63123.98333333333</v>
      </c>
      <c r="E83" s="253">
        <f>+'OLD Tables'!H22+'OLD Tables'!E52</f>
        <v>5453.95</v>
      </c>
      <c r="F83" s="253">
        <f>+'OLD Tables'!J22+'OLD Tables'!F52</f>
        <v>10865.391666666665</v>
      </c>
      <c r="G83" s="254">
        <f>+'OLD Tables'!L22+'OLD Tables'!G52</f>
        <v>4814.1166666666668</v>
      </c>
      <c r="H83" s="253">
        <f>+'OLD Tables'!N22+'OLD Tables'!H52</f>
        <v>211598.70833333337</v>
      </c>
    </row>
    <row r="84" spans="1:13" ht="15" customHeight="1">
      <c r="A84" s="15" t="s">
        <v>787</v>
      </c>
      <c r="B84" s="253">
        <f>+'OLD Tables'!B23+'OLD Tables'!B53</f>
        <v>48539.666666666672</v>
      </c>
      <c r="C84" s="253">
        <f>+'OLD Tables'!D23+'OLD Tables'!C53</f>
        <v>0</v>
      </c>
      <c r="D84" s="253">
        <f>+'OLD Tables'!F23+'OLD Tables'!D53</f>
        <v>18842.208333333332</v>
      </c>
      <c r="E84" s="253">
        <f>+'OLD Tables'!H23+'OLD Tables'!E53</f>
        <v>8243.3083333333325</v>
      </c>
      <c r="F84" s="253">
        <f>+'OLD Tables'!J23+'OLD Tables'!F53</f>
        <v>10368.325000000001</v>
      </c>
      <c r="G84" s="254">
        <f>+'OLD Tables'!L23+'OLD Tables'!G53</f>
        <v>4632.4249999999993</v>
      </c>
      <c r="H84" s="253">
        <f>+'OLD Tables'!N23+'OLD Tables'!H53</f>
        <v>90625.93333333332</v>
      </c>
    </row>
    <row r="85" spans="1:13" ht="15" customHeight="1">
      <c r="A85" s="15" t="s">
        <v>788</v>
      </c>
      <c r="B85" s="253">
        <f>+'OLD Tables'!B24+'OLD Tables'!B54</f>
        <v>58171.10833333333</v>
      </c>
      <c r="C85" s="253">
        <f>+'OLD Tables'!D24+'OLD Tables'!C54</f>
        <v>0</v>
      </c>
      <c r="D85" s="253">
        <f>+'OLD Tables'!F24+'OLD Tables'!D54</f>
        <v>19677.391666666666</v>
      </c>
      <c r="E85" s="253">
        <f>+'OLD Tables'!H24+'OLD Tables'!E54</f>
        <v>10280.150000000001</v>
      </c>
      <c r="F85" s="253">
        <f>+'OLD Tables'!J24+'OLD Tables'!F54</f>
        <v>6013.3666666666668</v>
      </c>
      <c r="G85" s="254">
        <f>+'OLD Tables'!L24+'OLD Tables'!G54</f>
        <v>13303.616666666667</v>
      </c>
      <c r="H85" s="253">
        <f>+'OLD Tables'!N24+'OLD Tables'!H54</f>
        <v>107445.63333333333</v>
      </c>
    </row>
    <row r="86" spans="1:13" ht="15" customHeight="1">
      <c r="B86" s="253"/>
      <c r="C86" s="253"/>
      <c r="D86" s="253"/>
      <c r="E86" s="253"/>
      <c r="F86" s="253"/>
      <c r="G86" s="254"/>
      <c r="H86" s="253"/>
    </row>
    <row r="87" spans="1:13" ht="15" customHeight="1">
      <c r="A87" s="15" t="s">
        <v>789</v>
      </c>
      <c r="B87" s="253">
        <f>+'OLD Tables'!B26+'OLD Tables'!B56</f>
        <v>42741.008333333339</v>
      </c>
      <c r="C87" s="253">
        <f>+'OLD Tables'!D26+'OLD Tables'!C56</f>
        <v>38074.14166666667</v>
      </c>
      <c r="D87" s="253">
        <f>+'OLD Tables'!F26+'OLD Tables'!D56</f>
        <v>28933</v>
      </c>
      <c r="E87" s="253">
        <f>+'OLD Tables'!H26+'OLD Tables'!E56</f>
        <v>0</v>
      </c>
      <c r="F87" s="253">
        <f>+'OLD Tables'!J26+'OLD Tables'!F56</f>
        <v>5810.25</v>
      </c>
      <c r="G87" s="254">
        <f>+'OLD Tables'!L26+'OLD Tables'!G56</f>
        <v>0</v>
      </c>
      <c r="H87" s="253">
        <f>+'OLD Tables'!N26+'OLD Tables'!H56</f>
        <v>115558.39999999999</v>
      </c>
    </row>
    <row r="88" spans="1:13" ht="15" customHeight="1">
      <c r="A88" s="15" t="s">
        <v>790</v>
      </c>
      <c r="B88" s="253">
        <f>+'OLD Tables'!B27+'OLD Tables'!B57</f>
        <v>287310.95</v>
      </c>
      <c r="C88" s="253">
        <f>+'OLD Tables'!D27+'OLD Tables'!C57</f>
        <v>64172.399999999994</v>
      </c>
      <c r="D88" s="253">
        <f>+'OLD Tables'!F27+'OLD Tables'!D57</f>
        <v>165497.60833333331</v>
      </c>
      <c r="E88" s="253">
        <f>+'OLD Tables'!H27+'OLD Tables'!E57</f>
        <v>16122.691666666666</v>
      </c>
      <c r="F88" s="253">
        <f>+'OLD Tables'!J27+'OLD Tables'!F57</f>
        <v>7477.2333333333345</v>
      </c>
      <c r="G88" s="254">
        <f>+'OLD Tables'!L27+'OLD Tables'!G57</f>
        <v>0</v>
      </c>
      <c r="H88" s="253">
        <f>+'OLD Tables'!N27+'OLD Tables'!H57</f>
        <v>540580.8833333333</v>
      </c>
    </row>
    <row r="89" spans="1:13" ht="15" customHeight="1">
      <c r="A89" s="15" t="s">
        <v>791</v>
      </c>
      <c r="B89" s="253">
        <f>+'OLD Tables'!B28+'OLD Tables'!B58</f>
        <v>137102.17500000002</v>
      </c>
      <c r="C89" s="253">
        <f>+'OLD Tables'!D28+'OLD Tables'!C58</f>
        <v>8769.3708333333343</v>
      </c>
      <c r="D89" s="253">
        <f>+'OLD Tables'!F28+'OLD Tables'!D58</f>
        <v>48041.331666666672</v>
      </c>
      <c r="E89" s="253">
        <f>+'OLD Tables'!H28+'OLD Tables'!E58</f>
        <v>0</v>
      </c>
      <c r="F89" s="253">
        <f>+'OLD Tables'!J28+'OLD Tables'!F58</f>
        <v>4847.6833333333334</v>
      </c>
      <c r="G89" s="254">
        <f>+'OLD Tables'!L28+'OLD Tables'!G58</f>
        <v>1544.5666666666666</v>
      </c>
      <c r="H89" s="253">
        <f>+'OLD Tables'!N28+'OLD Tables'!H58</f>
        <v>200305.12750000003</v>
      </c>
    </row>
    <row r="90" spans="1:13" ht="15" customHeight="1">
      <c r="A90" s="234" t="s">
        <v>792</v>
      </c>
      <c r="B90" s="256">
        <f>+'OLD Tables'!B29+'OLD Tables'!B59</f>
        <v>24478.958333333332</v>
      </c>
      <c r="C90" s="256">
        <f>+'OLD Tables'!D29+'OLD Tables'!C59</f>
        <v>0</v>
      </c>
      <c r="D90" s="256">
        <f>+'OLD Tables'!F29+'OLD Tables'!D59</f>
        <v>11392.925000000001</v>
      </c>
      <c r="E90" s="256">
        <f>+'OLD Tables'!H29+'OLD Tables'!E59</f>
        <v>0</v>
      </c>
      <c r="F90" s="256">
        <f>+'OLD Tables'!J29+'OLD Tables'!F59</f>
        <v>10835.116666666667</v>
      </c>
      <c r="G90" s="257">
        <f>+'OLD Tables'!L29+'OLD Tables'!G59</f>
        <v>6012.67</v>
      </c>
      <c r="H90" s="256">
        <f>+'OLD Tables'!N29+'OLD Tables'!H59</f>
        <v>52719.670000000006</v>
      </c>
    </row>
    <row r="91" spans="1:13" ht="51.75" customHeight="1">
      <c r="A91" s="607" t="s">
        <v>964</v>
      </c>
      <c r="B91" s="612"/>
      <c r="C91" s="612"/>
      <c r="D91" s="612"/>
      <c r="E91" s="612"/>
      <c r="F91" s="612"/>
      <c r="G91" s="612"/>
      <c r="H91" s="612"/>
    </row>
    <row r="92" spans="1:13">
      <c r="A92" s="259"/>
      <c r="B92" s="246"/>
      <c r="C92" s="246"/>
      <c r="D92" s="246"/>
      <c r="E92" s="246"/>
      <c r="F92" s="246"/>
      <c r="G92" s="246"/>
      <c r="H92" s="260" t="s">
        <v>954</v>
      </c>
    </row>
    <row r="93" spans="1:13" ht="18">
      <c r="A93" s="604" t="s">
        <v>798</v>
      </c>
      <c r="B93" s="604"/>
      <c r="C93" s="604"/>
      <c r="D93" s="604"/>
      <c r="E93" s="604"/>
      <c r="F93" s="604"/>
      <c r="G93" s="604"/>
      <c r="H93" s="604"/>
      <c r="I93" s="604"/>
      <c r="J93" s="604"/>
      <c r="K93" s="268"/>
      <c r="L93" s="268"/>
      <c r="M93" s="268"/>
    </row>
    <row r="94" spans="1:13" ht="15.5">
      <c r="A94" s="188"/>
      <c r="B94" s="188"/>
      <c r="C94" s="188"/>
      <c r="D94" s="188"/>
      <c r="E94" s="188"/>
      <c r="F94" s="188"/>
      <c r="G94" s="188"/>
      <c r="H94" s="188"/>
      <c r="I94" s="188"/>
      <c r="J94" s="188"/>
      <c r="K94" s="188"/>
      <c r="L94" s="188"/>
      <c r="M94" s="188"/>
    </row>
    <row r="95" spans="1:13" ht="15.5">
      <c r="A95" s="605" t="s">
        <v>799</v>
      </c>
      <c r="B95" s="605"/>
      <c r="C95" s="605"/>
      <c r="D95" s="605"/>
      <c r="E95" s="605"/>
      <c r="F95" s="605"/>
      <c r="G95" s="605"/>
      <c r="H95" s="605"/>
      <c r="I95" s="605"/>
      <c r="J95" s="605"/>
      <c r="K95" s="269"/>
      <c r="L95" s="269"/>
      <c r="M95" s="269"/>
    </row>
    <row r="96" spans="1:13" ht="15.5">
      <c r="A96" s="605" t="s">
        <v>911</v>
      </c>
      <c r="B96" s="605"/>
      <c r="C96" s="605"/>
      <c r="D96" s="605"/>
      <c r="E96" s="605"/>
      <c r="F96" s="605"/>
      <c r="G96" s="605"/>
      <c r="H96" s="605"/>
      <c r="I96" s="605"/>
      <c r="J96" s="605"/>
      <c r="K96" s="269"/>
      <c r="L96" s="269"/>
      <c r="M96" s="269"/>
    </row>
    <row r="98" spans="1:13" ht="15" customHeight="1">
      <c r="A98" s="272"/>
      <c r="B98" s="273" t="s">
        <v>801</v>
      </c>
      <c r="C98" s="273"/>
      <c r="D98" s="194"/>
      <c r="E98" s="194"/>
      <c r="F98" s="274"/>
      <c r="G98" s="275" t="s">
        <v>802</v>
      </c>
      <c r="H98" s="195"/>
      <c r="I98" s="276"/>
      <c r="J98" s="187" t="s">
        <v>803</v>
      </c>
      <c r="K98" s="187" t="s">
        <v>803</v>
      </c>
      <c r="L98" s="129"/>
      <c r="M98" s="187"/>
    </row>
    <row r="99" spans="1:13" ht="23.5">
      <c r="A99" s="197"/>
      <c r="B99" s="280" t="s">
        <v>804</v>
      </c>
      <c r="C99" s="251">
        <v>1</v>
      </c>
      <c r="D99" s="251">
        <v>2</v>
      </c>
      <c r="E99" s="251">
        <v>3</v>
      </c>
      <c r="F99" s="281" t="s">
        <v>761</v>
      </c>
      <c r="G99" s="282">
        <v>1</v>
      </c>
      <c r="H99" s="283">
        <v>2</v>
      </c>
      <c r="I99" s="251" t="s">
        <v>761</v>
      </c>
      <c r="J99" s="284"/>
      <c r="K99" s="284"/>
      <c r="L99" s="284"/>
      <c r="M99" s="284"/>
    </row>
    <row r="100" spans="1:13" ht="15" customHeight="1">
      <c r="A100" s="15" t="s">
        <v>769</v>
      </c>
      <c r="B100" s="227">
        <f>+GETPIVOTDATA("Sum of Old-Total Undg SCH FTE",'FTE Pivot for regular counts'!$A$2,"Category","7","Category2","Two-Year")</f>
        <v>319562.60800000001</v>
      </c>
      <c r="C100" s="227">
        <f>+GETPIVOTDATA("Sum of Old-Total Undg SCH FTE",'FTE Pivot for regular counts'!$A$2,"Category","8","Category2","Two-Year")</f>
        <v>720534.36</v>
      </c>
      <c r="D100" s="227">
        <f>+GETPIVOTDATA("Sum of Old-Total Undg SCH FTE",'FTE Pivot for regular counts'!$A$2,"Category",9,"Category2","Two-Year")</f>
        <v>341801.60000000003</v>
      </c>
      <c r="E100" s="227">
        <f>+GETPIVOTDATA("Sum of Old-Total Undg SCH FTE",'FTE Pivot for regular counts'!$A$2,"Category","10","Category2","Two-Year")</f>
        <v>143164.247</v>
      </c>
      <c r="F100" s="285">
        <f>+GETPIVOTDATA("Sum of Old-Total Undg SCH FTE",'FTE Pivot for regular counts'!$A$2,"Category2","Two-Year")</f>
        <v>1525062.8149999999</v>
      </c>
      <c r="G100" s="286">
        <f>+GETPIVOTDATA("Sum of Old-Total Undg SCH FTE",'FTE Pivot for regular counts'!$A$2,"Category","12","Category2","Technical")</f>
        <v>80106.146666666682</v>
      </c>
      <c r="H100" s="227">
        <f>+GETPIVOTDATA("Sum of Old-Total Undg SCH FTE",'FTE Pivot for regular counts'!$A$2,"Category","13","Category2","Technical")</f>
        <v>2142.6</v>
      </c>
      <c r="I100" s="15">
        <f>+GETPIVOTDATA("Sum of Old-Total Undg SCH FTE",'FTE Pivot for regular counts'!$A$2,"Category2","Technical")</f>
        <v>82248.746666666673</v>
      </c>
    </row>
    <row r="101" spans="1:13" ht="15" customHeight="1">
      <c r="B101" s="227"/>
      <c r="C101" s="227"/>
      <c r="D101" s="227"/>
      <c r="E101" s="227"/>
      <c r="F101" s="285"/>
      <c r="G101" s="286"/>
      <c r="H101" s="227"/>
    </row>
    <row r="102" spans="1:13" ht="15" customHeight="1">
      <c r="A102" s="15" t="s">
        <v>777</v>
      </c>
      <c r="B102" s="227">
        <f>+GETPIVOTDATA("Sum of Old-Total Undg SCH FTE",'FTE Pivot for regular counts'!$A$2,"State","AL","Category","7","Category2","Two-Year")</f>
        <v>0</v>
      </c>
      <c r="C102" s="227">
        <f>+GETPIVOTDATA("Sum of Old-Total Undg SCH FTE",'FTE Pivot for regular counts'!$A$2,"State","AL","Category","8","Category2","Two-Year")</f>
        <v>12225.266666666666</v>
      </c>
      <c r="D102" s="227">
        <f>+GETPIVOTDATA("Sum of Old-Total Undg SCH FTE",'FTE Pivot for regular counts'!$A$2,"State","AL","Category",9,"Category2","Two-Year")</f>
        <v>33894.866666666669</v>
      </c>
      <c r="E102" s="227">
        <f>+GETPIVOTDATA("Sum of Old-Total Undg SCH FTE",'FTE Pivot for regular counts'!$A$2,"State","AL","Category","10","Category2","Two-Year")</f>
        <v>10505.366666666669</v>
      </c>
      <c r="F102" s="285">
        <f>+GETPIVOTDATA("Sum of Old-Total Undg SCH FTE",'FTE Pivot for regular counts'!$A$2,"State","AL","Category2","Two-Year")</f>
        <v>56625.5</v>
      </c>
      <c r="G102" s="286">
        <f>+GETPIVOTDATA("Sum of Old-Total Undg SCH FTE",'FTE Pivot for regular counts'!$A$2,"State","AL","Category","12","Category2","Technical")</f>
        <v>1398.3666666666666</v>
      </c>
      <c r="H102" s="227">
        <f>+GETPIVOTDATA("Sum of Old-Total Undg SCH FTE",'FTE Pivot for regular counts'!$A$2,"State","AL","Category","13","Category2","Technical")</f>
        <v>1365.3666666666666</v>
      </c>
      <c r="I102" s="15">
        <f>+GETPIVOTDATA("Sum of Old-Total Undg SCH FTE",'FTE Pivot for regular counts'!$A$2,"State","AL","Category2","Technical")</f>
        <v>2763.7333333333331</v>
      </c>
    </row>
    <row r="103" spans="1:13" ht="15" customHeight="1">
      <c r="A103" s="15" t="s">
        <v>778</v>
      </c>
      <c r="B103" s="227">
        <f>+GETPIVOTDATA("Sum of Old-Total Undg SCH FTE",'FTE Pivot for regular counts'!$A$2,"State","AR","Category","7","Category2","Two-Year")</f>
        <v>0</v>
      </c>
      <c r="C103" s="227">
        <f>+GETPIVOTDATA("Sum of Old-Total Undg SCH FTE",'FTE Pivot for regular counts'!$A$2,"State","AR","Category","8","Category2","Two-Year")</f>
        <v>4989.5</v>
      </c>
      <c r="D103" s="227">
        <f>+GETPIVOTDATA("Sum of Old-Total Undg SCH FTE",'FTE Pivot for regular counts'!$A$2,"State","AR","Category",9,"Category2","Two-Year")</f>
        <v>6201.333333333333</v>
      </c>
      <c r="E103" s="227">
        <f>+GETPIVOTDATA("Sum of Old-Total Undg SCH FTE",'FTE Pivot for regular counts'!$A$2,"State","AR","Category","10","Category2","Two-Year")</f>
        <v>19801.2</v>
      </c>
      <c r="F103" s="285">
        <f>+GETPIVOTDATA("Sum of Old-Total Undg SCH FTE",'FTE Pivot for regular counts'!$A$2,"State","AR","Category2","Two-Year")</f>
        <v>30992.033333333333</v>
      </c>
      <c r="G103" s="286">
        <f>+GETPIVOTDATA("Sum of Old-Total Undg SCH FTE",'FTE Pivot for regular counts'!$A$2,"State","AR","Category","12","Category2","Technical")</f>
        <v>0</v>
      </c>
      <c r="H103" s="227">
        <f>+GETPIVOTDATA("Sum of Old-Total Undg SCH FTE",'FTE Pivot for regular counts'!$A$2,"State","AR","Category","13","Category2","Technical")</f>
        <v>0</v>
      </c>
      <c r="I103" s="15">
        <f>+GETPIVOTDATA("Sum of Old-Total Undg SCH FTE",'FTE Pivot for regular counts'!$A$2,"State","AR","Category2","Technical")</f>
        <v>0</v>
      </c>
    </row>
    <row r="104" spans="1:13" ht="15" customHeight="1">
      <c r="A104" s="15" t="s">
        <v>779</v>
      </c>
      <c r="B104" s="227">
        <f>+GETPIVOTDATA("Sum of Old-Total Undg SCH FTE",'FTE Pivot for regular counts'!$A$2,"State","DE","Category","7","Category2","Two-Year")</f>
        <v>0</v>
      </c>
      <c r="C104" s="227">
        <f>+GETPIVOTDATA("Sum of Old-Total Undg SCH FTE",'FTE Pivot for regular counts'!$A$2,"State","DE","Category","8","Category2","Two-Year")</f>
        <v>0</v>
      </c>
      <c r="D104" s="227">
        <f>+GETPIVOTDATA("Sum of Old-Total Undg SCH FTE",'FTE Pivot for regular counts'!$A$2,"State","DE","Category",9,"Category2","Two-Year")</f>
        <v>9012.6333333333332</v>
      </c>
      <c r="E104" s="227">
        <f>+GETPIVOTDATA("Sum of Old-Total Undg SCH FTE",'FTE Pivot for regular counts'!$A$2,"State","DE","Category","10","Category2","Two-Year")</f>
        <v>0</v>
      </c>
      <c r="F104" s="285">
        <f>+GETPIVOTDATA("Sum of Old-Total Undg SCH FTE",'FTE Pivot for regular counts'!$A$2,"State","DE","Category2","Two-Year")</f>
        <v>9012.6333333333332</v>
      </c>
      <c r="G104" s="286">
        <f>+GETPIVOTDATA("Sum of Old-Total Undg SCH FTE",'FTE Pivot for regular counts'!$A$2,"State","DE","Category","12","Category2","Technical")</f>
        <v>0</v>
      </c>
      <c r="H104" s="227">
        <f>+GETPIVOTDATA("Sum of Old-Total Undg SCH FTE",'FTE Pivot for regular counts'!$A$2,"State","DE","Category","13","Category2","Technical")</f>
        <v>0</v>
      </c>
      <c r="I104" s="15">
        <f>+GETPIVOTDATA("Sum of Old-Total Undg SCH FTE",'FTE Pivot for regular counts'!$A$2,"State","DE","Category2","Technical")</f>
        <v>0</v>
      </c>
    </row>
    <row r="105" spans="1:13" ht="15" customHeight="1">
      <c r="A105" s="15" t="s">
        <v>780</v>
      </c>
      <c r="B105" s="227">
        <f>+GETPIVOTDATA("Sum of Old-Total Undg SCH FTE",'FTE Pivot for regular counts'!$A$2,"State","FL","Category","7","Category2","Two-Year")</f>
        <v>272736.90000000002</v>
      </c>
      <c r="C105" s="227">
        <f>+GETPIVOTDATA("Sum of Old-Total Undg SCH FTE",'FTE Pivot for regular counts'!$A$2,"State","FL","Category","8","Category2","Two-Year")</f>
        <v>28174.533333333333</v>
      </c>
      <c r="D105" s="227">
        <f>+GETPIVOTDATA("Sum of Old-Total Undg SCH FTE",'FTE Pivot for regular counts'!$A$2,"State","FL","Category",9,"Category2","Two-Year")</f>
        <v>0</v>
      </c>
      <c r="E105" s="227">
        <f>+GETPIVOTDATA("Sum of Old-Total Undg SCH FTE",'FTE Pivot for regular counts'!$A$2,"State","FL","Category","10","Category2","Two-Year")</f>
        <v>1411.2666666666667</v>
      </c>
      <c r="F105" s="285">
        <f>+GETPIVOTDATA("Sum of Old-Total Undg SCH FTE",'FTE Pivot for regular counts'!$A$2,"State","FL","Category2","Two-Year")</f>
        <v>302322.7</v>
      </c>
      <c r="G105" s="286">
        <f>+GETPIVOTDATA("Sum of Old-Total Undg SCH FTE",'FTE Pivot for regular counts'!$A$2,"State","FL","Category","12","Category2","Technical")</f>
        <v>0</v>
      </c>
      <c r="H105" s="227">
        <f>+GETPIVOTDATA("Sum of Old-Total Undg SCH FTE",'FTE Pivot for regular counts'!$A$2,"State","FL","Category","13","Category2","Technical")</f>
        <v>0</v>
      </c>
      <c r="I105" s="15">
        <f>+GETPIVOTDATA("Sum of Old-Total Undg SCH FTE",'FTE Pivot for regular counts'!$A$2,"State","FL","Category2","Technical")</f>
        <v>0</v>
      </c>
    </row>
    <row r="106" spans="1:13" ht="15" customHeight="1">
      <c r="B106" s="227"/>
      <c r="C106" s="227"/>
      <c r="D106" s="227"/>
      <c r="E106" s="227"/>
      <c r="F106" s="285"/>
      <c r="G106" s="286"/>
      <c r="H106" s="227"/>
    </row>
    <row r="107" spans="1:13" ht="15" customHeight="1">
      <c r="A107" s="15" t="s">
        <v>781</v>
      </c>
      <c r="B107" s="227">
        <f>+GETPIVOTDATA("Sum of Old-Total Undg SCH FTE",'FTE Pivot for regular counts'!$A$2,"State","GA","Category","7","Category2","Two-Year")</f>
        <v>10558.674666666666</v>
      </c>
      <c r="C107" s="227">
        <f>+GETPIVOTDATA("Sum of Old-Total Undg SCH FTE",'FTE Pivot for regular counts'!$A$2,"State","GA","Category","8","Category2","Two-Year")</f>
        <v>0</v>
      </c>
      <c r="D107" s="227">
        <f>+GETPIVOTDATA("Sum of Old-Total Undg SCH FTE",'FTE Pivot for regular counts'!$A$2,"State","GA","Category",9,"Category2","Two-Year")</f>
        <v>0</v>
      </c>
      <c r="E107" s="227">
        <f>+GETPIVOTDATA("Sum of Old-Total Undg SCH FTE",'FTE Pivot for regular counts'!$A$2,"State","GA","Category","10","Category2","Two-Year")</f>
        <v>671.46033333333332</v>
      </c>
      <c r="F107" s="285">
        <f>+GETPIVOTDATA("Sum of Old-Total Undg SCH FTE",'FTE Pivot for regular counts'!$A$2,"State","GA","Category2","Two-Year")</f>
        <v>11230.134999999998</v>
      </c>
      <c r="G107" s="286">
        <f>+GETPIVOTDATA("Sum of Old-Total Undg SCH FTE",'FTE Pivot for regular counts'!$A$2,"State","GA","Category","12","Category2","Technical")</f>
        <v>66137.013333333336</v>
      </c>
      <c r="H107" s="227">
        <f>+GETPIVOTDATA("Sum of Old-Total Undg SCH FTE",'FTE Pivot for regular counts'!$A$2,"State","GA","Category","13","Category2","Technical")</f>
        <v>0</v>
      </c>
      <c r="I107" s="15">
        <f>+GETPIVOTDATA("Sum of Old-Total Undg SCH FTE",'FTE Pivot for regular counts'!$A$2,"State","GA","Category2","Technical")</f>
        <v>66137.013333333336</v>
      </c>
    </row>
    <row r="108" spans="1:13" ht="15" customHeight="1">
      <c r="A108" s="15" t="s">
        <v>782</v>
      </c>
      <c r="B108" s="227">
        <f>+GETPIVOTDATA("Sum of Old-Total Undg SCH FTE",'FTE Pivot for regular counts'!$A$2,"State","KY","Category","7","Category2","Two-Year")</f>
        <v>0</v>
      </c>
      <c r="C108" s="227">
        <f>+GETPIVOTDATA("Sum of Old-Total Undg SCH FTE",'FTE Pivot for regular counts'!$A$2,"State","KY","Category","8","Category2","Two-Year")</f>
        <v>12671.366666666667</v>
      </c>
      <c r="D108" s="227">
        <f>+GETPIVOTDATA("Sum of Old-Total Undg SCH FTE",'FTE Pivot for regular counts'!$A$2,"State","KY","Category",9,"Category2","Two-Year")</f>
        <v>17183.100000000002</v>
      </c>
      <c r="E108" s="227">
        <f>+GETPIVOTDATA("Sum of Old-Total Undg SCH FTE",'FTE Pivot for regular counts'!$A$2,"State","KY","Category","10","Category2","Two-Year")</f>
        <v>9658.2000000000007</v>
      </c>
      <c r="F108" s="285">
        <f>+GETPIVOTDATA("Sum of Old-Total Undg SCH FTE",'FTE Pivot for regular counts'!$A$2,"State","KY","Category2","Two-Year")</f>
        <v>39512.666666666672</v>
      </c>
      <c r="G108" s="286">
        <f>+GETPIVOTDATA("Sum of Old-Total Undg SCH FTE",'FTE Pivot for regular counts'!$A$2,"State","KY","Category","12","Category2","Technical")</f>
        <v>4998.6666666666661</v>
      </c>
      <c r="H108" s="227">
        <f>+GETPIVOTDATA("Sum of Old-Total Undg SCH FTE",'FTE Pivot for regular counts'!$A$2,"State","KY","Category","13","Category2","Technical")</f>
        <v>0</v>
      </c>
      <c r="I108" s="15">
        <f>+GETPIVOTDATA("Sum of Old-Total Undg SCH FTE",'FTE Pivot for regular counts'!$A$2,"State","KY","Category2","Technical")</f>
        <v>4998.6666666666661</v>
      </c>
    </row>
    <row r="109" spans="1:13" ht="15" customHeight="1">
      <c r="A109" s="15" t="s">
        <v>783</v>
      </c>
      <c r="B109" s="227">
        <f>+GETPIVOTDATA("Sum of Old-Total Undg SCH FTE",'FTE Pivot for regular counts'!$A$2,"State","LA","Category","7","Category2","Two-Year")</f>
        <v>0</v>
      </c>
      <c r="C109" s="227">
        <f>+GETPIVOTDATA("Sum of Old-Total Undg SCH FTE",'FTE Pivot for regular counts'!$A$2,"State","LA","Category","8","Category2","Two-Year")</f>
        <v>14784.166666666666</v>
      </c>
      <c r="D109" s="227">
        <f>+GETPIVOTDATA("Sum of Old-Total Undg SCH FTE",'FTE Pivot for regular counts'!$A$2,"State","LA","Category",9,"Category2","Two-Year")</f>
        <v>13998.466666666665</v>
      </c>
      <c r="E109" s="227">
        <f>+GETPIVOTDATA("Sum of Old-Total Undg SCH FTE",'FTE Pivot for regular counts'!$A$2,"State","LA","Category","10","Category2","Two-Year")</f>
        <v>5800.0666666666666</v>
      </c>
      <c r="F109" s="285">
        <f>+GETPIVOTDATA("Sum of Old-Total Undg SCH FTE",'FTE Pivot for regular counts'!$A$2,"State","LA","Category2","Two-Year")</f>
        <v>34582.699999999997</v>
      </c>
      <c r="G109" s="286">
        <f>+GETPIVOTDATA("Sum of Old-Total Undg SCH FTE",'FTE Pivot for regular counts'!$A$2,"State","LA","Category","12","Category2","Technical")</f>
        <v>7572.1</v>
      </c>
      <c r="H109" s="227">
        <f>+GETPIVOTDATA("Sum of Old-Total Undg SCH FTE",'FTE Pivot for regular counts'!$A$2,"State","LA","Category","13","Category2","Technical")</f>
        <v>777.23333333333335</v>
      </c>
      <c r="I109" s="15">
        <f>+GETPIVOTDATA("Sum of Old-Total Undg SCH FTE",'FTE Pivot for regular counts'!$A$2,"State","LA","Category2","Technical")</f>
        <v>8349.3333333333339</v>
      </c>
    </row>
    <row r="110" spans="1:13" ht="15" customHeight="1">
      <c r="A110" s="15" t="s">
        <v>955</v>
      </c>
      <c r="B110" s="227">
        <f>+GETPIVOTDATA("Sum of Old-Total Undg SCH FTE",'FTE Pivot for regular counts'!$A$2,"State","MD","Category","7","Category2","Two-Year")</f>
        <v>0</v>
      </c>
      <c r="C110" s="227">
        <f>+GETPIVOTDATA("Sum of Old-Total Undg SCH FTE",'FTE Pivot for regular counts'!$A$2,"State","MD","Category","8","Category2","Two-Year")</f>
        <v>60140.666666666664</v>
      </c>
      <c r="D110" s="227">
        <f>+GETPIVOTDATA("Sum of Old-Total Undg SCH FTE",'FTE Pivot for regular counts'!$A$2,"State","MD","Category",9,"Category2","Two-Year")</f>
        <v>18950.896666666667</v>
      </c>
      <c r="E110" s="227">
        <f>+GETPIVOTDATA("Sum of Old-Total Undg SCH FTE",'FTE Pivot for regular counts'!$A$2,"State","MD","Category","10","Category2","Two-Year")</f>
        <v>6453.2333333333336</v>
      </c>
      <c r="F110" s="285">
        <f>+GETPIVOTDATA("Sum of Old-Total Undg SCH FTE",'FTE Pivot for regular counts'!$A$2,"State","MD","Category2","Two-Year")</f>
        <v>85544.796666666662</v>
      </c>
      <c r="G110" s="286">
        <f>+GETPIVOTDATA("Sum of Old-Total Undg SCH FTE",'FTE Pivot for regular counts'!$A$2,"State","MD","Category","12","Category2","Technical")</f>
        <v>0</v>
      </c>
      <c r="H110" s="227">
        <f>+GETPIVOTDATA("Sum of Old-Total Undg SCH FTE",'FTE Pivot for regular counts'!$A$2,"State","MD","Category","13","Category2","Technical")</f>
        <v>0</v>
      </c>
      <c r="I110" s="15">
        <f>+GETPIVOTDATA("Sum of Old-Total Undg SCH FTE",'FTE Pivot for regular counts'!$A$2,"State","MD","Category2","Technical")</f>
        <v>0</v>
      </c>
    </row>
    <row r="111" spans="1:13" ht="15" customHeight="1">
      <c r="B111" s="227"/>
      <c r="C111" s="227"/>
      <c r="D111" s="227"/>
      <c r="E111" s="227"/>
      <c r="F111" s="285"/>
      <c r="G111" s="286"/>
      <c r="H111" s="227"/>
    </row>
    <row r="112" spans="1:13" ht="15" customHeight="1">
      <c r="A112" s="15" t="s">
        <v>785</v>
      </c>
      <c r="B112" s="227">
        <f>+GETPIVOTDATA("Sum of Old-Total Undg SCH FTE",'FTE Pivot for regular counts'!$A$2,"State","MS","Category","7","Category2","Two-Year")</f>
        <v>0</v>
      </c>
      <c r="C112" s="227">
        <f>+GETPIVOTDATA("Sum of Old-Total Undg SCH FTE",'FTE Pivot for regular counts'!$A$2,"State","MS","Category","8","Category2","Two-Year")</f>
        <v>29232.833333333336</v>
      </c>
      <c r="D112" s="227">
        <f>+GETPIVOTDATA("Sum of Old-Total Undg SCH FTE",'FTE Pivot for regular counts'!$A$2,"State","MS","Category",9,"Category2","Two-Year")</f>
        <v>29847.433333333331</v>
      </c>
      <c r="E112" s="227">
        <f>+GETPIVOTDATA("Sum of Old-Total Undg SCH FTE",'FTE Pivot for regular counts'!$A$2,"State","MS","Category","10","Category2","Two-Year")</f>
        <v>3512.8999999999996</v>
      </c>
      <c r="F112" s="285">
        <f>+GETPIVOTDATA("Sum of Old-Total Undg SCH FTE",'FTE Pivot for regular counts'!$A$2,"State","MS","Category2","Two-Year")</f>
        <v>62593.166666666664</v>
      </c>
      <c r="G112" s="286">
        <f>+GETPIVOTDATA("Sum of Old-Total Undg SCH FTE",'FTE Pivot for regular counts'!$A$2,"State","MS","Category","12","Category2","Technical")</f>
        <v>0</v>
      </c>
      <c r="H112" s="227">
        <f>+GETPIVOTDATA("Sum of Old-Total Undg SCH FTE",'FTE Pivot for regular counts'!$A$2,"State","MS","Category","13","Category2","Technical")</f>
        <v>0</v>
      </c>
      <c r="I112" s="15">
        <f>+GETPIVOTDATA("Sum of Old-Total Undg SCH FTE",'FTE Pivot for regular counts'!$A$2,"State","MS","Category2","Technical")</f>
        <v>0</v>
      </c>
    </row>
    <row r="113" spans="1:13" ht="15" customHeight="1">
      <c r="A113" s="15" t="s">
        <v>786</v>
      </c>
      <c r="B113" s="227">
        <f>+GETPIVOTDATA("Sum of Old-Total Undg SCH FTE",'FTE Pivot for regular counts'!$A$2,"State","NC","Category","7","Category2","Two-Year")</f>
        <v>0</v>
      </c>
      <c r="C113" s="227">
        <f>+GETPIVOTDATA("Sum of Old-Total Undg SCH FTE",'FTE Pivot for regular counts'!$A$2,"State","NC","Category","8","Category2","Two-Year")</f>
        <v>69838.726666666669</v>
      </c>
      <c r="D113" s="227">
        <f>+GETPIVOTDATA("Sum of Old-Total Undg SCH FTE",'FTE Pivot for regular counts'!$A$2,"State","NC","Category",9,"Category2","Two-Year")</f>
        <v>54168.933333333349</v>
      </c>
      <c r="E113" s="227">
        <f>+GETPIVOTDATA("Sum of Old-Total Undg SCH FTE",'FTE Pivot for regular counts'!$A$2,"State","NC","Category","10","Category2","Two-Year")</f>
        <v>25775.533333333336</v>
      </c>
      <c r="F113" s="285">
        <f>+GETPIVOTDATA("Sum of Old-Total Undg SCH FTE",'FTE Pivot for regular counts'!$A$2,"State","NC","Category2","Two-Year")</f>
        <v>149783.19333333336</v>
      </c>
      <c r="G113" s="286">
        <f>+GETPIVOTDATA("Sum of Old-Total Undg SCH FTE",'FTE Pivot for regular counts'!$A$2,"State","NC","Category","12","Category2","Technical")</f>
        <v>0</v>
      </c>
      <c r="H113" s="227">
        <f>+GETPIVOTDATA("Sum of Old-Total Undg SCH FTE",'FTE Pivot for regular counts'!$A$2,"State","NC","Category","13","Category2","Technical")</f>
        <v>0</v>
      </c>
      <c r="I113" s="15">
        <f>+GETPIVOTDATA("Sum of Old-Total Undg SCH FTE",'FTE Pivot for regular counts'!$A$2,"State","NC","Category2","Technical")</f>
        <v>0</v>
      </c>
    </row>
    <row r="114" spans="1:13" ht="15" customHeight="1">
      <c r="A114" s="15" t="s">
        <v>787</v>
      </c>
      <c r="B114" s="227">
        <f>+GETPIVOTDATA("Sum of Old-Total Undg SCH FTE",'FTE Pivot for regular counts'!$A$2,"State","OK","Category","7","Category2","Two-Year")</f>
        <v>6620.6666666666661</v>
      </c>
      <c r="C114" s="227">
        <f>+GETPIVOTDATA("Sum of Old-Total Undg SCH FTE",'FTE Pivot for regular counts'!$A$2,"State","OK","Category","8","Category2","Two-Year")</f>
        <v>17469.266666666666</v>
      </c>
      <c r="D114" s="227">
        <f>+GETPIVOTDATA("Sum of Old-Total Undg SCH FTE",'FTE Pivot for regular counts'!$A$2,"State","OK","Category",9,"Category2","Two-Year")</f>
        <v>6882.4333333333343</v>
      </c>
      <c r="E114" s="227">
        <f>+GETPIVOTDATA("Sum of Old-Total Undg SCH FTE",'FTE Pivot for regular counts'!$A$2,"State","OK","Category","10","Category2","Two-Year")</f>
        <v>10382.800000000001</v>
      </c>
      <c r="F114" s="285">
        <f>+GETPIVOTDATA("Sum of Old-Total Undg SCH FTE",'FTE Pivot for regular counts'!$A$2,"State","OK","Category2","Two-Year")</f>
        <v>41355.166666666672</v>
      </c>
      <c r="G114" s="286">
        <f>+GETPIVOTDATA("Sum of Old-Total Undg SCH FTE",'FTE Pivot for regular counts'!$A$2,"State","OK","Category","12","Category2","Technical")</f>
        <v>0</v>
      </c>
      <c r="H114" s="227">
        <f>+GETPIVOTDATA("Sum of Old-Total Undg SCH FTE",'FTE Pivot for regular counts'!$A$2,"State","OK","Category","13","Category2","Technical")</f>
        <v>0</v>
      </c>
      <c r="I114" s="15">
        <f>+GETPIVOTDATA("Sum of Old-Total Undg SCH FTE",'FTE Pivot for regular counts'!$A$2,"State","OK","Category2","Technical")</f>
        <v>0</v>
      </c>
    </row>
    <row r="115" spans="1:13" ht="15" customHeight="1">
      <c r="A115" s="15" t="s">
        <v>788</v>
      </c>
      <c r="B115" s="227">
        <f>+GETPIVOTDATA("Sum of Old-Total Undg SCH FTE",'FTE Pivot for regular counts'!$A$2,"State","SC","Category","7","Category2","Two-Year")</f>
        <v>0</v>
      </c>
      <c r="C115" s="227">
        <f>+GETPIVOTDATA("Sum of Old-Total Undg SCH FTE",'FTE Pivot for regular counts'!$A$2,"State","SC","Category","8","Category2","Two-Year")</f>
        <v>28647.566666666666</v>
      </c>
      <c r="D115" s="227">
        <f>+GETPIVOTDATA("Sum of Old-Total Undg SCH FTE",'FTE Pivot for regular counts'!$A$2,"State","SC","Category",9,"Category2","Two-Year")</f>
        <v>20381.533333333333</v>
      </c>
      <c r="E115" s="227">
        <f>+GETPIVOTDATA("Sum of Old-Total Undg SCH FTE",'FTE Pivot for regular counts'!$A$2,"State","SC","Category","10","Category2","Two-Year")</f>
        <v>9778.3666666666668</v>
      </c>
      <c r="F115" s="285">
        <f>+GETPIVOTDATA("Sum of Old-Total Undg SCH FTE",'FTE Pivot for regular counts'!$A$2,"State","SC","Category2","Two-Year")</f>
        <v>58807.466666666667</v>
      </c>
      <c r="G115" s="286">
        <f>+GETPIVOTDATA("Sum of Old-Total Undg SCH FTE",'FTE Pivot for regular counts'!$A$2,"State","SC","Category","12","Category2","Technical")</f>
        <v>0</v>
      </c>
      <c r="H115" s="227">
        <f>+GETPIVOTDATA("Sum of Old-Total Undg SCH FTE",'FTE Pivot for regular counts'!$A$2,"State","SC","Category","13","Category2","Technical")</f>
        <v>0</v>
      </c>
      <c r="I115" s="15">
        <f>+GETPIVOTDATA("Sum of Old-Total Undg SCH FTE",'FTE Pivot for regular counts'!$A$2,"State","SC","Category2","Technical")</f>
        <v>0</v>
      </c>
    </row>
    <row r="116" spans="1:13" ht="15" customHeight="1">
      <c r="B116" s="227"/>
      <c r="C116" s="227"/>
      <c r="D116" s="227"/>
      <c r="E116" s="227"/>
      <c r="F116" s="285"/>
      <c r="G116" s="286"/>
      <c r="H116" s="227"/>
    </row>
    <row r="117" spans="1:13" ht="15" customHeight="1">
      <c r="A117" s="15" t="s">
        <v>789</v>
      </c>
      <c r="B117" s="227">
        <f>+GETPIVOTDATA("Sum of Old-Total Undg SCH FTE",'FTE Pivot for regular counts'!$A$2,"State","TN","Category","7","Category2","Two-Year")</f>
        <v>0</v>
      </c>
      <c r="C117" s="227">
        <f>+GETPIVOTDATA("Sum of Old-Total Undg SCH FTE",'FTE Pivot for regular counts'!$A$2,"State","TN","Category","8","Category2","Two-Year")</f>
        <v>30490.866666666669</v>
      </c>
      <c r="D117" s="227">
        <f>+GETPIVOTDATA("Sum of Old-Total Undg SCH FTE",'FTE Pivot for regular counts'!$A$2,"State","TN","Category",9,"Category2","Two-Year")</f>
        <v>25758.333333333336</v>
      </c>
      <c r="E117" s="227">
        <f>+GETPIVOTDATA("Sum of Old-Total Undg SCH FTE",'FTE Pivot for regular counts'!$A$2,"State","TN","Category","10","Category2","Two-Year")</f>
        <v>1717.4</v>
      </c>
      <c r="F117" s="285">
        <f>+GETPIVOTDATA("Sum of Old-Total Undg SCH FTE",'FTE Pivot for regular counts'!$A$2,"State","TN","Category2","Two-Year")</f>
        <v>57966.600000000006</v>
      </c>
      <c r="G117" s="286">
        <f>+GETPIVOTDATA("Sum of Old-Total Undg SCH FTE",'FTE Pivot for regular counts'!$A$2,"State","TN","Category","12","Category2","Technical")</f>
        <v>0</v>
      </c>
      <c r="H117" s="227">
        <f>+GETPIVOTDATA("Sum of Old-Total Undg SCH FTE",'FTE Pivot for regular counts'!$A$2,"State","TN","Category","13","Category2","Technical")</f>
        <v>0</v>
      </c>
      <c r="I117" s="15">
        <f>+GETPIVOTDATA("Sum of Old-Total Undg SCH FTE",'FTE Pivot for regular counts'!$A$2,"State","TN","Category2","Technical")</f>
        <v>0</v>
      </c>
    </row>
    <row r="118" spans="1:13" ht="15" customHeight="1">
      <c r="A118" s="15" t="s">
        <v>790</v>
      </c>
      <c r="B118" s="227">
        <f>+GETPIVOTDATA("Sum of Old-Total Undg SCH FTE",'FTE Pivot for regular counts'!$A$2,"State","TX","Category","7","Category2","Two-Year")</f>
        <v>26741.833333333336</v>
      </c>
      <c r="C118" s="227">
        <f>+GETPIVOTDATA("Sum of Old-Total Undg SCH FTE",'FTE Pivot for regular counts'!$A$2,"State","TX","Category","8","Category2","Two-Year")</f>
        <v>349676.6</v>
      </c>
      <c r="D118" s="227">
        <f>+GETPIVOTDATA("Sum of Old-Total Undg SCH FTE",'FTE Pivot for regular counts'!$A$2,"State","TX","Category",9,"Category2","Two-Year")</f>
        <v>78779.566666666666</v>
      </c>
      <c r="E118" s="227">
        <f>+GETPIVOTDATA("Sum of Old-Total Undg SCH FTE",'FTE Pivot for regular counts'!$A$2,"State","TX","Category","10","Category2","Two-Year")</f>
        <v>15965.500000000002</v>
      </c>
      <c r="F118" s="285">
        <f>+GETPIVOTDATA("Sum of Old-Total Undg SCH FTE",'FTE Pivot for regular counts'!$A$2,"State","TX","Category2","Two-Year")</f>
        <v>471163.49999999994</v>
      </c>
      <c r="G118" s="286">
        <f>+GETPIVOTDATA("Sum of Old-Total Undg SCH FTE",'FTE Pivot for regular counts'!$A$2,"State","TX","Category","12","Category2","Technical")</f>
        <v>0</v>
      </c>
      <c r="H118" s="227">
        <f>+GETPIVOTDATA("Sum of Old-Total Undg SCH FTE",'FTE Pivot for regular counts'!$A$2,"State","TX","Category","13","Category2","Technical")</f>
        <v>0</v>
      </c>
      <c r="I118" s="15">
        <f>+GETPIVOTDATA("Sum of Old-Total Undg SCH FTE",'FTE Pivot for regular counts'!$A$2,"State","TX","Category2","Technical")</f>
        <v>0</v>
      </c>
    </row>
    <row r="119" spans="1:13" ht="15" customHeight="1">
      <c r="A119" s="15" t="s">
        <v>791</v>
      </c>
      <c r="B119" s="227">
        <f>+GETPIVOTDATA("Sum of Old-Total Undg SCH FTE",'FTE Pivot for regular counts'!$A$2,"State","VA","Category","7","Category2","Two-Year")</f>
        <v>0</v>
      </c>
      <c r="C119" s="227">
        <f>+GETPIVOTDATA("Sum of Old-Total Undg SCH FTE",'FTE Pivot for regular counts'!$A$2,"State","VA","Category","8","Category2","Two-Year")</f>
        <v>62193</v>
      </c>
      <c r="D119" s="227">
        <f>+GETPIVOTDATA("Sum of Old-Total Undg SCH FTE",'FTE Pivot for regular counts'!$A$2,"State","VA","Category",9,"Category2","Two-Year")</f>
        <v>24557.933333333334</v>
      </c>
      <c r="E119" s="227">
        <f>+GETPIVOTDATA("Sum of Old-Total Undg SCH FTE",'FTE Pivot for regular counts'!$A$2,"State","VA","Category","10","Category2","Two-Year")</f>
        <v>14499.733333333334</v>
      </c>
      <c r="F119" s="285">
        <f>+GETPIVOTDATA("Sum of Old-Total Undg SCH FTE",'FTE Pivot for regular counts'!$A$2,"State","VA","Category2","Two-Year")</f>
        <v>101250.66666666667</v>
      </c>
      <c r="G119" s="286">
        <f>+GETPIVOTDATA("Sum of Old-Total Undg SCH FTE",'FTE Pivot for regular counts'!$A$2,"State","VA","Category","12","Category2","Technical")</f>
        <v>0</v>
      </c>
      <c r="H119" s="227">
        <f>+GETPIVOTDATA("Sum of Old-Total Undg SCH FTE",'FTE Pivot for regular counts'!$A$2,"State","VA","Category","13","Category2","Technical")</f>
        <v>0</v>
      </c>
      <c r="I119" s="15">
        <f>+GETPIVOTDATA("Sum of Old-Total Undg SCH FTE",'FTE Pivot for regular counts'!$A$2,"State","VA","Category2","Technical")</f>
        <v>0</v>
      </c>
    </row>
    <row r="120" spans="1:13" ht="15" customHeight="1">
      <c r="A120" s="234" t="s">
        <v>792</v>
      </c>
      <c r="B120" s="235">
        <f>+GETPIVOTDATA("Sum of Old-Total Undg SCH FTE",'FTE Pivot for regular counts'!$A$2,"State","WV","Category","7","Category2","Two-Year")</f>
        <v>2904.5333333333333</v>
      </c>
      <c r="C120" s="235">
        <f>+GETPIVOTDATA("Sum of Old-Total Undg SCH FTE",'FTE Pivot for regular counts'!$A$2,"State","WV","Category","8","Category2","Two-Year")</f>
        <v>0</v>
      </c>
      <c r="D120" s="235">
        <f>+GETPIVOTDATA("Sum of Old-Total Undg SCH FTE",'FTE Pivot for regular counts'!$A$2,"State","WV","Category",9,"Category2","Two-Year")</f>
        <v>2184.1366666666668</v>
      </c>
      <c r="E120" s="235">
        <f>+GETPIVOTDATA("Sum of Old-Total Undg SCH FTE",'FTE Pivot for regular counts'!$A$2,"State","WV","Category","10","Category2","Two-Year")</f>
        <v>7231.2200000000012</v>
      </c>
      <c r="F120" s="287">
        <f>+GETPIVOTDATA("Sum of Old-Total Undg SCH FTE",'FTE Pivot for regular counts'!$A$2,"State","WV","Category2","Two-Year")</f>
        <v>12319.890000000001</v>
      </c>
      <c r="G120" s="288">
        <f>+GETPIVOTDATA("Sum of Old-Total Undg SCH FTE",'FTE Pivot for regular counts'!$A$2,"State","WV","Category","12","Category2","Technical")</f>
        <v>0</v>
      </c>
      <c r="H120" s="235">
        <f>+GETPIVOTDATA("Sum of Old-Total Undg SCH FTE",'FTE Pivot for regular counts'!$A$2,"State","WV","Category","13","Category2","Technical")</f>
        <v>0</v>
      </c>
      <c r="I120" s="234">
        <f>+GETPIVOTDATA("Sum of Old-Total Undg SCH FTE",'FTE Pivot for regular counts'!$A$2,"State","WV","Category2","Technical")</f>
        <v>0</v>
      </c>
    </row>
    <row r="121" spans="1:13" ht="38.25" customHeight="1">
      <c r="A121" s="603" t="s">
        <v>962</v>
      </c>
      <c r="B121" s="603"/>
      <c r="C121" s="603"/>
      <c r="D121" s="603"/>
      <c r="E121" s="603"/>
      <c r="F121" s="603"/>
      <c r="G121" s="603"/>
      <c r="H121" s="603"/>
      <c r="I121" s="603"/>
      <c r="J121" s="408"/>
      <c r="K121" s="289"/>
      <c r="L121" s="289"/>
      <c r="M121" s="289"/>
    </row>
    <row r="122" spans="1:13">
      <c r="A122" s="606" t="s">
        <v>956</v>
      </c>
      <c r="B122" s="606"/>
      <c r="C122" s="606"/>
      <c r="D122" s="606"/>
      <c r="E122" s="606"/>
      <c r="F122" s="606"/>
      <c r="G122" s="606"/>
      <c r="H122" s="606"/>
      <c r="I122" s="606"/>
      <c r="J122" s="408"/>
      <c r="K122" s="289"/>
      <c r="L122" s="289"/>
      <c r="M122" s="289"/>
    </row>
    <row r="123" spans="1:13">
      <c r="J123" s="260" t="s">
        <v>953</v>
      </c>
      <c r="K123" s="260"/>
      <c r="L123" s="260"/>
      <c r="M123" s="290"/>
    </row>
    <row r="124" spans="1:13" ht="18">
      <c r="A124" s="604" t="s">
        <v>805</v>
      </c>
      <c r="B124" s="604"/>
      <c r="C124" s="604"/>
      <c r="D124" s="604"/>
      <c r="E124" s="604"/>
      <c r="F124" s="604"/>
      <c r="G124" s="604"/>
      <c r="H124" s="604"/>
      <c r="I124" s="604"/>
      <c r="J124" s="604"/>
      <c r="K124" s="268"/>
      <c r="L124" s="268"/>
      <c r="M124" s="268"/>
    </row>
    <row r="125" spans="1:13" ht="15.5">
      <c r="A125" s="291"/>
      <c r="B125" s="186"/>
      <c r="C125" s="190"/>
      <c r="D125" s="261"/>
      <c r="E125" s="186"/>
      <c r="F125" s="186"/>
      <c r="G125" s="186"/>
      <c r="H125" s="186"/>
      <c r="I125" s="186"/>
      <c r="J125" s="186"/>
      <c r="K125" s="186"/>
      <c r="L125" s="186"/>
    </row>
    <row r="126" spans="1:13" ht="15.5">
      <c r="A126" s="605" t="s">
        <v>806</v>
      </c>
      <c r="B126" s="605"/>
      <c r="C126" s="605"/>
      <c r="D126" s="605"/>
      <c r="E126" s="605"/>
      <c r="F126" s="605"/>
      <c r="G126" s="605"/>
      <c r="H126" s="605"/>
      <c r="I126" s="605"/>
      <c r="J126" s="605"/>
      <c r="K126" s="269"/>
      <c r="L126" s="269"/>
    </row>
    <row r="127" spans="1:13" ht="15.5">
      <c r="A127" s="605" t="s">
        <v>911</v>
      </c>
      <c r="B127" s="605"/>
      <c r="C127" s="605"/>
      <c r="D127" s="605"/>
      <c r="E127" s="605"/>
      <c r="F127" s="605"/>
      <c r="G127" s="605"/>
      <c r="H127" s="605"/>
      <c r="I127" s="605"/>
      <c r="J127" s="605"/>
      <c r="K127" s="269"/>
      <c r="L127" s="269"/>
    </row>
    <row r="128" spans="1:13">
      <c r="A128" s="187"/>
      <c r="B128" s="187"/>
      <c r="C128" s="187"/>
      <c r="D128" s="187"/>
      <c r="E128" s="187"/>
      <c r="F128" s="187"/>
      <c r="G128" s="187"/>
      <c r="H128" s="187"/>
      <c r="I128" s="187"/>
      <c r="J128" s="187"/>
      <c r="K128" s="187"/>
      <c r="L128" s="187"/>
    </row>
    <row r="129" spans="1:12" ht="13">
      <c r="A129" s="192"/>
      <c r="B129" s="273" t="s">
        <v>801</v>
      </c>
      <c r="C129" s="273"/>
      <c r="D129" s="194"/>
      <c r="E129" s="194"/>
      <c r="F129" s="194"/>
      <c r="G129" s="275" t="s">
        <v>802</v>
      </c>
      <c r="H129" s="195"/>
      <c r="I129" s="276"/>
      <c r="J129" s="187" t="s">
        <v>803</v>
      </c>
      <c r="K129" s="187" t="s">
        <v>803</v>
      </c>
      <c r="L129" s="187"/>
    </row>
    <row r="130" spans="1:12" ht="23.5">
      <c r="A130" s="197"/>
      <c r="B130" s="280" t="s">
        <v>804</v>
      </c>
      <c r="C130" s="251">
        <v>1</v>
      </c>
      <c r="D130" s="251">
        <v>2</v>
      </c>
      <c r="E130" s="251">
        <v>3</v>
      </c>
      <c r="F130" s="251" t="s">
        <v>761</v>
      </c>
      <c r="G130" s="282">
        <v>1</v>
      </c>
      <c r="H130" s="283">
        <v>2</v>
      </c>
      <c r="I130" s="251" t="s">
        <v>761</v>
      </c>
      <c r="J130" s="284"/>
      <c r="K130" s="284"/>
      <c r="L130" s="284"/>
    </row>
    <row r="131" spans="1:12" ht="15" customHeight="1">
      <c r="A131" s="15" t="s">
        <v>769</v>
      </c>
      <c r="B131" s="298">
        <f>+GETPIVOTDATA("Sum of Old-Total Undg CH FTE",'FTE Pivot for regular counts'!$A$2,"Category","7","Category2","Two-Year")</f>
        <v>17045.206666666665</v>
      </c>
      <c r="C131" s="298">
        <f>+GETPIVOTDATA("Sum of Old-Total Undg CH FTE",'FTE Pivot for regular counts'!$A$2,"Category","8","Category2","Two-Year")</f>
        <v>24459.68</v>
      </c>
      <c r="D131" s="298">
        <f>+GETPIVOTDATA("Sum of Old-Total Undg CH FTE",'FTE Pivot for regular counts'!$A$2,"Category",9,"Category2","Two-Year")</f>
        <v>15706.59888888889</v>
      </c>
      <c r="E131" s="298">
        <f>+GETPIVOTDATA("Sum of Old-Total Undg CH FTE",'FTE Pivot for regular counts'!$A$2,"Category","10","Category2","Two-Year")</f>
        <v>8202.9955555555571</v>
      </c>
      <c r="F131" s="299">
        <f>+GETPIVOTDATA("Sum of Old-Total Undg CH FTE",'FTE Pivot for regular counts'!$A$2,"Category2","Two-Year")</f>
        <v>65414.481111111105</v>
      </c>
      <c r="G131" s="298">
        <f>+GETPIVOTDATA("Sum of Old-Total Undg CH FTE",'FTE Pivot for regular counts'!$A$2,"Category","12","Category2","Technical")</f>
        <v>4522.6706111111107</v>
      </c>
      <c r="H131" s="298">
        <f>+GETPIVOTDATA("Sum of Old-Total Undg CH FTE",'FTE Pivot for regular counts'!$A$2,"Category","13","Category2","Technical")</f>
        <v>28190.021499999995</v>
      </c>
      <c r="I131" s="298">
        <f>+GETPIVOTDATA("Sum of Old-Total Undg CH FTE",'FTE Pivot for regular counts'!$A$2,"Category2","Technical")</f>
        <v>32712.692111111108</v>
      </c>
      <c r="J131" s="298"/>
      <c r="K131" s="298"/>
      <c r="L131" s="298"/>
    </row>
    <row r="132" spans="1:12" ht="15" customHeight="1">
      <c r="B132" s="298"/>
      <c r="C132" s="298"/>
      <c r="D132" s="298"/>
      <c r="G132" s="161"/>
    </row>
    <row r="133" spans="1:12" ht="15" customHeight="1">
      <c r="A133" s="15" t="s">
        <v>777</v>
      </c>
      <c r="B133" s="298">
        <f>+GETPIVOTDATA("Sum of Old-Total Undg CH FTE",'FTE Pivot for regular counts'!$A$2,"State","AL","Category","7","Category2","Two-Year")</f>
        <v>0</v>
      </c>
      <c r="C133" s="298">
        <f>+GETPIVOTDATA("Sum of Old-Total Undg CH FTE",'FTE Pivot for regular counts'!$A$2,"State","AL","Category","8","Category2","Two-Year")</f>
        <v>0</v>
      </c>
      <c r="D133" s="298">
        <f>+GETPIVOTDATA("Sum of Old-Total Undg CH FTE",'FTE Pivot for regular counts'!$A$2,"State","AL","Category",9,"Category2","Two-Year")</f>
        <v>0</v>
      </c>
      <c r="E133" s="298">
        <f>+GETPIVOTDATA("Sum of Old-Total Undg CH FTE",'FTE Pivot for regular counts'!$A$2,"State","AL","Category","10","Category2","Two-Year")</f>
        <v>0</v>
      </c>
      <c r="F133" s="299">
        <f>+GETPIVOTDATA("Sum of Old-Total Undg CH FTE",'FTE Pivot for regular counts'!$A$2,"State","AL","Category2","Two-Year")</f>
        <v>0</v>
      </c>
      <c r="G133" s="298">
        <f>+GETPIVOTDATA("Sum of Old-Total Undg CH FTE",'FTE Pivot for regular counts'!$A$2,"State","AL","Category","12","Category2","Technical")</f>
        <v>0</v>
      </c>
      <c r="H133" s="298">
        <f>+GETPIVOTDATA("Sum of Old-Total Undg CH FTE",'FTE Pivot for regular counts'!$A$2,"State","AL","Category","13","Category2","Technical")</f>
        <v>0</v>
      </c>
      <c r="I133" s="298">
        <f>+GETPIVOTDATA("Sum of Old-Total Undg CH FTE",'FTE Pivot for regular counts'!$A$2,"State","AL","Category2","Technical")</f>
        <v>0</v>
      </c>
      <c r="J133" s="298"/>
      <c r="K133" s="298"/>
      <c r="L133" s="298"/>
    </row>
    <row r="134" spans="1:12" ht="15" customHeight="1">
      <c r="A134" s="15" t="s">
        <v>778</v>
      </c>
      <c r="B134" s="298">
        <f>+GETPIVOTDATA("Sum of Old-Total Undg CH FTE",'FTE Pivot for regular counts'!$A$2,"State","AR","Category","7","Category2","Two-Year")</f>
        <v>0</v>
      </c>
      <c r="C134" s="298">
        <f>+GETPIVOTDATA("Sum of Old-Total Undg CH FTE",'FTE Pivot for regular counts'!$A$2,"State","AR","Category","8","Category2","Two-Year")</f>
        <v>0</v>
      </c>
      <c r="D134" s="298">
        <f>+GETPIVOTDATA("Sum of Old-Total Undg CH FTE",'FTE Pivot for regular counts'!$A$2,"State","AR","Category",9,"Category2","Two-Year")</f>
        <v>0</v>
      </c>
      <c r="E134" s="298">
        <f>+GETPIVOTDATA("Sum of Old-Total Undg CH FTE",'FTE Pivot for regular counts'!$A$2,"State","AR","Category","10","Category2","Two-Year")</f>
        <v>0</v>
      </c>
      <c r="F134" s="299">
        <f>+GETPIVOTDATA("Sum of Old-Total Undg CH FTE",'FTE Pivot for regular counts'!$A$2,"State","AR","Category2","Two-Year")</f>
        <v>0</v>
      </c>
      <c r="G134" s="298">
        <f>+GETPIVOTDATA("Sum of Old-Total Undg CH FTE",'FTE Pivot for regular counts'!$A$2,"State","AR","Category","12","Category2","Technical")</f>
        <v>0</v>
      </c>
      <c r="H134" s="298">
        <f>+GETPIVOTDATA("Sum of Old-Total Undg CH FTE",'FTE Pivot for regular counts'!$A$2,"State","AR","Category","13","Category2","Technical")</f>
        <v>0</v>
      </c>
      <c r="I134" s="298">
        <f>+GETPIVOTDATA("Sum of Old-Total Undg CH FTE",'FTE Pivot for regular counts'!$A$2,"State","AR","Category2","Technical")</f>
        <v>0</v>
      </c>
      <c r="J134" s="298"/>
      <c r="K134" s="298"/>
      <c r="L134" s="298"/>
    </row>
    <row r="135" spans="1:12" ht="15" customHeight="1">
      <c r="A135" s="15" t="s">
        <v>779</v>
      </c>
      <c r="B135" s="298">
        <f>+GETPIVOTDATA("Sum of Old-Total Undg CH FTE",'FTE Pivot for regular counts'!$A$2,"State","DE","Category","7","Category2","Two-Year")</f>
        <v>0</v>
      </c>
      <c r="C135" s="298">
        <f>+GETPIVOTDATA("Sum of Old-Total Undg CH FTE",'FTE Pivot for regular counts'!$A$2,"State","DE","Category","8","Category2","Two-Year")</f>
        <v>0</v>
      </c>
      <c r="D135" s="298">
        <f>+GETPIVOTDATA("Sum of Old-Total Undg CH FTE",'FTE Pivot for regular counts'!$A$2,"State","DE","Category",9,"Category2","Two-Year")</f>
        <v>0</v>
      </c>
      <c r="E135" s="298">
        <f>+GETPIVOTDATA("Sum of Old-Total Undg CH FTE",'FTE Pivot for regular counts'!$A$2,"State","DE","Category","10","Category2","Two-Year")</f>
        <v>0</v>
      </c>
      <c r="F135" s="299">
        <f>+GETPIVOTDATA("Sum of Old-Total Undg CH FTE",'FTE Pivot for regular counts'!$A$2,"State","DE","Category2","Two-Year")</f>
        <v>0</v>
      </c>
      <c r="G135" s="298">
        <f>+GETPIVOTDATA("Sum of Old-Total Undg CH FTE",'FTE Pivot for regular counts'!$A$2,"State","DE","Category","12","Category2","Technical")</f>
        <v>0</v>
      </c>
      <c r="H135" s="298">
        <f>+GETPIVOTDATA("Sum of Old-Total Undg CH FTE",'FTE Pivot for regular counts'!$A$2,"State","DE","Category","13","Category2","Technical")</f>
        <v>0</v>
      </c>
      <c r="I135" s="298">
        <f>+GETPIVOTDATA("Sum of Old-Total Undg CH FTE",'FTE Pivot for regular counts'!$A$2,"State","DE","Category2","Technical")</f>
        <v>0</v>
      </c>
      <c r="J135" s="298"/>
      <c r="K135" s="298"/>
      <c r="L135" s="298"/>
    </row>
    <row r="136" spans="1:12" ht="15" customHeight="1">
      <c r="A136" s="15" t="s">
        <v>780</v>
      </c>
      <c r="B136" s="298">
        <f>+GETPIVOTDATA("Sum of Old-Total Undg CH FTE",'FTE Pivot for regular counts'!$A$2,"State","FL","Category","7","Category2","Two-Year")</f>
        <v>16640.306666666664</v>
      </c>
      <c r="C136" s="298">
        <f>+GETPIVOTDATA("Sum of Old-Total Undg CH FTE",'FTE Pivot for regular counts'!$A$2,"State","FL","Category","8","Category2","Two-Year")</f>
        <v>2706.3144444444447</v>
      </c>
      <c r="D136" s="298">
        <f>+GETPIVOTDATA("Sum of Old-Total Undg CH FTE",'FTE Pivot for regular counts'!$A$2,"State","FL","Category",9,"Category2","Two-Year")</f>
        <v>0</v>
      </c>
      <c r="E136" s="298">
        <f>+GETPIVOTDATA("Sum of Old-Total Undg CH FTE",'FTE Pivot for regular counts'!$A$2,"State","FL","Category","10","Category2","Two-Year")</f>
        <v>174.27333333333334</v>
      </c>
      <c r="F136" s="299">
        <f>+GETPIVOTDATA("Sum of Old-Total Undg CH FTE",'FTE Pivot for regular counts'!$A$2,"State","FL","Category2","Two-Year")</f>
        <v>19520.894444444442</v>
      </c>
      <c r="G136" s="298">
        <f>+GETPIVOTDATA("Sum of Old-Total Undg CH FTE",'FTE Pivot for regular counts'!$A$2,"State","FL","Category","12","Category2","Technical")</f>
        <v>0</v>
      </c>
      <c r="H136" s="298">
        <f>+GETPIVOTDATA("Sum of Old-Total Undg CH FTE",'FTE Pivot for regular counts'!$A$2,"State","FL","Category","13","Category2","Technical")</f>
        <v>0</v>
      </c>
      <c r="I136" s="298">
        <f>+GETPIVOTDATA("Sum of Old-Total Undg CH FTE",'FTE Pivot for regular counts'!$A$2,"State","FL","Category2","Technical")</f>
        <v>0</v>
      </c>
      <c r="J136" s="298"/>
      <c r="K136" s="298"/>
      <c r="L136" s="298"/>
    </row>
    <row r="137" spans="1:12" ht="15" customHeight="1">
      <c r="B137" s="298"/>
      <c r="C137" s="298"/>
      <c r="D137" s="298"/>
      <c r="E137" s="298"/>
      <c r="F137" s="299"/>
      <c r="G137" s="298"/>
      <c r="H137" s="298"/>
      <c r="I137" s="298"/>
      <c r="J137" s="298"/>
      <c r="K137" s="298"/>
      <c r="L137" s="298"/>
    </row>
    <row r="138" spans="1:12" ht="15" customHeight="1">
      <c r="A138" s="15" t="s">
        <v>781</v>
      </c>
      <c r="B138" s="298">
        <f>+GETPIVOTDATA("Sum of Old-Total Undg CH FTE",'FTE Pivot for regular counts'!$A$2,"State","GA","Category","7","Category2","Two-Year")</f>
        <v>0</v>
      </c>
      <c r="C138" s="298">
        <f>+GETPIVOTDATA("Sum of Old-Total Undg CH FTE",'FTE Pivot for regular counts'!$A$2,"State","GA","Category","8","Category2","Two-Year")</f>
        <v>0</v>
      </c>
      <c r="D138" s="298">
        <f>+GETPIVOTDATA("Sum of Old-Total Undg CH FTE",'FTE Pivot for regular counts'!$A$2,"State","GA","Category",9,"Category2","Two-Year")</f>
        <v>0</v>
      </c>
      <c r="E138" s="298">
        <f>+GETPIVOTDATA("Sum of Old-Total Undg CH FTE",'FTE Pivot for regular counts'!$A$2,"State","GA","Category","10","Category2","Two-Year")</f>
        <v>0</v>
      </c>
      <c r="F138" s="299">
        <f>+GETPIVOTDATA("Sum of Old-Total Undg CH FTE",'FTE Pivot for regular counts'!$A$2,"State","GA","Category2","Two-Year")</f>
        <v>0</v>
      </c>
      <c r="G138" s="298">
        <f>+GETPIVOTDATA("Sum of Old-Total Undg CH FTE",'FTE Pivot for regular counts'!$A$2,"State","GA","Category","12","Category2","Technical")</f>
        <v>0</v>
      </c>
      <c r="H138" s="298">
        <f>+GETPIVOTDATA("Sum of Old-Total Undg CH FTE",'FTE Pivot for regular counts'!$A$2,"State","GA","Category","13","Category2","Technical")</f>
        <v>0</v>
      </c>
      <c r="I138" s="298">
        <f>+GETPIVOTDATA("Sum of Old-Total Undg CH FTE",'FTE Pivot for regular counts'!$A$2,"State","GA","Category2","Technical")</f>
        <v>0</v>
      </c>
      <c r="J138" s="298"/>
      <c r="K138" s="298"/>
      <c r="L138" s="298"/>
    </row>
    <row r="139" spans="1:12" ht="15" customHeight="1">
      <c r="A139" s="15" t="s">
        <v>782</v>
      </c>
      <c r="B139" s="298">
        <f>+GETPIVOTDATA("Sum of Old-Total Undg CH FTE",'FTE Pivot for regular counts'!$A$2,"State","KY","Category","7","Category2","Two-Year")</f>
        <v>0</v>
      </c>
      <c r="C139" s="298">
        <f>+GETPIVOTDATA("Sum of Old-Total Undg CH FTE",'FTE Pivot for regular counts'!$A$2,"State","KY","Category","8","Category2","Two-Year")</f>
        <v>0</v>
      </c>
      <c r="D139" s="298">
        <f>+GETPIVOTDATA("Sum of Old-Total Undg CH FTE",'FTE Pivot for regular counts'!$A$2,"State","KY","Category",9,"Category2","Two-Year")</f>
        <v>0</v>
      </c>
      <c r="E139" s="298">
        <f>+GETPIVOTDATA("Sum of Old-Total Undg CH FTE",'FTE Pivot for regular counts'!$A$2,"State","KY","Category","10","Category2","Two-Year")</f>
        <v>0</v>
      </c>
      <c r="F139" s="299">
        <f>+GETPIVOTDATA("Sum of Old-Total Undg CH FTE",'FTE Pivot for regular counts'!$A$2,"State","KY","Category2","Two-Year")</f>
        <v>0</v>
      </c>
      <c r="G139" s="298">
        <f>+GETPIVOTDATA("Sum of Old-Total Undg CH FTE",'FTE Pivot for regular counts'!$A$2,"State","KY","Category","12","Category2","Technical")</f>
        <v>0</v>
      </c>
      <c r="H139" s="298">
        <f>+GETPIVOTDATA("Sum of Old-Total Undg CH FTE",'FTE Pivot for regular counts'!$A$2,"State","KY","Category","13","Category2","Technical")</f>
        <v>0</v>
      </c>
      <c r="I139" s="298">
        <f>+GETPIVOTDATA("Sum of Old-Total Undg CH FTE",'FTE Pivot for regular counts'!$A$2,"State","KY","Category2","Technical")</f>
        <v>0</v>
      </c>
      <c r="J139" s="298"/>
      <c r="K139" s="298"/>
      <c r="L139" s="298"/>
    </row>
    <row r="140" spans="1:12" ht="15" customHeight="1">
      <c r="A140" s="15" t="s">
        <v>783</v>
      </c>
      <c r="B140" s="298">
        <f>+GETPIVOTDATA("Sum of Old-Total Undg CH FTE",'FTE Pivot for regular counts'!$A$2,"State","LA","Category","7","Category2","Two-Year")</f>
        <v>0</v>
      </c>
      <c r="C140" s="298">
        <f>+GETPIVOTDATA("Sum of Old-Total Undg CH FTE",'FTE Pivot for regular counts'!$A$2,"State","LA","Category","8","Category2","Two-Year")</f>
        <v>0</v>
      </c>
      <c r="D140" s="300">
        <f>+GETPIVOTDATA("Sum of Old-Total Undg CH FTE",'FTE Pivot for regular counts'!$A$2,"State","LA","Category",9,"Category2","Two-Year")</f>
        <v>0</v>
      </c>
      <c r="E140" s="298">
        <f>+GETPIVOTDATA("Sum of Old-Total Undg CH FTE",'FTE Pivot for regular counts'!$A$2,"State","LA","Category","10","Category2","Two-Year")</f>
        <v>0</v>
      </c>
      <c r="F140" s="301">
        <f>+GETPIVOTDATA("Sum of Old-Total Undg CH FTE",'FTE Pivot for regular counts'!$A$2,"State","LA","Category2","Two-Year")</f>
        <v>0</v>
      </c>
      <c r="G140" s="298">
        <f>+GETPIVOTDATA("Sum of Old-Total Undg CH FTE",'FTE Pivot for regular counts'!$A$2,"State","LA","Category","12","Category2","Technical")</f>
        <v>0</v>
      </c>
      <c r="H140" s="298">
        <f>+GETPIVOTDATA("Sum of Old-Total Undg CH FTE",'FTE Pivot for regular counts'!$A$2,"State","LA","Category","13","Category2","Technical")</f>
        <v>0</v>
      </c>
      <c r="I140" s="298">
        <f>+GETPIVOTDATA("Sum of Old-Total Undg CH FTE",'FTE Pivot for regular counts'!$A$2,"State","LA","Category2","Technical")</f>
        <v>0</v>
      </c>
      <c r="J140" s="298"/>
      <c r="K140" s="298"/>
      <c r="L140" s="298"/>
    </row>
    <row r="141" spans="1:12" ht="15" customHeight="1">
      <c r="A141" s="15" t="s">
        <v>784</v>
      </c>
      <c r="B141" s="298">
        <f>+GETPIVOTDATA("Sum of Old-Total Undg CH FTE",'FTE Pivot for regular counts'!$A$2,"State","MD","Category","7","Category2","Two-Year")</f>
        <v>0</v>
      </c>
      <c r="C141" s="298">
        <f>+GETPIVOTDATA("Sum of Old-Total Undg CH FTE",'FTE Pivot for regular counts'!$A$2,"State","MD","Category","8","Category2","Two-Year")</f>
        <v>0</v>
      </c>
      <c r="D141" s="298">
        <f>+GETPIVOTDATA("Sum of Old-Total Undg CH FTE",'FTE Pivot for regular counts'!$A$2,"State","MD","Category",9,"Category2","Two-Year")</f>
        <v>0</v>
      </c>
      <c r="E141" s="298">
        <f>+GETPIVOTDATA("Sum of Old-Total Undg CH FTE",'FTE Pivot for regular counts'!$A$2,"State","MD","Category","10","Category2","Two-Year")</f>
        <v>0</v>
      </c>
      <c r="F141" s="299">
        <f>+GETPIVOTDATA("Sum of Old-Total Undg CH FTE",'FTE Pivot for regular counts'!$A$2,"State","MD","Category2","Two-Year")</f>
        <v>0</v>
      </c>
      <c r="G141" s="298">
        <f>+GETPIVOTDATA("Sum of Old-Total Undg CH FTE",'FTE Pivot for regular counts'!$A$2,"State","MD","Category","12","Category2","Technical")</f>
        <v>0</v>
      </c>
      <c r="H141" s="298">
        <f>+GETPIVOTDATA("Sum of Old-Total Undg CH FTE",'FTE Pivot for regular counts'!$A$2,"State","MD","Category","13","Category2","Technical")</f>
        <v>0</v>
      </c>
      <c r="I141" s="298">
        <f>+GETPIVOTDATA("Sum of Old-Total Undg CH FTE",'FTE Pivot for regular counts'!$A$2,"State","MD","Category2","Technical")</f>
        <v>0</v>
      </c>
      <c r="J141" s="298"/>
      <c r="K141" s="298"/>
      <c r="L141" s="298"/>
    </row>
    <row r="142" spans="1:12" ht="15" customHeight="1">
      <c r="B142" s="298"/>
      <c r="C142" s="298"/>
      <c r="D142" s="298"/>
      <c r="E142" s="298"/>
      <c r="F142" s="299"/>
      <c r="G142" s="298"/>
      <c r="H142" s="298"/>
      <c r="I142" s="298"/>
      <c r="J142" s="298"/>
      <c r="K142" s="298"/>
      <c r="L142" s="298"/>
    </row>
    <row r="143" spans="1:12" ht="15" customHeight="1">
      <c r="A143" s="15" t="s">
        <v>785</v>
      </c>
      <c r="B143" s="298">
        <f>+GETPIVOTDATA("Sum of Old-Total Undg CH FTE",'FTE Pivot for regular counts'!$A$2,"State","MS","Category","7","Category2","Two-Year")</f>
        <v>0</v>
      </c>
      <c r="C143" s="298">
        <f>+GETPIVOTDATA("Sum of Old-Total Undg CH FTE",'FTE Pivot for regular counts'!$A$2,"State","MS","Category","8","Category2","Two-Year")</f>
        <v>0</v>
      </c>
      <c r="D143" s="298">
        <f>+GETPIVOTDATA("Sum of Old-Total Undg CH FTE",'FTE Pivot for regular counts'!$A$2,"State","MS","Category",9,"Category2","Two-Year")</f>
        <v>0</v>
      </c>
      <c r="E143" s="298">
        <f>+GETPIVOTDATA("Sum of Old-Total Undg CH FTE",'FTE Pivot for regular counts'!$A$2,"State","MS","Category","10","Category2","Two-Year")</f>
        <v>0</v>
      </c>
      <c r="F143" s="299">
        <f>+GETPIVOTDATA("Sum of Old-Total Undg CH FTE",'FTE Pivot for regular counts'!$A$2,"State","MS","Category2","Two-Year")</f>
        <v>0</v>
      </c>
      <c r="G143" s="298">
        <f>+GETPIVOTDATA("Sum of Old-Total Undg CH FTE",'FTE Pivot for regular counts'!$A$2,"State","MS","Category","12","Category2","Technical")</f>
        <v>0</v>
      </c>
      <c r="H143" s="298">
        <f>+GETPIVOTDATA("Sum of Old-Total Undg CH FTE",'FTE Pivot for regular counts'!$A$2,"State","MS","Category","13","Category2","Technical")</f>
        <v>0</v>
      </c>
      <c r="I143" s="298">
        <f>+GETPIVOTDATA("Sum of Old-Total Undg CH FTE",'FTE Pivot for regular counts'!$A$2,"State","MS","Category2","Technical")</f>
        <v>0</v>
      </c>
      <c r="J143" s="298"/>
      <c r="K143" s="298"/>
      <c r="L143" s="298"/>
    </row>
    <row r="144" spans="1:12" ht="15" customHeight="1">
      <c r="A144" s="15" t="s">
        <v>786</v>
      </c>
      <c r="B144" s="298">
        <f>+GETPIVOTDATA("Sum of Old-Total Undg CH FTE",'FTE Pivot for regular counts'!$A$2,"State","NC","Category","7","Category2","Two-Year")</f>
        <v>0</v>
      </c>
      <c r="C144" s="298">
        <f>+GETPIVOTDATA("Sum of Old-Total Undg CH FTE",'FTE Pivot for regular counts'!$A$2,"State","NC","Category","8","Category2","Two-Year")</f>
        <v>11591.582222222221</v>
      </c>
      <c r="D144" s="298">
        <f>+GETPIVOTDATA("Sum of Old-Total Undg CH FTE",'FTE Pivot for regular counts'!$A$2,"State","NC","Category",9,"Category2","Two-Year")</f>
        <v>11945.246666666668</v>
      </c>
      <c r="E144" s="298">
        <f>+GETPIVOTDATA("Sum of Old-Total Undg CH FTE",'FTE Pivot for regular counts'!$A$2,"State","NC","Category","10","Category2","Two-Year")</f>
        <v>7278.2922222222232</v>
      </c>
      <c r="F144" s="299">
        <f>+GETPIVOTDATA("Sum of Old-Total Undg CH FTE",'FTE Pivot for regular counts'!$A$2,"State","NC","Category2","Two-Year")</f>
        <v>30815.121111111112</v>
      </c>
      <c r="G144" s="298">
        <f>+GETPIVOTDATA("Sum of Old-Total Undg CH FTE",'FTE Pivot for regular counts'!$A$2,"State","NC","Category","12","Category2","Technical")</f>
        <v>0</v>
      </c>
      <c r="H144" s="298">
        <f>+GETPIVOTDATA("Sum of Old-Total Undg CH FTE",'FTE Pivot for regular counts'!$A$2,"State","NC","Category","13","Category2","Technical")</f>
        <v>0</v>
      </c>
      <c r="I144" s="298">
        <f>+GETPIVOTDATA("Sum of Old-Total Undg CH FTE",'FTE Pivot for regular counts'!$A$2,"State","NC","Category2","Technical")</f>
        <v>0</v>
      </c>
      <c r="J144" s="298"/>
      <c r="K144" s="298"/>
      <c r="L144" s="298"/>
    </row>
    <row r="145" spans="1:13" ht="15" customHeight="1">
      <c r="A145" s="15" t="s">
        <v>787</v>
      </c>
      <c r="B145" s="298">
        <f>+GETPIVOTDATA("Sum of Old-Total Undg CH FTE",'FTE Pivot for regular counts'!$A$2,"State","OK","Category","7","Category2","Two-Year")</f>
        <v>0</v>
      </c>
      <c r="C145" s="298">
        <f>+GETPIVOTDATA("Sum of Old-Total Undg CH FTE",'FTE Pivot for regular counts'!$A$2,"State","OK","Category","8","Category2","Two-Year")</f>
        <v>0</v>
      </c>
      <c r="D145" s="298">
        <f>+GETPIVOTDATA("Sum of Old-Total Undg CH FTE",'FTE Pivot for regular counts'!$A$2,"State","OK","Category",9,"Category2","Two-Year")</f>
        <v>0</v>
      </c>
      <c r="E145" s="298">
        <f>+GETPIVOTDATA("Sum of Old-Total Undg CH FTE",'FTE Pivot for regular counts'!$A$2,"State","OK","Category","10","Category2","Two-Year")</f>
        <v>0</v>
      </c>
      <c r="F145" s="299">
        <f>+GETPIVOTDATA("Sum of Old-Total Undg CH FTE",'FTE Pivot for regular counts'!$A$2,"State","OK","Category2","Two-Year")</f>
        <v>0</v>
      </c>
      <c r="G145" s="298">
        <f>+GETPIVOTDATA("Sum of Old-Total Undg CH FTE",'FTE Pivot for regular counts'!$A$2,"State","OK","Category","12","Category2","Technical")</f>
        <v>4522.6706111111107</v>
      </c>
      <c r="H145" s="298">
        <f>+GETPIVOTDATA("Sum of Old-Total Undg CH FTE",'FTE Pivot for regular counts'!$A$2,"State","OK","Category","13","Category2","Technical")</f>
        <v>15802.672611111106</v>
      </c>
      <c r="I145" s="298">
        <f>+GETPIVOTDATA("Sum of Old-Total Undg CH FTE",'FTE Pivot for regular counts'!$A$2,"State","OK","Category2","Technical")</f>
        <v>20325.343222222218</v>
      </c>
      <c r="J145" s="298"/>
      <c r="K145" s="298"/>
      <c r="L145" s="298"/>
    </row>
    <row r="146" spans="1:13" ht="15" customHeight="1">
      <c r="A146" s="15" t="s">
        <v>788</v>
      </c>
      <c r="B146" s="298">
        <f>+GETPIVOTDATA("Sum of Old-Total Undg CH FTE",'FTE Pivot for regular counts'!$A$2,"State","SC","Category","7","Category2","Two-Year")</f>
        <v>0</v>
      </c>
      <c r="C146" s="298">
        <f>+GETPIVOTDATA("Sum of Old-Total Undg CH FTE",'FTE Pivot for regular counts'!$A$2,"State","SC","Category","8","Category2","Two-Year")</f>
        <v>0</v>
      </c>
      <c r="D146" s="298">
        <f>+GETPIVOTDATA("Sum of Old-Total Undg CH FTE",'FTE Pivot for regular counts'!$A$2,"State","SC","Category",9,"Category2","Two-Year")</f>
        <v>0</v>
      </c>
      <c r="E146" s="298">
        <f>+GETPIVOTDATA("Sum of Old-Total Undg CH FTE",'FTE Pivot for regular counts'!$A$2,"State","SC","Category","10","Category2","Two-Year")</f>
        <v>0</v>
      </c>
      <c r="F146" s="299">
        <f>+GETPIVOTDATA("Sum of Old-Total Undg CH FTE",'FTE Pivot for regular counts'!$A$2,"State","SC","Category2","Two-Year")</f>
        <v>0</v>
      </c>
      <c r="G146" s="298">
        <f>+GETPIVOTDATA("Sum of Old-Total Undg CH FTE",'FTE Pivot for regular counts'!$A$2,"State","SC","Category","12","Category2","Technical")</f>
        <v>0</v>
      </c>
      <c r="H146" s="298">
        <f>+GETPIVOTDATA("Sum of Old-Total Undg CH FTE",'FTE Pivot for regular counts'!$A$2,"State","SC","Category","13","Category2","Technical")</f>
        <v>0</v>
      </c>
      <c r="I146" s="298">
        <f>+GETPIVOTDATA("Sum of Old-Total Undg CH FTE",'FTE Pivot for regular counts'!$A$2,"State","SC","Category2","Technical")</f>
        <v>0</v>
      </c>
      <c r="J146" s="298"/>
      <c r="K146" s="298"/>
      <c r="L146" s="298"/>
    </row>
    <row r="147" spans="1:13" ht="15" customHeight="1">
      <c r="B147" s="298"/>
      <c r="C147" s="298"/>
      <c r="D147" s="298"/>
      <c r="E147" s="298"/>
      <c r="F147" s="299"/>
      <c r="G147" s="298"/>
      <c r="H147" s="298"/>
      <c r="I147" s="298"/>
      <c r="J147" s="298"/>
      <c r="K147" s="298"/>
      <c r="L147" s="298"/>
    </row>
    <row r="148" spans="1:13" ht="15" customHeight="1">
      <c r="A148" s="15" t="s">
        <v>789</v>
      </c>
      <c r="B148" s="298">
        <f>+GETPIVOTDATA("Sum of Old-Total Undg CH FTE",'FTE Pivot for regular counts'!$A$2,"State","TN","Category","7","Category2","Two-Year")</f>
        <v>0</v>
      </c>
      <c r="C148" s="298">
        <f>+GETPIVOTDATA("Sum of Old-Total Undg CH FTE",'FTE Pivot for regular counts'!$A$2,"State","TN","Category","8","Category2","Two-Year")</f>
        <v>0</v>
      </c>
      <c r="D148" s="298">
        <f>+GETPIVOTDATA("Sum of Old-Total Undg CH FTE",'FTE Pivot for regular counts'!$A$2,"State","TN","Category",9,"Category2","Two-Year")</f>
        <v>0</v>
      </c>
      <c r="E148" s="298">
        <f>+GETPIVOTDATA("Sum of Old-Total Undg CH FTE",'FTE Pivot for regular counts'!$A$2,"State","TN","Category","10","Category2","Two-Year")</f>
        <v>0</v>
      </c>
      <c r="F148" s="299">
        <f>+GETPIVOTDATA("Sum of Old-Total Undg CH FTE",'FTE Pivot for regular counts'!$A$2,"State","TN","Category2","Two-Year")</f>
        <v>0</v>
      </c>
      <c r="G148" s="298">
        <f>+GETPIVOTDATA("Sum of Old-Total Undg CH FTE",'FTE Pivot for regular counts'!$A$2,"State","TN","Category","12","Category2","Technical")</f>
        <v>0</v>
      </c>
      <c r="H148" s="298">
        <f>+GETPIVOTDATA("Sum of Old-Total Undg CH FTE",'FTE Pivot for regular counts'!$A$2,"State","TN","Category","13","Category2","Technical")</f>
        <v>12387.348888888891</v>
      </c>
      <c r="I148" s="298">
        <f>+GETPIVOTDATA("Sum of Old-Total Undg CH FTE",'FTE Pivot for regular counts'!$A$2,"State","TN","Category2","Technical")</f>
        <v>12387.348888888891</v>
      </c>
      <c r="J148" s="298"/>
      <c r="K148" s="298"/>
      <c r="L148" s="298"/>
    </row>
    <row r="149" spans="1:13" ht="15" customHeight="1">
      <c r="A149" s="15" t="s">
        <v>790</v>
      </c>
      <c r="B149" s="298">
        <f>+GETPIVOTDATA("Sum of Old-Total Undg CH FTE",'FTE Pivot for regular counts'!$A$2,"State","TX","Category","7","Category2","Two-Year")</f>
        <v>404.9</v>
      </c>
      <c r="C149" s="298">
        <f>+GETPIVOTDATA("Sum of Old-Total Undg CH FTE",'FTE Pivot for regular counts'!$A$2,"State","TX","Category","8","Category2","Two-Year")</f>
        <v>10161.783333333333</v>
      </c>
      <c r="D149" s="298">
        <f>+GETPIVOTDATA("Sum of Old-Total Undg CH FTE",'FTE Pivot for regular counts'!$A$2,"State","TX","Category",9,"Category2","Two-Year")</f>
        <v>3761.3522222222218</v>
      </c>
      <c r="E149" s="298">
        <f>+GETPIVOTDATA("Sum of Old-Total Undg CH FTE",'FTE Pivot for regular counts'!$A$2,"State","TX","Category","10","Category2","Two-Year")</f>
        <v>750.43</v>
      </c>
      <c r="F149" s="299">
        <f>+GETPIVOTDATA("Sum of Old-Total Undg CH FTE",'FTE Pivot for regular counts'!$A$2,"State","TX","Category2","Two-Year")</f>
        <v>15078.465555555555</v>
      </c>
      <c r="G149" s="298">
        <f>+GETPIVOTDATA("Sum of Old-Total Undg CH FTE",'FTE Pivot for regular counts'!$A$2,"State","TX","Category","12","Category2","Technical")</f>
        <v>0</v>
      </c>
      <c r="H149" s="298">
        <f>+GETPIVOTDATA("Sum of Old-Total Undg CH FTE",'FTE Pivot for regular counts'!$A$2,"State","TX","Category","13","Category2","Technical")</f>
        <v>0</v>
      </c>
      <c r="I149" s="298">
        <f>+GETPIVOTDATA("Sum of Old-Total Undg CH FTE",'FTE Pivot for regular counts'!$A$2,"State","TX","Category2","Technical")</f>
        <v>0</v>
      </c>
      <c r="J149" s="298"/>
      <c r="K149" s="298"/>
      <c r="L149" s="298"/>
    </row>
    <row r="150" spans="1:13" ht="15" customHeight="1">
      <c r="A150" s="15" t="s">
        <v>791</v>
      </c>
      <c r="B150" s="298">
        <f>+GETPIVOTDATA("Sum of Old-Total Undg CH FTE",'FTE Pivot for regular counts'!$A$2,"State","VA","Category","7","Category2","Two-Year")</f>
        <v>0</v>
      </c>
      <c r="C150" s="298">
        <f>+GETPIVOTDATA("Sum of Old-Total Undg CH FTE",'FTE Pivot for regular counts'!$A$2,"State","VA","Category","8","Category2","Two-Year")</f>
        <v>0</v>
      </c>
      <c r="D150" s="298">
        <f>+GETPIVOTDATA("Sum of Old-Total Undg CH FTE",'FTE Pivot for regular counts'!$A$2,"State","VA","Category",9,"Category2","Two-Year")</f>
        <v>0</v>
      </c>
      <c r="E150" s="298">
        <f>+GETPIVOTDATA("Sum of Old-Total Undg CH FTE",'FTE Pivot for regular counts'!$A$2,"State","VA","Category","10","Category2","Two-Year")</f>
        <v>0</v>
      </c>
      <c r="F150" s="299">
        <f>+GETPIVOTDATA("Sum of Old-Total Undg CH FTE",'FTE Pivot for regular counts'!$A$2,"State","VA","Category2","Two-Year")</f>
        <v>0</v>
      </c>
      <c r="G150" s="298">
        <f>+GETPIVOTDATA("Sum of Old-Total Undg CH FTE",'FTE Pivot for regular counts'!$A$2,"State","VA","Category","12","Category2","Technical")</f>
        <v>0</v>
      </c>
      <c r="H150" s="298">
        <f>+GETPIVOTDATA("Sum of Old-Total Undg CH FTE",'FTE Pivot for regular counts'!$A$2,"State","VA","Category","13","Category2","Technical")</f>
        <v>0</v>
      </c>
      <c r="I150" s="298">
        <f>+GETPIVOTDATA("Sum of Old-Total Undg CH FTE",'FTE Pivot for regular counts'!$A$2,"State","VA","Category2","Technical")</f>
        <v>0</v>
      </c>
      <c r="J150" s="298"/>
      <c r="K150" s="298"/>
      <c r="L150" s="298"/>
    </row>
    <row r="151" spans="1:13" ht="15" customHeight="1">
      <c r="A151" s="234" t="s">
        <v>792</v>
      </c>
      <c r="B151" s="302">
        <f>+GETPIVOTDATA("Sum of Old-Total Undg CH FTE",'FTE Pivot for regular counts'!$A$2,"State","WV","Category","7","Category2","Two-Year")</f>
        <v>0</v>
      </c>
      <c r="C151" s="302">
        <f>+GETPIVOTDATA("Sum of Old-Total Undg CH FTE",'FTE Pivot for regular counts'!$A$2,"State","WV","Category","8","Category2","Two-Year")</f>
        <v>0</v>
      </c>
      <c r="D151" s="302">
        <f>+GETPIVOTDATA("Sum of Old-Total Undg CH FTE",'FTE Pivot for regular counts'!$A$2,"State","WV","Category",9,"Category2","Two-Year")</f>
        <v>0</v>
      </c>
      <c r="E151" s="302">
        <f>+GETPIVOTDATA("Sum of Old-Total Undg CH FTE",'FTE Pivot for regular counts'!$A$2,"State","WV","Category","10","Category2","Two-Year")</f>
        <v>0</v>
      </c>
      <c r="F151" s="303">
        <f>+GETPIVOTDATA("Sum of Old-Total Undg CH FTE",'FTE Pivot for regular counts'!$A$2,"State","WV","Category2","Two-Year")</f>
        <v>0</v>
      </c>
      <c r="G151" s="302">
        <f>+GETPIVOTDATA("Sum of Old-Total Undg CH FTE",'FTE Pivot for regular counts'!$A$2,"State","WV","Category","12","Category2","Technical")</f>
        <v>0</v>
      </c>
      <c r="H151" s="302">
        <f>+GETPIVOTDATA("Sum of Old-Total Undg CH FTE",'FTE Pivot for regular counts'!$A$2,"State","WV","Category","13","Category2","Technical")</f>
        <v>0</v>
      </c>
      <c r="I151" s="302">
        <f>+GETPIVOTDATA("Sum of Old-Total Undg CH FTE",'FTE Pivot for regular counts'!$A$2,"State","WV","Category2","Technical")</f>
        <v>0</v>
      </c>
      <c r="J151" s="298"/>
      <c r="K151" s="298"/>
      <c r="L151" s="298"/>
    </row>
    <row r="152" spans="1:13" ht="34.5" customHeight="1">
      <c r="A152" s="603" t="s">
        <v>962</v>
      </c>
      <c r="B152" s="603"/>
      <c r="C152" s="603"/>
      <c r="D152" s="603"/>
      <c r="E152" s="603"/>
      <c r="F152" s="603"/>
      <c r="G152" s="603"/>
      <c r="H152" s="603"/>
      <c r="I152" s="603"/>
      <c r="J152" s="408"/>
      <c r="K152" s="289"/>
      <c r="L152" s="289"/>
    </row>
    <row r="153" spans="1:13">
      <c r="J153" s="260" t="s">
        <v>953</v>
      </c>
      <c r="K153" s="260"/>
      <c r="L153" s="260"/>
    </row>
    <row r="154" spans="1:13" ht="18">
      <c r="A154" s="184" t="s">
        <v>807</v>
      </c>
      <c r="B154" s="184"/>
      <c r="C154" s="184"/>
      <c r="D154" s="184"/>
      <c r="E154" s="184"/>
      <c r="F154" s="184"/>
      <c r="G154" s="184"/>
      <c r="H154" s="184"/>
      <c r="I154" s="184"/>
      <c r="J154" s="184"/>
      <c r="K154" s="184"/>
      <c r="L154" s="268"/>
    </row>
    <row r="155" spans="1:13" ht="12" customHeight="1">
      <c r="A155" s="188"/>
      <c r="B155" s="188"/>
      <c r="C155" s="188"/>
      <c r="D155" s="188"/>
      <c r="E155" s="188"/>
      <c r="F155" s="188"/>
      <c r="G155" s="188"/>
      <c r="H155" s="188"/>
      <c r="I155" s="188"/>
      <c r="J155" s="188"/>
      <c r="K155" s="188"/>
      <c r="L155" s="188"/>
    </row>
    <row r="156" spans="1:13" ht="15.5">
      <c r="A156" s="190" t="s">
        <v>796</v>
      </c>
      <c r="B156" s="190"/>
      <c r="C156" s="190"/>
      <c r="D156" s="190"/>
      <c r="E156" s="190"/>
      <c r="F156" s="190"/>
      <c r="G156" s="190"/>
      <c r="H156" s="190"/>
      <c r="I156" s="190"/>
      <c r="J156" s="190"/>
      <c r="K156" s="190"/>
      <c r="L156" s="269"/>
    </row>
    <row r="157" spans="1:13" ht="15.5">
      <c r="A157" s="190" t="s">
        <v>912</v>
      </c>
      <c r="B157" s="190"/>
      <c r="C157" s="190"/>
      <c r="D157" s="190"/>
      <c r="E157" s="190"/>
      <c r="F157" s="190"/>
      <c r="G157" s="190"/>
      <c r="H157" s="190"/>
      <c r="I157" s="190"/>
      <c r="J157" s="190"/>
      <c r="K157" s="190"/>
      <c r="L157" s="269"/>
      <c r="M157" s="269"/>
    </row>
    <row r="158" spans="1:13">
      <c r="E158" s="234"/>
      <c r="G158" s="234"/>
      <c r="H158" s="234"/>
      <c r="I158" s="234"/>
      <c r="J158" s="234"/>
      <c r="K158" s="234"/>
    </row>
    <row r="159" spans="1:13" ht="15" customHeight="1">
      <c r="A159" s="197"/>
      <c r="B159" s="310" t="s">
        <v>804</v>
      </c>
      <c r="C159" s="200"/>
      <c r="D159" s="311">
        <v>1</v>
      </c>
      <c r="F159" s="312">
        <v>2</v>
      </c>
      <c r="H159" s="312">
        <v>3</v>
      </c>
      <c r="J159" s="312" t="s">
        <v>761</v>
      </c>
      <c r="K159" s="313"/>
    </row>
    <row r="160" spans="1:13" ht="75.75" customHeight="1">
      <c r="A160" s="319"/>
      <c r="B160" s="313" t="s">
        <v>764</v>
      </c>
      <c r="C160" s="207" t="s">
        <v>765</v>
      </c>
      <c r="D160" s="320" t="s">
        <v>764</v>
      </c>
      <c r="E160" s="207" t="s">
        <v>765</v>
      </c>
      <c r="F160" s="320" t="s">
        <v>764</v>
      </c>
      <c r="G160" s="207" t="s">
        <v>765</v>
      </c>
      <c r="H160" s="320" t="s">
        <v>764</v>
      </c>
      <c r="I160" s="207" t="s">
        <v>765</v>
      </c>
      <c r="J160" s="320" t="s">
        <v>764</v>
      </c>
      <c r="K160" s="207" t="s">
        <v>765</v>
      </c>
    </row>
    <row r="161" spans="1:19">
      <c r="A161" s="15" t="s">
        <v>769</v>
      </c>
      <c r="B161" s="298">
        <f>+'OLD Tables'!B100+'OLD Tables'!B131</f>
        <v>336607.81466666667</v>
      </c>
      <c r="D161" s="328">
        <f>+'OLD Tables'!C100+'OLD Tables'!C131</f>
        <v>744994.04</v>
      </c>
      <c r="F161" s="328">
        <f>+'OLD Tables'!D100+'OLD Tables'!D131</f>
        <v>357508.19888888893</v>
      </c>
      <c r="H161" s="328">
        <f>+'OLD Tables'!E100+'OLD Tables'!E131</f>
        <v>151367.24255555557</v>
      </c>
      <c r="J161" s="328">
        <f>+'OLD Tables'!F100+'OLD Tables'!F131</f>
        <v>1590477.2961111111</v>
      </c>
      <c r="L161" s="15" t="s">
        <v>803</v>
      </c>
      <c r="P161" s="58"/>
      <c r="Q161" s="58"/>
      <c r="R161" s="58"/>
      <c r="S161" s="58"/>
    </row>
    <row r="162" spans="1:19" s="58" customFormat="1" ht="10.5" customHeight="1">
      <c r="A162" s="333"/>
      <c r="B162" s="334"/>
      <c r="C162" s="335" t="s">
        <v>815</v>
      </c>
      <c r="D162" s="336" t="s">
        <v>803</v>
      </c>
      <c r="E162" s="335" t="s">
        <v>816</v>
      </c>
      <c r="F162" s="336" t="s">
        <v>803</v>
      </c>
      <c r="G162" s="335" t="s">
        <v>817</v>
      </c>
      <c r="H162" s="337" t="s">
        <v>803</v>
      </c>
      <c r="I162" s="335" t="s">
        <v>818</v>
      </c>
      <c r="J162" s="337" t="s">
        <v>803</v>
      </c>
      <c r="K162" s="335" t="s">
        <v>819</v>
      </c>
      <c r="L162" s="58" t="s">
        <v>803</v>
      </c>
      <c r="P162" s="15"/>
      <c r="Q162" s="15"/>
      <c r="R162" s="15"/>
      <c r="S162" s="15"/>
    </row>
    <row r="163" spans="1:19" ht="15" customHeight="1">
      <c r="A163" s="15" t="s">
        <v>777</v>
      </c>
      <c r="B163" s="298">
        <f>+'OLD Tables'!B102+'OLD Tables'!B133</f>
        <v>0</v>
      </c>
      <c r="C163" s="339">
        <f>+GETPIVOTDATA("Sum of Old-HS % of Total",'Pivot-HS Student % of Undergrad'!$A$3,"State","AL","Category",7,"Category2","Two-Year")</f>
        <v>0</v>
      </c>
      <c r="D163" s="328">
        <f>+'OLD Tables'!C102+'OLD Tables'!C133</f>
        <v>12225.266666666666</v>
      </c>
      <c r="E163" s="339">
        <f>+GETPIVOTDATA("Sum of Old-HS % of Total",'Pivot-HS Student % of Undergrad'!$A$3,"State","AL","Category",8,"Category2","Two-Year")</f>
        <v>6.6913332497177971E-2</v>
      </c>
      <c r="F163" s="328">
        <f>+'OLD Tables'!D102+'OLD Tables'!D133</f>
        <v>33894.866666666669</v>
      </c>
      <c r="G163" s="339">
        <f>+GETPIVOTDATA("Sum of Old-HS % of Total",'Pivot-HS Student % of Undergrad'!$A$3,"State","AL","Category",9,"Category2","Two-Year")</f>
        <v>6.0404427022380969E-2</v>
      </c>
      <c r="H163" s="328">
        <f>+'OLD Tables'!E102+'OLD Tables'!E133</f>
        <v>10505.366666666669</v>
      </c>
      <c r="I163" s="339">
        <f>+GETPIVOTDATA("Sum of Old-HS % of Total",'Pivot-HS Student % of Undergrad'!$A$3,"State","AL","Category",10,"Category2","Two-Year")</f>
        <v>9.9450756914719773E-2</v>
      </c>
      <c r="J163" s="328">
        <f>+'OLD Tables'!F102+'OLD Tables'!F133</f>
        <v>56625.5</v>
      </c>
      <c r="K163" s="339">
        <f>+GETPIVOTDATA("Sum of Old-HS % of Total",'Pivot-HS Student % of Undergrad'!$A$3,"State","AL","Category2","Group2")</f>
        <v>6.9053694890111345E-2</v>
      </c>
    </row>
    <row r="164" spans="1:19" ht="15" customHeight="1">
      <c r="A164" s="15" t="s">
        <v>778</v>
      </c>
      <c r="B164" s="298">
        <f>+'OLD Tables'!B103+'OLD Tables'!B134</f>
        <v>0</v>
      </c>
      <c r="C164" s="339">
        <f>+GETPIVOTDATA("Sum of Old-HS % of Total",'Pivot-HS Student % of Undergrad'!$A$3,"State","AR","Category",7,"Category2","Two-Year")</f>
        <v>0</v>
      </c>
      <c r="D164" s="328">
        <f>+'OLD Tables'!C103+'OLD Tables'!C134</f>
        <v>4989.5</v>
      </c>
      <c r="E164" s="339">
        <f>+GETPIVOTDATA("Sum of Old-HS % of Total",'Pivot-HS Student % of Undergrad'!$A$3,"State","AR","Category",8,"Category2","Two-Year")</f>
        <v>0.15115743060426898</v>
      </c>
      <c r="F164" s="328">
        <f>+'OLD Tables'!D103+'OLD Tables'!D134</f>
        <v>6201.333333333333</v>
      </c>
      <c r="G164" s="339">
        <f>+GETPIVOTDATA("Sum of Old-HS % of Total",'Pivot-HS Student % of Undergrad'!$A$3,"State","AR","Category",9,"Category2","Two-Year")</f>
        <v>7.5908406794237798E-2</v>
      </c>
      <c r="H164" s="328">
        <f>+'OLD Tables'!E103+'OLD Tables'!E134</f>
        <v>19801.2</v>
      </c>
      <c r="I164" s="339">
        <f>+GETPIVOTDATA("Sum of Old-HS % of Total",'Pivot-HS Student % of Undergrad'!$A$3,"State","AR","Category",10,"Category2","Two-Year")</f>
        <v>0.15062050111441058</v>
      </c>
      <c r="J164" s="328">
        <f>+'OLD Tables'!F103+'OLD Tables'!F134</f>
        <v>30992.033333333333</v>
      </c>
      <c r="K164" s="339">
        <f>+GETPIVOTDATA("Sum of Old-HS % of Total",'Pivot-HS Student % of Undergrad'!$A$3,"State","AR","Category2","Group2")</f>
        <v>0.13575746885489928</v>
      </c>
    </row>
    <row r="165" spans="1:19" ht="15" customHeight="1">
      <c r="A165" s="15" t="s">
        <v>779</v>
      </c>
      <c r="B165" s="298">
        <f>+'OLD Tables'!B104+'OLD Tables'!B135</f>
        <v>0</v>
      </c>
      <c r="C165" s="339">
        <f>+GETPIVOTDATA("Sum of Old-HS % of Total",'Pivot-HS Student % of Undergrad'!$A$3,"State","DE","Category",7,"Category2","Two-Year")</f>
        <v>0</v>
      </c>
      <c r="D165" s="328">
        <f>+'OLD Tables'!C104+'OLD Tables'!C135</f>
        <v>0</v>
      </c>
      <c r="E165" s="339">
        <f>+GETPIVOTDATA("Sum of Old-HS % of Total",'Pivot-HS Student % of Undergrad'!$A$3,"State","DE","Category",8,"Category2","Two-Year")</f>
        <v>0</v>
      </c>
      <c r="F165" s="328">
        <f>+'OLD Tables'!D104+'OLD Tables'!D135</f>
        <v>9012.6333333333332</v>
      </c>
      <c r="G165" s="339">
        <f>+GETPIVOTDATA("Sum of Old-HS % of Total",'Pivot-HS Student % of Undergrad'!$A$3,"State","DE","Category",9,"Category2","Two-Year")</f>
        <v>0</v>
      </c>
      <c r="H165" s="328">
        <f>+'OLD Tables'!E104+'OLD Tables'!E135</f>
        <v>0</v>
      </c>
      <c r="I165" s="339">
        <f>+GETPIVOTDATA("Sum of Old-HS % of Total",'Pivot-HS Student % of Undergrad'!$A$3,"State","DE","Category",10,"Category2","Two-Year")</f>
        <v>0</v>
      </c>
      <c r="J165" s="328">
        <f>+'OLD Tables'!F104+'OLD Tables'!F135</f>
        <v>9012.6333333333332</v>
      </c>
      <c r="K165" s="339">
        <f>+GETPIVOTDATA("Sum of Old-HS % of Total",'Pivot-HS Student % of Undergrad'!$A$3,"State","DE","Category2","Group2")</f>
        <v>0</v>
      </c>
    </row>
    <row r="166" spans="1:19" ht="15" customHeight="1">
      <c r="A166" s="15" t="s">
        <v>780</v>
      </c>
      <c r="B166" s="298">
        <f>+'OLD Tables'!B105+'OLD Tables'!B136</f>
        <v>289377.20666666667</v>
      </c>
      <c r="C166" s="339">
        <f>+GETPIVOTDATA("Sum of Old-HS % of Total",'Pivot-HS Student % of Undergrad'!$A$3,"State","FL","Category",7,"Category2","Two-Year")</f>
        <v>4.1737542729127504E-2</v>
      </c>
      <c r="D166" s="328">
        <f>+'OLD Tables'!C105+'OLD Tables'!C136</f>
        <v>30880.847777777777</v>
      </c>
      <c r="E166" s="339">
        <f>+GETPIVOTDATA("Sum of Old-HS % of Total",'Pivot-HS Student % of Undergrad'!$A$3,"State","FL","Category",8,"Category2","Two-Year")</f>
        <v>2.1347982074534606E-2</v>
      </c>
      <c r="F166" s="328">
        <f>+'OLD Tables'!D105+'OLD Tables'!D136</f>
        <v>0</v>
      </c>
      <c r="G166" s="339">
        <f>+GETPIVOTDATA("Sum of Old-HS % of Total",'Pivot-HS Student % of Undergrad'!$A$3,"State","FL","Category",9,"Category2","Two-Year")</f>
        <v>0</v>
      </c>
      <c r="H166" s="328">
        <f>+'OLD Tables'!E105+'OLD Tables'!E136</f>
        <v>1585.54</v>
      </c>
      <c r="I166" s="339">
        <f>+GETPIVOTDATA("Sum of Old-HS % of Total",'Pivot-HS Student % of Undergrad'!$A$3,"State","FL","Category",10,"Category2","Two-Year")</f>
        <v>6.3514137681741509E-2</v>
      </c>
      <c r="J166" s="328">
        <f>+'OLD Tables'!F105+'OLD Tables'!F136</f>
        <v>321843.59444444446</v>
      </c>
      <c r="K166" s="339">
        <f>+GETPIVOTDATA("Sum of Old-HS % of Total",'Pivot-HS Student % of Undergrad'!$A$3,"State","FL","Category2","Group2")</f>
        <v>3.9389100416592743E-2</v>
      </c>
    </row>
    <row r="167" spans="1:19" ht="15" customHeight="1">
      <c r="B167" s="298"/>
      <c r="C167" s="339"/>
      <c r="D167" s="328"/>
      <c r="E167" s="339"/>
      <c r="F167" s="328"/>
      <c r="G167" s="339"/>
      <c r="H167" s="328"/>
      <c r="I167" s="339"/>
      <c r="J167" s="328"/>
      <c r="K167" s="339"/>
    </row>
    <row r="168" spans="1:19" ht="15" customHeight="1">
      <c r="A168" s="15" t="s">
        <v>781</v>
      </c>
      <c r="B168" s="298">
        <f>+'OLD Tables'!B107+'OLD Tables'!B138</f>
        <v>10558.674666666666</v>
      </c>
      <c r="C168" s="339">
        <f>+GETPIVOTDATA("Sum of Old-HS % of Total",'Pivot-HS Student % of Undergrad'!$A$3,"State","GA","Category",7,"Category2","Two-Year")</f>
        <v>6.905854093304134E-2</v>
      </c>
      <c r="D168" s="328">
        <f>+'OLD Tables'!C107+'OLD Tables'!C138</f>
        <v>0</v>
      </c>
      <c r="E168" s="339">
        <f>+GETPIVOTDATA("Sum of Old-HS % of Total",'Pivot-HS Student % of Undergrad'!$A$3,"State","GA","Category",8,"Category2","Two-Year")</f>
        <v>0</v>
      </c>
      <c r="F168" s="328">
        <f>+'OLD Tables'!D107+'OLD Tables'!D138</f>
        <v>0</v>
      </c>
      <c r="G168" s="339">
        <f>+GETPIVOTDATA("Sum of Old-HS % of Total",'Pivot-HS Student % of Undergrad'!$A$3,"State","GA","Category",9,"Category2","Two-Year")</f>
        <v>0</v>
      </c>
      <c r="H168" s="328">
        <f>+'OLD Tables'!E107+'OLD Tables'!E138</f>
        <v>671.46033333333332</v>
      </c>
      <c r="I168" s="339">
        <f>+GETPIVOTDATA("Sum of Old-HS % of Total",'Pivot-HS Student % of Undergrad'!$A$3,"State","GA","Category",10,"Category2","Two-Year")</f>
        <v>0</v>
      </c>
      <c r="J168" s="328">
        <f>+'OLD Tables'!F107+'OLD Tables'!F138</f>
        <v>11230.134999999998</v>
      </c>
      <c r="K168" s="339">
        <f>+GETPIVOTDATA("Sum of Old-HS % of Total",'Pivot-HS Student % of Undergrad'!$A$3,"State","GA","Category2","Group2")</f>
        <v>6.905854093304134E-2</v>
      </c>
    </row>
    <row r="169" spans="1:19" ht="15" customHeight="1">
      <c r="A169" s="15" t="s">
        <v>782</v>
      </c>
      <c r="B169" s="298">
        <f>+'OLD Tables'!B108+'OLD Tables'!B139</f>
        <v>0</v>
      </c>
      <c r="C169" s="339">
        <f>+GETPIVOTDATA("Sum of Old-HS % of Total",'Pivot-HS Student % of Undergrad'!$A$3,"State","KY","Category",7,"Category2","Two-Year")</f>
        <v>0</v>
      </c>
      <c r="D169" s="328">
        <f>+'OLD Tables'!C108+'OLD Tables'!C139</f>
        <v>12671.366666666667</v>
      </c>
      <c r="E169" s="339">
        <f>+GETPIVOTDATA("Sum of Old-HS % of Total",'Pivot-HS Student % of Undergrad'!$A$3,"State","KY","Category",8,"Category2","Two-Year")</f>
        <v>8.421875041103169E-2</v>
      </c>
      <c r="F169" s="328">
        <f>+'OLD Tables'!D108+'OLD Tables'!D139</f>
        <v>17183.100000000002</v>
      </c>
      <c r="G169" s="339">
        <f>+GETPIVOTDATA("Sum of Old-HS % of Total",'Pivot-HS Student % of Undergrad'!$A$3,"State","KY","Category",9,"Category2","Two-Year")</f>
        <v>0.1122575864269738</v>
      </c>
      <c r="H169" s="328">
        <f>+'OLD Tables'!E108+'OLD Tables'!E139</f>
        <v>9658.2000000000007</v>
      </c>
      <c r="I169" s="339">
        <f>+GETPIVOTDATA("Sum of Old-HS % of Total",'Pivot-HS Student % of Undergrad'!$A$3,"State","KY","Category",10,"Category2","Two-Year")</f>
        <v>0.11256755917251662</v>
      </c>
      <c r="J169" s="328">
        <f>+'OLD Tables'!F108+'OLD Tables'!F139</f>
        <v>39512.666666666672</v>
      </c>
      <c r="K169" s="339">
        <f>+GETPIVOTDATA("Sum of Old-HS % of Total",'Pivot-HS Student % of Undergrad'!$A$3,"State","KY","Category2","Group2")</f>
        <v>0.10334154448362551</v>
      </c>
    </row>
    <row r="170" spans="1:19" ht="15" customHeight="1">
      <c r="A170" s="15" t="s">
        <v>783</v>
      </c>
      <c r="B170" s="298">
        <f>+'OLD Tables'!B109+'OLD Tables'!B140</f>
        <v>0</v>
      </c>
      <c r="C170" s="339">
        <f>+GETPIVOTDATA("Sum of Old-HS % of Total",'Pivot-HS Student % of Undergrad'!$A$3,"State","LA","Category",7,"Category2","Two-Year")</f>
        <v>0</v>
      </c>
      <c r="D170" s="328">
        <f>+'OLD Tables'!C109+'OLD Tables'!C140</f>
        <v>14784.166666666666</v>
      </c>
      <c r="E170" s="339">
        <f>+GETPIVOTDATA("Sum of Old-HS % of Total",'Pivot-HS Student % of Undergrad'!$A$3,"State","LA","Category",8,"Category2","Two-Year")</f>
        <v>2.1577137703624374E-2</v>
      </c>
      <c r="F170" s="328">
        <f>+'OLD Tables'!D109+'OLD Tables'!D140</f>
        <v>13998.466666666665</v>
      </c>
      <c r="G170" s="339">
        <f>+GETPIVOTDATA("Sum of Old-HS % of Total",'Pivot-HS Student % of Undergrad'!$A$3,"State","LA","Category",9,"Category2","Two-Year")</f>
        <v>5.6479995428070695E-2</v>
      </c>
      <c r="H170" s="328">
        <f>+'OLD Tables'!E109+'OLD Tables'!E140</f>
        <v>5800.0666666666666</v>
      </c>
      <c r="I170" s="339">
        <f>+GETPIVOTDATA("Sum of Old-HS % of Total",'Pivot-HS Student % of Undergrad'!$A$3,"State","LA","Category",10,"Category2","Two-Year")</f>
        <v>0.14494660980908267</v>
      </c>
      <c r="J170" s="328">
        <f>+'OLD Tables'!F109+'OLD Tables'!F140</f>
        <v>34582.699999999997</v>
      </c>
      <c r="K170" s="339">
        <f>+GETPIVOTDATA("Sum of Old-HS % of Total",'Pivot-HS Student % of Undergrad'!$A$3,"State","LA","Category2","Group2")</f>
        <v>5.6396213521018701E-2</v>
      </c>
    </row>
    <row r="171" spans="1:19" ht="15" customHeight="1">
      <c r="A171" s="15" t="s">
        <v>955</v>
      </c>
      <c r="B171" s="298">
        <f>+'OLD Tables'!B110+'OLD Tables'!B141</f>
        <v>0</v>
      </c>
      <c r="C171" s="339">
        <f>+GETPIVOTDATA("Sum of Old-HS % of Total",'Pivot-HS Student % of Undergrad'!$A$3,"State","MD","Category",7,"Category2","Two-Year")</f>
        <v>0</v>
      </c>
      <c r="D171" s="328">
        <f>+'OLD Tables'!C110+'OLD Tables'!C141</f>
        <v>60140.666666666664</v>
      </c>
      <c r="E171" s="339">
        <f>+GETPIVOTDATA("Sum of Old-HS % of Total",'Pivot-HS Student % of Undergrad'!$A$3,"State","MD","Category",8,"Category2","Two-Year")</f>
        <v>0</v>
      </c>
      <c r="F171" s="328">
        <f>+'OLD Tables'!D110+'OLD Tables'!D141</f>
        <v>18950.896666666667</v>
      </c>
      <c r="G171" s="339">
        <f>+GETPIVOTDATA("Sum of Old-HS % of Total",'Pivot-HS Student % of Undergrad'!$A$3,"State","MD","Category",9,"Category2","Two-Year")</f>
        <v>0</v>
      </c>
      <c r="H171" s="328">
        <f>+'OLD Tables'!E110+'OLD Tables'!E141</f>
        <v>6453.2333333333336</v>
      </c>
      <c r="I171" s="339">
        <f>+GETPIVOTDATA("Sum of Old-HS % of Total",'Pivot-HS Student % of Undergrad'!$A$3,"State","MD","Category",10,"Category2","Two-Year")</f>
        <v>0</v>
      </c>
      <c r="J171" s="328">
        <f>+'OLD Tables'!F110+'OLD Tables'!F141</f>
        <v>85544.796666666662</v>
      </c>
      <c r="K171" s="339">
        <f>+GETPIVOTDATA("Sum of Old-HS % of Total",'Pivot-HS Student % of Undergrad'!$A$3,"State","MD","Category2","Group2")</f>
        <v>0</v>
      </c>
    </row>
    <row r="172" spans="1:19" ht="15" customHeight="1">
      <c r="B172" s="298"/>
      <c r="C172" s="339"/>
      <c r="D172" s="328"/>
      <c r="E172" s="339"/>
      <c r="F172" s="328"/>
      <c r="G172" s="339"/>
      <c r="H172" s="328"/>
      <c r="I172" s="339"/>
      <c r="J172" s="328"/>
      <c r="K172" s="339"/>
    </row>
    <row r="173" spans="1:19" ht="15" customHeight="1">
      <c r="A173" s="15" t="s">
        <v>785</v>
      </c>
      <c r="B173" s="298">
        <f>+'OLD Tables'!B112+'OLD Tables'!B143</f>
        <v>0</v>
      </c>
      <c r="C173" s="339">
        <f>+GETPIVOTDATA("Sum of Old-HS % of Total",'Pivot-HS Student % of Undergrad'!$A$3,"State","MS","Category",7,"Category2","Two-Year")</f>
        <v>0</v>
      </c>
      <c r="D173" s="328">
        <f>+'OLD Tables'!C112+'OLD Tables'!C143</f>
        <v>29232.833333333336</v>
      </c>
      <c r="E173" s="339">
        <f>+GETPIVOTDATA("Sum of Old-HS % of Total",'Pivot-HS Student % of Undergrad'!$A$3,"State","MS","Category",8,"Category2","Two-Year")</f>
        <v>6.8498320951897701E-2</v>
      </c>
      <c r="F173" s="328">
        <f>+'OLD Tables'!D112+'OLD Tables'!D143</f>
        <v>29847.433333333331</v>
      </c>
      <c r="G173" s="339">
        <f>+GETPIVOTDATA("Sum of Old-HS % of Total",'Pivot-HS Student % of Undergrad'!$A$3,"State","MS","Category",9,"Category2","Two-Year")</f>
        <v>6.5046352394343226E-2</v>
      </c>
      <c r="H173" s="328">
        <f>+'OLD Tables'!E112+'OLD Tables'!E143</f>
        <v>3512.8999999999996</v>
      </c>
      <c r="I173" s="339">
        <f>+GETPIVOTDATA("Sum of Old-HS % of Total",'Pivot-HS Student % of Undergrad'!$A$3,"State","MS","Category",10,"Category2","Two-Year")</f>
        <v>4.6798941045859549E-2</v>
      </c>
      <c r="J173" s="328">
        <f>+'OLD Tables'!F112+'OLD Tables'!F143</f>
        <v>62593.166666666664</v>
      </c>
      <c r="K173" s="339">
        <f>+GETPIVOTDATA("Sum of Old-HS % of Total",'Pivot-HS Student % of Undergrad'!$A$3,"State","MS","Category2","Group2")</f>
        <v>6.5634427613237872E-2</v>
      </c>
    </row>
    <row r="174" spans="1:19" ht="15" customHeight="1">
      <c r="A174" s="15" t="s">
        <v>786</v>
      </c>
      <c r="B174" s="298">
        <f>+'OLD Tables'!B113+'OLD Tables'!B144</f>
        <v>0</v>
      </c>
      <c r="C174" s="339">
        <f>+GETPIVOTDATA("Sum of Old-HS % of Total",'Pivot-HS Student % of Undergrad'!$A$3,"State","NC","Category",7,"Category2","Two-Year")</f>
        <v>0</v>
      </c>
      <c r="D174" s="328">
        <f>+'OLD Tables'!C113+'OLD Tables'!C144</f>
        <v>81430.308888888889</v>
      </c>
      <c r="E174" s="339">
        <f>+GETPIVOTDATA("Sum of Old-HS % of Total",'Pivot-HS Student % of Undergrad'!$A$3,"State","NC","Category",8,"Category2","Two-Year")</f>
        <v>8.0520750235136967E-2</v>
      </c>
      <c r="F174" s="328">
        <f>+'OLD Tables'!D113+'OLD Tables'!D144</f>
        <v>66114.180000000022</v>
      </c>
      <c r="G174" s="339">
        <f>+GETPIVOTDATA("Sum of Old-HS % of Total",'Pivot-HS Student % of Undergrad'!$A$3,"State","NC","Category",9,"Category2","Two-Year")</f>
        <v>0.19884091004191826</v>
      </c>
      <c r="H174" s="328">
        <f>+'OLD Tables'!E113+'OLD Tables'!E144</f>
        <v>33053.825555555559</v>
      </c>
      <c r="I174" s="339">
        <f>+GETPIVOTDATA("Sum of Old-HS % of Total",'Pivot-HS Student % of Undergrad'!$A$3,"State","NC","Category",10,"Category2","Two-Year")</f>
        <v>0.2500193982407089</v>
      </c>
      <c r="J174" s="328">
        <f>+'OLD Tables'!F113+'OLD Tables'!F144</f>
        <v>180598.31444444446</v>
      </c>
      <c r="K174" s="339">
        <f>+GETPIVOTDATA("Sum of Old-HS % of Total",'Pivot-HS Student % of Undergrad'!$A$3,"State","NC","Category2","Group2")</f>
        <v>0.15247939032234104</v>
      </c>
    </row>
    <row r="175" spans="1:19" ht="15" customHeight="1">
      <c r="A175" s="15" t="s">
        <v>787</v>
      </c>
      <c r="B175" s="298">
        <f>+'OLD Tables'!B114+'OLD Tables'!B145</f>
        <v>6620.6666666666661</v>
      </c>
      <c r="C175" s="339">
        <f>+GETPIVOTDATA("Sum of Old-HS % of Total",'Pivot-HS Student % of Undergrad'!$A$3,"State","OK","Category",7,"Category2","Two-Year")</f>
        <v>4.6284362098479512E-2</v>
      </c>
      <c r="D175" s="328">
        <f>+'OLD Tables'!C114+'OLD Tables'!C145</f>
        <v>17469.266666666666</v>
      </c>
      <c r="E175" s="339">
        <f>+GETPIVOTDATA("Sum of Old-HS % of Total",'Pivot-HS Student % of Undergrad'!$A$3,"State","OK","Category",8,"Category2","Two-Year")</f>
        <v>7.0798621579230572E-2</v>
      </c>
      <c r="F175" s="328">
        <f>+'OLD Tables'!D114+'OLD Tables'!D145</f>
        <v>6882.4333333333343</v>
      </c>
      <c r="G175" s="339">
        <f>+GETPIVOTDATA("Sum of Old-HS % of Total",'Pivot-HS Student % of Undergrad'!$A$3,"State","OK","Category",9,"Category2","Two-Year")</f>
        <v>4.6635637589418473E-2</v>
      </c>
      <c r="H175" s="328">
        <f>+'OLD Tables'!E114+'OLD Tables'!E145</f>
        <v>10382.800000000001</v>
      </c>
      <c r="I175" s="339">
        <f>+GETPIVOTDATA("Sum of Old-HS % of Total",'Pivot-HS Student % of Undergrad'!$A$3,"State","OK","Category",10,"Category2","Two-Year")</f>
        <v>0.11214701236660631</v>
      </c>
      <c r="J175" s="328">
        <f>+'OLD Tables'!F114+'OLD Tables'!F145</f>
        <v>41355.166666666672</v>
      </c>
      <c r="K175" s="339">
        <f>+GETPIVOTDATA("Sum of Old-HS % of Total",'Pivot-HS Student % of Undergrad'!$A$3,"State","OK","Category2","Group2")</f>
        <v>7.3233896611064317E-2</v>
      </c>
    </row>
    <row r="176" spans="1:19" ht="15" customHeight="1">
      <c r="A176" s="15" t="s">
        <v>788</v>
      </c>
      <c r="B176" s="298">
        <f>+'OLD Tables'!B115+'OLD Tables'!B146</f>
        <v>0</v>
      </c>
      <c r="C176" s="339">
        <f>+GETPIVOTDATA("Sum of Old-HS % of Total",'Pivot-HS Student % of Undergrad'!$A$3,"State","SC","Category",7,"Category2","Two-Year")</f>
        <v>0</v>
      </c>
      <c r="D176" s="328">
        <f>+'OLD Tables'!C115+'OLD Tables'!C146</f>
        <v>28647.566666666666</v>
      </c>
      <c r="E176" s="339">
        <f>+GETPIVOTDATA("Sum of Old-HS % of Total",'Pivot-HS Student % of Undergrad'!$A$3,"State","SC","Category",8,"Category2","Two-Year")</f>
        <v>6.3505102818505813E-2</v>
      </c>
      <c r="F176" s="328">
        <f>+'OLD Tables'!D115+'OLD Tables'!D146</f>
        <v>20381.533333333333</v>
      </c>
      <c r="G176" s="339">
        <f>+GETPIVOTDATA("Sum of Old-HS % of Total",'Pivot-HS Student % of Undergrad'!$A$3,"State","SC","Category",9,"Category2","Two-Year")</f>
        <v>8.5902925196992053E-2</v>
      </c>
      <c r="H176" s="328">
        <f>+'OLD Tables'!E115+'OLD Tables'!E146</f>
        <v>9778.3666666666668</v>
      </c>
      <c r="I176" s="339">
        <f>+GETPIVOTDATA("Sum of Old-HS % of Total",'Pivot-HS Student % of Undergrad'!$A$3,"State","SC","Category",10,"Category2","Two-Year")</f>
        <v>0.13781101820004021</v>
      </c>
      <c r="J176" s="328">
        <f>+'OLD Tables'!F115+'OLD Tables'!F146</f>
        <v>58807.466666666667</v>
      </c>
      <c r="K176" s="339">
        <f>+GETPIVOTDATA("Sum of Old-HS % of Total",'Pivot-HS Student % of Undergrad'!$A$3,"State","SC","Category2","Group2")</f>
        <v>8.3623168033084228E-2</v>
      </c>
    </row>
    <row r="177" spans="1:13" ht="15" customHeight="1">
      <c r="B177" s="298"/>
      <c r="C177" s="339"/>
      <c r="D177" s="328"/>
      <c r="E177" s="339"/>
      <c r="F177" s="328"/>
      <c r="G177" s="339"/>
      <c r="H177" s="328"/>
      <c r="I177" s="339"/>
      <c r="J177" s="328"/>
      <c r="K177" s="339"/>
    </row>
    <row r="178" spans="1:13" ht="15" customHeight="1">
      <c r="A178" s="15" t="s">
        <v>789</v>
      </c>
      <c r="B178" s="298">
        <f>+'OLD Tables'!B117+'OLD Tables'!B148</f>
        <v>0</v>
      </c>
      <c r="C178" s="339">
        <f>+GETPIVOTDATA("Sum of Old-HS % of Total",'Pivot-HS Student % of Undergrad'!$A$3,"State","TN","Category",7,"Category2","Two-Year")</f>
        <v>0</v>
      </c>
      <c r="D178" s="328">
        <f>+'OLD Tables'!C117+'OLD Tables'!C148</f>
        <v>30490.866666666669</v>
      </c>
      <c r="E178" s="339">
        <f>+GETPIVOTDATA("Sum of Old-HS % of Total",'Pivot-HS Student % of Undergrad'!$A$3,"State","TN","Category",8,"Category2","Two-Year")</f>
        <v>5.8774977424933803E-2</v>
      </c>
      <c r="F178" s="328">
        <f>+'OLD Tables'!D117+'OLD Tables'!D148</f>
        <v>25758.333333333336</v>
      </c>
      <c r="G178" s="339">
        <f>+GETPIVOTDATA("Sum of Old-HS % of Total",'Pivot-HS Student % of Undergrad'!$A$3,"State","TN","Category",9,"Category2","Two-Year")</f>
        <v>0.10166289226787448</v>
      </c>
      <c r="H178" s="328">
        <f>+'OLD Tables'!E117+'OLD Tables'!E148</f>
        <v>1717.4</v>
      </c>
      <c r="I178" s="339">
        <f>+GETPIVOTDATA("Sum of Old-HS % of Total",'Pivot-HS Student % of Undergrad'!$A$3,"State","TN","Category",10,"Category2","Two-Year")</f>
        <v>0.16123209502736696</v>
      </c>
      <c r="J178" s="328">
        <f>+'OLD Tables'!F117+'OLD Tables'!F148</f>
        <v>57966.600000000006</v>
      </c>
      <c r="K178" s="339">
        <f>+GETPIVOTDATA("Sum of Old-HS % of Total",'Pivot-HS Student % of Undergrad'!$A$3,"State","TN","Category2","Group2")</f>
        <v>8.0868408129279049E-2</v>
      </c>
    </row>
    <row r="179" spans="1:13" ht="15" customHeight="1">
      <c r="A179" s="15" t="s">
        <v>790</v>
      </c>
      <c r="B179" s="298">
        <f>+'OLD Tables'!B118+'OLD Tables'!B149</f>
        <v>27146.733333333337</v>
      </c>
      <c r="C179" s="339">
        <f>+GETPIVOTDATA("Sum of Old-HS % of Total",'Pivot-HS Student % of Undergrad'!$A$3,"State","TX","Category",7,"Category2","Two-Year")</f>
        <v>0.27014228643012511</v>
      </c>
      <c r="D179" s="328">
        <f>+'OLD Tables'!C118+'OLD Tables'!C149</f>
        <v>359838.3833333333</v>
      </c>
      <c r="E179" s="339">
        <f>+GETPIVOTDATA("Sum of Old-HS % of Total",'Pivot-HS Student % of Undergrad'!$A$3,"State","TX","Category",8,"Category2","Two-Year")</f>
        <v>0.13513353004843143</v>
      </c>
      <c r="F179" s="328">
        <f>+'OLD Tables'!D118+'OLD Tables'!D149</f>
        <v>82540.918888888889</v>
      </c>
      <c r="G179" s="339">
        <f>+GETPIVOTDATA("Sum of Old-HS % of Total",'Pivot-HS Student % of Undergrad'!$A$3,"State","TX","Category",9,"Category2","Two-Year")</f>
        <v>0.16993958247210467</v>
      </c>
      <c r="H179" s="328">
        <f>+'OLD Tables'!E118+'OLD Tables'!E149</f>
        <v>16715.93</v>
      </c>
      <c r="I179" s="339">
        <f>+GETPIVOTDATA("Sum of Old-HS % of Total",'Pivot-HS Student % of Undergrad'!$A$3,"State","TX","Category",10,"Category2","Two-Year")</f>
        <v>0.15296316014740116</v>
      </c>
      <c r="J179" s="328">
        <f>+'OLD Tables'!F118+'OLD Tables'!F149</f>
        <v>486241.96555555548</v>
      </c>
      <c r="K179" s="339">
        <f>+GETPIVOTDATA("Sum of Old-HS % of Total",'Pivot-HS Student % of Undergrad'!$A$3,"State","TX","Category2","Group2")</f>
        <v>0.14922003366842579</v>
      </c>
    </row>
    <row r="180" spans="1:13" ht="15" customHeight="1">
      <c r="A180" s="15" t="s">
        <v>791</v>
      </c>
      <c r="B180" s="298">
        <f>+'OLD Tables'!B119+'OLD Tables'!B150</f>
        <v>0</v>
      </c>
      <c r="C180" s="339">
        <f>+GETPIVOTDATA("Sum of Old-HS % of Total",'Pivot-HS Student % of Undergrad'!$A$3,"State","VA","Category",7,"Category2","Two-Year")</f>
        <v>0</v>
      </c>
      <c r="D180" s="328">
        <f>+'OLD Tables'!C119+'OLD Tables'!C150</f>
        <v>62193</v>
      </c>
      <c r="E180" s="339">
        <f>+GETPIVOTDATA("Sum of Old-HS % of Total",'Pivot-HS Student % of Undergrad'!$A$3,"State","VA","Category",8,"Category2","Two-Year")</f>
        <v>0.1646198125190938</v>
      </c>
      <c r="F180" s="328">
        <f>+'OLD Tables'!D119+'OLD Tables'!D150</f>
        <v>24557.933333333334</v>
      </c>
      <c r="G180" s="339">
        <f>+GETPIVOTDATA("Sum of Old-HS % of Total",'Pivot-HS Student % of Undergrad'!$A$3,"State","VA","Category",9,"Category2","Two-Year")</f>
        <v>0.4663611758861359</v>
      </c>
      <c r="H180" s="328">
        <f>+'OLD Tables'!E119+'OLD Tables'!E150</f>
        <v>14499.733333333334</v>
      </c>
      <c r="I180" s="339">
        <f>+GETPIVOTDATA("Sum of Old-HS % of Total",'Pivot-HS Student % of Undergrad'!$A$3,"State","VA","Category",10,"Category2","Two-Year")</f>
        <v>0.578760069150697</v>
      </c>
      <c r="J180" s="328">
        <f>+'OLD Tables'!F119+'OLD Tables'!F150</f>
        <v>101250.66666666667</v>
      </c>
      <c r="K180" s="339">
        <f>+GETPIVOTDATA("Sum of Old-HS % of Total",'Pivot-HS Student % of Undergrad'!$A$3,"State","VA","Category2","Group2")</f>
        <v>0.29711343464405171</v>
      </c>
    </row>
    <row r="181" spans="1:13" ht="15" customHeight="1">
      <c r="A181" s="234" t="s">
        <v>792</v>
      </c>
      <c r="B181" s="302">
        <f>+'OLD Tables'!B120+'OLD Tables'!B151</f>
        <v>2904.5333333333333</v>
      </c>
      <c r="C181" s="347">
        <f>+GETPIVOTDATA("Sum of Old-HS % of Total",'Pivot-HS Student % of Undergrad'!$A$3,"State","WV","Category",7,"Category2","Two-Year")</f>
        <v>6.9339882482556001E-2</v>
      </c>
      <c r="D181" s="348">
        <f>+'OLD Tables'!C120+'OLD Tables'!C151</f>
        <v>0</v>
      </c>
      <c r="E181" s="347">
        <f>+GETPIVOTDATA("Sum of Old-HS % of Total",'Pivot-HS Student % of Undergrad'!$A$3,"State","WV","Category",8,"Category2","Two-Year")</f>
        <v>0</v>
      </c>
      <c r="F181" s="348">
        <f>+'OLD Tables'!D120+'OLD Tables'!D151</f>
        <v>2184.1366666666668</v>
      </c>
      <c r="G181" s="347">
        <f>+GETPIVOTDATA("Sum of Old-HS % of Total",'Pivot-HS Student % of Undergrad'!$A$3,"State","WV","Category",9,"Category2","Two-Year")</f>
        <v>0.11168409791206593</v>
      </c>
      <c r="H181" s="348">
        <f>+'OLD Tables'!E120+'OLD Tables'!E151</f>
        <v>7231.2200000000012</v>
      </c>
      <c r="I181" s="347">
        <f>+GETPIVOTDATA("Sum of Old-HS % of Total",'Pivot-HS Student % of Undergrad'!$A$3,"State","WV","Category",10,"Category2","Two-Year")</f>
        <v>7.3606758841062311E-2</v>
      </c>
      <c r="J181" s="348">
        <f>+'OLD Tables'!F120+'OLD Tables'!F151</f>
        <v>12319.890000000001</v>
      </c>
      <c r="K181" s="347">
        <f>+GETPIVOTDATA("Sum of Old-HS % of Total",'Pivot-HS Student % of Undergrad'!$A$3,"State","WV","Category2","Group2")</f>
        <v>7.9351357844915829E-2</v>
      </c>
    </row>
    <row r="182" spans="1:13" ht="37.5" customHeight="1">
      <c r="A182" s="603" t="s">
        <v>965</v>
      </c>
      <c r="B182" s="613"/>
      <c r="C182" s="613"/>
      <c r="D182" s="613"/>
      <c r="E182" s="613"/>
      <c r="F182" s="613"/>
      <c r="G182" s="613"/>
      <c r="H182" s="613"/>
      <c r="I182" s="613"/>
      <c r="J182" s="613"/>
      <c r="K182" s="614"/>
      <c r="L182" s="227"/>
      <c r="M182" s="227"/>
    </row>
    <row r="183" spans="1:13">
      <c r="A183" s="606" t="s">
        <v>956</v>
      </c>
      <c r="B183" s="606"/>
      <c r="C183" s="606"/>
      <c r="D183" s="606"/>
      <c r="E183" s="606"/>
      <c r="F183" s="606"/>
      <c r="G183" s="606"/>
      <c r="H183" s="606"/>
      <c r="I183" s="606"/>
      <c r="J183" s="601"/>
      <c r="K183" s="602"/>
      <c r="L183" s="227"/>
      <c r="M183" s="227"/>
    </row>
    <row r="184" spans="1:13">
      <c r="K184" s="260" t="s">
        <v>953</v>
      </c>
      <c r="M184" s="290"/>
    </row>
    <row r="185" spans="1:13" ht="18">
      <c r="A185" s="184" t="s">
        <v>825</v>
      </c>
      <c r="B185" s="187"/>
      <c r="C185" s="187"/>
      <c r="D185" s="187"/>
      <c r="E185" s="187"/>
      <c r="F185" s="187"/>
      <c r="G185" s="187"/>
      <c r="H185" s="187"/>
      <c r="I185" s="187"/>
      <c r="M185" s="290"/>
    </row>
    <row r="186" spans="1:13" ht="15.5">
      <c r="A186" s="188"/>
      <c r="B186" s="187"/>
      <c r="C186" s="187"/>
      <c r="D186" s="187"/>
      <c r="E186" s="187"/>
      <c r="F186" s="187"/>
      <c r="G186" s="187"/>
      <c r="H186" s="187"/>
      <c r="I186" s="187"/>
      <c r="M186" s="290"/>
    </row>
    <row r="187" spans="1:13" ht="15.5">
      <c r="A187" s="190" t="s">
        <v>796</v>
      </c>
      <c r="B187" s="187"/>
      <c r="C187" s="187"/>
      <c r="D187" s="187"/>
      <c r="E187" s="187"/>
      <c r="F187" s="187"/>
      <c r="G187" s="187"/>
      <c r="H187" s="187"/>
      <c r="I187" s="187"/>
      <c r="M187" s="290"/>
    </row>
    <row r="188" spans="1:13" ht="15.5">
      <c r="A188" s="190" t="s">
        <v>913</v>
      </c>
      <c r="B188" s="187"/>
      <c r="C188" s="187"/>
      <c r="D188" s="187"/>
      <c r="E188" s="187"/>
      <c r="F188" s="187"/>
      <c r="G188" s="187"/>
      <c r="H188" s="187"/>
      <c r="I188" s="187"/>
      <c r="M188" s="290"/>
    </row>
    <row r="189" spans="1:13">
      <c r="C189" s="234"/>
      <c r="D189" s="234"/>
      <c r="E189" s="234"/>
      <c r="F189" s="234"/>
      <c r="G189" s="234"/>
      <c r="M189" s="290"/>
    </row>
    <row r="190" spans="1:13" ht="28.5" customHeight="1">
      <c r="A190" s="197"/>
      <c r="B190" s="355">
        <v>1</v>
      </c>
      <c r="D190" s="356">
        <v>2</v>
      </c>
      <c r="F190" s="357" t="s">
        <v>761</v>
      </c>
      <c r="K190" s="290"/>
    </row>
    <row r="191" spans="1:13" ht="78" customHeight="1">
      <c r="A191" s="319"/>
      <c r="B191" s="313" t="s">
        <v>764</v>
      </c>
      <c r="C191" s="207" t="s">
        <v>765</v>
      </c>
      <c r="D191" s="320" t="s">
        <v>764</v>
      </c>
      <c r="E191" s="207" t="s">
        <v>765</v>
      </c>
      <c r="F191" s="320" t="s">
        <v>764</v>
      </c>
      <c r="G191" s="207" t="s">
        <v>765</v>
      </c>
      <c r="K191" s="290"/>
    </row>
    <row r="192" spans="1:13">
      <c r="A192" s="15" t="s">
        <v>769</v>
      </c>
      <c r="B192" s="298">
        <f>+'OLD Tables'!G100+'OLD Tables'!G131</f>
        <v>84628.817277777795</v>
      </c>
      <c r="D192" s="328">
        <f>+'OLD Tables'!H100+'OLD Tables'!H131</f>
        <v>30332.621499999994</v>
      </c>
      <c r="F192" s="328">
        <f>+'OLD Tables'!I100+'OLD Tables'!I131</f>
        <v>114961.43877777777</v>
      </c>
      <c r="K192" s="290"/>
    </row>
    <row r="193" spans="1:11">
      <c r="A193" s="333"/>
      <c r="B193" s="333"/>
      <c r="C193" s="335" t="s">
        <v>871</v>
      </c>
      <c r="D193" s="337" t="s">
        <v>803</v>
      </c>
      <c r="E193" s="335" t="s">
        <v>872</v>
      </c>
      <c r="F193" s="337" t="s">
        <v>803</v>
      </c>
      <c r="G193" s="335" t="s">
        <v>873</v>
      </c>
      <c r="H193" s="15" t="s">
        <v>803</v>
      </c>
      <c r="K193" s="290"/>
    </row>
    <row r="194" spans="1:11">
      <c r="A194" s="15" t="s">
        <v>777</v>
      </c>
      <c r="B194" s="298">
        <f>+'OLD Tables'!G102+'OLD Tables'!G133</f>
        <v>1398.3666666666666</v>
      </c>
      <c r="C194" s="339">
        <f>+GETPIVOTDATA("Sum of Old-HS % of Total",'Pivot-HS Student % of Undergrad'!$A$3,"State","AL","Category",12,"Category2","Technical")</f>
        <v>4.7841529403351526E-2</v>
      </c>
      <c r="D194" s="328">
        <f>+'OLD Tables'!H102+'OLD Tables'!H133</f>
        <v>1365.3666666666666</v>
      </c>
      <c r="E194" s="339">
        <f>+GETPIVOTDATA("Sum of Old-HS % of Total",'Pivot-HS Student % of Undergrad'!$A$3,"State","AL","Category",13,"Category2","Technical")</f>
        <v>5.5931251678425817E-2</v>
      </c>
      <c r="F194" s="328">
        <f>+'OLD Tables'!I102+'OLD Tables'!I133</f>
        <v>2763.7333333333331</v>
      </c>
      <c r="G194" s="339">
        <f>+GETPIVOTDATA("Sum of Old-HS % of Total",'Pivot-HS Student % of Undergrad'!$A$3,"State","AL","Category2","Group3")</f>
        <v>5.1838093400231572E-2</v>
      </c>
      <c r="K194" s="290"/>
    </row>
    <row r="195" spans="1:11">
      <c r="A195" s="15" t="s">
        <v>778</v>
      </c>
      <c r="B195" s="298">
        <f>+'OLD Tables'!G103+'OLD Tables'!G134</f>
        <v>0</v>
      </c>
      <c r="C195" s="339">
        <f>+GETPIVOTDATA("Sum of Old-HS % of Total",'Pivot-HS Student % of Undergrad'!$A$3,"State","AR","Category",12,"Category2","Technical")</f>
        <v>0</v>
      </c>
      <c r="D195" s="328">
        <f>+'OLD Tables'!H103+'OLD Tables'!H134</f>
        <v>0</v>
      </c>
      <c r="E195" s="339">
        <f>+GETPIVOTDATA("Sum of Old-HS % of Total",'Pivot-HS Student % of Undergrad'!$A$3,"State","AR","Category",13,"Category2","Technical")</f>
        <v>0</v>
      </c>
      <c r="F195" s="328">
        <f>+'OLD Tables'!I103+'OLD Tables'!I134</f>
        <v>0</v>
      </c>
      <c r="G195" s="339">
        <f>+GETPIVOTDATA("Sum of Old-HS % of Total",'Pivot-HS Student % of Undergrad'!$A$3,"State","AR","Category2","Group3")</f>
        <v>0</v>
      </c>
      <c r="K195" s="290"/>
    </row>
    <row r="196" spans="1:11">
      <c r="A196" s="15" t="s">
        <v>779</v>
      </c>
      <c r="B196" s="298">
        <f>+'OLD Tables'!G104+'OLD Tables'!G135</f>
        <v>0</v>
      </c>
      <c r="C196" s="339">
        <f>+GETPIVOTDATA("Sum of Old-HS % of Total",'Pivot-HS Student % of Undergrad'!$A$3,"State","DE","Category",12,"Category2","Technical")</f>
        <v>0</v>
      </c>
      <c r="D196" s="328">
        <f>+'OLD Tables'!H104+'OLD Tables'!H135</f>
        <v>0</v>
      </c>
      <c r="E196" s="339">
        <f>+GETPIVOTDATA("Sum of Old-HS % of Total",'Pivot-HS Student % of Undergrad'!$A$3,"State","DE","Category",13,"Category2","Technical")</f>
        <v>0</v>
      </c>
      <c r="F196" s="328">
        <f>+'OLD Tables'!I104+'OLD Tables'!I135</f>
        <v>0</v>
      </c>
      <c r="G196" s="339">
        <f>+GETPIVOTDATA("Sum of Old-HS % of Total",'Pivot-HS Student % of Undergrad'!$A$3,"State","DE","Category2","Group3")</f>
        <v>0</v>
      </c>
      <c r="K196" s="290"/>
    </row>
    <row r="197" spans="1:11">
      <c r="A197" s="15" t="s">
        <v>780</v>
      </c>
      <c r="B197" s="298">
        <f>+'OLD Tables'!G105+'OLD Tables'!G136</f>
        <v>0</v>
      </c>
      <c r="C197" s="339">
        <f>+GETPIVOTDATA("Sum of Old-HS % of Total",'Pivot-HS Student % of Undergrad'!$A$3,"State","FL","Category",12,"Category2","Technical")</f>
        <v>0</v>
      </c>
      <c r="D197" s="328">
        <f>+'OLD Tables'!H105+'OLD Tables'!H136</f>
        <v>0</v>
      </c>
      <c r="E197" s="339">
        <f>+GETPIVOTDATA("Sum of Old-HS % of Total",'Pivot-HS Student % of Undergrad'!$A$3,"State","FL","Category",13,"Category2","Technical")</f>
        <v>0</v>
      </c>
      <c r="F197" s="328">
        <f>+'OLD Tables'!I105+'OLD Tables'!I136</f>
        <v>0</v>
      </c>
      <c r="G197" s="339">
        <f>+GETPIVOTDATA("Sum of Old-HS % of Total",'Pivot-HS Student % of Undergrad'!$A$3,"State","FL","Category2","Group3")</f>
        <v>0</v>
      </c>
      <c r="K197" s="290"/>
    </row>
    <row r="198" spans="1:11">
      <c r="B198" s="298"/>
      <c r="C198" s="339"/>
      <c r="D198" s="328"/>
      <c r="E198" s="339"/>
      <c r="F198" s="328"/>
      <c r="G198" s="339"/>
      <c r="K198" s="290"/>
    </row>
    <row r="199" spans="1:11">
      <c r="A199" s="15" t="s">
        <v>781</v>
      </c>
      <c r="B199" s="298">
        <f>+'OLD Tables'!G107+'OLD Tables'!G138</f>
        <v>66137.013333333336</v>
      </c>
      <c r="C199" s="339">
        <f>+GETPIVOTDATA("Sum of Old-HS % of Total",'Pivot-HS Student % of Undergrad'!$A$3,"State","GA","Category",12,"Category2","Technical")</f>
        <v>0.14964061475611437</v>
      </c>
      <c r="D199" s="328">
        <f>+'OLD Tables'!H107+'OLD Tables'!H138</f>
        <v>0</v>
      </c>
      <c r="E199" s="339">
        <f>+GETPIVOTDATA("Sum of Old-HS % of Total",'Pivot-HS Student % of Undergrad'!$A$3,"State","GA","Category",13,"Category2","Technical")</f>
        <v>0</v>
      </c>
      <c r="F199" s="328">
        <f>+'OLD Tables'!I107+'OLD Tables'!I138</f>
        <v>66137.013333333336</v>
      </c>
      <c r="G199" s="339">
        <f>+GETPIVOTDATA("Sum of Old-HS % of Total",'Pivot-HS Student % of Undergrad'!$A$3,"State","GA","Category2","Group3")</f>
        <v>0.14964061475611437</v>
      </c>
      <c r="K199" s="290"/>
    </row>
    <row r="200" spans="1:11">
      <c r="A200" s="15" t="s">
        <v>782</v>
      </c>
      <c r="B200" s="298">
        <f>+'OLD Tables'!G108+'OLD Tables'!G139</f>
        <v>4998.6666666666661</v>
      </c>
      <c r="C200" s="339">
        <f>+GETPIVOTDATA("Sum of Old-HS % of Total",'Pivot-HS Student % of Undergrad'!$A$3,"State","KY","Category",12,"Category2","Technical")</f>
        <v>0.12032542011202987</v>
      </c>
      <c r="D200" s="328">
        <f>+'OLD Tables'!H108+'OLD Tables'!H139</f>
        <v>0</v>
      </c>
      <c r="E200" s="339">
        <f>+GETPIVOTDATA("Sum of Old-HS % of Total",'Pivot-HS Student % of Undergrad'!$A$3,"State","KY","Category",13,"Category2","Technical")</f>
        <v>0</v>
      </c>
      <c r="F200" s="328">
        <f>+'OLD Tables'!I108+'OLD Tables'!I139</f>
        <v>4998.6666666666661</v>
      </c>
      <c r="G200" s="339">
        <f>+GETPIVOTDATA("Sum of Old-HS % of Total",'Pivot-HS Student % of Undergrad'!$A$3,"State","KY","Category2","Group3")</f>
        <v>0.12032542011202987</v>
      </c>
      <c r="K200" s="290"/>
    </row>
    <row r="201" spans="1:11">
      <c r="A201" s="15" t="s">
        <v>783</v>
      </c>
      <c r="B201" s="298">
        <f>+'OLD Tables'!G109+'OLD Tables'!G140</f>
        <v>7572.1</v>
      </c>
      <c r="C201" s="339">
        <f>+GETPIVOTDATA("Sum of Old-HS % of Total",'Pivot-HS Student % of Undergrad'!$A$3,"State","LA","Category",12,"Category2","Technical")</f>
        <v>0.11124390855905231</v>
      </c>
      <c r="D201" s="328">
        <f>+'OLD Tables'!H109+'OLD Tables'!H140</f>
        <v>777.23333333333335</v>
      </c>
      <c r="E201" s="339">
        <f>+GETPIVOTDATA("Sum of Old-HS % of Total",'Pivot-HS Student % of Undergrad'!$A$3,"State","LA","Category",13,"Category2","Technical")</f>
        <v>5.7726122571514348E-2</v>
      </c>
      <c r="F201" s="328">
        <f>+'OLD Tables'!I109+'OLD Tables'!I140</f>
        <v>8349.3333333333339</v>
      </c>
      <c r="G201" s="339">
        <f>+GETPIVOTDATA("Sum of Old-HS % of Total",'Pivot-HS Student % of Undergrad'!$A$3,"State","LA","Category2","Group3")</f>
        <v>0.10626197700415203</v>
      </c>
      <c r="K201" s="290"/>
    </row>
    <row r="202" spans="1:11">
      <c r="A202" s="15" t="s">
        <v>784</v>
      </c>
      <c r="B202" s="298">
        <f>+'OLD Tables'!G110+'OLD Tables'!G141</f>
        <v>0</v>
      </c>
      <c r="C202" s="339">
        <f>+GETPIVOTDATA("Sum of Old-HS % of Total",'Pivot-HS Student % of Undergrad'!$A$3,"State","MD","Category",12,"Category2","Technical")</f>
        <v>0</v>
      </c>
      <c r="D202" s="328">
        <f>+'OLD Tables'!H110+'OLD Tables'!H141</f>
        <v>0</v>
      </c>
      <c r="E202" s="339">
        <f>+GETPIVOTDATA("Sum of Old-HS % of Total",'Pivot-HS Student % of Undergrad'!$A$3,"State","MD","Category",13,"Category2","Technical")</f>
        <v>0</v>
      </c>
      <c r="F202" s="328">
        <f>+'OLD Tables'!I110+'OLD Tables'!I141</f>
        <v>0</v>
      </c>
      <c r="G202" s="339">
        <f>+GETPIVOTDATA("Sum of Old-HS % of Total",'Pivot-HS Student % of Undergrad'!$A$3,"State","MD","Category2","Group3")</f>
        <v>0</v>
      </c>
      <c r="K202" s="290"/>
    </row>
    <row r="203" spans="1:11">
      <c r="B203" s="298"/>
      <c r="C203" s="339"/>
      <c r="D203" s="328"/>
      <c r="E203" s="339"/>
      <c r="F203" s="328"/>
      <c r="G203" s="339"/>
      <c r="K203" s="290"/>
    </row>
    <row r="204" spans="1:11">
      <c r="A204" s="15" t="s">
        <v>785</v>
      </c>
      <c r="B204" s="298">
        <f>+'OLD Tables'!G112+'OLD Tables'!G143</f>
        <v>0</v>
      </c>
      <c r="C204" s="339">
        <f>+GETPIVOTDATA("Sum of Old-HS % of Total",'Pivot-HS Student % of Undergrad'!$A$3,"State","MS","Category",12,"Category2","Technical")</f>
        <v>0</v>
      </c>
      <c r="D204" s="328">
        <f>+'OLD Tables'!H112+'OLD Tables'!H143</f>
        <v>0</v>
      </c>
      <c r="E204" s="339">
        <f>+GETPIVOTDATA("Sum of Old-HS % of Total",'Pivot-HS Student % of Undergrad'!$A$3,"State","MS","Category",13,"Category2","Technical")</f>
        <v>0</v>
      </c>
      <c r="F204" s="328">
        <f>+'OLD Tables'!I112+'OLD Tables'!I143</f>
        <v>0</v>
      </c>
      <c r="G204" s="339">
        <f>+GETPIVOTDATA("Sum of Old-HS % of Total",'Pivot-HS Student % of Undergrad'!$A$3,"State","MS","Category2","Group3")</f>
        <v>0</v>
      </c>
      <c r="K204" s="290"/>
    </row>
    <row r="205" spans="1:11">
      <c r="A205" s="15" t="s">
        <v>786</v>
      </c>
      <c r="B205" s="298">
        <f>+'OLD Tables'!G113+'OLD Tables'!G144</f>
        <v>0</v>
      </c>
      <c r="C205" s="339">
        <f>+GETPIVOTDATA("Sum of Old-HS % of Total",'Pivot-HS Student % of Undergrad'!$A$3,"State","NC","Category",12,"Category2","Technical")</f>
        <v>0</v>
      </c>
      <c r="D205" s="328">
        <f>+'OLD Tables'!H113+'OLD Tables'!H144</f>
        <v>0</v>
      </c>
      <c r="E205" s="339">
        <f>+GETPIVOTDATA("Sum of Old-HS % of Total",'Pivot-HS Student % of Undergrad'!$A$3,"State","NC","Category",13,"Category2","Technical")</f>
        <v>0</v>
      </c>
      <c r="F205" s="328">
        <f>+'OLD Tables'!I113+'OLD Tables'!I144</f>
        <v>0</v>
      </c>
      <c r="G205" s="339">
        <f>+GETPIVOTDATA("Sum of Old-HS % of Total",'Pivot-HS Student % of Undergrad'!$A$3,"State","NC","Category2","Group3")</f>
        <v>0</v>
      </c>
      <c r="K205" s="290"/>
    </row>
    <row r="206" spans="1:11">
      <c r="A206" s="15" t="s">
        <v>787</v>
      </c>
      <c r="B206" s="298">
        <f>+'OLD Tables'!G114+'OLD Tables'!G145</f>
        <v>4522.6706111111107</v>
      </c>
      <c r="C206" s="339">
        <f>+GETPIVOTDATA("Sum of Old-HS % of Total",'Pivot-HS Student % of Undergrad'!$A$3,"State","OK","Category",12,"Category2","Technical")</f>
        <v>0</v>
      </c>
      <c r="D206" s="328">
        <f>+'OLD Tables'!H114+'OLD Tables'!H145</f>
        <v>15802.672611111106</v>
      </c>
      <c r="E206" s="339">
        <f>+GETPIVOTDATA("Sum of Old-HS % of Total",'Pivot-HS Student % of Undergrad'!$A$3,"State","OK","Category",13,"Category2","Technical")</f>
        <v>0</v>
      </c>
      <c r="F206" s="328">
        <f>+'OLD Tables'!I114+'OLD Tables'!I145</f>
        <v>20325.343222222218</v>
      </c>
      <c r="G206" s="339">
        <f>+GETPIVOTDATA("Sum of Old-HS % of Total",'Pivot-HS Student % of Undergrad'!$A$3,"State","OK","Category2","Group3")</f>
        <v>0</v>
      </c>
      <c r="K206" s="290"/>
    </row>
    <row r="207" spans="1:11">
      <c r="A207" s="15" t="s">
        <v>788</v>
      </c>
      <c r="B207" s="298">
        <f>+'OLD Tables'!G115+'OLD Tables'!G146</f>
        <v>0</v>
      </c>
      <c r="C207" s="339">
        <f>+GETPIVOTDATA("Sum of Old-HS % of Total",'Pivot-HS Student % of Undergrad'!$A$3,"State","SC","Category",12,"Category2","Technical")</f>
        <v>0</v>
      </c>
      <c r="D207" s="328">
        <f>+'OLD Tables'!H115+'OLD Tables'!H146</f>
        <v>0</v>
      </c>
      <c r="E207" s="339">
        <f>+GETPIVOTDATA("Sum of Old-HS % of Total",'Pivot-HS Student % of Undergrad'!$A$3,"State","SC","Category",13,"Category2","Technical")</f>
        <v>0</v>
      </c>
      <c r="F207" s="328">
        <f>+'OLD Tables'!I115+'OLD Tables'!I146</f>
        <v>0</v>
      </c>
      <c r="G207" s="339">
        <f>+GETPIVOTDATA("Sum of Old-HS % of Total",'Pivot-HS Student % of Undergrad'!$A$3,"State","SC","Category2","Group3")</f>
        <v>0</v>
      </c>
      <c r="K207" s="290"/>
    </row>
    <row r="208" spans="1:11">
      <c r="B208" s="298"/>
      <c r="C208" s="339"/>
      <c r="D208" s="328"/>
      <c r="E208" s="339"/>
      <c r="F208" s="328"/>
      <c r="G208" s="339"/>
      <c r="K208" s="290"/>
    </row>
    <row r="209" spans="1:13">
      <c r="A209" s="15" t="s">
        <v>789</v>
      </c>
      <c r="B209" s="298">
        <f>+'OLD Tables'!G117+'OLD Tables'!G148</f>
        <v>0</v>
      </c>
      <c r="C209" s="339">
        <f>+GETPIVOTDATA("Sum of Old-HS % of Total",'Pivot-HS Student % of Undergrad'!$A$3,"State","TN","Category",12,"Category2","Technical")</f>
        <v>0</v>
      </c>
      <c r="D209" s="328">
        <f>+'OLD Tables'!H117+'OLD Tables'!H148</f>
        <v>12387.348888888891</v>
      </c>
      <c r="E209" s="339">
        <f>+GETPIVOTDATA("Sum of Old-HS % of Total",'Pivot-HS Student % of Undergrad'!$A$3,"State","TN","Category",13,"Category2","Technical")</f>
        <v>0</v>
      </c>
      <c r="F209" s="328">
        <f>+'OLD Tables'!I117+'OLD Tables'!I148</f>
        <v>12387.348888888891</v>
      </c>
      <c r="G209" s="339">
        <f>+GETPIVOTDATA("Sum of Old-HS % of Total",'Pivot-HS Student % of Undergrad'!$A$3,"State","TN","Category2","Group3")</f>
        <v>0</v>
      </c>
      <c r="K209" s="290"/>
    </row>
    <row r="210" spans="1:13">
      <c r="A210" s="15" t="s">
        <v>790</v>
      </c>
      <c r="B210" s="298">
        <f>+'OLD Tables'!G118+'OLD Tables'!G149</f>
        <v>0</v>
      </c>
      <c r="C210" s="339">
        <f>+GETPIVOTDATA("Sum of Old-HS % of Total",'Pivot-HS Student % of Undergrad'!$A$3,"State","TX","Category",12,"Category2","Technical")</f>
        <v>0</v>
      </c>
      <c r="D210" s="328">
        <f>+'OLD Tables'!H118+'OLD Tables'!H149</f>
        <v>0</v>
      </c>
      <c r="E210" s="339">
        <f>+GETPIVOTDATA("Sum of Old-HS % of Total",'Pivot-HS Student % of Undergrad'!$A$3,"State","TX","Category",13,"Category2","Technical")</f>
        <v>0</v>
      </c>
      <c r="F210" s="328">
        <f>+'OLD Tables'!I118+'OLD Tables'!I149</f>
        <v>0</v>
      </c>
      <c r="G210" s="339">
        <f>+GETPIVOTDATA("Sum of Old-HS % of Total",'Pivot-HS Student % of Undergrad'!$A$3,"State","TX","Category2","Group3")</f>
        <v>0</v>
      </c>
      <c r="K210" s="290"/>
    </row>
    <row r="211" spans="1:13">
      <c r="A211" s="15" t="s">
        <v>791</v>
      </c>
      <c r="B211" s="298">
        <f>+'OLD Tables'!G119+'OLD Tables'!G150</f>
        <v>0</v>
      </c>
      <c r="C211" s="339">
        <f>+GETPIVOTDATA("Sum of Old-HS % of Total",'Pivot-HS Student % of Undergrad'!$A$3,"State","VA","Category",12,"Category2","Technical")</f>
        <v>0</v>
      </c>
      <c r="D211" s="328">
        <f>+'OLD Tables'!H119+'OLD Tables'!H150</f>
        <v>0</v>
      </c>
      <c r="E211" s="339">
        <f>+GETPIVOTDATA("Sum of Old-HS % of Total",'Pivot-HS Student % of Undergrad'!$A$3,"State","VA","Category",13,"Category2","Technical")</f>
        <v>0</v>
      </c>
      <c r="F211" s="328">
        <f>+'OLD Tables'!I119+'OLD Tables'!I150</f>
        <v>0</v>
      </c>
      <c r="G211" s="339">
        <f>+GETPIVOTDATA("Sum of Old-HS % of Total",'Pivot-HS Student % of Undergrad'!$A$3,"State","VA","Category2","Group3")</f>
        <v>0</v>
      </c>
      <c r="K211" s="290"/>
    </row>
    <row r="212" spans="1:13">
      <c r="A212" s="234" t="s">
        <v>792</v>
      </c>
      <c r="B212" s="302">
        <f>+'OLD Tables'!G120+'OLD Tables'!G151</f>
        <v>0</v>
      </c>
      <c r="C212" s="347">
        <f>+GETPIVOTDATA("Sum of Old-HS % of Total",'Pivot-HS Student % of Undergrad'!$A$3,"State","WV","Category",12,"Category2","Technical")</f>
        <v>0</v>
      </c>
      <c r="D212" s="348">
        <f>+'OLD Tables'!H120+'OLD Tables'!H151</f>
        <v>0</v>
      </c>
      <c r="E212" s="347">
        <f>+GETPIVOTDATA("Sum of Old-HS % of Total",'Pivot-HS Student % of Undergrad'!$A$3,"State","WV","Category",13,"Category2","Technical")</f>
        <v>0</v>
      </c>
      <c r="F212" s="348">
        <f>+'OLD Tables'!I120+'OLD Tables'!I151</f>
        <v>0</v>
      </c>
      <c r="G212" s="347">
        <f>+GETPIVOTDATA("Sum of Old-HS % of Total",'Pivot-HS Student % of Undergrad'!$A$3,"State","WV","Category2","Group3")</f>
        <v>0</v>
      </c>
      <c r="K212" s="290"/>
    </row>
    <row r="213" spans="1:13" ht="58.5" customHeight="1">
      <c r="A213" s="607" t="s">
        <v>965</v>
      </c>
      <c r="B213" s="607"/>
      <c r="C213" s="607"/>
      <c r="D213" s="607"/>
      <c r="E213" s="607"/>
      <c r="F213" s="607"/>
      <c r="G213" s="607"/>
      <c r="H213" s="408"/>
      <c r="I213" s="408"/>
      <c r="M213" s="290"/>
    </row>
    <row r="214" spans="1:13" ht="10.5" customHeight="1">
      <c r="A214" s="289"/>
      <c r="B214" s="289"/>
      <c r="C214" s="289"/>
      <c r="D214" s="289"/>
      <c r="E214" s="289"/>
      <c r="F214" s="289"/>
      <c r="G214" s="289"/>
      <c r="H214" s="289"/>
      <c r="I214" s="260" t="s">
        <v>953</v>
      </c>
      <c r="M214" s="290"/>
    </row>
    <row r="215" spans="1:13" ht="18">
      <c r="A215" s="409" t="s">
        <v>874</v>
      </c>
      <c r="B215" s="185"/>
      <c r="C215" s="185"/>
      <c r="D215" s="185"/>
      <c r="E215" s="186"/>
      <c r="F215" s="187"/>
      <c r="G215" s="187"/>
      <c r="H215" s="187"/>
    </row>
    <row r="216" spans="1:13" ht="9.75" customHeight="1">
      <c r="A216" s="188"/>
      <c r="B216" s="188"/>
      <c r="C216" s="188"/>
      <c r="D216" s="188"/>
      <c r="E216" s="186"/>
      <c r="F216" s="187"/>
      <c r="G216" s="187"/>
      <c r="H216" s="187"/>
    </row>
    <row r="217" spans="1:13" ht="15.5">
      <c r="A217" s="190" t="s">
        <v>796</v>
      </c>
      <c r="B217" s="190"/>
      <c r="C217" s="190"/>
      <c r="D217" s="190"/>
      <c r="E217" s="186"/>
      <c r="F217" s="187"/>
      <c r="G217" s="187"/>
      <c r="H217" s="187"/>
    </row>
    <row r="218" spans="1:13" ht="15.5">
      <c r="A218" s="190" t="s">
        <v>832</v>
      </c>
      <c r="B218" s="190"/>
      <c r="C218" s="190"/>
      <c r="D218" s="190"/>
      <c r="E218" s="186"/>
      <c r="F218" s="187"/>
      <c r="G218" s="187"/>
      <c r="H218" s="187"/>
    </row>
    <row r="219" spans="1:13" ht="15.5">
      <c r="A219" s="190" t="s">
        <v>914</v>
      </c>
      <c r="B219" s="190"/>
      <c r="C219" s="190"/>
      <c r="D219" s="190"/>
      <c r="E219" s="186"/>
      <c r="F219" s="187"/>
      <c r="G219" s="187"/>
      <c r="H219" s="187"/>
    </row>
    <row r="220" spans="1:13" ht="13.5" customHeight="1"/>
    <row r="221" spans="1:13" ht="63" customHeight="1">
      <c r="A221" s="381"/>
      <c r="B221" s="382" t="s">
        <v>749</v>
      </c>
      <c r="C221" s="202"/>
      <c r="D221" s="382" t="s">
        <v>801</v>
      </c>
      <c r="E221" s="200" t="s">
        <v>803</v>
      </c>
      <c r="F221" s="200" t="s">
        <v>802</v>
      </c>
      <c r="G221" s="383" t="s">
        <v>803</v>
      </c>
      <c r="H221" s="207" t="s">
        <v>5</v>
      </c>
      <c r="I221" s="384"/>
    </row>
    <row r="222" spans="1:13" ht="15" customHeight="1">
      <c r="A222" s="15" t="s">
        <v>769</v>
      </c>
      <c r="B222" s="213">
        <f>+GETPIVOTDATA("Sum of Old Grand Total FTE",'FTE Pivot for regular counts'!$A$2,"Category2","Four-Year")</f>
        <v>2242735.3148333333</v>
      </c>
      <c r="D222" s="227">
        <f>+GETPIVOTDATA("Sum of Old Grand Total FTE",'FTE Pivot for regular counts'!$A$2,"Category2","Two-Year")</f>
        <v>1590477.2961111111</v>
      </c>
      <c r="F222" s="389">
        <f>+GETPIVOTDATA("Sum of Old Grand Total FTE",'FTE Pivot for regular counts'!$A$2,"Category2","Technical")</f>
        <v>114961.43877777779</v>
      </c>
      <c r="G222" s="390"/>
      <c r="H222" s="298">
        <f>+F222+D222+B222</f>
        <v>3948174.0497222221</v>
      </c>
    </row>
    <row r="223" spans="1:13" ht="13.5" customHeight="1">
      <c r="B223" s="227"/>
      <c r="D223" s="227"/>
      <c r="F223" s="389"/>
      <c r="G223" s="390"/>
      <c r="H223" s="298"/>
    </row>
    <row r="224" spans="1:13" ht="15" customHeight="1">
      <c r="A224" s="15" t="s">
        <v>777</v>
      </c>
      <c r="B224" s="227">
        <f>+GETPIVOTDATA("Sum of Old Grand Total FTE",'FTE Pivot for regular counts'!$A$2,"State","AL","Category2","Four-Year")</f>
        <v>142023.98333333334</v>
      </c>
      <c r="D224" s="227">
        <f>+GETPIVOTDATA("Sum of Old Grand Total FTE",'FTE Pivot for regular counts'!$A$2,"State","AL","Category2","Two-Year")</f>
        <v>56625.5</v>
      </c>
      <c r="F224" s="389">
        <f>+GETPIVOTDATA("Sum of Old Grand Total FTE",'FTE Pivot for regular counts'!$A$2,"State","AL","Category2","Technical")</f>
        <v>2763.7333333333331</v>
      </c>
      <c r="G224" s="390"/>
      <c r="H224" s="298">
        <f t="shared" ref="H224:H239" si="0">+F224+D224+B224</f>
        <v>201413.21666666667</v>
      </c>
    </row>
    <row r="225" spans="1:13" ht="15" customHeight="1">
      <c r="A225" s="15" t="s">
        <v>778</v>
      </c>
      <c r="B225" s="227">
        <f>+GETPIVOTDATA("Sum of Old Grand Total FTE",'FTE Pivot for regular counts'!$A$2,"State","AR","Category2","Four-Year")</f>
        <v>83128.225000000006</v>
      </c>
      <c r="D225" s="227">
        <f>+GETPIVOTDATA("Sum of Old Grand Total FTE",'FTE Pivot for regular counts'!$A$2,"State","AR","Category2","Two-Year")</f>
        <v>30992.033333333333</v>
      </c>
      <c r="F225" s="389">
        <f>+GETPIVOTDATA("Sum of Old Grand Total FTE",'FTE Pivot for regular counts'!$A$2,"State","AR","Category2","Technical")</f>
        <v>0</v>
      </c>
      <c r="G225" s="390"/>
      <c r="H225" s="298">
        <f t="shared" si="0"/>
        <v>114120.25833333333</v>
      </c>
    </row>
    <row r="226" spans="1:13" ht="15" customHeight="1">
      <c r="A226" s="15" t="s">
        <v>779</v>
      </c>
      <c r="B226" s="227">
        <f>+GETPIVOTDATA("Sum of Old Grand Total FTE",'FTE Pivot for regular counts'!$A$2,"State","DE","Category2","Four-Year")</f>
        <v>27330.841666666664</v>
      </c>
      <c r="D226" s="227">
        <f>+GETPIVOTDATA("Sum of Old Grand Total FTE",'FTE Pivot for regular counts'!$A$2,"State","DE","Category2","Two-Year")</f>
        <v>9012.6333333333332</v>
      </c>
      <c r="F226" s="389">
        <f>+GETPIVOTDATA("Sum of Old Grand Total FTE",'FTE Pivot for regular counts'!$A$2,"State","DE","Category2","Technical")</f>
        <v>0</v>
      </c>
      <c r="G226" s="390"/>
      <c r="H226" s="298">
        <f t="shared" si="0"/>
        <v>36343.474999999999</v>
      </c>
    </row>
    <row r="227" spans="1:13" ht="15" customHeight="1">
      <c r="A227" s="15" t="s">
        <v>780</v>
      </c>
      <c r="B227" s="227">
        <f>+GETPIVOTDATA("Sum of Old Grand Total FTE",'FTE Pivot for regular counts'!$A$2,"State","FL","Category2","Four-Year")</f>
        <v>0</v>
      </c>
      <c r="D227" s="227">
        <f>+GETPIVOTDATA("Sum of Old Grand Total FTE",'FTE Pivot for regular counts'!$A$2,"State","FL","Category2","Two-Year")</f>
        <v>321843.59444444446</v>
      </c>
      <c r="F227" s="389">
        <f>+GETPIVOTDATA("Sum of Old Grand Total FTE",'FTE Pivot for regular counts'!$A$2,"State","FL","Category2","Technical")</f>
        <v>0</v>
      </c>
      <c r="G227" s="390"/>
      <c r="H227" s="298">
        <f t="shared" si="0"/>
        <v>321843.59444444446</v>
      </c>
    </row>
    <row r="228" spans="1:13" ht="15" customHeight="1">
      <c r="A228" s="15" t="s">
        <v>781</v>
      </c>
      <c r="B228" s="227">
        <f>+GETPIVOTDATA("Sum of Old Grand Total FTE",'FTE Pivot for regular counts'!$A$2,"State","GA","Category2","Four-Year")</f>
        <v>278021.0465</v>
      </c>
      <c r="D228" s="227">
        <f>+GETPIVOTDATA("Sum of Old Grand Total FTE",'FTE Pivot for regular counts'!$A$2,"State","GA","Category2","Two-Year")</f>
        <v>11230.134999999998</v>
      </c>
      <c r="F228" s="389">
        <f>+GETPIVOTDATA("Sum of Old Grand Total FTE",'FTE Pivot for regular counts'!$A$2,"State","GA","Category2","Technical")</f>
        <v>66137.013333333336</v>
      </c>
      <c r="G228" s="390"/>
      <c r="H228" s="298">
        <f t="shared" si="0"/>
        <v>355388.19483333331</v>
      </c>
    </row>
    <row r="229" spans="1:13" ht="15" customHeight="1">
      <c r="A229" s="15" t="s">
        <v>782</v>
      </c>
      <c r="B229" s="227">
        <f>+GETPIVOTDATA("Sum of Old Grand Total FTE",'FTE Pivot for regular counts'!$A$2,"State","KY","Category2","Four-Year")</f>
        <v>96590.71666666666</v>
      </c>
      <c r="D229" s="227">
        <f>+GETPIVOTDATA("Sum of Old Grand Total FTE",'FTE Pivot for regular counts'!$A$2,"State","KY","Category2","Two-Year")</f>
        <v>39512.666666666672</v>
      </c>
      <c r="F229" s="389">
        <f>+GETPIVOTDATA("Sum of Old Grand Total FTE",'FTE Pivot for regular counts'!$A$2,"State","KY","Category2","Technical")</f>
        <v>4998.6666666666661</v>
      </c>
      <c r="G229" s="390"/>
      <c r="H229" s="298">
        <f t="shared" si="0"/>
        <v>141102.04999999999</v>
      </c>
    </row>
    <row r="230" spans="1:13" ht="15" customHeight="1">
      <c r="A230" s="15" t="s">
        <v>783</v>
      </c>
      <c r="B230" s="227">
        <f>+GETPIVOTDATA("Sum of Old Grand Total FTE",'FTE Pivot for regular counts'!$A$2,"State","LA","Category2","Four-Year")</f>
        <v>120472.58749999999</v>
      </c>
      <c r="D230" s="227">
        <f>+GETPIVOTDATA("Sum of Old Grand Total FTE",'FTE Pivot for regular counts'!$A$2,"State","LA","Category2","Two-Year")</f>
        <v>34582.699999999997</v>
      </c>
      <c r="F230" s="389">
        <f>+GETPIVOTDATA("Sum of Old Grand Total FTE",'FTE Pivot for regular counts'!$A$2,"State","LA","Category2","Technical")</f>
        <v>8349.3333333333339</v>
      </c>
      <c r="G230" s="390"/>
      <c r="H230" s="298">
        <f t="shared" si="0"/>
        <v>163404.62083333332</v>
      </c>
    </row>
    <row r="231" spans="1:13" ht="15" customHeight="1">
      <c r="A231" s="15" t="s">
        <v>784</v>
      </c>
      <c r="B231" s="227">
        <f>+GETPIVOTDATA("Sum of Old Grand Total FTE",'FTE Pivot for regular counts'!$A$2,"State","MD","Category2","Four-Year")</f>
        <v>104545.3625</v>
      </c>
      <c r="D231" s="227">
        <f>+GETPIVOTDATA("Sum of Old Grand Total FTE",'FTE Pivot for regular counts'!$A$2,"State","MD","Category2","Two-Year")</f>
        <v>85544.796666666662</v>
      </c>
      <c r="F231" s="389">
        <f>+GETPIVOTDATA("Sum of Old Grand Total FTE",'FTE Pivot for regular counts'!$A$2,"State","MD","Category2","Technical")</f>
        <v>0</v>
      </c>
      <c r="G231" s="390"/>
      <c r="H231" s="298">
        <f t="shared" si="0"/>
        <v>190090.15916666668</v>
      </c>
    </row>
    <row r="232" spans="1:13" ht="12" customHeight="1">
      <c r="A232" s="15" t="s">
        <v>785</v>
      </c>
      <c r="B232" s="227">
        <f>+GETPIVOTDATA("Sum of Old Grand Total FTE",'FTE Pivot for regular counts'!$A$2,"State","MS","Category2","Four-Year")</f>
        <v>71788.195833333331</v>
      </c>
      <c r="D232" s="227">
        <f>+GETPIVOTDATA("Sum of Old Grand Total FTE",'FTE Pivot for regular counts'!$A$2,"State","MS","Category2","Two-Year")</f>
        <v>62593.166666666664</v>
      </c>
      <c r="F232" s="389">
        <f>+GETPIVOTDATA("Sum of Old Grand Total FTE",'FTE Pivot for regular counts'!$A$2,"State","MS","Category2","Technical")</f>
        <v>0</v>
      </c>
      <c r="G232" s="390"/>
      <c r="H232" s="298">
        <f t="shared" si="0"/>
        <v>134381.36249999999</v>
      </c>
    </row>
    <row r="233" spans="1:13" ht="15" customHeight="1">
      <c r="A233" s="15" t="s">
        <v>786</v>
      </c>
      <c r="B233" s="227">
        <f>+GETPIVOTDATA("Sum of Old Grand Total FTE",'FTE Pivot for regular counts'!$A$2,"State","NC","Category2","Four-Year")</f>
        <v>211598.70833333334</v>
      </c>
      <c r="D233" s="227">
        <f>+GETPIVOTDATA("Sum of Old Grand Total FTE",'FTE Pivot for regular counts'!$A$2,"State","NC","Category2","Two-Year")</f>
        <v>180598.31444444446</v>
      </c>
      <c r="F233" s="389">
        <f>+GETPIVOTDATA("Sum of Old Grand Total FTE",'FTE Pivot for regular counts'!$A$2,"State","NC","Category2","Technical")</f>
        <v>0</v>
      </c>
      <c r="G233" s="390"/>
      <c r="H233" s="298">
        <f t="shared" si="0"/>
        <v>392197.02277777781</v>
      </c>
    </row>
    <row r="234" spans="1:13" ht="15" customHeight="1">
      <c r="A234" s="15" t="s">
        <v>787</v>
      </c>
      <c r="B234" s="227">
        <f>+GETPIVOTDATA("Sum of Old Grand Total FTE",'FTE Pivot for regular counts'!$A$2,"State","OK","Category2","Four-Year")</f>
        <v>90625.933333333334</v>
      </c>
      <c r="D234" s="227">
        <f>+GETPIVOTDATA("Sum of Old Grand Total FTE",'FTE Pivot for regular counts'!$A$2,"State","OK","Category2","Two-Year")</f>
        <v>41355.166666666672</v>
      </c>
      <c r="F234" s="389">
        <f>+GETPIVOTDATA("Sum of Old Grand Total FTE",'FTE Pivot for regular counts'!$A$2,"State","OK","Category2","Technical")</f>
        <v>20325.343222222218</v>
      </c>
      <c r="G234" s="390"/>
      <c r="H234" s="298">
        <f t="shared" si="0"/>
        <v>152306.44322222221</v>
      </c>
    </row>
    <row r="235" spans="1:13" ht="15" customHeight="1">
      <c r="A235" s="15" t="s">
        <v>788</v>
      </c>
      <c r="B235" s="227">
        <f>+GETPIVOTDATA("Sum of Old Grand Total FTE",'FTE Pivot for regular counts'!$A$2,"State","SC","Category2","Four-Year")</f>
        <v>107445.63333333333</v>
      </c>
      <c r="D235" s="227">
        <f>+GETPIVOTDATA("Sum of Old Grand Total FTE",'FTE Pivot for regular counts'!$A$2,"State","SC","Category2","Two-Year")</f>
        <v>58807.466666666667</v>
      </c>
      <c r="F235" s="389">
        <f>+GETPIVOTDATA("Sum of Old Grand Total FTE",'FTE Pivot for regular counts'!$A$2,"State","SC","Category2","Technical")</f>
        <v>0</v>
      </c>
      <c r="G235" s="390"/>
      <c r="H235" s="298">
        <f t="shared" si="0"/>
        <v>166253.1</v>
      </c>
    </row>
    <row r="236" spans="1:13" ht="15" customHeight="1">
      <c r="A236" s="15" t="s">
        <v>789</v>
      </c>
      <c r="B236" s="227">
        <f>+GETPIVOTDATA("Sum of Old Grand Total FTE",'FTE Pivot for regular counts'!$A$2,"State","TN","Category2","Four-Year")</f>
        <v>115558.39999999999</v>
      </c>
      <c r="D236" s="227">
        <f>+GETPIVOTDATA("Sum of Old Grand Total FTE",'FTE Pivot for regular counts'!$A$2,"State","TN","Category2","Two-Year")</f>
        <v>57966.600000000006</v>
      </c>
      <c r="F236" s="389">
        <f>+GETPIVOTDATA("Sum of Old Grand Total FTE",'FTE Pivot for regular counts'!$A$2,"State","TN","Category2","Technical")</f>
        <v>12387.348888888891</v>
      </c>
      <c r="G236" s="390"/>
      <c r="H236" s="298">
        <f t="shared" si="0"/>
        <v>185912.3488888889</v>
      </c>
    </row>
    <row r="237" spans="1:13" ht="15" customHeight="1">
      <c r="A237" s="15" t="s">
        <v>790</v>
      </c>
      <c r="B237" s="227">
        <f>+GETPIVOTDATA("Sum of Old Grand Total FTE",'FTE Pivot for regular counts'!$A$2,"State","TX","Category2","Four-Year")</f>
        <v>540580.8833333333</v>
      </c>
      <c r="D237" s="227">
        <f>+GETPIVOTDATA("Sum of Old Grand Total FTE",'FTE Pivot for regular counts'!$A$2,"State","TX","Category2","Two-Year")</f>
        <v>486241.96555555565</v>
      </c>
      <c r="F237" s="389">
        <f>+GETPIVOTDATA("Sum of Old Grand Total FTE",'FTE Pivot for regular counts'!$A$2,"State","TX","Category2","Technical")</f>
        <v>0</v>
      </c>
      <c r="G237" s="390"/>
      <c r="H237" s="298">
        <f t="shared" si="0"/>
        <v>1026822.848888889</v>
      </c>
    </row>
    <row r="238" spans="1:13" ht="15" customHeight="1">
      <c r="A238" s="15" t="s">
        <v>791</v>
      </c>
      <c r="B238" s="227">
        <f>+GETPIVOTDATA("Sum of Old Grand Total FTE",'FTE Pivot for regular counts'!$A$2,"State","VA","Category2","Four-Year")</f>
        <v>200305.1275</v>
      </c>
      <c r="D238" s="227">
        <f>+GETPIVOTDATA("Sum of Old Grand Total FTE",'FTE Pivot for regular counts'!$A$2,"State","VA","Category2","Two-Year")</f>
        <v>101250.66666666667</v>
      </c>
      <c r="F238" s="389">
        <f>+GETPIVOTDATA("Sum of Old Grand Total FTE",'FTE Pivot for regular counts'!$A$2,"State","VA","Category2","Technical")</f>
        <v>0</v>
      </c>
      <c r="G238" s="390"/>
      <c r="H238" s="298">
        <f t="shared" si="0"/>
        <v>301555.79416666669</v>
      </c>
    </row>
    <row r="239" spans="1:13" ht="15" customHeight="1">
      <c r="A239" s="234" t="s">
        <v>792</v>
      </c>
      <c r="B239" s="235">
        <f>+GETPIVOTDATA("Sum of Old Grand Total FTE",'FTE Pivot for regular counts'!$A$2,"State","WV","Category2","Four-Year")</f>
        <v>52719.67</v>
      </c>
      <c r="C239" s="234"/>
      <c r="D239" s="235">
        <f>+GETPIVOTDATA("Sum of Old Grand Total FTE",'FTE Pivot for regular counts'!$A$2,"State","WV","Category2","Two-Year")</f>
        <v>12319.890000000001</v>
      </c>
      <c r="E239" s="234"/>
      <c r="F239" s="397">
        <f>+GETPIVOTDATA("Sum of Old Grand Total FTE",'FTE Pivot for regular counts'!$A$2,"State","WV","Category2","Technical")</f>
        <v>0</v>
      </c>
      <c r="G239" s="398"/>
      <c r="H239" s="298">
        <f t="shared" si="0"/>
        <v>65039.56</v>
      </c>
    </row>
    <row r="240" spans="1:13" ht="20.25" customHeight="1">
      <c r="A240" s="140"/>
      <c r="B240" s="405"/>
      <c r="C240" s="405"/>
      <c r="D240" s="405"/>
      <c r="E240" s="405"/>
      <c r="F240" s="405"/>
      <c r="G240" s="405"/>
      <c r="H240" s="405"/>
      <c r="I240" s="227"/>
      <c r="J240" s="227"/>
      <c r="K240" s="227"/>
      <c r="L240" s="227"/>
      <c r="M240" s="227"/>
    </row>
    <row r="241" spans="1:8" ht="71.25" customHeight="1">
      <c r="A241" s="607" t="s">
        <v>965</v>
      </c>
      <c r="B241" s="612"/>
      <c r="C241" s="612"/>
      <c r="D241" s="612"/>
      <c r="E241" s="612"/>
      <c r="F241" s="612"/>
      <c r="G241" s="612"/>
      <c r="H241" s="612"/>
    </row>
    <row r="242" spans="1:8">
      <c r="H242" s="260"/>
    </row>
  </sheetData>
  <mergeCells count="17">
    <mergeCell ref="A182:K182"/>
    <mergeCell ref="A213:G213"/>
    <mergeCell ref="A241:H241"/>
    <mergeCell ref="A96:J96"/>
    <mergeCell ref="A121:I121"/>
    <mergeCell ref="A124:J124"/>
    <mergeCell ref="A126:J126"/>
    <mergeCell ref="A127:J127"/>
    <mergeCell ref="A152:I152"/>
    <mergeCell ref="A122:I122"/>
    <mergeCell ref="A183:I183"/>
    <mergeCell ref="A95:J95"/>
    <mergeCell ref="B6:G6"/>
    <mergeCell ref="A30:O30"/>
    <mergeCell ref="A60:H60"/>
    <mergeCell ref="A91:H91"/>
    <mergeCell ref="A93:J93"/>
  </mergeCells>
  <printOptions horizontalCentered="1"/>
  <pageMargins left="0.5" right="0.44" top="1" bottom="0.85" header="0.75" footer="0.5"/>
  <pageSetup scale="89" firstPageNumber="80" fitToHeight="7" orientation="landscape" useFirstPageNumber="1" r:id="rId1"/>
  <headerFooter alignWithMargins="0">
    <oddHeader>&amp;RSREB-State Data Exchange</oddHeader>
    <oddFooter>&amp;CC-&amp;P</oddFooter>
  </headerFooter>
  <rowBreaks count="6" manualBreakCount="6">
    <brk id="31" max="14" man="1"/>
    <brk id="62" max="14" man="1"/>
    <brk id="92" max="14" man="1"/>
    <brk id="123" max="14" man="1"/>
    <brk id="153" max="14" man="1"/>
    <brk id="184" max="14"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8000"/>
  </sheetPr>
  <dimension ref="A1:AK209"/>
  <sheetViews>
    <sheetView workbookViewId="0">
      <pane xSplit="2" ySplit="4" topLeftCell="C26" activePane="bottomRight" state="frozen"/>
      <selection pane="topRight" activeCell="C1" sqref="C1"/>
      <selection pane="bottomLeft" activeCell="A5" sqref="A5"/>
      <selection pane="bottomRight" sqref="A1:XFD1048576"/>
    </sheetView>
  </sheetViews>
  <sheetFormatPr defaultColWidth="9.33203125" defaultRowHeight="12.5"/>
  <cols>
    <col min="1" max="1" width="7.44140625" style="15" customWidth="1"/>
    <col min="2" max="2" width="46.6640625" style="15" customWidth="1"/>
    <col min="3" max="8" width="16.109375" style="15" customWidth="1"/>
    <col min="9" max="9" width="17.44140625" style="15" customWidth="1"/>
    <col min="10" max="13" width="14.33203125" style="15" customWidth="1"/>
    <col min="14" max="14" width="17" style="15" customWidth="1"/>
    <col min="15" max="15" width="13.77734375" style="15" customWidth="1"/>
    <col min="16" max="16" width="13.77734375" style="15" hidden="1" customWidth="1"/>
    <col min="17" max="18" width="14.44140625" style="15" customWidth="1"/>
    <col min="19" max="19" width="11.6640625" style="15" customWidth="1"/>
    <col min="20" max="20" width="8.44140625" style="15" customWidth="1"/>
    <col min="21" max="21" width="10.77734375" style="15" customWidth="1"/>
    <col min="22" max="22" width="9.77734375" style="15" customWidth="1"/>
    <col min="23" max="23" width="12.109375" style="15" customWidth="1"/>
    <col min="24" max="24" width="9.77734375" style="15" customWidth="1"/>
    <col min="25" max="25" width="12.109375" style="15" customWidth="1"/>
    <col min="26" max="26" width="8.6640625" style="15" customWidth="1"/>
    <col min="27" max="27" width="12.109375" style="15" customWidth="1"/>
    <col min="28" max="29" width="1.44140625" style="15" customWidth="1"/>
    <col min="30" max="30" width="2.109375" style="15" customWidth="1"/>
    <col min="31" max="31" width="14.44140625" style="15" customWidth="1"/>
    <col min="32" max="32" width="13.6640625" style="15" customWidth="1"/>
    <col min="33" max="33" width="12.6640625" style="15" customWidth="1"/>
    <col min="34" max="34" width="16" style="15" customWidth="1"/>
    <col min="35" max="35" width="16.44140625" style="15" customWidth="1"/>
    <col min="36" max="36" width="14.6640625" style="15" customWidth="1"/>
    <col min="37" max="37" width="14" style="15" customWidth="1"/>
    <col min="38" max="16384" width="9.33203125" style="15"/>
  </cols>
  <sheetData>
    <row r="1" spans="1:31">
      <c r="M1" s="75"/>
      <c r="T1" s="76"/>
      <c r="U1" s="76"/>
      <c r="V1" s="76"/>
      <c r="W1" s="76"/>
      <c r="X1" s="76"/>
      <c r="Y1" s="76"/>
      <c r="Z1" s="76"/>
      <c r="AA1" s="76"/>
    </row>
    <row r="2" spans="1:31">
      <c r="C2" s="15" t="s">
        <v>727</v>
      </c>
      <c r="E2" s="77"/>
      <c r="F2" s="77"/>
      <c r="G2" s="77"/>
      <c r="H2" s="77"/>
      <c r="I2" s="77"/>
      <c r="J2" s="78"/>
      <c r="K2" s="77"/>
      <c r="L2" s="77"/>
      <c r="M2" s="79"/>
      <c r="N2" s="80"/>
      <c r="O2" s="78"/>
      <c r="P2" s="77"/>
      <c r="Q2" s="77"/>
      <c r="R2" s="77"/>
      <c r="S2" s="77"/>
      <c r="T2" s="81"/>
      <c r="U2" s="81"/>
      <c r="V2" s="81"/>
      <c r="W2" s="81"/>
      <c r="X2" s="81"/>
      <c r="Y2" s="81"/>
      <c r="Z2" s="81"/>
      <c r="AA2" s="82"/>
      <c r="AB2" s="83"/>
      <c r="AC2" s="84"/>
      <c r="AD2" s="85"/>
      <c r="AE2"/>
    </row>
    <row r="3" spans="1:31" ht="25">
      <c r="A3" s="86"/>
      <c r="B3" s="77"/>
      <c r="C3" s="86" t="s">
        <v>749</v>
      </c>
      <c r="D3" s="77"/>
      <c r="E3" s="77"/>
      <c r="F3" s="77"/>
      <c r="G3" s="77"/>
      <c r="H3" s="77"/>
      <c r="I3" s="87" t="s">
        <v>748</v>
      </c>
      <c r="J3" s="86" t="s">
        <v>750</v>
      </c>
      <c r="K3" s="77"/>
      <c r="L3" s="77"/>
      <c r="M3" s="77"/>
      <c r="N3" s="87" t="s">
        <v>751</v>
      </c>
      <c r="O3" s="86">
        <v>11</v>
      </c>
      <c r="P3" s="77" t="s">
        <v>847</v>
      </c>
      <c r="Q3" s="87" t="s">
        <v>752</v>
      </c>
      <c r="R3" s="86"/>
      <c r="S3" s="86" t="s">
        <v>753</v>
      </c>
      <c r="T3" s="88" t="s">
        <v>669</v>
      </c>
      <c r="U3" s="88" t="s">
        <v>722</v>
      </c>
      <c r="V3" s="88" t="s">
        <v>670</v>
      </c>
      <c r="W3" s="88" t="s">
        <v>723</v>
      </c>
      <c r="X3" s="88" t="s">
        <v>671</v>
      </c>
      <c r="Y3" s="88" t="s">
        <v>724</v>
      </c>
      <c r="Z3" s="88" t="s">
        <v>908</v>
      </c>
      <c r="AA3" s="89" t="s">
        <v>909</v>
      </c>
      <c r="AB3" s="90">
        <v>15</v>
      </c>
      <c r="AC3" s="91" t="s">
        <v>907</v>
      </c>
      <c r="AD3" s="85" t="s">
        <v>5</v>
      </c>
      <c r="AE3"/>
    </row>
    <row r="4" spans="1:31">
      <c r="A4" s="86" t="s">
        <v>719</v>
      </c>
      <c r="B4" s="92" t="s">
        <v>754</v>
      </c>
      <c r="C4" s="93">
        <v>1</v>
      </c>
      <c r="D4" s="94">
        <v>2</v>
      </c>
      <c r="E4" s="94">
        <v>3</v>
      </c>
      <c r="F4" s="94">
        <v>4</v>
      </c>
      <c r="G4" s="94">
        <v>5</v>
      </c>
      <c r="H4" s="94">
        <v>6</v>
      </c>
      <c r="I4" s="95"/>
      <c r="J4" s="96">
        <v>7</v>
      </c>
      <c r="K4" s="97">
        <v>8</v>
      </c>
      <c r="L4" s="97">
        <v>9</v>
      </c>
      <c r="M4" s="97">
        <v>10</v>
      </c>
      <c r="N4" s="95"/>
      <c r="O4" s="96">
        <v>11</v>
      </c>
      <c r="P4" s="97"/>
      <c r="Q4" s="95">
        <v>12</v>
      </c>
      <c r="R4" s="86">
        <v>13</v>
      </c>
      <c r="S4" s="98"/>
      <c r="T4" s="88" t="s">
        <v>669</v>
      </c>
      <c r="U4" s="99"/>
      <c r="V4" s="100" t="s">
        <v>670</v>
      </c>
      <c r="W4" s="101"/>
      <c r="X4" s="100" t="s">
        <v>671</v>
      </c>
      <c r="Y4" s="101"/>
      <c r="Z4" s="88" t="s">
        <v>908</v>
      </c>
      <c r="AA4" s="102"/>
      <c r="AB4" s="90">
        <v>15</v>
      </c>
      <c r="AC4" s="103"/>
      <c r="AD4" s="85"/>
      <c r="AE4"/>
    </row>
    <row r="5" spans="1:31" ht="13">
      <c r="A5" s="104" t="s">
        <v>72</v>
      </c>
      <c r="B5" s="92" t="s">
        <v>720</v>
      </c>
      <c r="C5" s="86">
        <v>65901.466666666674</v>
      </c>
      <c r="D5" s="80">
        <v>15565.3</v>
      </c>
      <c r="E5" s="80">
        <v>26008.033333333336</v>
      </c>
      <c r="F5" s="80">
        <v>7914.333333333333</v>
      </c>
      <c r="G5" s="80">
        <v>4163.7333333333336</v>
      </c>
      <c r="H5" s="80">
        <v>2182.8666666666668</v>
      </c>
      <c r="I5" s="86">
        <v>121735.73333333335</v>
      </c>
      <c r="J5" s="86"/>
      <c r="K5" s="80">
        <v>12225.266666666666</v>
      </c>
      <c r="L5" s="80">
        <v>33894.866666666669</v>
      </c>
      <c r="M5" s="80">
        <v>10505.366666666669</v>
      </c>
      <c r="N5" s="86">
        <v>56625.5</v>
      </c>
      <c r="O5" s="86"/>
      <c r="P5" s="80"/>
      <c r="Q5" s="86">
        <v>1398.3666666666666</v>
      </c>
      <c r="R5" s="86">
        <v>1365.3666666666666</v>
      </c>
      <c r="S5" s="86">
        <v>2763.7333333333331</v>
      </c>
      <c r="T5" s="88"/>
      <c r="U5" s="88"/>
      <c r="V5" s="88"/>
      <c r="W5" s="88"/>
      <c r="X5" s="88"/>
      <c r="Y5" s="88"/>
      <c r="Z5" s="88"/>
      <c r="AA5" s="105"/>
      <c r="AB5" s="90"/>
      <c r="AC5" s="91"/>
      <c r="AD5" s="85">
        <v>181124.9666666667</v>
      </c>
      <c r="AE5"/>
    </row>
    <row r="6" spans="1:31" ht="13">
      <c r="A6" s="106"/>
      <c r="B6" s="107" t="s">
        <v>721</v>
      </c>
      <c r="C6" s="108">
        <v>65781.366666666669</v>
      </c>
      <c r="D6" s="85">
        <v>15493.333333333334</v>
      </c>
      <c r="E6" s="85">
        <v>27118.033333333333</v>
      </c>
      <c r="F6" s="85">
        <v>7664.9333333333334</v>
      </c>
      <c r="G6" s="85">
        <v>4179.7</v>
      </c>
      <c r="H6" s="85">
        <v>2136.4333333333334</v>
      </c>
      <c r="I6" s="108">
        <v>122373.8</v>
      </c>
      <c r="J6" s="108"/>
      <c r="K6" s="85">
        <v>12040</v>
      </c>
      <c r="L6" s="85">
        <v>33427.433333333334</v>
      </c>
      <c r="M6" s="85">
        <v>10410.466666666667</v>
      </c>
      <c r="N6" s="108">
        <v>55877.9</v>
      </c>
      <c r="O6" s="108"/>
      <c r="P6" s="85"/>
      <c r="Q6" s="108">
        <v>1477.9</v>
      </c>
      <c r="R6" s="108">
        <v>1503.8333333333333</v>
      </c>
      <c r="S6" s="108">
        <v>2981.7333333333336</v>
      </c>
      <c r="T6" s="109"/>
      <c r="U6" s="109"/>
      <c r="V6" s="109"/>
      <c r="W6" s="109"/>
      <c r="X6" s="109"/>
      <c r="Y6" s="109"/>
      <c r="Z6" s="109"/>
      <c r="AA6" s="110"/>
      <c r="AB6" s="111"/>
      <c r="AC6" s="112"/>
      <c r="AD6" s="85">
        <v>181233.43333333335</v>
      </c>
      <c r="AE6"/>
    </row>
    <row r="7" spans="1:31" ht="13">
      <c r="A7" s="106"/>
      <c r="B7" s="113" t="s">
        <v>740</v>
      </c>
      <c r="C7" s="114">
        <v>-1.8224177104809878E-3</v>
      </c>
      <c r="D7" s="115">
        <v>-4.6235322587207016E-3</v>
      </c>
      <c r="E7" s="115">
        <v>4.2679120938274057E-2</v>
      </c>
      <c r="F7" s="115">
        <v>-3.1512445773491091E-2</v>
      </c>
      <c r="G7" s="115">
        <v>3.8346996285383889E-3</v>
      </c>
      <c r="H7" s="115">
        <v>-2.1271722200164947E-2</v>
      </c>
      <c r="I7" s="114">
        <v>5.2414081650086659E-3</v>
      </c>
      <c r="J7" s="114">
        <v>0</v>
      </c>
      <c r="K7" s="115">
        <v>-1.5154406993167138E-2</v>
      </c>
      <c r="L7" s="115">
        <v>-1.3790682168194622E-2</v>
      </c>
      <c r="M7" s="115">
        <v>-9.0334781270526594E-3</v>
      </c>
      <c r="N7" s="114">
        <v>-1.3202532427969576E-2</v>
      </c>
      <c r="O7" s="116">
        <v>0</v>
      </c>
      <c r="P7" s="115">
        <v>0</v>
      </c>
      <c r="Q7" s="114">
        <v>5.6875879001692595E-2</v>
      </c>
      <c r="R7" s="114">
        <v>0.10141353970850324</v>
      </c>
      <c r="S7" s="114">
        <v>7.8878811269780011E-2</v>
      </c>
      <c r="T7" s="117">
        <v>0</v>
      </c>
      <c r="U7" s="117">
        <v>0</v>
      </c>
      <c r="V7" s="117">
        <v>0</v>
      </c>
      <c r="W7" s="117">
        <v>0</v>
      </c>
      <c r="X7" s="117">
        <v>0</v>
      </c>
      <c r="Y7" s="117">
        <v>0</v>
      </c>
      <c r="Z7" s="117">
        <v>0</v>
      </c>
      <c r="AA7" s="118">
        <v>0</v>
      </c>
      <c r="AB7" s="119">
        <v>0</v>
      </c>
      <c r="AC7" s="120">
        <v>0</v>
      </c>
      <c r="AD7" s="115">
        <v>5.9884989166735761E-4</v>
      </c>
      <c r="AE7"/>
    </row>
    <row r="8" spans="1:31" ht="13">
      <c r="A8" s="106"/>
      <c r="B8" s="107" t="s">
        <v>728</v>
      </c>
      <c r="C8" s="108">
        <v>0</v>
      </c>
      <c r="D8" s="85">
        <v>0</v>
      </c>
      <c r="E8" s="85">
        <v>0</v>
      </c>
      <c r="F8" s="85">
        <v>0</v>
      </c>
      <c r="G8" s="85">
        <v>0</v>
      </c>
      <c r="H8" s="85">
        <v>0</v>
      </c>
      <c r="I8" s="108">
        <v>0</v>
      </c>
      <c r="J8" s="108"/>
      <c r="K8" s="85">
        <v>0</v>
      </c>
      <c r="L8" s="85">
        <v>0</v>
      </c>
      <c r="M8" s="85">
        <v>0</v>
      </c>
      <c r="N8" s="108">
        <v>0</v>
      </c>
      <c r="O8" s="121"/>
      <c r="P8" s="85"/>
      <c r="Q8" s="108">
        <v>0</v>
      </c>
      <c r="R8" s="108">
        <v>0</v>
      </c>
      <c r="S8" s="108">
        <v>0</v>
      </c>
      <c r="T8" s="109"/>
      <c r="U8" s="109"/>
      <c r="V8" s="109"/>
      <c r="W8" s="109"/>
      <c r="X8" s="109"/>
      <c r="Y8" s="109"/>
      <c r="Z8" s="109"/>
      <c r="AA8" s="122"/>
      <c r="AB8" s="111"/>
      <c r="AC8" s="112"/>
      <c r="AD8" s="85">
        <v>0</v>
      </c>
      <c r="AE8"/>
    </row>
    <row r="9" spans="1:31" ht="13">
      <c r="A9" s="106"/>
      <c r="B9" s="107" t="s">
        <v>730</v>
      </c>
      <c r="C9" s="108">
        <v>0</v>
      </c>
      <c r="D9" s="85">
        <v>0</v>
      </c>
      <c r="E9" s="85">
        <v>0</v>
      </c>
      <c r="F9" s="85">
        <v>0</v>
      </c>
      <c r="G9" s="85">
        <v>0</v>
      </c>
      <c r="H9" s="85">
        <v>0</v>
      </c>
      <c r="I9" s="108">
        <v>0</v>
      </c>
      <c r="J9" s="108"/>
      <c r="K9" s="85">
        <v>0</v>
      </c>
      <c r="L9" s="85">
        <v>0</v>
      </c>
      <c r="M9" s="85">
        <v>0</v>
      </c>
      <c r="N9" s="108">
        <v>0</v>
      </c>
      <c r="O9" s="121"/>
      <c r="P9" s="85"/>
      <c r="Q9" s="108">
        <v>0</v>
      </c>
      <c r="R9" s="108">
        <v>0</v>
      </c>
      <c r="S9" s="108">
        <v>0</v>
      </c>
      <c r="T9" s="109"/>
      <c r="U9" s="109"/>
      <c r="V9" s="109"/>
      <c r="W9" s="109"/>
      <c r="X9" s="109"/>
      <c r="Y9" s="109"/>
      <c r="Z9" s="109"/>
      <c r="AA9" s="122"/>
      <c r="AB9" s="111"/>
      <c r="AC9" s="112"/>
      <c r="AD9" s="85">
        <v>0</v>
      </c>
      <c r="AE9"/>
    </row>
    <row r="10" spans="1:31" ht="13">
      <c r="A10" s="106"/>
      <c r="B10" s="113" t="s">
        <v>742</v>
      </c>
      <c r="C10" s="114">
        <v>0</v>
      </c>
      <c r="D10" s="115">
        <v>0</v>
      </c>
      <c r="E10" s="115">
        <v>0</v>
      </c>
      <c r="F10" s="115">
        <v>0</v>
      </c>
      <c r="G10" s="115">
        <v>0</v>
      </c>
      <c r="H10" s="115">
        <v>0</v>
      </c>
      <c r="I10" s="114">
        <v>0</v>
      </c>
      <c r="J10" s="114">
        <v>0</v>
      </c>
      <c r="K10" s="115">
        <v>0</v>
      </c>
      <c r="L10" s="115">
        <v>0</v>
      </c>
      <c r="M10" s="115">
        <v>0</v>
      </c>
      <c r="N10" s="114">
        <v>0</v>
      </c>
      <c r="O10" s="116">
        <v>0</v>
      </c>
      <c r="P10" s="115">
        <v>0</v>
      </c>
      <c r="Q10" s="114">
        <v>0</v>
      </c>
      <c r="R10" s="114">
        <v>0</v>
      </c>
      <c r="S10" s="114">
        <v>0</v>
      </c>
      <c r="T10" s="117">
        <v>0</v>
      </c>
      <c r="U10" s="117">
        <v>0</v>
      </c>
      <c r="V10" s="117">
        <v>0</v>
      </c>
      <c r="W10" s="117">
        <v>0</v>
      </c>
      <c r="X10" s="117">
        <v>0</v>
      </c>
      <c r="Y10" s="117">
        <v>0</v>
      </c>
      <c r="Z10" s="117">
        <v>0</v>
      </c>
      <c r="AA10" s="118">
        <v>0</v>
      </c>
      <c r="AB10" s="119">
        <v>0</v>
      </c>
      <c r="AC10" s="120">
        <v>0</v>
      </c>
      <c r="AD10" s="115">
        <v>0</v>
      </c>
      <c r="AE10"/>
    </row>
    <row r="11" spans="1:31" ht="13">
      <c r="A11" s="106"/>
      <c r="B11" s="107" t="s">
        <v>732</v>
      </c>
      <c r="C11" s="108">
        <v>10989.333333333334</v>
      </c>
      <c r="D11" s="85">
        <v>2001.9583333333335</v>
      </c>
      <c r="E11" s="85">
        <v>3711.3333333333335</v>
      </c>
      <c r="F11" s="85">
        <v>960.33333333333326</v>
      </c>
      <c r="G11" s="85">
        <v>2526.291666666667</v>
      </c>
      <c r="H11" s="85">
        <v>99</v>
      </c>
      <c r="I11" s="108">
        <v>20288.25</v>
      </c>
      <c r="J11" s="108"/>
      <c r="K11" s="85">
        <v>0</v>
      </c>
      <c r="L11" s="85">
        <v>0</v>
      </c>
      <c r="M11" s="85">
        <v>0</v>
      </c>
      <c r="N11" s="108">
        <v>0</v>
      </c>
      <c r="O11" s="121"/>
      <c r="P11" s="85"/>
      <c r="Q11" s="108">
        <v>0</v>
      </c>
      <c r="R11" s="108">
        <v>0</v>
      </c>
      <c r="S11" s="108">
        <v>0</v>
      </c>
      <c r="T11" s="109"/>
      <c r="U11" s="109"/>
      <c r="V11" s="109"/>
      <c r="W11" s="109"/>
      <c r="X11" s="109"/>
      <c r="Y11" s="109"/>
      <c r="Z11" s="109"/>
      <c r="AA11" s="122"/>
      <c r="AB11" s="111"/>
      <c r="AC11" s="112"/>
      <c r="AD11" s="85">
        <v>20288.25</v>
      </c>
      <c r="AE11"/>
    </row>
    <row r="12" spans="1:31" ht="13">
      <c r="A12" s="106"/>
      <c r="B12" s="107" t="s">
        <v>734</v>
      </c>
      <c r="C12" s="108">
        <v>11073.583333333334</v>
      </c>
      <c r="D12" s="85">
        <v>2025.5833333333335</v>
      </c>
      <c r="E12" s="85">
        <v>4185.5</v>
      </c>
      <c r="F12" s="85">
        <v>959.625</v>
      </c>
      <c r="G12" s="85">
        <v>2964</v>
      </c>
      <c r="H12" s="85">
        <v>100.625</v>
      </c>
      <c r="I12" s="108">
        <v>21308.916666666668</v>
      </c>
      <c r="J12" s="108"/>
      <c r="K12" s="85">
        <v>0</v>
      </c>
      <c r="L12" s="85">
        <v>0</v>
      </c>
      <c r="M12" s="85">
        <v>0</v>
      </c>
      <c r="N12" s="108">
        <v>0</v>
      </c>
      <c r="O12" s="121"/>
      <c r="P12" s="85"/>
      <c r="Q12" s="108">
        <v>0</v>
      </c>
      <c r="R12" s="108">
        <v>0</v>
      </c>
      <c r="S12" s="108">
        <v>0</v>
      </c>
      <c r="T12" s="109"/>
      <c r="U12" s="109"/>
      <c r="V12" s="109"/>
      <c r="W12" s="109"/>
      <c r="X12" s="109"/>
      <c r="Y12" s="109"/>
      <c r="Z12" s="109"/>
      <c r="AA12" s="122"/>
      <c r="AB12" s="111"/>
      <c r="AC12" s="112"/>
      <c r="AD12" s="85">
        <v>21308.916666666668</v>
      </c>
      <c r="AE12"/>
    </row>
    <row r="13" spans="1:31" ht="13">
      <c r="A13" s="106"/>
      <c r="B13" s="113" t="s">
        <v>744</v>
      </c>
      <c r="C13" s="114">
        <v>7.6665251152632855E-3</v>
      </c>
      <c r="D13" s="115">
        <v>1.1800944908110808E-2</v>
      </c>
      <c r="E13" s="115">
        <v>0.12776181067001971</v>
      </c>
      <c r="F13" s="115">
        <v>-7.3759111419638066E-4</v>
      </c>
      <c r="G13" s="115">
        <v>0.1732612030149592</v>
      </c>
      <c r="H13" s="115">
        <v>1.6414141414141416E-2</v>
      </c>
      <c r="I13" s="114">
        <v>5.0308265457428211E-2</v>
      </c>
      <c r="J13" s="114">
        <v>0</v>
      </c>
      <c r="K13" s="115">
        <v>0</v>
      </c>
      <c r="L13" s="115">
        <v>0</v>
      </c>
      <c r="M13" s="115">
        <v>0</v>
      </c>
      <c r="N13" s="114">
        <v>0</v>
      </c>
      <c r="O13" s="116">
        <v>0</v>
      </c>
      <c r="P13" s="115">
        <v>0</v>
      </c>
      <c r="Q13" s="114">
        <v>0</v>
      </c>
      <c r="R13" s="114">
        <v>0</v>
      </c>
      <c r="S13" s="114">
        <v>0</v>
      </c>
      <c r="T13" s="117">
        <v>0</v>
      </c>
      <c r="U13" s="117">
        <v>0</v>
      </c>
      <c r="V13" s="117">
        <v>0</v>
      </c>
      <c r="W13" s="117">
        <v>0</v>
      </c>
      <c r="X13" s="117">
        <v>0</v>
      </c>
      <c r="Y13" s="117">
        <v>0</v>
      </c>
      <c r="Z13" s="117">
        <v>0</v>
      </c>
      <c r="AA13" s="118">
        <v>0</v>
      </c>
      <c r="AB13" s="119">
        <v>0</v>
      </c>
      <c r="AC13" s="120">
        <v>0</v>
      </c>
      <c r="AD13" s="115">
        <v>5.0308265457428211E-2</v>
      </c>
      <c r="AE13"/>
    </row>
    <row r="14" spans="1:31" ht="13">
      <c r="A14" s="106"/>
      <c r="B14" s="107" t="s">
        <v>736</v>
      </c>
      <c r="C14" s="108">
        <v>76890.8</v>
      </c>
      <c r="D14" s="85">
        <v>17567.258333333331</v>
      </c>
      <c r="E14" s="85">
        <v>29719.366666666665</v>
      </c>
      <c r="F14" s="85">
        <v>8874.6666666666661</v>
      </c>
      <c r="G14" s="85">
        <v>6690.0249999999996</v>
      </c>
      <c r="H14" s="85">
        <v>2281.8666666666668</v>
      </c>
      <c r="I14" s="108">
        <v>142023.98333333334</v>
      </c>
      <c r="J14" s="108"/>
      <c r="K14" s="85">
        <v>12225.266666666666</v>
      </c>
      <c r="L14" s="85">
        <v>33894.866666666669</v>
      </c>
      <c r="M14" s="85">
        <v>10505.366666666669</v>
      </c>
      <c r="N14" s="108">
        <v>56625.5</v>
      </c>
      <c r="O14" s="121"/>
      <c r="P14" s="85"/>
      <c r="Q14" s="108">
        <v>1398.3666666666666</v>
      </c>
      <c r="R14" s="108">
        <v>1365.3666666666666</v>
      </c>
      <c r="S14" s="108">
        <v>2763.7333333333331</v>
      </c>
      <c r="T14" s="109"/>
      <c r="U14" s="109"/>
      <c r="V14" s="109"/>
      <c r="W14" s="109"/>
      <c r="X14" s="109"/>
      <c r="Y14" s="109"/>
      <c r="Z14" s="109"/>
      <c r="AA14" s="122"/>
      <c r="AB14" s="111"/>
      <c r="AC14" s="112"/>
      <c r="AD14" s="85">
        <v>201413.21666666667</v>
      </c>
      <c r="AE14"/>
    </row>
    <row r="15" spans="1:31" ht="13">
      <c r="A15" s="106"/>
      <c r="B15" s="107" t="s">
        <v>738</v>
      </c>
      <c r="C15" s="108">
        <v>76854.95</v>
      </c>
      <c r="D15" s="85">
        <v>17518.916666666668</v>
      </c>
      <c r="E15" s="85">
        <v>31303.533333333333</v>
      </c>
      <c r="F15" s="85">
        <v>8624.5583333333343</v>
      </c>
      <c r="G15" s="85">
        <v>7143.7000000000007</v>
      </c>
      <c r="H15" s="85">
        <v>2237.0583333333334</v>
      </c>
      <c r="I15" s="108">
        <v>143682.71666666665</v>
      </c>
      <c r="J15" s="108"/>
      <c r="K15" s="85">
        <v>12040</v>
      </c>
      <c r="L15" s="85">
        <v>33427.433333333334</v>
      </c>
      <c r="M15" s="85">
        <v>10410.466666666667</v>
      </c>
      <c r="N15" s="108">
        <v>55877.9</v>
      </c>
      <c r="O15" s="121"/>
      <c r="P15" s="85"/>
      <c r="Q15" s="108">
        <v>1477.9</v>
      </c>
      <c r="R15" s="108">
        <v>1503.8333333333333</v>
      </c>
      <c r="S15" s="108">
        <v>2981.7333333333336</v>
      </c>
      <c r="T15" s="109"/>
      <c r="U15" s="109"/>
      <c r="V15" s="109"/>
      <c r="W15" s="109"/>
      <c r="X15" s="109"/>
      <c r="Y15" s="109"/>
      <c r="Z15" s="109"/>
      <c r="AA15" s="122"/>
      <c r="AB15" s="111"/>
      <c r="AC15" s="112"/>
      <c r="AD15" s="85">
        <v>202542.34999999998</v>
      </c>
      <c r="AE15"/>
    </row>
    <row r="16" spans="1:31" ht="13">
      <c r="A16" s="123"/>
      <c r="B16" s="124" t="s">
        <v>746</v>
      </c>
      <c r="C16" s="114">
        <v>-4.6624563666922207E-4</v>
      </c>
      <c r="D16" s="115">
        <v>-2.7518048490774846E-3</v>
      </c>
      <c r="E16" s="115">
        <v>5.330418660783489E-2</v>
      </c>
      <c r="F16" s="115">
        <v>-2.8182279146634438E-2</v>
      </c>
      <c r="G16" s="115">
        <v>6.7813647931061705E-2</v>
      </c>
      <c r="H16" s="115">
        <v>-1.9636700946593456E-2</v>
      </c>
      <c r="I16" s="114">
        <v>1.1679248070660187E-2</v>
      </c>
      <c r="J16" s="114">
        <v>0</v>
      </c>
      <c r="K16" s="115">
        <v>-1.5154406993167138E-2</v>
      </c>
      <c r="L16" s="115">
        <v>-1.3790682168194622E-2</v>
      </c>
      <c r="M16" s="115">
        <v>-9.0334781270526594E-3</v>
      </c>
      <c r="N16" s="114">
        <v>-1.3202532427969576E-2</v>
      </c>
      <c r="O16" s="116">
        <v>0</v>
      </c>
      <c r="P16" s="115">
        <v>0</v>
      </c>
      <c r="Q16" s="114">
        <v>5.6875879001692595E-2</v>
      </c>
      <c r="R16" s="114">
        <v>0.10141353970850324</v>
      </c>
      <c r="S16" s="114">
        <v>7.8878811269780011E-2</v>
      </c>
      <c r="T16" s="117">
        <v>0</v>
      </c>
      <c r="U16" s="117">
        <v>0</v>
      </c>
      <c r="V16" s="117">
        <v>0</v>
      </c>
      <c r="W16" s="117">
        <v>0</v>
      </c>
      <c r="X16" s="117">
        <v>0</v>
      </c>
      <c r="Y16" s="117">
        <v>0</v>
      </c>
      <c r="Z16" s="117">
        <v>0</v>
      </c>
      <c r="AA16" s="118">
        <v>0</v>
      </c>
      <c r="AB16" s="111">
        <v>0</v>
      </c>
      <c r="AC16" s="112">
        <v>0</v>
      </c>
      <c r="AD16" s="115">
        <v>5.6060538231804749E-3</v>
      </c>
      <c r="AE16"/>
    </row>
    <row r="17" spans="1:31" ht="13">
      <c r="A17" s="104" t="s">
        <v>103</v>
      </c>
      <c r="B17" s="92" t="s">
        <v>720</v>
      </c>
      <c r="C17" s="86">
        <v>22231.733333333334</v>
      </c>
      <c r="D17" s="80">
        <v>6396.3666666666668</v>
      </c>
      <c r="E17" s="80">
        <v>25439.966666666667</v>
      </c>
      <c r="F17" s="80">
        <v>8687.7000000000007</v>
      </c>
      <c r="G17" s="80"/>
      <c r="H17" s="80">
        <v>7641.166666666667</v>
      </c>
      <c r="I17" s="86">
        <v>70396.933333333334</v>
      </c>
      <c r="J17" s="86"/>
      <c r="K17" s="80">
        <v>4989.5</v>
      </c>
      <c r="L17" s="80">
        <v>6201.333333333333</v>
      </c>
      <c r="M17" s="80">
        <v>19801.2</v>
      </c>
      <c r="N17" s="86">
        <v>30992.033333333333</v>
      </c>
      <c r="O17" s="86"/>
      <c r="P17" s="80"/>
      <c r="Q17" s="86"/>
      <c r="R17" s="86"/>
      <c r="S17" s="86"/>
      <c r="T17" s="88"/>
      <c r="U17" s="88"/>
      <c r="V17" s="88"/>
      <c r="W17" s="88"/>
      <c r="X17" s="88"/>
      <c r="Y17" s="88"/>
      <c r="Z17" s="88"/>
      <c r="AA17" s="105"/>
      <c r="AB17" s="90"/>
      <c r="AC17" s="91"/>
      <c r="AD17" s="85">
        <v>101388.96666666666</v>
      </c>
      <c r="AE17"/>
    </row>
    <row r="18" spans="1:31" ht="13">
      <c r="A18" s="106"/>
      <c r="B18" s="107" t="s">
        <v>721</v>
      </c>
      <c r="C18" s="108">
        <v>22125.8</v>
      </c>
      <c r="D18" s="85">
        <v>5840.7333333333336</v>
      </c>
      <c r="E18" s="85">
        <v>24861.866666666669</v>
      </c>
      <c r="F18" s="85">
        <v>8551.7999999999993</v>
      </c>
      <c r="G18" s="85"/>
      <c r="H18" s="85">
        <v>7353.2999999999993</v>
      </c>
      <c r="I18" s="108">
        <v>68733.5</v>
      </c>
      <c r="J18" s="108"/>
      <c r="K18" s="85">
        <v>5024.8666666666668</v>
      </c>
      <c r="L18" s="85">
        <v>6288.4333333333334</v>
      </c>
      <c r="M18" s="85">
        <v>19640.466666666671</v>
      </c>
      <c r="N18" s="108">
        <v>30953.76666666667</v>
      </c>
      <c r="O18" s="108"/>
      <c r="P18" s="85"/>
      <c r="Q18" s="108"/>
      <c r="R18" s="108"/>
      <c r="S18" s="108"/>
      <c r="T18" s="109"/>
      <c r="U18" s="109"/>
      <c r="V18" s="109"/>
      <c r="W18" s="109"/>
      <c r="X18" s="109"/>
      <c r="Y18" s="109"/>
      <c r="Z18" s="109"/>
      <c r="AA18" s="110"/>
      <c r="AB18" s="111"/>
      <c r="AC18" s="112"/>
      <c r="AD18" s="85">
        <v>99687.266666666677</v>
      </c>
      <c r="AE18"/>
    </row>
    <row r="19" spans="1:31" ht="13">
      <c r="A19" s="106"/>
      <c r="B19" s="113" t="s">
        <v>740</v>
      </c>
      <c r="C19" s="114">
        <v>-4.7649605968645859E-3</v>
      </c>
      <c r="D19" s="115">
        <v>-8.6867023466447077E-2</v>
      </c>
      <c r="E19" s="115">
        <v>-2.2724086378519831E-2</v>
      </c>
      <c r="F19" s="115">
        <v>-1.5642805345488616E-2</v>
      </c>
      <c r="G19" s="115">
        <v>0</v>
      </c>
      <c r="H19" s="115">
        <v>-3.7673130193905953E-2</v>
      </c>
      <c r="I19" s="114">
        <v>-2.3629343702471696E-2</v>
      </c>
      <c r="J19" s="114">
        <v>0</v>
      </c>
      <c r="K19" s="115">
        <v>7.0882185923773497E-3</v>
      </c>
      <c r="L19" s="115">
        <v>1.4045366587830633E-2</v>
      </c>
      <c r="M19" s="115">
        <v>-8.1173531570475493E-3</v>
      </c>
      <c r="N19" s="114">
        <v>-1.2347259134338942E-3</v>
      </c>
      <c r="O19" s="116">
        <v>0</v>
      </c>
      <c r="P19" s="115">
        <v>0</v>
      </c>
      <c r="Q19" s="114">
        <v>0</v>
      </c>
      <c r="R19" s="114">
        <v>0</v>
      </c>
      <c r="S19" s="114">
        <v>0</v>
      </c>
      <c r="T19" s="117">
        <v>0</v>
      </c>
      <c r="U19" s="117">
        <v>0</v>
      </c>
      <c r="V19" s="117">
        <v>0</v>
      </c>
      <c r="W19" s="117">
        <v>0</v>
      </c>
      <c r="X19" s="117">
        <v>0</v>
      </c>
      <c r="Y19" s="117">
        <v>0</v>
      </c>
      <c r="Z19" s="117">
        <v>0</v>
      </c>
      <c r="AA19" s="118">
        <v>0</v>
      </c>
      <c r="AB19" s="119">
        <v>0</v>
      </c>
      <c r="AC19" s="120">
        <v>0</v>
      </c>
      <c r="AD19" s="115">
        <v>-1.6783877535655273E-2</v>
      </c>
      <c r="AE19"/>
    </row>
    <row r="20" spans="1:31" ht="13">
      <c r="A20" s="106"/>
      <c r="B20" s="107" t="s">
        <v>728</v>
      </c>
      <c r="C20" s="108">
        <v>0</v>
      </c>
      <c r="D20" s="85">
        <v>0</v>
      </c>
      <c r="E20" s="85">
        <v>0</v>
      </c>
      <c r="F20" s="85">
        <v>0</v>
      </c>
      <c r="G20" s="85"/>
      <c r="H20" s="85">
        <v>0</v>
      </c>
      <c r="I20" s="108">
        <v>0</v>
      </c>
      <c r="J20" s="108"/>
      <c r="K20" s="85">
        <v>0</v>
      </c>
      <c r="L20" s="85">
        <v>0</v>
      </c>
      <c r="M20" s="85">
        <v>0</v>
      </c>
      <c r="N20" s="108">
        <v>0</v>
      </c>
      <c r="O20" s="121"/>
      <c r="P20" s="85"/>
      <c r="Q20" s="108"/>
      <c r="R20" s="108"/>
      <c r="S20" s="108"/>
      <c r="T20" s="109"/>
      <c r="U20" s="109"/>
      <c r="V20" s="109"/>
      <c r="W20" s="109"/>
      <c r="X20" s="109"/>
      <c r="Y20" s="109"/>
      <c r="Z20" s="109"/>
      <c r="AA20" s="122"/>
      <c r="AB20" s="111"/>
      <c r="AC20" s="112"/>
      <c r="AD20" s="85">
        <v>0</v>
      </c>
      <c r="AE20"/>
    </row>
    <row r="21" spans="1:31" ht="13">
      <c r="A21" s="106"/>
      <c r="B21" s="107" t="s">
        <v>730</v>
      </c>
      <c r="C21" s="108">
        <v>0</v>
      </c>
      <c r="D21" s="85">
        <v>0</v>
      </c>
      <c r="E21" s="85">
        <v>0</v>
      </c>
      <c r="F21" s="85">
        <v>0</v>
      </c>
      <c r="G21" s="85"/>
      <c r="H21" s="85">
        <v>0</v>
      </c>
      <c r="I21" s="108">
        <v>0</v>
      </c>
      <c r="J21" s="108"/>
      <c r="K21" s="85">
        <v>0</v>
      </c>
      <c r="L21" s="85">
        <v>0</v>
      </c>
      <c r="M21" s="85">
        <v>0</v>
      </c>
      <c r="N21" s="108">
        <v>0</v>
      </c>
      <c r="O21" s="121"/>
      <c r="P21" s="85"/>
      <c r="Q21" s="108"/>
      <c r="R21" s="108"/>
      <c r="S21" s="108"/>
      <c r="T21" s="109"/>
      <c r="U21" s="109"/>
      <c r="V21" s="109"/>
      <c r="W21" s="109"/>
      <c r="X21" s="109"/>
      <c r="Y21" s="109"/>
      <c r="Z21" s="109"/>
      <c r="AA21" s="122"/>
      <c r="AB21" s="111"/>
      <c r="AC21" s="112"/>
      <c r="AD21" s="85">
        <v>0</v>
      </c>
      <c r="AE21"/>
    </row>
    <row r="22" spans="1:31" ht="13">
      <c r="A22" s="106"/>
      <c r="B22" s="113" t="s">
        <v>742</v>
      </c>
      <c r="C22" s="114">
        <v>0</v>
      </c>
      <c r="D22" s="115">
        <v>0</v>
      </c>
      <c r="E22" s="115">
        <v>0</v>
      </c>
      <c r="F22" s="115">
        <v>0</v>
      </c>
      <c r="G22" s="115">
        <v>0</v>
      </c>
      <c r="H22" s="115">
        <v>0</v>
      </c>
      <c r="I22" s="114">
        <v>0</v>
      </c>
      <c r="J22" s="114">
        <v>0</v>
      </c>
      <c r="K22" s="115">
        <v>0</v>
      </c>
      <c r="L22" s="115">
        <v>0</v>
      </c>
      <c r="M22" s="115">
        <v>0</v>
      </c>
      <c r="N22" s="114">
        <v>0</v>
      </c>
      <c r="O22" s="116">
        <v>0</v>
      </c>
      <c r="P22" s="115">
        <v>0</v>
      </c>
      <c r="Q22" s="114">
        <v>0</v>
      </c>
      <c r="R22" s="114">
        <v>0</v>
      </c>
      <c r="S22" s="114">
        <v>0</v>
      </c>
      <c r="T22" s="117">
        <v>0</v>
      </c>
      <c r="U22" s="117">
        <v>0</v>
      </c>
      <c r="V22" s="117">
        <v>0</v>
      </c>
      <c r="W22" s="117">
        <v>0</v>
      </c>
      <c r="X22" s="117">
        <v>0</v>
      </c>
      <c r="Y22" s="117">
        <v>0</v>
      </c>
      <c r="Z22" s="117">
        <v>0</v>
      </c>
      <c r="AA22" s="118">
        <v>0</v>
      </c>
      <c r="AB22" s="119">
        <v>0</v>
      </c>
      <c r="AC22" s="120">
        <v>0</v>
      </c>
      <c r="AD22" s="115">
        <v>0</v>
      </c>
      <c r="AE22"/>
    </row>
    <row r="23" spans="1:31" ht="13">
      <c r="A23" s="106"/>
      <c r="B23" s="107" t="s">
        <v>732</v>
      </c>
      <c r="C23" s="108">
        <v>3247.75</v>
      </c>
      <c r="D23" s="85">
        <v>1750.4583333333333</v>
      </c>
      <c r="E23" s="85">
        <v>6393.375</v>
      </c>
      <c r="F23" s="85">
        <v>1260.2083333333333</v>
      </c>
      <c r="G23" s="85"/>
      <c r="H23" s="85">
        <v>79.5</v>
      </c>
      <c r="I23" s="108">
        <v>12731.291666666666</v>
      </c>
      <c r="J23" s="108"/>
      <c r="K23" s="85">
        <v>0</v>
      </c>
      <c r="L23" s="85">
        <v>0</v>
      </c>
      <c r="M23" s="85">
        <v>0</v>
      </c>
      <c r="N23" s="108">
        <v>0</v>
      </c>
      <c r="O23" s="121"/>
      <c r="P23" s="85"/>
      <c r="Q23" s="108"/>
      <c r="R23" s="108"/>
      <c r="S23" s="108"/>
      <c r="T23" s="109"/>
      <c r="U23" s="109"/>
      <c r="V23" s="109"/>
      <c r="W23" s="109"/>
      <c r="X23" s="109"/>
      <c r="Y23" s="109"/>
      <c r="Z23" s="109"/>
      <c r="AA23" s="122"/>
      <c r="AB23" s="111"/>
      <c r="AC23" s="112"/>
      <c r="AD23" s="85">
        <v>12731.291666666666</v>
      </c>
      <c r="AE23"/>
    </row>
    <row r="24" spans="1:31" ht="13">
      <c r="A24" s="106"/>
      <c r="B24" s="107" t="s">
        <v>734</v>
      </c>
      <c r="C24" s="108">
        <v>3231.7916666666665</v>
      </c>
      <c r="D24" s="85">
        <v>1635.3333333333333</v>
      </c>
      <c r="E24" s="85">
        <v>6366.458333333333</v>
      </c>
      <c r="F24" s="85">
        <v>1282.8333333333333</v>
      </c>
      <c r="G24" s="85"/>
      <c r="H24" s="85">
        <v>96.916666666666671</v>
      </c>
      <c r="I24" s="108">
        <v>12613.333333333332</v>
      </c>
      <c r="J24" s="108"/>
      <c r="K24" s="85">
        <v>0</v>
      </c>
      <c r="L24" s="85">
        <v>0</v>
      </c>
      <c r="M24" s="85">
        <v>0</v>
      </c>
      <c r="N24" s="108">
        <v>0</v>
      </c>
      <c r="O24" s="121"/>
      <c r="P24" s="85"/>
      <c r="Q24" s="108"/>
      <c r="R24" s="108"/>
      <c r="S24" s="108"/>
      <c r="T24" s="109"/>
      <c r="U24" s="109"/>
      <c r="V24" s="109"/>
      <c r="W24" s="109"/>
      <c r="X24" s="109"/>
      <c r="Y24" s="109"/>
      <c r="Z24" s="109"/>
      <c r="AA24" s="122"/>
      <c r="AB24" s="111"/>
      <c r="AC24" s="112"/>
      <c r="AD24" s="85">
        <v>12613.333333333332</v>
      </c>
      <c r="AE24"/>
    </row>
    <row r="25" spans="1:31" ht="13">
      <c r="A25" s="106"/>
      <c r="B25" s="113" t="s">
        <v>744</v>
      </c>
      <c r="C25" s="114">
        <v>-4.9136581736074162E-3</v>
      </c>
      <c r="D25" s="115">
        <v>-6.5768489205208169E-2</v>
      </c>
      <c r="E25" s="115">
        <v>-4.2100872648119297E-3</v>
      </c>
      <c r="F25" s="115">
        <v>1.7953380724086625E-2</v>
      </c>
      <c r="G25" s="115">
        <v>0</v>
      </c>
      <c r="H25" s="115">
        <v>0.21907756813417198</v>
      </c>
      <c r="I25" s="114">
        <v>-9.2652290452332284E-3</v>
      </c>
      <c r="J25" s="114">
        <v>0</v>
      </c>
      <c r="K25" s="115">
        <v>0</v>
      </c>
      <c r="L25" s="115">
        <v>0</v>
      </c>
      <c r="M25" s="115">
        <v>0</v>
      </c>
      <c r="N25" s="114">
        <v>0</v>
      </c>
      <c r="O25" s="116">
        <v>0</v>
      </c>
      <c r="P25" s="115">
        <v>0</v>
      </c>
      <c r="Q25" s="114">
        <v>0</v>
      </c>
      <c r="R25" s="114">
        <v>0</v>
      </c>
      <c r="S25" s="114">
        <v>0</v>
      </c>
      <c r="T25" s="117">
        <v>0</v>
      </c>
      <c r="U25" s="117">
        <v>0</v>
      </c>
      <c r="V25" s="117">
        <v>0</v>
      </c>
      <c r="W25" s="117">
        <v>0</v>
      </c>
      <c r="X25" s="117">
        <v>0</v>
      </c>
      <c r="Y25" s="117">
        <v>0</v>
      </c>
      <c r="Z25" s="117">
        <v>0</v>
      </c>
      <c r="AA25" s="118">
        <v>0</v>
      </c>
      <c r="AB25" s="119">
        <v>0</v>
      </c>
      <c r="AC25" s="120">
        <v>0</v>
      </c>
      <c r="AD25" s="115">
        <v>-9.2652290452332284E-3</v>
      </c>
      <c r="AE25"/>
    </row>
    <row r="26" spans="1:31" ht="13">
      <c r="A26" s="106"/>
      <c r="B26" s="107" t="s">
        <v>736</v>
      </c>
      <c r="C26" s="108">
        <v>25479.483333333334</v>
      </c>
      <c r="D26" s="85">
        <v>8146.8249999999998</v>
      </c>
      <c r="E26" s="85">
        <v>31833.341666666667</v>
      </c>
      <c r="F26" s="85">
        <v>9947.9083333333328</v>
      </c>
      <c r="G26" s="85"/>
      <c r="H26" s="85">
        <v>7720.6666666666679</v>
      </c>
      <c r="I26" s="108">
        <v>83128.225000000006</v>
      </c>
      <c r="J26" s="108"/>
      <c r="K26" s="85">
        <v>4989.5</v>
      </c>
      <c r="L26" s="85">
        <v>6201.333333333333</v>
      </c>
      <c r="M26" s="85">
        <v>19801.2</v>
      </c>
      <c r="N26" s="108">
        <v>30992.033333333333</v>
      </c>
      <c r="O26" s="121"/>
      <c r="P26" s="85"/>
      <c r="Q26" s="108"/>
      <c r="R26" s="108"/>
      <c r="S26" s="108"/>
      <c r="T26" s="109"/>
      <c r="U26" s="109"/>
      <c r="V26" s="109"/>
      <c r="W26" s="109"/>
      <c r="X26" s="109"/>
      <c r="Y26" s="109"/>
      <c r="Z26" s="109"/>
      <c r="AA26" s="122"/>
      <c r="AB26" s="111"/>
      <c r="AC26" s="112"/>
      <c r="AD26" s="85">
        <v>114120.25833333333</v>
      </c>
      <c r="AE26"/>
    </row>
    <row r="27" spans="1:31" ht="13">
      <c r="A27" s="106"/>
      <c r="B27" s="107" t="s">
        <v>738</v>
      </c>
      <c r="C27" s="108">
        <v>25357.591666666667</v>
      </c>
      <c r="D27" s="85">
        <v>7476.0666666666666</v>
      </c>
      <c r="E27" s="85">
        <v>31228.325000000001</v>
      </c>
      <c r="F27" s="85">
        <v>9834.6333333333332</v>
      </c>
      <c r="G27" s="85"/>
      <c r="H27" s="85">
        <v>7450.2166666666672</v>
      </c>
      <c r="I27" s="108">
        <v>81346.833333333343</v>
      </c>
      <c r="J27" s="108"/>
      <c r="K27" s="85">
        <v>5024.8666666666668</v>
      </c>
      <c r="L27" s="85">
        <v>6288.4333333333334</v>
      </c>
      <c r="M27" s="85">
        <v>19640.466666666671</v>
      </c>
      <c r="N27" s="108">
        <v>30953.76666666667</v>
      </c>
      <c r="O27" s="121"/>
      <c r="P27" s="85"/>
      <c r="Q27" s="108"/>
      <c r="R27" s="108"/>
      <c r="S27" s="108"/>
      <c r="T27" s="109"/>
      <c r="U27" s="109"/>
      <c r="V27" s="109"/>
      <c r="W27" s="109"/>
      <c r="X27" s="109"/>
      <c r="Y27" s="109"/>
      <c r="Z27" s="109"/>
      <c r="AA27" s="122"/>
      <c r="AB27" s="111"/>
      <c r="AC27" s="112"/>
      <c r="AD27" s="85">
        <v>112300.60000000002</v>
      </c>
      <c r="AE27"/>
    </row>
    <row r="28" spans="1:31" ht="13">
      <c r="A28" s="123"/>
      <c r="B28" s="124" t="s">
        <v>746</v>
      </c>
      <c r="C28" s="114">
        <v>-4.7839143781696156E-3</v>
      </c>
      <c r="D28" s="115">
        <v>-8.2333710780989305E-2</v>
      </c>
      <c r="E28" s="115">
        <v>-1.9005754186975334E-2</v>
      </c>
      <c r="F28" s="115">
        <v>-1.1386815821416358E-2</v>
      </c>
      <c r="G28" s="115">
        <v>0</v>
      </c>
      <c r="H28" s="115">
        <v>-3.5029358431914431E-2</v>
      </c>
      <c r="I28" s="114">
        <v>-2.1429444291233796E-2</v>
      </c>
      <c r="J28" s="114">
        <v>0</v>
      </c>
      <c r="K28" s="115">
        <v>7.0882185923773497E-3</v>
      </c>
      <c r="L28" s="115">
        <v>1.4045366587830633E-2</v>
      </c>
      <c r="M28" s="115">
        <v>-8.1173531570475493E-3</v>
      </c>
      <c r="N28" s="114">
        <v>-1.2347259134338942E-3</v>
      </c>
      <c r="O28" s="116">
        <v>0</v>
      </c>
      <c r="P28" s="115">
        <v>0</v>
      </c>
      <c r="Q28" s="114">
        <v>0</v>
      </c>
      <c r="R28" s="114">
        <v>0</v>
      </c>
      <c r="S28" s="114">
        <v>0</v>
      </c>
      <c r="T28" s="117">
        <v>0</v>
      </c>
      <c r="U28" s="117">
        <v>0</v>
      </c>
      <c r="V28" s="117">
        <v>0</v>
      </c>
      <c r="W28" s="117">
        <v>0</v>
      </c>
      <c r="X28" s="117">
        <v>0</v>
      </c>
      <c r="Y28" s="117">
        <v>0</v>
      </c>
      <c r="Z28" s="117">
        <v>0</v>
      </c>
      <c r="AA28" s="118">
        <v>0</v>
      </c>
      <c r="AB28" s="111">
        <v>0</v>
      </c>
      <c r="AC28" s="112">
        <v>0</v>
      </c>
      <c r="AD28" s="115">
        <v>-1.5945094761512589E-2</v>
      </c>
      <c r="AE28"/>
    </row>
    <row r="29" spans="1:31" ht="13">
      <c r="A29" s="104" t="s">
        <v>477</v>
      </c>
      <c r="B29" s="92" t="s">
        <v>720</v>
      </c>
      <c r="C29" s="86">
        <v>19795.866666666665</v>
      </c>
      <c r="D29" s="80"/>
      <c r="E29" s="80">
        <v>4212.2666666666664</v>
      </c>
      <c r="F29" s="80"/>
      <c r="G29" s="80"/>
      <c r="H29" s="80"/>
      <c r="I29" s="86">
        <v>24008.133333333331</v>
      </c>
      <c r="J29" s="86"/>
      <c r="K29" s="80"/>
      <c r="L29" s="80">
        <v>9012.6333333333332</v>
      </c>
      <c r="M29" s="80"/>
      <c r="N29" s="86">
        <v>9012.6333333333332</v>
      </c>
      <c r="O29" s="86"/>
      <c r="P29" s="80"/>
      <c r="Q29" s="86"/>
      <c r="R29" s="86"/>
      <c r="S29" s="86"/>
      <c r="T29" s="88"/>
      <c r="U29" s="88"/>
      <c r="V29" s="88"/>
      <c r="W29" s="88"/>
      <c r="X29" s="88"/>
      <c r="Y29" s="88"/>
      <c r="Z29" s="88"/>
      <c r="AA29" s="105"/>
      <c r="AB29" s="90"/>
      <c r="AC29" s="91"/>
      <c r="AD29" s="85">
        <v>33020.766666666663</v>
      </c>
      <c r="AE29"/>
    </row>
    <row r="30" spans="1:31" ht="13">
      <c r="A30" s="106"/>
      <c r="B30" s="107" t="s">
        <v>721</v>
      </c>
      <c r="C30" s="108">
        <v>19976.366666666665</v>
      </c>
      <c r="D30" s="85"/>
      <c r="E30" s="85">
        <v>4272.7</v>
      </c>
      <c r="F30" s="85"/>
      <c r="G30" s="85"/>
      <c r="H30" s="85"/>
      <c r="I30" s="108">
        <v>24249.066666666666</v>
      </c>
      <c r="J30" s="108"/>
      <c r="K30" s="85"/>
      <c r="L30" s="85">
        <v>8659.5666666666675</v>
      </c>
      <c r="M30" s="85"/>
      <c r="N30" s="108">
        <v>8659.5666666666675</v>
      </c>
      <c r="O30" s="108"/>
      <c r="P30" s="85"/>
      <c r="Q30" s="108"/>
      <c r="R30" s="108"/>
      <c r="S30" s="108"/>
      <c r="T30" s="109"/>
      <c r="U30" s="109"/>
      <c r="V30" s="109"/>
      <c r="W30" s="109"/>
      <c r="X30" s="109"/>
      <c r="Y30" s="109"/>
      <c r="Z30" s="109"/>
      <c r="AA30" s="110"/>
      <c r="AB30" s="111"/>
      <c r="AC30" s="112"/>
      <c r="AD30" s="85">
        <v>32908.633333333331</v>
      </c>
      <c r="AE30"/>
    </row>
    <row r="31" spans="1:31" ht="13">
      <c r="A31" s="106"/>
      <c r="B31" s="113" t="s">
        <v>740</v>
      </c>
      <c r="C31" s="114">
        <v>9.1180650506166271E-3</v>
      </c>
      <c r="D31" s="115">
        <v>0</v>
      </c>
      <c r="E31" s="115">
        <v>1.4346986578880744E-2</v>
      </c>
      <c r="F31" s="115">
        <v>0</v>
      </c>
      <c r="G31" s="115">
        <v>0</v>
      </c>
      <c r="H31" s="115">
        <v>0</v>
      </c>
      <c r="I31" s="114">
        <v>1.0035487973520127E-2</v>
      </c>
      <c r="J31" s="114">
        <v>0</v>
      </c>
      <c r="K31" s="115">
        <v>0</v>
      </c>
      <c r="L31" s="115">
        <v>-3.9174640042310874E-2</v>
      </c>
      <c r="M31" s="115">
        <v>0</v>
      </c>
      <c r="N31" s="114">
        <v>-3.9174640042310874E-2</v>
      </c>
      <c r="O31" s="116">
        <v>0</v>
      </c>
      <c r="P31" s="115">
        <v>0</v>
      </c>
      <c r="Q31" s="114">
        <v>0</v>
      </c>
      <c r="R31" s="114">
        <v>0</v>
      </c>
      <c r="S31" s="114">
        <v>0</v>
      </c>
      <c r="T31" s="117">
        <v>0</v>
      </c>
      <c r="U31" s="117">
        <v>0</v>
      </c>
      <c r="V31" s="117">
        <v>0</v>
      </c>
      <c r="W31" s="117">
        <v>0</v>
      </c>
      <c r="X31" s="117">
        <v>0</v>
      </c>
      <c r="Y31" s="117">
        <v>0</v>
      </c>
      <c r="Z31" s="117">
        <v>0</v>
      </c>
      <c r="AA31" s="118">
        <v>0</v>
      </c>
      <c r="AB31" s="119">
        <v>0</v>
      </c>
      <c r="AC31" s="120">
        <v>0</v>
      </c>
      <c r="AD31" s="115">
        <v>-3.3958428181053157E-3</v>
      </c>
      <c r="AE31"/>
    </row>
    <row r="32" spans="1:31" ht="13">
      <c r="A32" s="106"/>
      <c r="B32" s="107" t="s">
        <v>728</v>
      </c>
      <c r="C32" s="108">
        <v>0</v>
      </c>
      <c r="D32" s="85"/>
      <c r="E32" s="85">
        <v>0</v>
      </c>
      <c r="F32" s="85"/>
      <c r="G32" s="85"/>
      <c r="H32" s="85"/>
      <c r="I32" s="108">
        <v>0</v>
      </c>
      <c r="J32" s="108"/>
      <c r="K32" s="85"/>
      <c r="L32" s="85">
        <v>0</v>
      </c>
      <c r="M32" s="85"/>
      <c r="N32" s="108">
        <v>0</v>
      </c>
      <c r="O32" s="121"/>
      <c r="P32" s="85"/>
      <c r="Q32" s="108"/>
      <c r="R32" s="108"/>
      <c r="S32" s="108"/>
      <c r="T32" s="109"/>
      <c r="U32" s="109"/>
      <c r="V32" s="109"/>
      <c r="W32" s="109"/>
      <c r="X32" s="109"/>
      <c r="Y32" s="109"/>
      <c r="Z32" s="109"/>
      <c r="AA32" s="122"/>
      <c r="AB32" s="111"/>
      <c r="AC32" s="112"/>
      <c r="AD32" s="85">
        <v>0</v>
      </c>
      <c r="AE32"/>
    </row>
    <row r="33" spans="1:31" ht="13">
      <c r="A33" s="106"/>
      <c r="B33" s="107" t="s">
        <v>730</v>
      </c>
      <c r="C33" s="108">
        <v>0</v>
      </c>
      <c r="D33" s="85"/>
      <c r="E33" s="85">
        <v>0</v>
      </c>
      <c r="F33" s="85"/>
      <c r="G33" s="85"/>
      <c r="H33" s="85"/>
      <c r="I33" s="108">
        <v>0</v>
      </c>
      <c r="J33" s="108"/>
      <c r="K33" s="85"/>
      <c r="L33" s="85">
        <v>0</v>
      </c>
      <c r="M33" s="85"/>
      <c r="N33" s="108">
        <v>0</v>
      </c>
      <c r="O33" s="121"/>
      <c r="P33" s="85"/>
      <c r="Q33" s="108"/>
      <c r="R33" s="108"/>
      <c r="S33" s="108"/>
      <c r="T33" s="109"/>
      <c r="U33" s="109"/>
      <c r="V33" s="109"/>
      <c r="W33" s="109"/>
      <c r="X33" s="109"/>
      <c r="Y33" s="109"/>
      <c r="Z33" s="109"/>
      <c r="AA33" s="122"/>
      <c r="AB33" s="111"/>
      <c r="AC33" s="112"/>
      <c r="AD33" s="85">
        <v>0</v>
      </c>
      <c r="AE33"/>
    </row>
    <row r="34" spans="1:31" ht="13">
      <c r="A34" s="106"/>
      <c r="B34" s="113" t="s">
        <v>742</v>
      </c>
      <c r="C34" s="114">
        <v>0</v>
      </c>
      <c r="D34" s="115">
        <v>0</v>
      </c>
      <c r="E34" s="115">
        <v>0</v>
      </c>
      <c r="F34" s="115">
        <v>0</v>
      </c>
      <c r="G34" s="115">
        <v>0</v>
      </c>
      <c r="H34" s="115">
        <v>0</v>
      </c>
      <c r="I34" s="114">
        <v>0</v>
      </c>
      <c r="J34" s="114">
        <v>0</v>
      </c>
      <c r="K34" s="115">
        <v>0</v>
      </c>
      <c r="L34" s="115">
        <v>0</v>
      </c>
      <c r="M34" s="115">
        <v>0</v>
      </c>
      <c r="N34" s="114">
        <v>0</v>
      </c>
      <c r="O34" s="116">
        <v>0</v>
      </c>
      <c r="P34" s="115">
        <v>0</v>
      </c>
      <c r="Q34" s="114">
        <v>0</v>
      </c>
      <c r="R34" s="114">
        <v>0</v>
      </c>
      <c r="S34" s="114">
        <v>0</v>
      </c>
      <c r="T34" s="117">
        <v>0</v>
      </c>
      <c r="U34" s="117">
        <v>0</v>
      </c>
      <c r="V34" s="117">
        <v>0</v>
      </c>
      <c r="W34" s="117">
        <v>0</v>
      </c>
      <c r="X34" s="117">
        <v>0</v>
      </c>
      <c r="Y34" s="117">
        <v>0</v>
      </c>
      <c r="Z34" s="117">
        <v>0</v>
      </c>
      <c r="AA34" s="118">
        <v>0</v>
      </c>
      <c r="AB34" s="119">
        <v>0</v>
      </c>
      <c r="AC34" s="120">
        <v>0</v>
      </c>
      <c r="AD34" s="115">
        <v>0</v>
      </c>
      <c r="AE34"/>
    </row>
    <row r="35" spans="1:31" ht="13">
      <c r="A35" s="106"/>
      <c r="B35" s="107" t="s">
        <v>732</v>
      </c>
      <c r="C35" s="108">
        <v>3058.875</v>
      </c>
      <c r="D35" s="85"/>
      <c r="E35" s="85">
        <v>263.83333333333331</v>
      </c>
      <c r="F35" s="85"/>
      <c r="G35" s="85"/>
      <c r="H35" s="85"/>
      <c r="I35" s="108">
        <v>3322.7083333333335</v>
      </c>
      <c r="J35" s="108"/>
      <c r="K35" s="85"/>
      <c r="L35" s="85">
        <v>0</v>
      </c>
      <c r="M35" s="85"/>
      <c r="N35" s="108">
        <v>0</v>
      </c>
      <c r="O35" s="121"/>
      <c r="P35" s="85"/>
      <c r="Q35" s="108"/>
      <c r="R35" s="108"/>
      <c r="S35" s="108"/>
      <c r="T35" s="109"/>
      <c r="U35" s="109"/>
      <c r="V35" s="109"/>
      <c r="W35" s="109"/>
      <c r="X35" s="109"/>
      <c r="Y35" s="109"/>
      <c r="Z35" s="109"/>
      <c r="AA35" s="122"/>
      <c r="AB35" s="111"/>
      <c r="AC35" s="112"/>
      <c r="AD35" s="85">
        <v>3322.7083333333335</v>
      </c>
      <c r="AE35"/>
    </row>
    <row r="36" spans="1:31" ht="13">
      <c r="A36" s="106"/>
      <c r="B36" s="107" t="s">
        <v>734</v>
      </c>
      <c r="C36" s="108">
        <v>3160.5</v>
      </c>
      <c r="D36" s="85"/>
      <c r="E36" s="85">
        <v>301.79166666666669</v>
      </c>
      <c r="F36" s="85"/>
      <c r="G36" s="85"/>
      <c r="H36" s="85"/>
      <c r="I36" s="108">
        <v>3462.2916666666665</v>
      </c>
      <c r="J36" s="108"/>
      <c r="K36" s="85"/>
      <c r="L36" s="85">
        <v>0</v>
      </c>
      <c r="M36" s="85"/>
      <c r="N36" s="108">
        <v>0</v>
      </c>
      <c r="O36" s="121"/>
      <c r="P36" s="85"/>
      <c r="Q36" s="108"/>
      <c r="R36" s="108"/>
      <c r="S36" s="108"/>
      <c r="T36" s="109"/>
      <c r="U36" s="109"/>
      <c r="V36" s="109"/>
      <c r="W36" s="109"/>
      <c r="X36" s="109"/>
      <c r="Y36" s="109"/>
      <c r="Z36" s="109"/>
      <c r="AA36" s="122"/>
      <c r="AB36" s="111"/>
      <c r="AC36" s="112"/>
      <c r="AD36" s="85">
        <v>3462.2916666666665</v>
      </c>
      <c r="AE36"/>
    </row>
    <row r="37" spans="1:31" ht="13">
      <c r="A37" s="106"/>
      <c r="B37" s="113" t="s">
        <v>744</v>
      </c>
      <c r="C37" s="114">
        <v>3.3222998651464997E-2</v>
      </c>
      <c r="D37" s="115">
        <v>0</v>
      </c>
      <c r="E37" s="115">
        <v>0.14387239418825032</v>
      </c>
      <c r="F37" s="115">
        <v>0</v>
      </c>
      <c r="G37" s="115">
        <v>0</v>
      </c>
      <c r="H37" s="115">
        <v>0</v>
      </c>
      <c r="I37" s="114">
        <v>4.2008903379522136E-2</v>
      </c>
      <c r="J37" s="114">
        <v>0</v>
      </c>
      <c r="K37" s="115">
        <v>0</v>
      </c>
      <c r="L37" s="115">
        <v>0</v>
      </c>
      <c r="M37" s="115">
        <v>0</v>
      </c>
      <c r="N37" s="114">
        <v>0</v>
      </c>
      <c r="O37" s="116">
        <v>0</v>
      </c>
      <c r="P37" s="115">
        <v>0</v>
      </c>
      <c r="Q37" s="114">
        <v>0</v>
      </c>
      <c r="R37" s="114">
        <v>0</v>
      </c>
      <c r="S37" s="114">
        <v>0</v>
      </c>
      <c r="T37" s="117">
        <v>0</v>
      </c>
      <c r="U37" s="117">
        <v>0</v>
      </c>
      <c r="V37" s="117">
        <v>0</v>
      </c>
      <c r="W37" s="117">
        <v>0</v>
      </c>
      <c r="X37" s="117">
        <v>0</v>
      </c>
      <c r="Y37" s="117">
        <v>0</v>
      </c>
      <c r="Z37" s="117">
        <v>0</v>
      </c>
      <c r="AA37" s="118">
        <v>0</v>
      </c>
      <c r="AB37" s="119">
        <v>0</v>
      </c>
      <c r="AC37" s="120">
        <v>0</v>
      </c>
      <c r="AD37" s="115">
        <v>4.2008903379522136E-2</v>
      </c>
      <c r="AE37"/>
    </row>
    <row r="38" spans="1:31" ht="13">
      <c r="A38" s="106"/>
      <c r="B38" s="107" t="s">
        <v>736</v>
      </c>
      <c r="C38" s="108">
        <v>22854.741666666665</v>
      </c>
      <c r="D38" s="85"/>
      <c r="E38" s="85">
        <v>4476.0999999999995</v>
      </c>
      <c r="F38" s="85"/>
      <c r="G38" s="85"/>
      <c r="H38" s="85"/>
      <c r="I38" s="108">
        <v>27330.841666666664</v>
      </c>
      <c r="J38" s="108"/>
      <c r="K38" s="85"/>
      <c r="L38" s="85">
        <v>9012.6333333333332</v>
      </c>
      <c r="M38" s="85"/>
      <c r="N38" s="108">
        <v>9012.6333333333332</v>
      </c>
      <c r="O38" s="121"/>
      <c r="P38" s="85"/>
      <c r="Q38" s="108"/>
      <c r="R38" s="108"/>
      <c r="S38" s="108"/>
      <c r="T38" s="109"/>
      <c r="U38" s="109"/>
      <c r="V38" s="109"/>
      <c r="W38" s="109"/>
      <c r="X38" s="109"/>
      <c r="Y38" s="109"/>
      <c r="Z38" s="109"/>
      <c r="AA38" s="122"/>
      <c r="AB38" s="111"/>
      <c r="AC38" s="112"/>
      <c r="AD38" s="85">
        <v>36343.474999999999</v>
      </c>
      <c r="AE38"/>
    </row>
    <row r="39" spans="1:31" ht="13">
      <c r="A39" s="106"/>
      <c r="B39" s="107" t="s">
        <v>738</v>
      </c>
      <c r="C39" s="108">
        <v>23136.866666666665</v>
      </c>
      <c r="D39" s="85"/>
      <c r="E39" s="85">
        <v>4574.4916666666668</v>
      </c>
      <c r="F39" s="85"/>
      <c r="G39" s="85"/>
      <c r="H39" s="85"/>
      <c r="I39" s="108">
        <v>27711.35833333333</v>
      </c>
      <c r="J39" s="108"/>
      <c r="K39" s="85"/>
      <c r="L39" s="85">
        <v>8659.5666666666675</v>
      </c>
      <c r="M39" s="85"/>
      <c r="N39" s="108">
        <v>8659.5666666666675</v>
      </c>
      <c r="O39" s="121"/>
      <c r="P39" s="85"/>
      <c r="Q39" s="108"/>
      <c r="R39" s="108"/>
      <c r="S39" s="108"/>
      <c r="T39" s="109"/>
      <c r="U39" s="109"/>
      <c r="V39" s="109"/>
      <c r="W39" s="109"/>
      <c r="X39" s="109"/>
      <c r="Y39" s="109"/>
      <c r="Z39" s="109"/>
      <c r="AA39" s="122"/>
      <c r="AB39" s="111"/>
      <c r="AC39" s="112"/>
      <c r="AD39" s="85">
        <v>36370.924999999996</v>
      </c>
      <c r="AE39"/>
    </row>
    <row r="40" spans="1:31" ht="13">
      <c r="A40" s="123"/>
      <c r="B40" s="124" t="s">
        <v>746</v>
      </c>
      <c r="C40" s="114">
        <v>1.2344265540812284E-2</v>
      </c>
      <c r="D40" s="115">
        <v>0</v>
      </c>
      <c r="E40" s="115">
        <v>2.1981561329431278E-2</v>
      </c>
      <c r="F40" s="115">
        <v>0</v>
      </c>
      <c r="G40" s="115">
        <v>0</v>
      </c>
      <c r="H40" s="115">
        <v>0</v>
      </c>
      <c r="I40" s="114">
        <v>1.3922610628224944E-2</v>
      </c>
      <c r="J40" s="114">
        <v>0</v>
      </c>
      <c r="K40" s="115">
        <v>0</v>
      </c>
      <c r="L40" s="115">
        <v>-3.9174640042310874E-2</v>
      </c>
      <c r="M40" s="115">
        <v>0</v>
      </c>
      <c r="N40" s="114">
        <v>-3.9174640042310874E-2</v>
      </c>
      <c r="O40" s="116">
        <v>0</v>
      </c>
      <c r="P40" s="115">
        <v>0</v>
      </c>
      <c r="Q40" s="114">
        <v>0</v>
      </c>
      <c r="R40" s="114">
        <v>0</v>
      </c>
      <c r="S40" s="114">
        <v>0</v>
      </c>
      <c r="T40" s="117">
        <v>0</v>
      </c>
      <c r="U40" s="117">
        <v>0</v>
      </c>
      <c r="V40" s="117">
        <v>0</v>
      </c>
      <c r="W40" s="117">
        <v>0</v>
      </c>
      <c r="X40" s="117">
        <v>0</v>
      </c>
      <c r="Y40" s="117">
        <v>0</v>
      </c>
      <c r="Z40" s="117">
        <v>0</v>
      </c>
      <c r="AA40" s="118">
        <v>0</v>
      </c>
      <c r="AB40" s="111">
        <v>0</v>
      </c>
      <c r="AC40" s="112">
        <v>0</v>
      </c>
      <c r="AD40" s="115">
        <v>7.5529376318574624E-4</v>
      </c>
      <c r="AE40"/>
    </row>
    <row r="41" spans="1:31" ht="13">
      <c r="A41" s="104" t="s">
        <v>132</v>
      </c>
      <c r="B41" s="92" t="s">
        <v>720</v>
      </c>
      <c r="C41" s="86"/>
      <c r="D41" s="80"/>
      <c r="E41" s="80"/>
      <c r="F41" s="80"/>
      <c r="G41" s="80"/>
      <c r="H41" s="80"/>
      <c r="I41" s="86"/>
      <c r="J41" s="86">
        <v>272736.90000000002</v>
      </c>
      <c r="K41" s="80">
        <v>28174.533333333333</v>
      </c>
      <c r="L41" s="80"/>
      <c r="M41" s="80">
        <v>1411.2666666666667</v>
      </c>
      <c r="N41" s="86">
        <v>302322.7</v>
      </c>
      <c r="O41" s="86"/>
      <c r="P41" s="80"/>
      <c r="Q41" s="86"/>
      <c r="R41" s="86"/>
      <c r="S41" s="86"/>
      <c r="T41" s="88"/>
      <c r="U41" s="88"/>
      <c r="V41" s="88"/>
      <c r="W41" s="88"/>
      <c r="X41" s="88"/>
      <c r="Y41" s="88"/>
      <c r="Z41" s="88"/>
      <c r="AA41" s="105"/>
      <c r="AB41" s="90"/>
      <c r="AC41" s="91"/>
      <c r="AD41" s="85">
        <v>302322.7</v>
      </c>
      <c r="AE41"/>
    </row>
    <row r="42" spans="1:31" ht="13">
      <c r="A42" s="106"/>
      <c r="B42" s="107" t="s">
        <v>721</v>
      </c>
      <c r="C42" s="108"/>
      <c r="D42" s="85"/>
      <c r="E42" s="85"/>
      <c r="F42" s="85"/>
      <c r="G42" s="85"/>
      <c r="H42" s="85"/>
      <c r="I42" s="108"/>
      <c r="J42" s="108">
        <v>272851.76666666666</v>
      </c>
      <c r="K42" s="85">
        <v>28230.033333333333</v>
      </c>
      <c r="L42" s="85"/>
      <c r="M42" s="85">
        <v>1376.5666666666666</v>
      </c>
      <c r="N42" s="108">
        <v>302458.36666666664</v>
      </c>
      <c r="O42" s="108"/>
      <c r="P42" s="85"/>
      <c r="Q42" s="108"/>
      <c r="R42" s="108"/>
      <c r="S42" s="108"/>
      <c r="T42" s="109"/>
      <c r="U42" s="109"/>
      <c r="V42" s="109"/>
      <c r="W42" s="109"/>
      <c r="X42" s="109"/>
      <c r="Y42" s="109"/>
      <c r="Z42" s="109"/>
      <c r="AA42" s="110"/>
      <c r="AB42" s="111"/>
      <c r="AC42" s="112"/>
      <c r="AD42" s="85">
        <v>302458.36666666664</v>
      </c>
      <c r="AE42"/>
    </row>
    <row r="43" spans="1:31" ht="13">
      <c r="A43" s="106"/>
      <c r="B43" s="113" t="s">
        <v>740</v>
      </c>
      <c r="C43" s="114">
        <v>0</v>
      </c>
      <c r="D43" s="115">
        <v>0</v>
      </c>
      <c r="E43" s="115">
        <v>0</v>
      </c>
      <c r="F43" s="115">
        <v>0</v>
      </c>
      <c r="G43" s="115">
        <v>0</v>
      </c>
      <c r="H43" s="115">
        <v>0</v>
      </c>
      <c r="I43" s="114">
        <v>0</v>
      </c>
      <c r="J43" s="114">
        <v>4.2116291072692946E-4</v>
      </c>
      <c r="K43" s="115">
        <v>1.9698640379728267E-3</v>
      </c>
      <c r="L43" s="115">
        <v>0</v>
      </c>
      <c r="M43" s="115">
        <v>-2.4587840710472892E-2</v>
      </c>
      <c r="N43" s="114">
        <v>4.4874786665582126E-4</v>
      </c>
      <c r="O43" s="116">
        <v>0</v>
      </c>
      <c r="P43" s="115">
        <v>0</v>
      </c>
      <c r="Q43" s="114">
        <v>0</v>
      </c>
      <c r="R43" s="114">
        <v>0</v>
      </c>
      <c r="S43" s="114">
        <v>0</v>
      </c>
      <c r="T43" s="117">
        <v>0</v>
      </c>
      <c r="U43" s="117">
        <v>0</v>
      </c>
      <c r="V43" s="117">
        <v>0</v>
      </c>
      <c r="W43" s="117">
        <v>0</v>
      </c>
      <c r="X43" s="117">
        <v>0</v>
      </c>
      <c r="Y43" s="117">
        <v>0</v>
      </c>
      <c r="Z43" s="117">
        <v>0</v>
      </c>
      <c r="AA43" s="118">
        <v>0</v>
      </c>
      <c r="AB43" s="119">
        <v>0</v>
      </c>
      <c r="AC43" s="120">
        <v>0</v>
      </c>
      <c r="AD43" s="115">
        <v>4.4874786665582126E-4</v>
      </c>
      <c r="AE43"/>
    </row>
    <row r="44" spans="1:31" ht="13">
      <c r="A44" s="106"/>
      <c r="B44" s="107" t="s">
        <v>728</v>
      </c>
      <c r="C44" s="108"/>
      <c r="D44" s="85"/>
      <c r="E44" s="85"/>
      <c r="F44" s="85"/>
      <c r="G44" s="85"/>
      <c r="H44" s="85"/>
      <c r="I44" s="108"/>
      <c r="J44" s="108">
        <v>16640.306666666664</v>
      </c>
      <c r="K44" s="85">
        <v>2706.3144444444447</v>
      </c>
      <c r="L44" s="85"/>
      <c r="M44" s="85">
        <v>174.27333333333334</v>
      </c>
      <c r="N44" s="108">
        <v>19520.894444444442</v>
      </c>
      <c r="O44" s="121"/>
      <c r="P44" s="85"/>
      <c r="Q44" s="108"/>
      <c r="R44" s="108"/>
      <c r="S44" s="108"/>
      <c r="T44" s="109"/>
      <c r="U44" s="109"/>
      <c r="V44" s="109"/>
      <c r="W44" s="109"/>
      <c r="X44" s="109"/>
      <c r="Y44" s="109"/>
      <c r="Z44" s="109"/>
      <c r="AA44" s="122"/>
      <c r="AB44" s="111"/>
      <c r="AC44" s="112"/>
      <c r="AD44" s="85">
        <v>19520.894444444442</v>
      </c>
      <c r="AE44"/>
    </row>
    <row r="45" spans="1:31" ht="13">
      <c r="A45" s="106"/>
      <c r="B45" s="107" t="s">
        <v>730</v>
      </c>
      <c r="C45" s="108"/>
      <c r="D45" s="85"/>
      <c r="E45" s="85"/>
      <c r="F45" s="85"/>
      <c r="G45" s="85"/>
      <c r="H45" s="85"/>
      <c r="I45" s="108"/>
      <c r="J45" s="108">
        <v>15263.280000000002</v>
      </c>
      <c r="K45" s="85">
        <v>2568.4122222222222</v>
      </c>
      <c r="L45" s="85"/>
      <c r="M45" s="85">
        <v>177.42000000000002</v>
      </c>
      <c r="N45" s="108">
        <v>18009.112222222222</v>
      </c>
      <c r="O45" s="121"/>
      <c r="P45" s="85"/>
      <c r="Q45" s="108"/>
      <c r="R45" s="108"/>
      <c r="S45" s="108"/>
      <c r="T45" s="109"/>
      <c r="U45" s="109"/>
      <c r="V45" s="109"/>
      <c r="W45" s="109"/>
      <c r="X45" s="109"/>
      <c r="Y45" s="109"/>
      <c r="Z45" s="109"/>
      <c r="AA45" s="122"/>
      <c r="AB45" s="111"/>
      <c r="AC45" s="112"/>
      <c r="AD45" s="85">
        <v>18009.112222222222</v>
      </c>
      <c r="AE45"/>
    </row>
    <row r="46" spans="1:31" ht="13">
      <c r="A46" s="106"/>
      <c r="B46" s="113" t="s">
        <v>742</v>
      </c>
      <c r="C46" s="114">
        <v>0</v>
      </c>
      <c r="D46" s="115">
        <v>0</v>
      </c>
      <c r="E46" s="115">
        <v>0</v>
      </c>
      <c r="F46" s="115">
        <v>0</v>
      </c>
      <c r="G46" s="115">
        <v>0</v>
      </c>
      <c r="H46" s="115">
        <v>0</v>
      </c>
      <c r="I46" s="114">
        <v>0</v>
      </c>
      <c r="J46" s="114">
        <v>-8.275248132446246E-2</v>
      </c>
      <c r="K46" s="115">
        <v>-5.095572781843951E-2</v>
      </c>
      <c r="L46" s="115">
        <v>0</v>
      </c>
      <c r="M46" s="115">
        <v>1.8055927470257499E-2</v>
      </c>
      <c r="N46" s="114">
        <v>-7.7444311095717575E-2</v>
      </c>
      <c r="O46" s="116">
        <v>0</v>
      </c>
      <c r="P46" s="115">
        <v>0</v>
      </c>
      <c r="Q46" s="114">
        <v>0</v>
      </c>
      <c r="R46" s="114">
        <v>0</v>
      </c>
      <c r="S46" s="114">
        <v>0</v>
      </c>
      <c r="T46" s="117">
        <v>0</v>
      </c>
      <c r="U46" s="117">
        <v>0</v>
      </c>
      <c r="V46" s="117">
        <v>0</v>
      </c>
      <c r="W46" s="117">
        <v>0</v>
      </c>
      <c r="X46" s="117">
        <v>0</v>
      </c>
      <c r="Y46" s="117">
        <v>0</v>
      </c>
      <c r="Z46" s="117">
        <v>0</v>
      </c>
      <c r="AA46" s="118">
        <v>0</v>
      </c>
      <c r="AB46" s="119">
        <v>0</v>
      </c>
      <c r="AC46" s="120">
        <v>0</v>
      </c>
      <c r="AD46" s="115">
        <v>-7.7444311095717575E-2</v>
      </c>
      <c r="AE46"/>
    </row>
    <row r="47" spans="1:31" ht="13">
      <c r="A47" s="106"/>
      <c r="B47" s="107" t="s">
        <v>732</v>
      </c>
      <c r="C47" s="108"/>
      <c r="D47" s="85"/>
      <c r="E47" s="85"/>
      <c r="F47" s="85"/>
      <c r="G47" s="85"/>
      <c r="H47" s="85"/>
      <c r="I47" s="108"/>
      <c r="J47" s="108">
        <v>0</v>
      </c>
      <c r="K47" s="85">
        <v>0</v>
      </c>
      <c r="L47" s="85"/>
      <c r="M47" s="85">
        <v>0</v>
      </c>
      <c r="N47" s="108">
        <v>0</v>
      </c>
      <c r="O47" s="121"/>
      <c r="P47" s="85"/>
      <c r="Q47" s="108"/>
      <c r="R47" s="108"/>
      <c r="S47" s="108"/>
      <c r="T47" s="109"/>
      <c r="U47" s="109"/>
      <c r="V47" s="109"/>
      <c r="W47" s="109"/>
      <c r="X47" s="109"/>
      <c r="Y47" s="109"/>
      <c r="Z47" s="109">
        <v>0</v>
      </c>
      <c r="AA47" s="122">
        <v>0</v>
      </c>
      <c r="AB47" s="111"/>
      <c r="AC47" s="112"/>
      <c r="AD47" s="85">
        <v>0</v>
      </c>
      <c r="AE47"/>
    </row>
    <row r="48" spans="1:31" ht="13">
      <c r="A48" s="106"/>
      <c r="B48" s="107" t="s">
        <v>734</v>
      </c>
      <c r="C48" s="108"/>
      <c r="D48" s="85"/>
      <c r="E48" s="85"/>
      <c r="F48" s="85"/>
      <c r="G48" s="85"/>
      <c r="H48" s="85"/>
      <c r="I48" s="108"/>
      <c r="J48" s="108">
        <v>0</v>
      </c>
      <c r="K48" s="85">
        <v>0</v>
      </c>
      <c r="L48" s="85"/>
      <c r="M48" s="85">
        <v>0</v>
      </c>
      <c r="N48" s="108">
        <v>0</v>
      </c>
      <c r="O48" s="121"/>
      <c r="P48" s="85"/>
      <c r="Q48" s="108"/>
      <c r="R48" s="108"/>
      <c r="S48" s="108"/>
      <c r="T48" s="109"/>
      <c r="U48" s="109"/>
      <c r="V48" s="109"/>
      <c r="W48" s="109"/>
      <c r="X48" s="109"/>
      <c r="Y48" s="109"/>
      <c r="Z48" s="109">
        <v>0</v>
      </c>
      <c r="AA48" s="122">
        <v>0</v>
      </c>
      <c r="AB48" s="111"/>
      <c r="AC48" s="112"/>
      <c r="AD48" s="85">
        <v>0</v>
      </c>
      <c r="AE48"/>
    </row>
    <row r="49" spans="1:31" ht="13">
      <c r="A49" s="106"/>
      <c r="B49" s="113" t="s">
        <v>744</v>
      </c>
      <c r="C49" s="114">
        <v>0</v>
      </c>
      <c r="D49" s="115">
        <v>0</v>
      </c>
      <c r="E49" s="115">
        <v>0</v>
      </c>
      <c r="F49" s="115">
        <v>0</v>
      </c>
      <c r="G49" s="115">
        <v>0</v>
      </c>
      <c r="H49" s="115">
        <v>0</v>
      </c>
      <c r="I49" s="114">
        <v>0</v>
      </c>
      <c r="J49" s="114">
        <v>0</v>
      </c>
      <c r="K49" s="115">
        <v>0</v>
      </c>
      <c r="L49" s="115">
        <v>0</v>
      </c>
      <c r="M49" s="115">
        <v>0</v>
      </c>
      <c r="N49" s="114">
        <v>0</v>
      </c>
      <c r="O49" s="116">
        <v>0</v>
      </c>
      <c r="P49" s="115">
        <v>0</v>
      </c>
      <c r="Q49" s="114">
        <v>0</v>
      </c>
      <c r="R49" s="114">
        <v>0</v>
      </c>
      <c r="S49" s="114">
        <v>0</v>
      </c>
      <c r="T49" s="117">
        <v>0</v>
      </c>
      <c r="U49" s="117">
        <v>0</v>
      </c>
      <c r="V49" s="117">
        <v>0</v>
      </c>
      <c r="W49" s="117">
        <v>0</v>
      </c>
      <c r="X49" s="117">
        <v>0</v>
      </c>
      <c r="Y49" s="117">
        <v>0</v>
      </c>
      <c r="Z49" s="117">
        <v>0</v>
      </c>
      <c r="AA49" s="118">
        <v>0</v>
      </c>
      <c r="AB49" s="119">
        <v>0</v>
      </c>
      <c r="AC49" s="120">
        <v>0</v>
      </c>
      <c r="AD49" s="115">
        <v>0</v>
      </c>
      <c r="AE49"/>
    </row>
    <row r="50" spans="1:31" ht="13">
      <c r="A50" s="106"/>
      <c r="B50" s="107" t="s">
        <v>736</v>
      </c>
      <c r="C50" s="108"/>
      <c r="D50" s="85"/>
      <c r="E50" s="85"/>
      <c r="F50" s="85"/>
      <c r="G50" s="85"/>
      <c r="H50" s="85"/>
      <c r="I50" s="108"/>
      <c r="J50" s="108">
        <v>289377.20666666672</v>
      </c>
      <c r="K50" s="85">
        <v>30880.847777777777</v>
      </c>
      <c r="L50" s="85"/>
      <c r="M50" s="85">
        <v>1585.54</v>
      </c>
      <c r="N50" s="108">
        <v>321843.59444444446</v>
      </c>
      <c r="O50" s="121"/>
      <c r="P50" s="85"/>
      <c r="Q50" s="108"/>
      <c r="R50" s="108"/>
      <c r="S50" s="108"/>
      <c r="T50" s="109"/>
      <c r="U50" s="109"/>
      <c r="V50" s="109"/>
      <c r="W50" s="109"/>
      <c r="X50" s="109"/>
      <c r="Y50" s="109"/>
      <c r="Z50" s="109">
        <v>0</v>
      </c>
      <c r="AA50" s="122">
        <v>0</v>
      </c>
      <c r="AB50" s="111"/>
      <c r="AC50" s="112"/>
      <c r="AD50" s="85">
        <v>321843.59444444446</v>
      </c>
      <c r="AE50"/>
    </row>
    <row r="51" spans="1:31" ht="13">
      <c r="A51" s="106"/>
      <c r="B51" s="107" t="s">
        <v>738</v>
      </c>
      <c r="C51" s="108"/>
      <c r="D51" s="85"/>
      <c r="E51" s="85"/>
      <c r="F51" s="85"/>
      <c r="G51" s="85"/>
      <c r="H51" s="85"/>
      <c r="I51" s="108"/>
      <c r="J51" s="108">
        <v>288115.04666666669</v>
      </c>
      <c r="K51" s="85">
        <v>30798.445555555554</v>
      </c>
      <c r="L51" s="85"/>
      <c r="M51" s="85">
        <v>1553.9866666666667</v>
      </c>
      <c r="N51" s="108">
        <v>320467.47888888896</v>
      </c>
      <c r="O51" s="121"/>
      <c r="P51" s="85"/>
      <c r="Q51" s="108"/>
      <c r="R51" s="108"/>
      <c r="S51" s="108"/>
      <c r="T51" s="109"/>
      <c r="U51" s="109"/>
      <c r="V51" s="109"/>
      <c r="W51" s="109"/>
      <c r="X51" s="109"/>
      <c r="Y51" s="109"/>
      <c r="Z51" s="109">
        <v>0</v>
      </c>
      <c r="AA51" s="122">
        <v>0</v>
      </c>
      <c r="AB51" s="111"/>
      <c r="AC51" s="112"/>
      <c r="AD51" s="85">
        <v>320467.47888888896</v>
      </c>
      <c r="AE51"/>
    </row>
    <row r="52" spans="1:31" ht="13">
      <c r="A52" s="123"/>
      <c r="B52" s="124" t="s">
        <v>746</v>
      </c>
      <c r="C52" s="114">
        <v>0</v>
      </c>
      <c r="D52" s="115">
        <v>0</v>
      </c>
      <c r="E52" s="115">
        <v>0</v>
      </c>
      <c r="F52" s="115">
        <v>0</v>
      </c>
      <c r="G52" s="115">
        <v>0</v>
      </c>
      <c r="H52" s="115">
        <v>0</v>
      </c>
      <c r="I52" s="114">
        <v>0</v>
      </c>
      <c r="J52" s="114">
        <v>-4.361642765644335E-3</v>
      </c>
      <c r="K52" s="115">
        <v>-2.6683924876414996E-3</v>
      </c>
      <c r="L52" s="115">
        <v>0</v>
      </c>
      <c r="M52" s="115">
        <v>-1.9900685781079813E-2</v>
      </c>
      <c r="N52" s="114">
        <v>-4.2757276494222729E-3</v>
      </c>
      <c r="O52" s="116">
        <v>0</v>
      </c>
      <c r="P52" s="115">
        <v>0</v>
      </c>
      <c r="Q52" s="114">
        <v>0</v>
      </c>
      <c r="R52" s="114">
        <v>0</v>
      </c>
      <c r="S52" s="114">
        <v>0</v>
      </c>
      <c r="T52" s="117">
        <v>0</v>
      </c>
      <c r="U52" s="117">
        <v>0</v>
      </c>
      <c r="V52" s="117">
        <v>0</v>
      </c>
      <c r="W52" s="117">
        <v>0</v>
      </c>
      <c r="X52" s="117">
        <v>0</v>
      </c>
      <c r="Y52" s="117">
        <v>0</v>
      </c>
      <c r="Z52" s="117">
        <v>0</v>
      </c>
      <c r="AA52" s="118">
        <v>0</v>
      </c>
      <c r="AB52" s="111">
        <v>0</v>
      </c>
      <c r="AC52" s="112">
        <v>0</v>
      </c>
      <c r="AD52" s="115">
        <v>-4.2757276494222729E-3</v>
      </c>
      <c r="AE52"/>
    </row>
    <row r="53" spans="1:31" ht="13">
      <c r="A53" s="104" t="s">
        <v>159</v>
      </c>
      <c r="B53" s="92" t="s">
        <v>720</v>
      </c>
      <c r="C53" s="86">
        <v>65414.1</v>
      </c>
      <c r="D53" s="80">
        <v>14949.833333333334</v>
      </c>
      <c r="E53" s="80">
        <v>65843.274666666679</v>
      </c>
      <c r="F53" s="80">
        <v>49510.97866666667</v>
      </c>
      <c r="G53" s="80">
        <v>3916.0603333333333</v>
      </c>
      <c r="H53" s="80">
        <v>29132.761999999999</v>
      </c>
      <c r="I53" s="86">
        <v>228767.00899999999</v>
      </c>
      <c r="J53" s="86">
        <v>10558.674666666666</v>
      </c>
      <c r="K53" s="80"/>
      <c r="L53" s="80"/>
      <c r="M53" s="80">
        <v>671.46033333333332</v>
      </c>
      <c r="N53" s="86">
        <v>11230.134999999998</v>
      </c>
      <c r="O53" s="86"/>
      <c r="P53" s="80"/>
      <c r="Q53" s="86">
        <v>66137.013333333336</v>
      </c>
      <c r="R53" s="86"/>
      <c r="S53" s="86">
        <v>66137.013333333336</v>
      </c>
      <c r="T53" s="88"/>
      <c r="U53" s="88"/>
      <c r="V53" s="88"/>
      <c r="W53" s="88"/>
      <c r="X53" s="88"/>
      <c r="Y53" s="88"/>
      <c r="Z53" s="88"/>
      <c r="AA53" s="105"/>
      <c r="AB53" s="90"/>
      <c r="AC53" s="91"/>
      <c r="AD53" s="85">
        <v>306134.15733333328</v>
      </c>
      <c r="AE53"/>
    </row>
    <row r="54" spans="1:31" ht="13">
      <c r="A54" s="106"/>
      <c r="B54" s="107" t="s">
        <v>721</v>
      </c>
      <c r="C54" s="108">
        <v>67281.533333333326</v>
      </c>
      <c r="D54" s="85">
        <v>15204.251</v>
      </c>
      <c r="E54" s="85">
        <v>68859.233333333337</v>
      </c>
      <c r="F54" s="85">
        <v>46795.933333333334</v>
      </c>
      <c r="G54" s="85">
        <v>3454.2666666666669</v>
      </c>
      <c r="H54" s="85">
        <v>29356.566666666669</v>
      </c>
      <c r="I54" s="108">
        <v>230951.78433333334</v>
      </c>
      <c r="J54" s="108">
        <v>10092.666666666666</v>
      </c>
      <c r="K54" s="85"/>
      <c r="L54" s="85"/>
      <c r="M54" s="85">
        <v>0</v>
      </c>
      <c r="N54" s="108">
        <v>10092.666666666666</v>
      </c>
      <c r="O54" s="108"/>
      <c r="P54" s="85"/>
      <c r="Q54" s="108">
        <v>67961.233333333337</v>
      </c>
      <c r="R54" s="108"/>
      <c r="S54" s="108">
        <v>67961.233333333337</v>
      </c>
      <c r="T54" s="109"/>
      <c r="U54" s="109"/>
      <c r="V54" s="109"/>
      <c r="W54" s="109"/>
      <c r="X54" s="109"/>
      <c r="Y54" s="109"/>
      <c r="Z54" s="109"/>
      <c r="AA54" s="110"/>
      <c r="AB54" s="111"/>
      <c r="AC54" s="112"/>
      <c r="AD54" s="85">
        <v>309005.68433333334</v>
      </c>
      <c r="AE54"/>
    </row>
    <row r="55" spans="1:31" ht="13">
      <c r="A55" s="106"/>
      <c r="B55" s="113" t="s">
        <v>740</v>
      </c>
      <c r="C55" s="114">
        <v>2.8547871687194765E-2</v>
      </c>
      <c r="D55" s="115">
        <v>1.7018093847200051E-2</v>
      </c>
      <c r="E55" s="115">
        <v>4.5805113459727341E-2</v>
      </c>
      <c r="F55" s="115">
        <v>-5.4837238254012599E-2</v>
      </c>
      <c r="G55" s="115">
        <v>-0.11792302144476659</v>
      </c>
      <c r="H55" s="115">
        <v>7.6822330360118455E-3</v>
      </c>
      <c r="I55" s="114">
        <v>9.5502203000490098E-3</v>
      </c>
      <c r="J55" s="114">
        <v>-4.4135084630571045E-2</v>
      </c>
      <c r="K55" s="115">
        <v>0</v>
      </c>
      <c r="L55" s="115">
        <v>0</v>
      </c>
      <c r="M55" s="115">
        <v>-1</v>
      </c>
      <c r="N55" s="114">
        <v>-0.10128714688944812</v>
      </c>
      <c r="O55" s="116">
        <v>0</v>
      </c>
      <c r="P55" s="115">
        <v>0</v>
      </c>
      <c r="Q55" s="114">
        <v>2.7582436945040978E-2</v>
      </c>
      <c r="R55" s="114">
        <v>0</v>
      </c>
      <c r="S55" s="114">
        <v>2.7582436945040978E-2</v>
      </c>
      <c r="T55" s="117">
        <v>0</v>
      </c>
      <c r="U55" s="117">
        <v>0</v>
      </c>
      <c r="V55" s="117">
        <v>0</v>
      </c>
      <c r="W55" s="117">
        <v>0</v>
      </c>
      <c r="X55" s="117">
        <v>0</v>
      </c>
      <c r="Y55" s="117">
        <v>0</v>
      </c>
      <c r="Z55" s="117">
        <v>0</v>
      </c>
      <c r="AA55" s="118">
        <v>0</v>
      </c>
      <c r="AB55" s="119">
        <v>0</v>
      </c>
      <c r="AC55" s="120">
        <v>0</v>
      </c>
      <c r="AD55" s="115">
        <v>9.3799627751876922E-3</v>
      </c>
      <c r="AE55"/>
    </row>
    <row r="56" spans="1:31" ht="13">
      <c r="A56" s="106"/>
      <c r="B56" s="107" t="s">
        <v>728</v>
      </c>
      <c r="C56" s="108">
        <v>0</v>
      </c>
      <c r="D56" s="85">
        <v>0</v>
      </c>
      <c r="E56" s="85">
        <v>0</v>
      </c>
      <c r="F56" s="85">
        <v>0</v>
      </c>
      <c r="G56" s="85">
        <v>0</v>
      </c>
      <c r="H56" s="85">
        <v>0</v>
      </c>
      <c r="I56" s="108">
        <v>0</v>
      </c>
      <c r="J56" s="108">
        <v>0</v>
      </c>
      <c r="K56" s="85"/>
      <c r="L56" s="85"/>
      <c r="M56" s="85">
        <v>0</v>
      </c>
      <c r="N56" s="108">
        <v>0</v>
      </c>
      <c r="O56" s="121"/>
      <c r="P56" s="85"/>
      <c r="Q56" s="108">
        <v>0</v>
      </c>
      <c r="R56" s="108"/>
      <c r="S56" s="108">
        <v>0</v>
      </c>
      <c r="T56" s="109"/>
      <c r="U56" s="109"/>
      <c r="V56" s="109"/>
      <c r="W56" s="109"/>
      <c r="X56" s="109"/>
      <c r="Y56" s="109"/>
      <c r="Z56" s="109"/>
      <c r="AA56" s="122"/>
      <c r="AB56" s="111"/>
      <c r="AC56" s="112"/>
      <c r="AD56" s="85">
        <v>0</v>
      </c>
      <c r="AE56"/>
    </row>
    <row r="57" spans="1:31" ht="13">
      <c r="A57" s="106"/>
      <c r="B57" s="107" t="s">
        <v>730</v>
      </c>
      <c r="C57" s="108">
        <v>0</v>
      </c>
      <c r="D57" s="85">
        <v>0</v>
      </c>
      <c r="E57" s="85">
        <v>0</v>
      </c>
      <c r="F57" s="85">
        <v>0</v>
      </c>
      <c r="G57" s="85">
        <v>0</v>
      </c>
      <c r="H57" s="85">
        <v>0</v>
      </c>
      <c r="I57" s="108">
        <v>0</v>
      </c>
      <c r="J57" s="108">
        <v>0</v>
      </c>
      <c r="K57" s="85"/>
      <c r="L57" s="85"/>
      <c r="M57" s="85">
        <v>0</v>
      </c>
      <c r="N57" s="108">
        <v>0</v>
      </c>
      <c r="O57" s="121"/>
      <c r="P57" s="85"/>
      <c r="Q57" s="108">
        <v>0</v>
      </c>
      <c r="R57" s="108"/>
      <c r="S57" s="108">
        <v>0</v>
      </c>
      <c r="T57" s="109"/>
      <c r="U57" s="109"/>
      <c r="V57" s="109"/>
      <c r="W57" s="109"/>
      <c r="X57" s="109"/>
      <c r="Y57" s="109"/>
      <c r="Z57" s="109"/>
      <c r="AA57" s="122"/>
      <c r="AB57" s="111"/>
      <c r="AC57" s="112"/>
      <c r="AD57" s="85">
        <v>0</v>
      </c>
      <c r="AE57"/>
    </row>
    <row r="58" spans="1:31" ht="13">
      <c r="A58" s="106"/>
      <c r="B58" s="113" t="s">
        <v>742</v>
      </c>
      <c r="C58" s="114">
        <v>0</v>
      </c>
      <c r="D58" s="115">
        <v>0</v>
      </c>
      <c r="E58" s="115">
        <v>0</v>
      </c>
      <c r="F58" s="115">
        <v>0</v>
      </c>
      <c r="G58" s="115">
        <v>0</v>
      </c>
      <c r="H58" s="115">
        <v>0</v>
      </c>
      <c r="I58" s="114">
        <v>0</v>
      </c>
      <c r="J58" s="114">
        <v>0</v>
      </c>
      <c r="K58" s="115">
        <v>0</v>
      </c>
      <c r="L58" s="115">
        <v>0</v>
      </c>
      <c r="M58" s="115">
        <v>0</v>
      </c>
      <c r="N58" s="114">
        <v>0</v>
      </c>
      <c r="O58" s="116">
        <v>0</v>
      </c>
      <c r="P58" s="115">
        <v>0</v>
      </c>
      <c r="Q58" s="114">
        <v>0</v>
      </c>
      <c r="R58" s="114">
        <v>0</v>
      </c>
      <c r="S58" s="114">
        <v>0</v>
      </c>
      <c r="T58" s="117">
        <v>0</v>
      </c>
      <c r="U58" s="117">
        <v>0</v>
      </c>
      <c r="V58" s="117">
        <v>0</v>
      </c>
      <c r="W58" s="117">
        <v>0</v>
      </c>
      <c r="X58" s="117">
        <v>0</v>
      </c>
      <c r="Y58" s="117">
        <v>0</v>
      </c>
      <c r="Z58" s="117">
        <v>0</v>
      </c>
      <c r="AA58" s="118">
        <v>0</v>
      </c>
      <c r="AB58" s="119">
        <v>0</v>
      </c>
      <c r="AC58" s="120">
        <v>0</v>
      </c>
      <c r="AD58" s="115">
        <v>0</v>
      </c>
      <c r="AE58"/>
    </row>
    <row r="59" spans="1:31" ht="13">
      <c r="A59" s="106"/>
      <c r="B59" s="107" t="s">
        <v>732</v>
      </c>
      <c r="C59" s="108">
        <v>20743.95416666667</v>
      </c>
      <c r="D59" s="85">
        <v>13867.8125</v>
      </c>
      <c r="E59" s="85">
        <v>8113.833333333333</v>
      </c>
      <c r="F59" s="85">
        <v>6221.2291666666679</v>
      </c>
      <c r="G59" s="85">
        <v>155.58333333333334</v>
      </c>
      <c r="H59" s="85">
        <v>151.625</v>
      </c>
      <c r="I59" s="108">
        <v>49254.037500000013</v>
      </c>
      <c r="J59" s="108">
        <v>0</v>
      </c>
      <c r="K59" s="85"/>
      <c r="L59" s="85"/>
      <c r="M59" s="85">
        <v>0</v>
      </c>
      <c r="N59" s="108">
        <v>0</v>
      </c>
      <c r="O59" s="121"/>
      <c r="P59" s="85"/>
      <c r="Q59" s="108">
        <v>0</v>
      </c>
      <c r="R59" s="108"/>
      <c r="S59" s="108">
        <v>0</v>
      </c>
      <c r="T59" s="109"/>
      <c r="U59" s="109"/>
      <c r="V59" s="109"/>
      <c r="W59" s="109"/>
      <c r="X59" s="109"/>
      <c r="Y59" s="109"/>
      <c r="Z59" s="109"/>
      <c r="AA59" s="122"/>
      <c r="AB59" s="111"/>
      <c r="AC59" s="112"/>
      <c r="AD59" s="85">
        <v>49254.037500000013</v>
      </c>
      <c r="AE59"/>
    </row>
    <row r="60" spans="1:31" ht="13">
      <c r="A60" s="106"/>
      <c r="B60" s="107" t="s">
        <v>734</v>
      </c>
      <c r="C60" s="108">
        <v>21089.300000000003</v>
      </c>
      <c r="D60" s="85">
        <v>15662.729166666666</v>
      </c>
      <c r="E60" s="85">
        <v>8854.1291666666675</v>
      </c>
      <c r="F60" s="85">
        <v>5963.833333333333</v>
      </c>
      <c r="G60" s="85">
        <v>153.375</v>
      </c>
      <c r="H60" s="85">
        <v>197.25</v>
      </c>
      <c r="I60" s="108">
        <v>51920.616666666669</v>
      </c>
      <c r="J60" s="108">
        <v>0</v>
      </c>
      <c r="K60" s="85"/>
      <c r="L60" s="85"/>
      <c r="M60" s="85">
        <v>0</v>
      </c>
      <c r="N60" s="108">
        <v>0</v>
      </c>
      <c r="O60" s="121"/>
      <c r="P60" s="85"/>
      <c r="Q60" s="108">
        <v>0</v>
      </c>
      <c r="R60" s="108"/>
      <c r="S60" s="108">
        <v>0</v>
      </c>
      <c r="T60" s="109"/>
      <c r="U60" s="109"/>
      <c r="V60" s="109"/>
      <c r="W60" s="109"/>
      <c r="X60" s="109"/>
      <c r="Y60" s="109"/>
      <c r="Z60" s="109"/>
      <c r="AA60" s="122"/>
      <c r="AB60" s="111"/>
      <c r="AC60" s="112"/>
      <c r="AD60" s="85">
        <v>51920.616666666669</v>
      </c>
      <c r="AE60"/>
    </row>
    <row r="61" spans="1:31" ht="13">
      <c r="A61" s="106"/>
      <c r="B61" s="113" t="s">
        <v>744</v>
      </c>
      <c r="C61" s="114">
        <v>1.6648023349775179E-2</v>
      </c>
      <c r="D61" s="115">
        <v>0.12943041064815855</v>
      </c>
      <c r="E61" s="115">
        <v>9.123872809810421E-2</v>
      </c>
      <c r="F61" s="115">
        <v>-4.1373790683111492E-2</v>
      </c>
      <c r="G61" s="115">
        <v>-1.4193893947509433E-2</v>
      </c>
      <c r="H61" s="115">
        <v>0.30090684253915911</v>
      </c>
      <c r="I61" s="114">
        <v>5.4139301101288805E-2</v>
      </c>
      <c r="J61" s="114">
        <v>0</v>
      </c>
      <c r="K61" s="115">
        <v>0</v>
      </c>
      <c r="L61" s="115">
        <v>0</v>
      </c>
      <c r="M61" s="115">
        <v>0</v>
      </c>
      <c r="N61" s="114">
        <v>0</v>
      </c>
      <c r="O61" s="116">
        <v>0</v>
      </c>
      <c r="P61" s="115">
        <v>0</v>
      </c>
      <c r="Q61" s="114">
        <v>0</v>
      </c>
      <c r="R61" s="114">
        <v>0</v>
      </c>
      <c r="S61" s="114">
        <v>0</v>
      </c>
      <c r="T61" s="117">
        <v>0</v>
      </c>
      <c r="U61" s="117">
        <v>0</v>
      </c>
      <c r="V61" s="117">
        <v>0</v>
      </c>
      <c r="W61" s="117">
        <v>0</v>
      </c>
      <c r="X61" s="117">
        <v>0</v>
      </c>
      <c r="Y61" s="117">
        <v>0</v>
      </c>
      <c r="Z61" s="117">
        <v>0</v>
      </c>
      <c r="AA61" s="118">
        <v>0</v>
      </c>
      <c r="AB61" s="119">
        <v>0</v>
      </c>
      <c r="AC61" s="120">
        <v>0</v>
      </c>
      <c r="AD61" s="115">
        <v>5.4139301101288805E-2</v>
      </c>
      <c r="AE61"/>
    </row>
    <row r="62" spans="1:31" ht="13">
      <c r="A62" s="106"/>
      <c r="B62" s="107" t="s">
        <v>736</v>
      </c>
      <c r="C62" s="108">
        <v>86158.054166666669</v>
      </c>
      <c r="D62" s="85">
        <v>28817.645833333336</v>
      </c>
      <c r="E62" s="85">
        <v>73957.108000000007</v>
      </c>
      <c r="F62" s="85">
        <v>55732.207833333327</v>
      </c>
      <c r="G62" s="85">
        <v>4071.6436666666668</v>
      </c>
      <c r="H62" s="85">
        <v>29284.386999999999</v>
      </c>
      <c r="I62" s="108">
        <v>278021.0465</v>
      </c>
      <c r="J62" s="108">
        <v>10558.674666666666</v>
      </c>
      <c r="K62" s="85"/>
      <c r="L62" s="85"/>
      <c r="M62" s="85">
        <v>671.46033333333332</v>
      </c>
      <c r="N62" s="108">
        <v>11230.134999999998</v>
      </c>
      <c r="O62" s="121"/>
      <c r="P62" s="85"/>
      <c r="Q62" s="108">
        <v>66137.013333333336</v>
      </c>
      <c r="R62" s="108"/>
      <c r="S62" s="108">
        <v>66137.013333333336</v>
      </c>
      <c r="T62" s="109"/>
      <c r="U62" s="109"/>
      <c r="V62" s="109"/>
      <c r="W62" s="109"/>
      <c r="X62" s="109"/>
      <c r="Y62" s="109"/>
      <c r="Z62" s="109"/>
      <c r="AA62" s="122"/>
      <c r="AB62" s="111"/>
      <c r="AC62" s="112"/>
      <c r="AD62" s="85">
        <v>355388.19483333337</v>
      </c>
      <c r="AE62"/>
    </row>
    <row r="63" spans="1:31" ht="13">
      <c r="A63" s="106"/>
      <c r="B63" s="107" t="s">
        <v>738</v>
      </c>
      <c r="C63" s="108">
        <v>88370.833333333343</v>
      </c>
      <c r="D63" s="85">
        <v>30866.980166666668</v>
      </c>
      <c r="E63" s="85">
        <v>77713.362500000003</v>
      </c>
      <c r="F63" s="85">
        <v>52759.766666666663</v>
      </c>
      <c r="G63" s="85">
        <v>3607.6416666666669</v>
      </c>
      <c r="H63" s="85">
        <v>29553.816666666669</v>
      </c>
      <c r="I63" s="108">
        <v>282872.40100000001</v>
      </c>
      <c r="J63" s="108">
        <v>10092.666666666666</v>
      </c>
      <c r="K63" s="85"/>
      <c r="L63" s="85"/>
      <c r="M63" s="85">
        <v>0</v>
      </c>
      <c r="N63" s="108">
        <v>10092.666666666666</v>
      </c>
      <c r="O63" s="121"/>
      <c r="P63" s="85"/>
      <c r="Q63" s="108">
        <v>67961.233333333337</v>
      </c>
      <c r="R63" s="108"/>
      <c r="S63" s="108">
        <v>67961.233333333337</v>
      </c>
      <c r="T63" s="109"/>
      <c r="U63" s="109"/>
      <c r="V63" s="109"/>
      <c r="W63" s="109"/>
      <c r="X63" s="109"/>
      <c r="Y63" s="109"/>
      <c r="Z63" s="109"/>
      <c r="AA63" s="122"/>
      <c r="AB63" s="111"/>
      <c r="AC63" s="112"/>
      <c r="AD63" s="85">
        <v>360926.30100000004</v>
      </c>
      <c r="AE63"/>
    </row>
    <row r="64" spans="1:31" ht="13">
      <c r="A64" s="123"/>
      <c r="B64" s="124" t="s">
        <v>746</v>
      </c>
      <c r="C64" s="114">
        <v>2.5682789474170454E-2</v>
      </c>
      <c r="D64" s="115">
        <v>7.1113870480109434E-2</v>
      </c>
      <c r="E64" s="115">
        <v>5.078963471638176E-2</v>
      </c>
      <c r="F64" s="115">
        <v>-5.333435157558665E-2</v>
      </c>
      <c r="G64" s="115">
        <v>-0.11395938298791862</v>
      </c>
      <c r="H64" s="115">
        <v>9.2004543809187656E-3</v>
      </c>
      <c r="I64" s="114">
        <v>1.7449594414069205E-2</v>
      </c>
      <c r="J64" s="114">
        <v>-4.4135084630571045E-2</v>
      </c>
      <c r="K64" s="115">
        <v>0</v>
      </c>
      <c r="L64" s="115">
        <v>0</v>
      </c>
      <c r="M64" s="115">
        <v>-1</v>
      </c>
      <c r="N64" s="114">
        <v>-0.10128714688944812</v>
      </c>
      <c r="O64" s="116">
        <v>0</v>
      </c>
      <c r="P64" s="115">
        <v>0</v>
      </c>
      <c r="Q64" s="114">
        <v>2.7582436945040978E-2</v>
      </c>
      <c r="R64" s="114">
        <v>0</v>
      </c>
      <c r="S64" s="114">
        <v>2.7582436945040978E-2</v>
      </c>
      <c r="T64" s="117">
        <v>0</v>
      </c>
      <c r="U64" s="117">
        <v>0</v>
      </c>
      <c r="V64" s="117">
        <v>0</v>
      </c>
      <c r="W64" s="117">
        <v>0</v>
      </c>
      <c r="X64" s="117">
        <v>0</v>
      </c>
      <c r="Y64" s="117">
        <v>0</v>
      </c>
      <c r="Z64" s="117">
        <v>0</v>
      </c>
      <c r="AA64" s="118">
        <v>0</v>
      </c>
      <c r="AB64" s="111">
        <v>0</v>
      </c>
      <c r="AC64" s="112">
        <v>0</v>
      </c>
      <c r="AD64" s="115">
        <v>1.5583258665257558E-2</v>
      </c>
      <c r="AE64"/>
    </row>
    <row r="65" spans="1:31" ht="13">
      <c r="A65" s="104" t="s">
        <v>208</v>
      </c>
      <c r="B65" s="92" t="s">
        <v>720</v>
      </c>
      <c r="C65" s="86">
        <v>32948.033333333333</v>
      </c>
      <c r="D65" s="80"/>
      <c r="E65" s="80">
        <v>48885.433333333334</v>
      </c>
      <c r="F65" s="80">
        <v>1394</v>
      </c>
      <c r="G65" s="80"/>
      <c r="H65" s="80"/>
      <c r="I65" s="86">
        <v>83227.466666666674</v>
      </c>
      <c r="J65" s="86"/>
      <c r="K65" s="80">
        <v>12671.366666666667</v>
      </c>
      <c r="L65" s="80">
        <v>17183.100000000002</v>
      </c>
      <c r="M65" s="80">
        <v>9658.2000000000007</v>
      </c>
      <c r="N65" s="86">
        <v>39512.666666666672</v>
      </c>
      <c r="O65" s="86"/>
      <c r="P65" s="80"/>
      <c r="Q65" s="86">
        <v>4998.6666666666661</v>
      </c>
      <c r="R65" s="86"/>
      <c r="S65" s="86">
        <v>4998.6666666666661</v>
      </c>
      <c r="T65" s="88"/>
      <c r="U65" s="88"/>
      <c r="V65" s="88"/>
      <c r="W65" s="88"/>
      <c r="X65" s="88"/>
      <c r="Y65" s="88"/>
      <c r="Z65" s="88"/>
      <c r="AA65" s="105"/>
      <c r="AB65" s="90"/>
      <c r="AC65" s="91"/>
      <c r="AD65" s="85">
        <v>127738.80000000002</v>
      </c>
      <c r="AE65"/>
    </row>
    <row r="66" spans="1:31" ht="13">
      <c r="A66" s="106"/>
      <c r="B66" s="107" t="s">
        <v>721</v>
      </c>
      <c r="C66" s="108">
        <v>32759.333333333332</v>
      </c>
      <c r="D66" s="85"/>
      <c r="E66" s="85">
        <v>45990.100000000006</v>
      </c>
      <c r="F66" s="85">
        <v>1546.1333333333334</v>
      </c>
      <c r="G66" s="85"/>
      <c r="H66" s="85"/>
      <c r="I66" s="108">
        <v>80295.566666666666</v>
      </c>
      <c r="J66" s="108"/>
      <c r="K66" s="85">
        <v>13203.369999999999</v>
      </c>
      <c r="L66" s="85">
        <v>16373.179999999998</v>
      </c>
      <c r="M66" s="85">
        <v>9559.75</v>
      </c>
      <c r="N66" s="108">
        <v>39136.299999999996</v>
      </c>
      <c r="O66" s="108"/>
      <c r="P66" s="85"/>
      <c r="Q66" s="108">
        <v>5195.9566666666669</v>
      </c>
      <c r="R66" s="108"/>
      <c r="S66" s="108">
        <v>5195.9566666666669</v>
      </c>
      <c r="T66" s="109"/>
      <c r="U66" s="109"/>
      <c r="V66" s="109"/>
      <c r="W66" s="109"/>
      <c r="X66" s="109"/>
      <c r="Y66" s="109"/>
      <c r="Z66" s="109"/>
      <c r="AA66" s="110"/>
      <c r="AB66" s="111"/>
      <c r="AC66" s="112"/>
      <c r="AD66" s="85">
        <v>124627.82333333332</v>
      </c>
      <c r="AE66"/>
    </row>
    <row r="67" spans="1:31" ht="13">
      <c r="A67" s="106"/>
      <c r="B67" s="113" t="s">
        <v>740</v>
      </c>
      <c r="C67" s="114">
        <v>-5.727200713042075E-3</v>
      </c>
      <c r="D67" s="115">
        <v>0</v>
      </c>
      <c r="E67" s="115">
        <v>-5.9226913538661385E-2</v>
      </c>
      <c r="F67" s="115">
        <v>0.10913438546150175</v>
      </c>
      <c r="G67" s="115">
        <v>0</v>
      </c>
      <c r="H67" s="115">
        <v>0</v>
      </c>
      <c r="I67" s="114">
        <v>-3.5227553083437134E-2</v>
      </c>
      <c r="J67" s="114">
        <v>0</v>
      </c>
      <c r="K67" s="115">
        <v>4.1984684630176607E-2</v>
      </c>
      <c r="L67" s="115">
        <v>-4.7134684661091629E-2</v>
      </c>
      <c r="M67" s="115">
        <v>-1.0193410780476768E-2</v>
      </c>
      <c r="N67" s="114">
        <v>-9.5252155426950365E-3</v>
      </c>
      <c r="O67" s="116">
        <v>0</v>
      </c>
      <c r="P67" s="115">
        <v>0</v>
      </c>
      <c r="Q67" s="114">
        <v>3.9468524939984179E-2</v>
      </c>
      <c r="R67" s="114">
        <v>0</v>
      </c>
      <c r="S67" s="114">
        <v>3.9468524939984179E-2</v>
      </c>
      <c r="T67" s="117">
        <v>0</v>
      </c>
      <c r="U67" s="117">
        <v>0</v>
      </c>
      <c r="V67" s="117">
        <v>0</v>
      </c>
      <c r="W67" s="117">
        <v>0</v>
      </c>
      <c r="X67" s="117">
        <v>0</v>
      </c>
      <c r="Y67" s="117">
        <v>0</v>
      </c>
      <c r="Z67" s="117">
        <v>0</v>
      </c>
      <c r="AA67" s="118">
        <v>0</v>
      </c>
      <c r="AB67" s="119">
        <v>0</v>
      </c>
      <c r="AC67" s="120">
        <v>0</v>
      </c>
      <c r="AD67" s="115">
        <v>-2.4354203003838063E-2</v>
      </c>
      <c r="AE67"/>
    </row>
    <row r="68" spans="1:31" ht="13">
      <c r="A68" s="106"/>
      <c r="B68" s="107" t="s">
        <v>728</v>
      </c>
      <c r="C68" s="108">
        <v>0</v>
      </c>
      <c r="D68" s="85"/>
      <c r="E68" s="85">
        <v>0</v>
      </c>
      <c r="F68" s="85">
        <v>0</v>
      </c>
      <c r="G68" s="85"/>
      <c r="H68" s="85"/>
      <c r="I68" s="108">
        <v>0</v>
      </c>
      <c r="J68" s="108"/>
      <c r="K68" s="85">
        <v>0</v>
      </c>
      <c r="L68" s="85">
        <v>0</v>
      </c>
      <c r="M68" s="85">
        <v>0</v>
      </c>
      <c r="N68" s="108">
        <v>0</v>
      </c>
      <c r="O68" s="121"/>
      <c r="P68" s="85"/>
      <c r="Q68" s="108">
        <v>0</v>
      </c>
      <c r="R68" s="108"/>
      <c r="S68" s="108">
        <v>0</v>
      </c>
      <c r="T68" s="109"/>
      <c r="U68" s="109"/>
      <c r="V68" s="109"/>
      <c r="W68" s="109"/>
      <c r="X68" s="109"/>
      <c r="Y68" s="109"/>
      <c r="Z68" s="109"/>
      <c r="AA68" s="122"/>
      <c r="AB68" s="111"/>
      <c r="AC68" s="112"/>
      <c r="AD68" s="85">
        <v>0</v>
      </c>
      <c r="AE68"/>
    </row>
    <row r="69" spans="1:31" ht="13">
      <c r="A69" s="106"/>
      <c r="B69" s="107" t="s">
        <v>730</v>
      </c>
      <c r="C69" s="108">
        <v>0</v>
      </c>
      <c r="D69" s="85"/>
      <c r="E69" s="85">
        <v>0</v>
      </c>
      <c r="F69" s="85">
        <v>0</v>
      </c>
      <c r="G69" s="85"/>
      <c r="H69" s="85"/>
      <c r="I69" s="108">
        <v>0</v>
      </c>
      <c r="J69" s="108"/>
      <c r="K69" s="85">
        <v>0</v>
      </c>
      <c r="L69" s="85">
        <v>0</v>
      </c>
      <c r="M69" s="85">
        <v>0</v>
      </c>
      <c r="N69" s="108">
        <v>0</v>
      </c>
      <c r="O69" s="121"/>
      <c r="P69" s="85"/>
      <c r="Q69" s="108">
        <v>0</v>
      </c>
      <c r="R69" s="108"/>
      <c r="S69" s="108">
        <v>0</v>
      </c>
      <c r="T69" s="109"/>
      <c r="U69" s="109"/>
      <c r="V69" s="109"/>
      <c r="W69" s="109"/>
      <c r="X69" s="109"/>
      <c r="Y69" s="109"/>
      <c r="Z69" s="109"/>
      <c r="AA69" s="122"/>
      <c r="AB69" s="111"/>
      <c r="AC69" s="112"/>
      <c r="AD69" s="85">
        <v>0</v>
      </c>
      <c r="AE69"/>
    </row>
    <row r="70" spans="1:31" ht="13">
      <c r="A70" s="106"/>
      <c r="B70" s="113" t="s">
        <v>742</v>
      </c>
      <c r="C70" s="114">
        <v>0</v>
      </c>
      <c r="D70" s="115">
        <v>0</v>
      </c>
      <c r="E70" s="115">
        <v>0</v>
      </c>
      <c r="F70" s="115">
        <v>0</v>
      </c>
      <c r="G70" s="115">
        <v>0</v>
      </c>
      <c r="H70" s="115">
        <v>0</v>
      </c>
      <c r="I70" s="114">
        <v>0</v>
      </c>
      <c r="J70" s="114">
        <v>0</v>
      </c>
      <c r="K70" s="115">
        <v>0</v>
      </c>
      <c r="L70" s="115">
        <v>0</v>
      </c>
      <c r="M70" s="115">
        <v>0</v>
      </c>
      <c r="N70" s="114">
        <v>0</v>
      </c>
      <c r="O70" s="116">
        <v>0</v>
      </c>
      <c r="P70" s="115">
        <v>0</v>
      </c>
      <c r="Q70" s="114">
        <v>0</v>
      </c>
      <c r="R70" s="114">
        <v>0</v>
      </c>
      <c r="S70" s="114">
        <v>0</v>
      </c>
      <c r="T70" s="117">
        <v>0</v>
      </c>
      <c r="U70" s="117">
        <v>0</v>
      </c>
      <c r="V70" s="117">
        <v>0</v>
      </c>
      <c r="W70" s="117">
        <v>0</v>
      </c>
      <c r="X70" s="117">
        <v>0</v>
      </c>
      <c r="Y70" s="117">
        <v>0</v>
      </c>
      <c r="Z70" s="117">
        <v>0</v>
      </c>
      <c r="AA70" s="118">
        <v>0</v>
      </c>
      <c r="AB70" s="119">
        <v>0</v>
      </c>
      <c r="AC70" s="120">
        <v>0</v>
      </c>
      <c r="AD70" s="115">
        <v>0</v>
      </c>
      <c r="AE70"/>
    </row>
    <row r="71" spans="1:31" ht="13">
      <c r="A71" s="106"/>
      <c r="B71" s="107" t="s">
        <v>732</v>
      </c>
      <c r="C71" s="108">
        <v>6693.5416666666661</v>
      </c>
      <c r="D71" s="85"/>
      <c r="E71" s="85">
        <v>6591.541666666667</v>
      </c>
      <c r="F71" s="85">
        <v>78.166666666666671</v>
      </c>
      <c r="G71" s="85"/>
      <c r="H71" s="85"/>
      <c r="I71" s="108">
        <v>13363.249999999998</v>
      </c>
      <c r="J71" s="108"/>
      <c r="K71" s="85">
        <v>0</v>
      </c>
      <c r="L71" s="85">
        <v>0</v>
      </c>
      <c r="M71" s="85">
        <v>0</v>
      </c>
      <c r="N71" s="108">
        <v>0</v>
      </c>
      <c r="O71" s="121"/>
      <c r="P71" s="85"/>
      <c r="Q71" s="108">
        <v>0</v>
      </c>
      <c r="R71" s="108"/>
      <c r="S71" s="108">
        <v>0</v>
      </c>
      <c r="T71" s="109"/>
      <c r="U71" s="109"/>
      <c r="V71" s="109"/>
      <c r="W71" s="109"/>
      <c r="X71" s="109"/>
      <c r="Y71" s="109"/>
      <c r="Z71" s="109"/>
      <c r="AA71" s="122"/>
      <c r="AB71" s="111"/>
      <c r="AC71" s="112"/>
      <c r="AD71" s="85">
        <v>13363.249999999998</v>
      </c>
      <c r="AE71"/>
    </row>
    <row r="72" spans="1:31" ht="13">
      <c r="A72" s="106"/>
      <c r="B72" s="107" t="s">
        <v>734</v>
      </c>
      <c r="C72" s="108">
        <v>6650.1041666666661</v>
      </c>
      <c r="D72" s="85"/>
      <c r="E72" s="85">
        <v>7058.395833333333</v>
      </c>
      <c r="F72" s="85">
        <v>77.041666666666671</v>
      </c>
      <c r="G72" s="85"/>
      <c r="H72" s="85"/>
      <c r="I72" s="108">
        <v>13785.541666666666</v>
      </c>
      <c r="J72" s="108"/>
      <c r="K72" s="85">
        <v>0</v>
      </c>
      <c r="L72" s="85">
        <v>0</v>
      </c>
      <c r="M72" s="85">
        <v>0</v>
      </c>
      <c r="N72" s="108">
        <v>0</v>
      </c>
      <c r="O72" s="121"/>
      <c r="P72" s="85"/>
      <c r="Q72" s="108">
        <v>0</v>
      </c>
      <c r="R72" s="108"/>
      <c r="S72" s="108">
        <v>0</v>
      </c>
      <c r="T72" s="109"/>
      <c r="U72" s="109"/>
      <c r="V72" s="109"/>
      <c r="W72" s="109"/>
      <c r="X72" s="109"/>
      <c r="Y72" s="109"/>
      <c r="Z72" s="109"/>
      <c r="AA72" s="122"/>
      <c r="AB72" s="111"/>
      <c r="AC72" s="112"/>
      <c r="AD72" s="85">
        <v>13785.541666666666</v>
      </c>
      <c r="AE72"/>
    </row>
    <row r="73" spans="1:31" ht="13">
      <c r="A73" s="106"/>
      <c r="B73" s="113" t="s">
        <v>744</v>
      </c>
      <c r="C73" s="114">
        <v>-6.4894643468517543E-3</v>
      </c>
      <c r="D73" s="115">
        <v>0</v>
      </c>
      <c r="E73" s="115">
        <v>7.0826248285365614E-2</v>
      </c>
      <c r="F73" s="115">
        <v>-1.439232409381663E-2</v>
      </c>
      <c r="G73" s="115">
        <v>0</v>
      </c>
      <c r="H73" s="115">
        <v>0</v>
      </c>
      <c r="I73" s="114">
        <v>3.1600970322838227E-2</v>
      </c>
      <c r="J73" s="114">
        <v>0</v>
      </c>
      <c r="K73" s="115">
        <v>0</v>
      </c>
      <c r="L73" s="115">
        <v>0</v>
      </c>
      <c r="M73" s="115">
        <v>0</v>
      </c>
      <c r="N73" s="114">
        <v>0</v>
      </c>
      <c r="O73" s="116">
        <v>0</v>
      </c>
      <c r="P73" s="115">
        <v>0</v>
      </c>
      <c r="Q73" s="114">
        <v>0</v>
      </c>
      <c r="R73" s="114">
        <v>0</v>
      </c>
      <c r="S73" s="114">
        <v>0</v>
      </c>
      <c r="T73" s="117">
        <v>0</v>
      </c>
      <c r="U73" s="117">
        <v>0</v>
      </c>
      <c r="V73" s="117">
        <v>0</v>
      </c>
      <c r="W73" s="117">
        <v>0</v>
      </c>
      <c r="X73" s="117">
        <v>0</v>
      </c>
      <c r="Y73" s="117">
        <v>0</v>
      </c>
      <c r="Z73" s="117">
        <v>0</v>
      </c>
      <c r="AA73" s="118">
        <v>0</v>
      </c>
      <c r="AB73" s="119">
        <v>0</v>
      </c>
      <c r="AC73" s="120">
        <v>0</v>
      </c>
      <c r="AD73" s="115">
        <v>3.1600970322838227E-2</v>
      </c>
      <c r="AE73"/>
    </row>
    <row r="74" spans="1:31" ht="13">
      <c r="A74" s="106"/>
      <c r="B74" s="107" t="s">
        <v>736</v>
      </c>
      <c r="C74" s="108">
        <v>39641.574999999997</v>
      </c>
      <c r="D74" s="85"/>
      <c r="E74" s="85">
        <v>55476.974999999999</v>
      </c>
      <c r="F74" s="85">
        <v>1472.1666666666667</v>
      </c>
      <c r="G74" s="85"/>
      <c r="H74" s="85"/>
      <c r="I74" s="108">
        <v>96590.71666666666</v>
      </c>
      <c r="J74" s="108"/>
      <c r="K74" s="85">
        <v>12671.366666666667</v>
      </c>
      <c r="L74" s="85">
        <v>17183.100000000002</v>
      </c>
      <c r="M74" s="85">
        <v>9658.2000000000007</v>
      </c>
      <c r="N74" s="108">
        <v>39512.666666666672</v>
      </c>
      <c r="O74" s="121"/>
      <c r="P74" s="85"/>
      <c r="Q74" s="108">
        <v>4998.6666666666661</v>
      </c>
      <c r="R74" s="108"/>
      <c r="S74" s="108">
        <v>4998.6666666666661</v>
      </c>
      <c r="T74" s="109"/>
      <c r="U74" s="109"/>
      <c r="V74" s="109"/>
      <c r="W74" s="109"/>
      <c r="X74" s="109"/>
      <c r="Y74" s="109"/>
      <c r="Z74" s="109"/>
      <c r="AA74" s="122"/>
      <c r="AB74" s="111"/>
      <c r="AC74" s="112"/>
      <c r="AD74" s="85">
        <v>141102.04999999999</v>
      </c>
      <c r="AE74"/>
    </row>
    <row r="75" spans="1:31" ht="13">
      <c r="A75" s="106"/>
      <c r="B75" s="107" t="s">
        <v>738</v>
      </c>
      <c r="C75" s="108">
        <v>39409.4375</v>
      </c>
      <c r="D75" s="85"/>
      <c r="E75" s="85">
        <v>53048.495833333334</v>
      </c>
      <c r="F75" s="85">
        <v>1623.1750000000002</v>
      </c>
      <c r="G75" s="85"/>
      <c r="H75" s="85"/>
      <c r="I75" s="108">
        <v>94081.108333333337</v>
      </c>
      <c r="J75" s="108"/>
      <c r="K75" s="85">
        <v>13203.369999999999</v>
      </c>
      <c r="L75" s="85">
        <v>16373.179999999998</v>
      </c>
      <c r="M75" s="85">
        <v>9559.75</v>
      </c>
      <c r="N75" s="108">
        <v>39136.299999999996</v>
      </c>
      <c r="O75" s="121"/>
      <c r="P75" s="85"/>
      <c r="Q75" s="108">
        <v>5195.9566666666669</v>
      </c>
      <c r="R75" s="108"/>
      <c r="S75" s="108">
        <v>5195.9566666666669</v>
      </c>
      <c r="T75" s="109"/>
      <c r="U75" s="109"/>
      <c r="V75" s="109"/>
      <c r="W75" s="109"/>
      <c r="X75" s="109"/>
      <c r="Y75" s="109"/>
      <c r="Z75" s="109"/>
      <c r="AA75" s="122"/>
      <c r="AB75" s="111"/>
      <c r="AC75" s="112"/>
      <c r="AD75" s="85">
        <v>138413.36499999999</v>
      </c>
      <c r="AE75"/>
    </row>
    <row r="76" spans="1:31" ht="13">
      <c r="A76" s="123"/>
      <c r="B76" s="124" t="s">
        <v>746</v>
      </c>
      <c r="C76" s="114">
        <v>-5.8559101145702992E-3</v>
      </c>
      <c r="D76" s="115">
        <v>0</v>
      </c>
      <c r="E76" s="115">
        <v>-4.3774541900791532E-2</v>
      </c>
      <c r="F76" s="115">
        <v>0.10257556888939212</v>
      </c>
      <c r="G76" s="115">
        <v>0</v>
      </c>
      <c r="H76" s="115">
        <v>0</v>
      </c>
      <c r="I76" s="114">
        <v>-2.598187921095926E-2</v>
      </c>
      <c r="J76" s="114">
        <v>0</v>
      </c>
      <c r="K76" s="115">
        <v>4.1984684630176607E-2</v>
      </c>
      <c r="L76" s="115">
        <v>-4.7134684661091629E-2</v>
      </c>
      <c r="M76" s="115">
        <v>-1.0193410780476768E-2</v>
      </c>
      <c r="N76" s="114">
        <v>-9.5252155426950365E-3</v>
      </c>
      <c r="O76" s="116">
        <v>0</v>
      </c>
      <c r="P76" s="115">
        <v>0</v>
      </c>
      <c r="Q76" s="114">
        <v>3.9468524939984179E-2</v>
      </c>
      <c r="R76" s="114">
        <v>0</v>
      </c>
      <c r="S76" s="114">
        <v>3.9468524939984179E-2</v>
      </c>
      <c r="T76" s="117">
        <v>0</v>
      </c>
      <c r="U76" s="117">
        <v>0</v>
      </c>
      <c r="V76" s="117">
        <v>0</v>
      </c>
      <c r="W76" s="117">
        <v>0</v>
      </c>
      <c r="X76" s="117">
        <v>0</v>
      </c>
      <c r="Y76" s="117">
        <v>0</v>
      </c>
      <c r="Z76" s="117">
        <v>0</v>
      </c>
      <c r="AA76" s="118">
        <v>0</v>
      </c>
      <c r="AB76" s="111">
        <v>0</v>
      </c>
      <c r="AC76" s="112">
        <v>0</v>
      </c>
      <c r="AD76" s="115">
        <v>-1.9054896792782428E-2</v>
      </c>
      <c r="AE76"/>
    </row>
    <row r="77" spans="1:31" ht="13">
      <c r="A77" s="104" t="s">
        <v>481</v>
      </c>
      <c r="B77" s="92" t="s">
        <v>720</v>
      </c>
      <c r="C77" s="86">
        <v>23245.066666666666</v>
      </c>
      <c r="D77" s="80">
        <v>28011.3</v>
      </c>
      <c r="E77" s="80">
        <v>28566.266666666666</v>
      </c>
      <c r="F77" s="80">
        <v>19163.933333333334</v>
      </c>
      <c r="G77" s="80">
        <v>1618.8333333333333</v>
      </c>
      <c r="H77" s="80">
        <v>2481.3333333333335</v>
      </c>
      <c r="I77" s="86">
        <v>103086.73333333332</v>
      </c>
      <c r="J77" s="86"/>
      <c r="K77" s="80">
        <v>14784.166666666666</v>
      </c>
      <c r="L77" s="80">
        <v>13998.466666666665</v>
      </c>
      <c r="M77" s="80">
        <v>5800.0666666666666</v>
      </c>
      <c r="N77" s="86">
        <v>34582.699999999997</v>
      </c>
      <c r="O77" s="86"/>
      <c r="P77" s="80"/>
      <c r="Q77" s="86">
        <v>7572.1</v>
      </c>
      <c r="R77" s="86">
        <v>777.23333333333335</v>
      </c>
      <c r="S77" s="86">
        <v>8349.3333333333339</v>
      </c>
      <c r="T77" s="88"/>
      <c r="U77" s="88"/>
      <c r="V77" s="88"/>
      <c r="W77" s="88"/>
      <c r="X77" s="88"/>
      <c r="Y77" s="88"/>
      <c r="Z77" s="88"/>
      <c r="AA77" s="105"/>
      <c r="AB77" s="90">
        <v>0</v>
      </c>
      <c r="AC77" s="91">
        <v>0</v>
      </c>
      <c r="AD77" s="85">
        <v>146018.76666666669</v>
      </c>
      <c r="AE77"/>
    </row>
    <row r="78" spans="1:31" ht="13">
      <c r="A78" s="106"/>
      <c r="B78" s="107" t="s">
        <v>721</v>
      </c>
      <c r="C78" s="108">
        <v>23384.066666666666</v>
      </c>
      <c r="D78" s="85">
        <v>27295.933333333334</v>
      </c>
      <c r="E78" s="85">
        <v>28277.933333333331</v>
      </c>
      <c r="F78" s="85">
        <v>19325.599999999999</v>
      </c>
      <c r="G78" s="85">
        <v>1542.5666666666666</v>
      </c>
      <c r="H78" s="85">
        <v>2500.3333333333335</v>
      </c>
      <c r="I78" s="108">
        <v>102326.43333333332</v>
      </c>
      <c r="J78" s="108"/>
      <c r="K78" s="85">
        <v>14677</v>
      </c>
      <c r="L78" s="85">
        <v>14501.583333333332</v>
      </c>
      <c r="M78" s="85">
        <v>5574.6999999999989</v>
      </c>
      <c r="N78" s="108">
        <v>34753.283333333333</v>
      </c>
      <c r="O78" s="108"/>
      <c r="P78" s="85"/>
      <c r="Q78" s="108">
        <v>7890.55</v>
      </c>
      <c r="R78" s="108">
        <v>820.6</v>
      </c>
      <c r="S78" s="108">
        <v>8711.15</v>
      </c>
      <c r="T78" s="109"/>
      <c r="U78" s="109"/>
      <c r="V78" s="109"/>
      <c r="W78" s="109"/>
      <c r="X78" s="109"/>
      <c r="Y78" s="109"/>
      <c r="Z78" s="109"/>
      <c r="AA78" s="110"/>
      <c r="AB78" s="111">
        <v>0</v>
      </c>
      <c r="AC78" s="112">
        <v>0</v>
      </c>
      <c r="AD78" s="85">
        <v>145790.86666666667</v>
      </c>
      <c r="AE78"/>
    </row>
    <row r="79" spans="1:31" ht="13">
      <c r="A79" s="106"/>
      <c r="B79" s="113" t="s">
        <v>740</v>
      </c>
      <c r="C79" s="114">
        <v>5.9797634480147762E-3</v>
      </c>
      <c r="D79" s="115">
        <v>-2.5538502913705005E-2</v>
      </c>
      <c r="E79" s="115">
        <v>-1.0093490223900537E-2</v>
      </c>
      <c r="F79" s="115">
        <v>8.4359856536061258E-3</v>
      </c>
      <c r="G79" s="115">
        <v>-4.7112117780294442E-2</v>
      </c>
      <c r="H79" s="115">
        <v>7.6571735626007522E-3</v>
      </c>
      <c r="I79" s="114">
        <v>-7.3753428342863553E-3</v>
      </c>
      <c r="J79" s="114">
        <v>0</v>
      </c>
      <c r="K79" s="115">
        <v>-7.2487458429625886E-3</v>
      </c>
      <c r="L79" s="115">
        <v>3.5940841139743891E-2</v>
      </c>
      <c r="M79" s="115">
        <v>-3.8855875219825239E-2</v>
      </c>
      <c r="N79" s="114">
        <v>4.9326204528081516E-3</v>
      </c>
      <c r="O79" s="116">
        <v>0</v>
      </c>
      <c r="P79" s="115">
        <v>0</v>
      </c>
      <c r="Q79" s="114">
        <v>4.2055704494129736E-2</v>
      </c>
      <c r="R79" s="114">
        <v>5.579620019728096E-2</v>
      </c>
      <c r="S79" s="114">
        <v>4.3334797189396243E-2</v>
      </c>
      <c r="T79" s="117">
        <v>0</v>
      </c>
      <c r="U79" s="117">
        <v>0</v>
      </c>
      <c r="V79" s="117">
        <v>0</v>
      </c>
      <c r="W79" s="117">
        <v>0</v>
      </c>
      <c r="X79" s="117">
        <v>0</v>
      </c>
      <c r="Y79" s="117">
        <v>0</v>
      </c>
      <c r="Z79" s="117">
        <v>0</v>
      </c>
      <c r="AA79" s="118">
        <v>0</v>
      </c>
      <c r="AB79" s="119">
        <v>0</v>
      </c>
      <c r="AC79" s="120">
        <v>0</v>
      </c>
      <c r="AD79" s="115">
        <v>-1.5607582860924099E-3</v>
      </c>
      <c r="AE79"/>
    </row>
    <row r="80" spans="1:31" ht="13">
      <c r="A80" s="106"/>
      <c r="B80" s="107" t="s">
        <v>728</v>
      </c>
      <c r="C80" s="108">
        <v>0</v>
      </c>
      <c r="D80" s="85">
        <v>0</v>
      </c>
      <c r="E80" s="85">
        <v>0</v>
      </c>
      <c r="F80" s="85">
        <v>0</v>
      </c>
      <c r="G80" s="85">
        <v>0</v>
      </c>
      <c r="H80" s="85">
        <v>0</v>
      </c>
      <c r="I80" s="108">
        <v>0</v>
      </c>
      <c r="J80" s="108"/>
      <c r="K80" s="85">
        <v>0</v>
      </c>
      <c r="L80" s="125">
        <v>0</v>
      </c>
      <c r="M80" s="85">
        <v>0</v>
      </c>
      <c r="N80" s="126">
        <v>0</v>
      </c>
      <c r="O80" s="121"/>
      <c r="P80" s="85"/>
      <c r="Q80" s="108">
        <v>0</v>
      </c>
      <c r="R80" s="108">
        <v>0</v>
      </c>
      <c r="S80" s="108">
        <v>0</v>
      </c>
      <c r="T80" s="109"/>
      <c r="U80" s="109"/>
      <c r="V80" s="109"/>
      <c r="W80" s="109"/>
      <c r="X80" s="109"/>
      <c r="Y80" s="109"/>
      <c r="Z80" s="109"/>
      <c r="AA80" s="122"/>
      <c r="AB80" s="111">
        <v>0</v>
      </c>
      <c r="AC80" s="112">
        <v>0</v>
      </c>
      <c r="AD80" s="85">
        <v>0</v>
      </c>
      <c r="AE80"/>
    </row>
    <row r="81" spans="1:31" ht="13">
      <c r="A81" s="106"/>
      <c r="B81" s="107" t="s">
        <v>730</v>
      </c>
      <c r="C81" s="108">
        <v>0</v>
      </c>
      <c r="D81" s="85">
        <v>0</v>
      </c>
      <c r="E81" s="85">
        <v>0</v>
      </c>
      <c r="F81" s="85">
        <v>0</v>
      </c>
      <c r="G81" s="85">
        <v>0</v>
      </c>
      <c r="H81" s="85">
        <v>0</v>
      </c>
      <c r="I81" s="108">
        <v>0</v>
      </c>
      <c r="J81" s="108"/>
      <c r="K81" s="85">
        <v>0</v>
      </c>
      <c r="L81" s="85">
        <v>0</v>
      </c>
      <c r="M81" s="85">
        <v>0</v>
      </c>
      <c r="N81" s="108">
        <v>0</v>
      </c>
      <c r="O81" s="121"/>
      <c r="P81" s="85"/>
      <c r="Q81" s="108">
        <v>0</v>
      </c>
      <c r="R81" s="108">
        <v>0</v>
      </c>
      <c r="S81" s="108">
        <v>0</v>
      </c>
      <c r="T81" s="109"/>
      <c r="U81" s="109"/>
      <c r="V81" s="109"/>
      <c r="W81" s="109"/>
      <c r="X81" s="109"/>
      <c r="Y81" s="109"/>
      <c r="Z81" s="109"/>
      <c r="AA81" s="122"/>
      <c r="AB81" s="111">
        <v>0</v>
      </c>
      <c r="AC81" s="112">
        <v>0</v>
      </c>
      <c r="AD81" s="85">
        <v>0</v>
      </c>
      <c r="AE81"/>
    </row>
    <row r="82" spans="1:31" ht="13">
      <c r="A82" s="106"/>
      <c r="B82" s="113" t="s">
        <v>742</v>
      </c>
      <c r="C82" s="114">
        <v>0</v>
      </c>
      <c r="D82" s="115">
        <v>0</v>
      </c>
      <c r="E82" s="115">
        <v>0</v>
      </c>
      <c r="F82" s="115">
        <v>0</v>
      </c>
      <c r="G82" s="115">
        <v>0</v>
      </c>
      <c r="H82" s="115">
        <v>0</v>
      </c>
      <c r="I82" s="114">
        <v>0</v>
      </c>
      <c r="J82" s="114">
        <v>0</v>
      </c>
      <c r="K82" s="115">
        <v>0</v>
      </c>
      <c r="L82" s="115">
        <v>0</v>
      </c>
      <c r="M82" s="115">
        <v>0</v>
      </c>
      <c r="N82" s="114">
        <v>0</v>
      </c>
      <c r="O82" s="116">
        <v>0</v>
      </c>
      <c r="P82" s="115">
        <v>0</v>
      </c>
      <c r="Q82" s="114">
        <v>0</v>
      </c>
      <c r="R82" s="114">
        <v>0</v>
      </c>
      <c r="S82" s="114">
        <v>0</v>
      </c>
      <c r="T82" s="117">
        <v>0</v>
      </c>
      <c r="U82" s="117">
        <v>0</v>
      </c>
      <c r="V82" s="117">
        <v>0</v>
      </c>
      <c r="W82" s="117">
        <v>0</v>
      </c>
      <c r="X82" s="117">
        <v>0</v>
      </c>
      <c r="Y82" s="117">
        <v>0</v>
      </c>
      <c r="Z82" s="117">
        <v>0</v>
      </c>
      <c r="AA82" s="118">
        <v>0</v>
      </c>
      <c r="AB82" s="119">
        <v>0</v>
      </c>
      <c r="AC82" s="120">
        <v>0</v>
      </c>
      <c r="AD82" s="115">
        <v>0</v>
      </c>
      <c r="AE82"/>
    </row>
    <row r="83" spans="1:31" ht="13">
      <c r="A83" s="106"/>
      <c r="B83" s="107" t="s">
        <v>732</v>
      </c>
      <c r="C83" s="108">
        <v>5736.229166666667</v>
      </c>
      <c r="D83" s="85">
        <v>3271.7916666666665</v>
      </c>
      <c r="E83" s="85">
        <v>3204.666666666667</v>
      </c>
      <c r="F83" s="85">
        <v>4777.9166666666661</v>
      </c>
      <c r="G83" s="85">
        <v>395.25</v>
      </c>
      <c r="H83" s="85">
        <v>0</v>
      </c>
      <c r="I83" s="108">
        <v>17385.854166666664</v>
      </c>
      <c r="J83" s="108"/>
      <c r="K83" s="85">
        <v>0</v>
      </c>
      <c r="L83" s="85">
        <v>0</v>
      </c>
      <c r="M83" s="85">
        <v>0</v>
      </c>
      <c r="N83" s="108">
        <v>0</v>
      </c>
      <c r="O83" s="121"/>
      <c r="P83" s="85"/>
      <c r="Q83" s="108">
        <v>0</v>
      </c>
      <c r="R83" s="108">
        <v>0</v>
      </c>
      <c r="S83" s="108">
        <v>0</v>
      </c>
      <c r="T83" s="109"/>
      <c r="U83" s="109"/>
      <c r="V83" s="109"/>
      <c r="W83" s="109"/>
      <c r="X83" s="109"/>
      <c r="Y83" s="109"/>
      <c r="Z83" s="109"/>
      <c r="AA83" s="122"/>
      <c r="AB83" s="111">
        <v>711</v>
      </c>
      <c r="AC83" s="112">
        <v>711</v>
      </c>
      <c r="AD83" s="85">
        <v>18096.854166666664</v>
      </c>
      <c r="AE83"/>
    </row>
    <row r="84" spans="1:31" ht="13">
      <c r="A84" s="106"/>
      <c r="B84" s="107" t="s">
        <v>734</v>
      </c>
      <c r="C84" s="108">
        <v>5999.3125</v>
      </c>
      <c r="D84" s="85">
        <v>3502.8333333333335</v>
      </c>
      <c r="E84" s="85">
        <v>3419.125</v>
      </c>
      <c r="F84" s="85">
        <v>5847.875</v>
      </c>
      <c r="G84" s="85">
        <v>369.75</v>
      </c>
      <c r="H84" s="85">
        <v>0</v>
      </c>
      <c r="I84" s="108">
        <v>19138.895833333336</v>
      </c>
      <c r="J84" s="108"/>
      <c r="K84" s="85">
        <v>0</v>
      </c>
      <c r="L84" s="85">
        <v>0</v>
      </c>
      <c r="M84" s="85">
        <v>0</v>
      </c>
      <c r="N84" s="108">
        <v>0</v>
      </c>
      <c r="O84" s="121"/>
      <c r="P84" s="85"/>
      <c r="Q84" s="108">
        <v>0</v>
      </c>
      <c r="R84" s="108">
        <v>0</v>
      </c>
      <c r="S84" s="108">
        <v>0</v>
      </c>
      <c r="T84" s="109"/>
      <c r="U84" s="109"/>
      <c r="V84" s="109"/>
      <c r="W84" s="109"/>
      <c r="X84" s="109"/>
      <c r="Y84" s="109"/>
      <c r="Z84" s="109"/>
      <c r="AA84" s="122"/>
      <c r="AB84" s="111">
        <v>741.16666666666663</v>
      </c>
      <c r="AC84" s="112">
        <v>741.16666666666663</v>
      </c>
      <c r="AD84" s="85">
        <v>19880.062500000004</v>
      </c>
      <c r="AE84"/>
    </row>
    <row r="85" spans="1:31" ht="13">
      <c r="A85" s="106"/>
      <c r="B85" s="113" t="s">
        <v>744</v>
      </c>
      <c r="C85" s="114">
        <v>4.586346285851254E-2</v>
      </c>
      <c r="D85" s="115">
        <v>7.0616252562943432E-2</v>
      </c>
      <c r="E85" s="115">
        <v>6.692063657166622E-2</v>
      </c>
      <c r="F85" s="115">
        <v>0.2239382576087906</v>
      </c>
      <c r="G85" s="115">
        <v>-6.4516129032258063E-2</v>
      </c>
      <c r="H85" s="115">
        <v>0</v>
      </c>
      <c r="I85" s="114">
        <v>0.10083149495339207</v>
      </c>
      <c r="J85" s="114">
        <v>0</v>
      </c>
      <c r="K85" s="115">
        <v>0</v>
      </c>
      <c r="L85" s="115">
        <v>0</v>
      </c>
      <c r="M85" s="115">
        <v>0</v>
      </c>
      <c r="N85" s="114">
        <v>0</v>
      </c>
      <c r="O85" s="116">
        <v>0</v>
      </c>
      <c r="P85" s="115">
        <v>0</v>
      </c>
      <c r="Q85" s="114">
        <v>0</v>
      </c>
      <c r="R85" s="114">
        <v>0</v>
      </c>
      <c r="S85" s="114">
        <v>0</v>
      </c>
      <c r="T85" s="117">
        <v>0</v>
      </c>
      <c r="U85" s="117">
        <v>0</v>
      </c>
      <c r="V85" s="117">
        <v>0</v>
      </c>
      <c r="W85" s="117">
        <v>0</v>
      </c>
      <c r="X85" s="117">
        <v>0</v>
      </c>
      <c r="Y85" s="117">
        <v>0</v>
      </c>
      <c r="Z85" s="117">
        <v>0</v>
      </c>
      <c r="AA85" s="118">
        <v>0</v>
      </c>
      <c r="AB85" s="119">
        <v>4.2428504453820855E-2</v>
      </c>
      <c r="AC85" s="120">
        <v>4.2428504453820855E-2</v>
      </c>
      <c r="AD85" s="115">
        <v>9.8536923429371079E-2</v>
      </c>
      <c r="AE85"/>
    </row>
    <row r="86" spans="1:31" ht="13">
      <c r="A86" s="106"/>
      <c r="B86" s="107" t="s">
        <v>736</v>
      </c>
      <c r="C86" s="108">
        <v>28981.295833333334</v>
      </c>
      <c r="D86" s="85">
        <v>31283.091666666667</v>
      </c>
      <c r="E86" s="85">
        <v>31770.933333333334</v>
      </c>
      <c r="F86" s="85">
        <v>23941.85</v>
      </c>
      <c r="G86" s="85">
        <v>2014.0833333333333</v>
      </c>
      <c r="H86" s="85">
        <v>2481.3333333333335</v>
      </c>
      <c r="I86" s="108">
        <v>120472.58749999999</v>
      </c>
      <c r="J86" s="108"/>
      <c r="K86" s="85">
        <v>14784.166666666666</v>
      </c>
      <c r="L86" s="85">
        <v>13998.466666666665</v>
      </c>
      <c r="M86" s="85">
        <v>5800.0666666666666</v>
      </c>
      <c r="N86" s="108">
        <v>34582.699999999997</v>
      </c>
      <c r="O86" s="121"/>
      <c r="P86" s="85"/>
      <c r="Q86" s="108">
        <v>7572.1</v>
      </c>
      <c r="R86" s="108">
        <v>777.23333333333335</v>
      </c>
      <c r="S86" s="108">
        <v>8349.3333333333339</v>
      </c>
      <c r="T86" s="109"/>
      <c r="U86" s="109"/>
      <c r="V86" s="109"/>
      <c r="W86" s="109"/>
      <c r="X86" s="109"/>
      <c r="Y86" s="109"/>
      <c r="Z86" s="109"/>
      <c r="AA86" s="122"/>
      <c r="AB86" s="111">
        <v>711</v>
      </c>
      <c r="AC86" s="112">
        <v>711</v>
      </c>
      <c r="AD86" s="85">
        <v>164115.62083333335</v>
      </c>
      <c r="AE86"/>
    </row>
    <row r="87" spans="1:31" ht="13">
      <c r="A87" s="106"/>
      <c r="B87" s="107" t="s">
        <v>738</v>
      </c>
      <c r="C87" s="108">
        <v>29383.379166666666</v>
      </c>
      <c r="D87" s="85">
        <v>30798.76666666667</v>
      </c>
      <c r="E87" s="85">
        <v>31697.058333333334</v>
      </c>
      <c r="F87" s="85">
        <v>25173.474999999999</v>
      </c>
      <c r="G87" s="85">
        <v>1912.3166666666666</v>
      </c>
      <c r="H87" s="85">
        <v>2500.3333333333335</v>
      </c>
      <c r="I87" s="108">
        <v>121465.32916666666</v>
      </c>
      <c r="J87" s="108"/>
      <c r="K87" s="85">
        <v>14677</v>
      </c>
      <c r="L87" s="85">
        <v>14501.583333333332</v>
      </c>
      <c r="M87" s="85">
        <v>5574.6999999999989</v>
      </c>
      <c r="N87" s="108">
        <v>34753.283333333333</v>
      </c>
      <c r="O87" s="121"/>
      <c r="P87" s="85"/>
      <c r="Q87" s="108">
        <v>7890.55</v>
      </c>
      <c r="R87" s="108">
        <v>820.6</v>
      </c>
      <c r="S87" s="108">
        <v>8711.15</v>
      </c>
      <c r="T87" s="109"/>
      <c r="U87" s="109"/>
      <c r="V87" s="109"/>
      <c r="W87" s="109"/>
      <c r="X87" s="109"/>
      <c r="Y87" s="109"/>
      <c r="Z87" s="109"/>
      <c r="AA87" s="122"/>
      <c r="AB87" s="111">
        <v>741.16666666666663</v>
      </c>
      <c r="AC87" s="112">
        <v>741.16666666666663</v>
      </c>
      <c r="AD87" s="85">
        <v>165670.92916666667</v>
      </c>
      <c r="AE87"/>
    </row>
    <row r="88" spans="1:31" ht="13">
      <c r="A88" s="123"/>
      <c r="B88" s="124" t="s">
        <v>746</v>
      </c>
      <c r="C88" s="114">
        <v>1.3873890789619873E-2</v>
      </c>
      <c r="D88" s="115">
        <v>-1.5482005588215692E-2</v>
      </c>
      <c r="E88" s="115">
        <v>-2.3252385828556078E-3</v>
      </c>
      <c r="F88" s="115">
        <v>5.144234885775327E-2</v>
      </c>
      <c r="G88" s="115">
        <v>-5.0527535272456445E-2</v>
      </c>
      <c r="H88" s="115">
        <v>7.6571735626007522E-3</v>
      </c>
      <c r="I88" s="114">
        <v>8.2403946596289659E-3</v>
      </c>
      <c r="J88" s="114">
        <v>0</v>
      </c>
      <c r="K88" s="115">
        <v>-7.2487458429625886E-3</v>
      </c>
      <c r="L88" s="115">
        <v>3.5940841139743891E-2</v>
      </c>
      <c r="M88" s="115">
        <v>-3.8855875219825239E-2</v>
      </c>
      <c r="N88" s="114">
        <v>4.9326204528081516E-3</v>
      </c>
      <c r="O88" s="116">
        <v>0</v>
      </c>
      <c r="P88" s="115">
        <v>0</v>
      </c>
      <c r="Q88" s="114">
        <v>4.2055704494129736E-2</v>
      </c>
      <c r="R88" s="114">
        <v>5.579620019728096E-2</v>
      </c>
      <c r="S88" s="114">
        <v>4.3334797189396243E-2</v>
      </c>
      <c r="T88" s="117">
        <v>0</v>
      </c>
      <c r="U88" s="117">
        <v>0</v>
      </c>
      <c r="V88" s="117">
        <v>0</v>
      </c>
      <c r="W88" s="117">
        <v>0</v>
      </c>
      <c r="X88" s="117">
        <v>0</v>
      </c>
      <c r="Y88" s="117">
        <v>0</v>
      </c>
      <c r="Z88" s="117">
        <v>0</v>
      </c>
      <c r="AA88" s="118">
        <v>0</v>
      </c>
      <c r="AB88" s="111">
        <v>4.2428504453820855E-2</v>
      </c>
      <c r="AC88" s="112">
        <v>4.2428504453820855E-2</v>
      </c>
      <c r="AD88" s="115">
        <v>9.47690613139608E-3</v>
      </c>
      <c r="AE88"/>
    </row>
    <row r="89" spans="1:31" ht="13">
      <c r="A89" s="104" t="s">
        <v>510</v>
      </c>
      <c r="B89" s="92" t="s">
        <v>720</v>
      </c>
      <c r="C89" s="86">
        <v>28800.733333333334</v>
      </c>
      <c r="D89" s="80">
        <v>17090.133333333331</v>
      </c>
      <c r="E89" s="80">
        <v>20318.783333333333</v>
      </c>
      <c r="F89" s="80">
        <v>19317.633333333331</v>
      </c>
      <c r="G89" s="80">
        <v>2057.1666666666665</v>
      </c>
      <c r="H89" s="80">
        <v>1602.85</v>
      </c>
      <c r="I89" s="86">
        <v>89187.3</v>
      </c>
      <c r="J89" s="86"/>
      <c r="K89" s="80">
        <v>60140.666666666664</v>
      </c>
      <c r="L89" s="80">
        <v>18950.896666666667</v>
      </c>
      <c r="M89" s="80">
        <v>6453.2333333333336</v>
      </c>
      <c r="N89" s="86">
        <v>85544.796666666662</v>
      </c>
      <c r="O89" s="86"/>
      <c r="P89" s="80"/>
      <c r="Q89" s="86"/>
      <c r="R89" s="86"/>
      <c r="S89" s="86"/>
      <c r="T89" s="88"/>
      <c r="U89" s="88"/>
      <c r="V89" s="88"/>
      <c r="W89" s="88"/>
      <c r="X89" s="88"/>
      <c r="Y89" s="88"/>
      <c r="Z89" s="88"/>
      <c r="AA89" s="105"/>
      <c r="AB89" s="90"/>
      <c r="AC89" s="91"/>
      <c r="AD89" s="85">
        <v>174732.09666666668</v>
      </c>
      <c r="AE89"/>
    </row>
    <row r="90" spans="1:31" ht="13">
      <c r="A90" s="106"/>
      <c r="B90" s="107" t="s">
        <v>721</v>
      </c>
      <c r="C90" s="108">
        <v>29066.333333333332</v>
      </c>
      <c r="D90" s="85">
        <v>16626.650000000001</v>
      </c>
      <c r="E90" s="85">
        <v>19951.883333333331</v>
      </c>
      <c r="F90" s="85">
        <v>18662.633333333335</v>
      </c>
      <c r="G90" s="85">
        <v>2008.8666666666666</v>
      </c>
      <c r="H90" s="85">
        <v>1562.0666666666666</v>
      </c>
      <c r="I90" s="108">
        <v>87878.433333333334</v>
      </c>
      <c r="J90" s="108"/>
      <c r="K90" s="85">
        <v>59201.116666666669</v>
      </c>
      <c r="L90" s="85">
        <v>18232.45</v>
      </c>
      <c r="M90" s="85">
        <v>6247.0166666666664</v>
      </c>
      <c r="N90" s="108">
        <v>83680.583333333328</v>
      </c>
      <c r="O90" s="108"/>
      <c r="P90" s="85"/>
      <c r="Q90" s="108"/>
      <c r="R90" s="108"/>
      <c r="S90" s="108"/>
      <c r="T90" s="109"/>
      <c r="U90" s="109"/>
      <c r="V90" s="109"/>
      <c r="W90" s="109"/>
      <c r="X90" s="109"/>
      <c r="Y90" s="109"/>
      <c r="Z90" s="109"/>
      <c r="AA90" s="110"/>
      <c r="AB90" s="111"/>
      <c r="AC90" s="112"/>
      <c r="AD90" s="85">
        <v>171559.01666666666</v>
      </c>
      <c r="AE90"/>
    </row>
    <row r="91" spans="1:31" ht="13">
      <c r="A91" s="106"/>
      <c r="B91" s="113" t="s">
        <v>740</v>
      </c>
      <c r="C91" s="114">
        <v>9.2219874030984809E-3</v>
      </c>
      <c r="D91" s="115">
        <v>-2.7119936649606595E-2</v>
      </c>
      <c r="E91" s="115">
        <v>-1.8057183541993645E-2</v>
      </c>
      <c r="F91" s="115">
        <v>-3.3906845041404128E-2</v>
      </c>
      <c r="G91" s="115">
        <v>-2.3478894920197661E-2</v>
      </c>
      <c r="H91" s="115">
        <v>-2.5444260743883274E-2</v>
      </c>
      <c r="I91" s="114">
        <v>-1.4675482570575603E-2</v>
      </c>
      <c r="J91" s="114">
        <v>0</v>
      </c>
      <c r="K91" s="115">
        <v>-1.5622540488410433E-2</v>
      </c>
      <c r="L91" s="115">
        <v>-3.7910959006513152E-2</v>
      </c>
      <c r="M91" s="115">
        <v>-3.1955557162559413E-2</v>
      </c>
      <c r="N91" s="114">
        <v>-2.179224693931316E-2</v>
      </c>
      <c r="O91" s="116">
        <v>0</v>
      </c>
      <c r="P91" s="115">
        <v>0</v>
      </c>
      <c r="Q91" s="114">
        <v>0</v>
      </c>
      <c r="R91" s="114">
        <v>0</v>
      </c>
      <c r="S91" s="114">
        <v>0</v>
      </c>
      <c r="T91" s="117">
        <v>0</v>
      </c>
      <c r="U91" s="117">
        <v>0</v>
      </c>
      <c r="V91" s="117">
        <v>0</v>
      </c>
      <c r="W91" s="117">
        <v>0</v>
      </c>
      <c r="X91" s="117">
        <v>0</v>
      </c>
      <c r="Y91" s="117">
        <v>0</v>
      </c>
      <c r="Z91" s="117">
        <v>0</v>
      </c>
      <c r="AA91" s="118">
        <v>0</v>
      </c>
      <c r="AB91" s="119">
        <v>0</v>
      </c>
      <c r="AC91" s="120">
        <v>0</v>
      </c>
      <c r="AD91" s="115">
        <v>-1.8159685945125889E-2</v>
      </c>
      <c r="AE91"/>
    </row>
    <row r="92" spans="1:31" ht="13">
      <c r="A92" s="106"/>
      <c r="B92" s="107" t="s">
        <v>728</v>
      </c>
      <c r="C92" s="108">
        <v>0</v>
      </c>
      <c r="D92" s="85">
        <v>0</v>
      </c>
      <c r="E92" s="85">
        <v>0</v>
      </c>
      <c r="F92" s="85">
        <v>0</v>
      </c>
      <c r="G92" s="85">
        <v>0</v>
      </c>
      <c r="H92" s="85">
        <v>0</v>
      </c>
      <c r="I92" s="108">
        <v>0</v>
      </c>
      <c r="J92" s="108"/>
      <c r="K92" s="85">
        <v>0</v>
      </c>
      <c r="L92" s="85">
        <v>0</v>
      </c>
      <c r="M92" s="85">
        <v>0</v>
      </c>
      <c r="N92" s="108">
        <v>0</v>
      </c>
      <c r="O92" s="121"/>
      <c r="P92" s="85"/>
      <c r="Q92" s="108"/>
      <c r="R92" s="108"/>
      <c r="S92" s="108"/>
      <c r="T92" s="109"/>
      <c r="U92" s="109"/>
      <c r="V92" s="109"/>
      <c r="W92" s="109"/>
      <c r="X92" s="109"/>
      <c r="Y92" s="109"/>
      <c r="Z92" s="109"/>
      <c r="AA92" s="122"/>
      <c r="AB92" s="111"/>
      <c r="AC92" s="112"/>
      <c r="AD92" s="85">
        <v>0</v>
      </c>
      <c r="AE92"/>
    </row>
    <row r="93" spans="1:31" ht="13">
      <c r="A93" s="106"/>
      <c r="B93" s="107" t="s">
        <v>730</v>
      </c>
      <c r="C93" s="108">
        <v>0</v>
      </c>
      <c r="D93" s="85">
        <v>0</v>
      </c>
      <c r="E93" s="85">
        <v>0</v>
      </c>
      <c r="F93" s="85">
        <v>0</v>
      </c>
      <c r="G93" s="85">
        <v>0</v>
      </c>
      <c r="H93" s="85">
        <v>0</v>
      </c>
      <c r="I93" s="108">
        <v>0</v>
      </c>
      <c r="J93" s="108"/>
      <c r="K93" s="85">
        <v>0</v>
      </c>
      <c r="L93" s="85">
        <v>0</v>
      </c>
      <c r="M93" s="85">
        <v>0</v>
      </c>
      <c r="N93" s="108">
        <v>0</v>
      </c>
      <c r="O93" s="121"/>
      <c r="P93" s="85"/>
      <c r="Q93" s="108"/>
      <c r="R93" s="108"/>
      <c r="S93" s="108"/>
      <c r="T93" s="109"/>
      <c r="U93" s="109"/>
      <c r="V93" s="109"/>
      <c r="W93" s="109"/>
      <c r="X93" s="109"/>
      <c r="Y93" s="109"/>
      <c r="Z93" s="109"/>
      <c r="AA93" s="122"/>
      <c r="AB93" s="111"/>
      <c r="AC93" s="112"/>
      <c r="AD93" s="85">
        <v>0</v>
      </c>
      <c r="AE93"/>
    </row>
    <row r="94" spans="1:31" ht="13">
      <c r="A94" s="106"/>
      <c r="B94" s="113" t="s">
        <v>742</v>
      </c>
      <c r="C94" s="114">
        <v>0</v>
      </c>
      <c r="D94" s="115">
        <v>0</v>
      </c>
      <c r="E94" s="115">
        <v>0</v>
      </c>
      <c r="F94" s="115">
        <v>0</v>
      </c>
      <c r="G94" s="115">
        <v>0</v>
      </c>
      <c r="H94" s="115">
        <v>0</v>
      </c>
      <c r="I94" s="114">
        <v>0</v>
      </c>
      <c r="J94" s="114">
        <v>0</v>
      </c>
      <c r="K94" s="115">
        <v>0</v>
      </c>
      <c r="L94" s="115">
        <v>0</v>
      </c>
      <c r="M94" s="115">
        <v>0</v>
      </c>
      <c r="N94" s="114">
        <v>0</v>
      </c>
      <c r="O94" s="116">
        <v>0</v>
      </c>
      <c r="P94" s="115">
        <v>0</v>
      </c>
      <c r="Q94" s="114">
        <v>0</v>
      </c>
      <c r="R94" s="114">
        <v>0</v>
      </c>
      <c r="S94" s="114">
        <v>0</v>
      </c>
      <c r="T94" s="117">
        <v>0</v>
      </c>
      <c r="U94" s="117">
        <v>0</v>
      </c>
      <c r="V94" s="117">
        <v>0</v>
      </c>
      <c r="W94" s="117">
        <v>0</v>
      </c>
      <c r="X94" s="117">
        <v>0</v>
      </c>
      <c r="Y94" s="117">
        <v>0</v>
      </c>
      <c r="Z94" s="117">
        <v>0</v>
      </c>
      <c r="AA94" s="118">
        <v>0</v>
      </c>
      <c r="AB94" s="119">
        <v>0</v>
      </c>
      <c r="AC94" s="120">
        <v>0</v>
      </c>
      <c r="AD94" s="115">
        <v>0</v>
      </c>
      <c r="AE94"/>
    </row>
    <row r="95" spans="1:31" ht="13">
      <c r="A95" s="106"/>
      <c r="B95" s="107" t="s">
        <v>732</v>
      </c>
      <c r="C95" s="108">
        <v>6625.625</v>
      </c>
      <c r="D95" s="85">
        <v>2429.5416666666665</v>
      </c>
      <c r="E95" s="85">
        <v>3665</v>
      </c>
      <c r="F95" s="85">
        <v>2365.6458333333335</v>
      </c>
      <c r="G95" s="85">
        <v>216.70833333333334</v>
      </c>
      <c r="H95" s="85">
        <v>55.541666666666664</v>
      </c>
      <c r="I95" s="108">
        <v>15358.0625</v>
      </c>
      <c r="J95" s="108"/>
      <c r="K95" s="85">
        <v>0</v>
      </c>
      <c r="L95" s="85">
        <v>0</v>
      </c>
      <c r="M95" s="85">
        <v>0</v>
      </c>
      <c r="N95" s="108">
        <v>0</v>
      </c>
      <c r="O95" s="121"/>
      <c r="P95" s="85"/>
      <c r="Q95" s="108"/>
      <c r="R95" s="108"/>
      <c r="S95" s="108"/>
      <c r="T95" s="109"/>
      <c r="U95" s="109"/>
      <c r="V95" s="109"/>
      <c r="W95" s="109"/>
      <c r="X95" s="109"/>
      <c r="Y95" s="109"/>
      <c r="Z95" s="109"/>
      <c r="AA95" s="122"/>
      <c r="AB95" s="111"/>
      <c r="AC95" s="112"/>
      <c r="AD95" s="85">
        <v>15358.0625</v>
      </c>
      <c r="AE95"/>
    </row>
    <row r="96" spans="1:31" ht="13">
      <c r="A96" s="106"/>
      <c r="B96" s="107" t="s">
        <v>734</v>
      </c>
      <c r="C96" s="108">
        <v>6425.708333333333</v>
      </c>
      <c r="D96" s="85">
        <v>2476.333333333333</v>
      </c>
      <c r="E96" s="85">
        <v>3557.4375</v>
      </c>
      <c r="F96" s="85">
        <v>2428.354166666667</v>
      </c>
      <c r="G96" s="85">
        <v>191.29166666666666</v>
      </c>
      <c r="H96" s="85">
        <v>46.75</v>
      </c>
      <c r="I96" s="108">
        <v>15125.874999999998</v>
      </c>
      <c r="J96" s="108"/>
      <c r="K96" s="85">
        <v>0</v>
      </c>
      <c r="L96" s="85">
        <v>0</v>
      </c>
      <c r="M96" s="85">
        <v>0</v>
      </c>
      <c r="N96" s="108">
        <v>0</v>
      </c>
      <c r="O96" s="121"/>
      <c r="P96" s="85"/>
      <c r="Q96" s="108"/>
      <c r="R96" s="108"/>
      <c r="S96" s="108"/>
      <c r="T96" s="109"/>
      <c r="U96" s="109"/>
      <c r="V96" s="109"/>
      <c r="W96" s="109"/>
      <c r="X96" s="109"/>
      <c r="Y96" s="109"/>
      <c r="Z96" s="109"/>
      <c r="AA96" s="122"/>
      <c r="AB96" s="111"/>
      <c r="AC96" s="112"/>
      <c r="AD96" s="85">
        <v>15125.874999999998</v>
      </c>
      <c r="AE96"/>
    </row>
    <row r="97" spans="1:31" ht="13">
      <c r="A97" s="106"/>
      <c r="B97" s="113" t="s">
        <v>744</v>
      </c>
      <c r="C97" s="114">
        <v>-3.0173254095525626E-2</v>
      </c>
      <c r="D97" s="115">
        <v>1.9259462518650575E-2</v>
      </c>
      <c r="E97" s="115">
        <v>-2.9348567530695771E-2</v>
      </c>
      <c r="F97" s="115">
        <v>2.6507912744053397E-2</v>
      </c>
      <c r="G97" s="115">
        <v>-0.11728513747356285</v>
      </c>
      <c r="H97" s="115">
        <v>-0.15828957239309824</v>
      </c>
      <c r="I97" s="114">
        <v>-1.5118280707608905E-2</v>
      </c>
      <c r="J97" s="114">
        <v>0</v>
      </c>
      <c r="K97" s="115">
        <v>0</v>
      </c>
      <c r="L97" s="115">
        <v>0</v>
      </c>
      <c r="M97" s="115">
        <v>0</v>
      </c>
      <c r="N97" s="114">
        <v>0</v>
      </c>
      <c r="O97" s="116">
        <v>0</v>
      </c>
      <c r="P97" s="115">
        <v>0</v>
      </c>
      <c r="Q97" s="114">
        <v>0</v>
      </c>
      <c r="R97" s="114">
        <v>0</v>
      </c>
      <c r="S97" s="114">
        <v>0</v>
      </c>
      <c r="T97" s="117">
        <v>0</v>
      </c>
      <c r="U97" s="117">
        <v>0</v>
      </c>
      <c r="V97" s="117">
        <v>0</v>
      </c>
      <c r="W97" s="117">
        <v>0</v>
      </c>
      <c r="X97" s="117">
        <v>0</v>
      </c>
      <c r="Y97" s="117">
        <v>0</v>
      </c>
      <c r="Z97" s="117">
        <v>0</v>
      </c>
      <c r="AA97" s="118">
        <v>0</v>
      </c>
      <c r="AB97" s="119">
        <v>0</v>
      </c>
      <c r="AC97" s="120">
        <v>0</v>
      </c>
      <c r="AD97" s="115">
        <v>-1.5118280707608905E-2</v>
      </c>
      <c r="AE97"/>
    </row>
    <row r="98" spans="1:31" ht="13">
      <c r="A98" s="106"/>
      <c r="B98" s="107" t="s">
        <v>736</v>
      </c>
      <c r="C98" s="108">
        <v>35426.358333333337</v>
      </c>
      <c r="D98" s="85">
        <v>19519.674999999999</v>
      </c>
      <c r="E98" s="85">
        <v>23983.783333333333</v>
      </c>
      <c r="F98" s="85">
        <v>21683.279166666664</v>
      </c>
      <c r="G98" s="85">
        <v>2273.875</v>
      </c>
      <c r="H98" s="85">
        <v>1658.3916666666667</v>
      </c>
      <c r="I98" s="108">
        <v>104545.3625</v>
      </c>
      <c r="J98" s="108"/>
      <c r="K98" s="85">
        <v>60140.666666666664</v>
      </c>
      <c r="L98" s="85">
        <v>18950.896666666667</v>
      </c>
      <c r="M98" s="85">
        <v>6453.2333333333336</v>
      </c>
      <c r="N98" s="108">
        <v>85544.796666666662</v>
      </c>
      <c r="O98" s="121"/>
      <c r="P98" s="85"/>
      <c r="Q98" s="108"/>
      <c r="R98" s="108"/>
      <c r="S98" s="108"/>
      <c r="T98" s="109"/>
      <c r="U98" s="109"/>
      <c r="V98" s="109"/>
      <c r="W98" s="109"/>
      <c r="X98" s="109"/>
      <c r="Y98" s="109"/>
      <c r="Z98" s="109"/>
      <c r="AA98" s="122"/>
      <c r="AB98" s="111"/>
      <c r="AC98" s="112"/>
      <c r="AD98" s="85">
        <v>190090.15916666668</v>
      </c>
      <c r="AE98"/>
    </row>
    <row r="99" spans="1:31" ht="13">
      <c r="A99" s="106"/>
      <c r="B99" s="107" t="s">
        <v>738</v>
      </c>
      <c r="C99" s="108">
        <v>35492.041666666664</v>
      </c>
      <c r="D99" s="85">
        <v>19102.983333333334</v>
      </c>
      <c r="E99" s="85">
        <v>23509.320833333331</v>
      </c>
      <c r="F99" s="85">
        <v>21090.987500000003</v>
      </c>
      <c r="G99" s="85">
        <v>2200.1583333333333</v>
      </c>
      <c r="H99" s="85">
        <v>1608.8166666666666</v>
      </c>
      <c r="I99" s="108">
        <v>103004.30833333333</v>
      </c>
      <c r="J99" s="108"/>
      <c r="K99" s="85">
        <v>59201.116666666669</v>
      </c>
      <c r="L99" s="85">
        <v>18232.45</v>
      </c>
      <c r="M99" s="85">
        <v>6247.0166666666664</v>
      </c>
      <c r="N99" s="108">
        <v>83680.583333333328</v>
      </c>
      <c r="O99" s="121"/>
      <c r="P99" s="85"/>
      <c r="Q99" s="108"/>
      <c r="R99" s="108"/>
      <c r="S99" s="108"/>
      <c r="T99" s="109"/>
      <c r="U99" s="109"/>
      <c r="V99" s="109"/>
      <c r="W99" s="109"/>
      <c r="X99" s="109"/>
      <c r="Y99" s="109"/>
      <c r="Z99" s="109"/>
      <c r="AA99" s="122"/>
      <c r="AB99" s="111"/>
      <c r="AC99" s="112"/>
      <c r="AD99" s="85">
        <v>186684.89166666666</v>
      </c>
      <c r="AE99"/>
    </row>
    <row r="100" spans="1:31" ht="13">
      <c r="A100" s="123"/>
      <c r="B100" s="124" t="s">
        <v>746</v>
      </c>
      <c r="C100" s="114">
        <v>1.8540808715166279E-3</v>
      </c>
      <c r="D100" s="115">
        <v>-2.1347264576211729E-2</v>
      </c>
      <c r="E100" s="115">
        <v>-1.978263785182633E-2</v>
      </c>
      <c r="F100" s="115">
        <v>-2.7315594754560024E-2</v>
      </c>
      <c r="G100" s="115">
        <v>-3.2418961757645734E-2</v>
      </c>
      <c r="H100" s="115">
        <v>-2.9893420834443036E-2</v>
      </c>
      <c r="I100" s="114">
        <v>-1.4740531094018336E-2</v>
      </c>
      <c r="J100" s="114">
        <v>0</v>
      </c>
      <c r="K100" s="115">
        <v>-1.5622540488410433E-2</v>
      </c>
      <c r="L100" s="115">
        <v>-3.7910959006513152E-2</v>
      </c>
      <c r="M100" s="115">
        <v>-3.1955557162559413E-2</v>
      </c>
      <c r="N100" s="114">
        <v>-2.179224693931316E-2</v>
      </c>
      <c r="O100" s="116">
        <v>0</v>
      </c>
      <c r="P100" s="115">
        <v>0</v>
      </c>
      <c r="Q100" s="114">
        <v>0</v>
      </c>
      <c r="R100" s="114">
        <v>0</v>
      </c>
      <c r="S100" s="114">
        <v>0</v>
      </c>
      <c r="T100" s="117">
        <v>0</v>
      </c>
      <c r="U100" s="117">
        <v>0</v>
      </c>
      <c r="V100" s="117">
        <v>0</v>
      </c>
      <c r="W100" s="117">
        <v>0</v>
      </c>
      <c r="X100" s="117">
        <v>0</v>
      </c>
      <c r="Y100" s="117">
        <v>0</v>
      </c>
      <c r="Z100" s="117">
        <v>0</v>
      </c>
      <c r="AA100" s="118">
        <v>0</v>
      </c>
      <c r="AB100" s="111">
        <v>0</v>
      </c>
      <c r="AC100" s="112">
        <v>0</v>
      </c>
      <c r="AD100" s="115">
        <v>-1.7913959959465261E-2</v>
      </c>
      <c r="AE100"/>
    </row>
    <row r="101" spans="1:31" ht="13">
      <c r="A101" s="104" t="s">
        <v>233</v>
      </c>
      <c r="B101" s="92" t="s">
        <v>720</v>
      </c>
      <c r="C101" s="86">
        <v>46980.899999999994</v>
      </c>
      <c r="D101" s="80">
        <v>5041.4333333333334</v>
      </c>
      <c r="E101" s="80"/>
      <c r="F101" s="80">
        <v>9638.133333333335</v>
      </c>
      <c r="G101" s="80"/>
      <c r="H101" s="80"/>
      <c r="I101" s="86">
        <v>61660.46666666666</v>
      </c>
      <c r="J101" s="86"/>
      <c r="K101" s="80">
        <v>29232.833333333336</v>
      </c>
      <c r="L101" s="80">
        <v>29847.433333333331</v>
      </c>
      <c r="M101" s="80">
        <v>3512.8999999999996</v>
      </c>
      <c r="N101" s="86">
        <v>62593.166666666664</v>
      </c>
      <c r="O101" s="86"/>
      <c r="P101" s="80"/>
      <c r="Q101" s="86"/>
      <c r="R101" s="86"/>
      <c r="S101" s="86"/>
      <c r="T101" s="88"/>
      <c r="U101" s="88"/>
      <c r="V101" s="88"/>
      <c r="W101" s="88"/>
      <c r="X101" s="88"/>
      <c r="Y101" s="88"/>
      <c r="Z101" s="88"/>
      <c r="AA101" s="105"/>
      <c r="AB101" s="90"/>
      <c r="AC101" s="91"/>
      <c r="AD101" s="85">
        <v>124253.63333333332</v>
      </c>
      <c r="AE101"/>
    </row>
    <row r="102" spans="1:31" ht="13">
      <c r="A102" s="106"/>
      <c r="B102" s="107" t="s">
        <v>721</v>
      </c>
      <c r="C102" s="108">
        <v>46763.333333333336</v>
      </c>
      <c r="D102" s="85">
        <v>4740.5333333333338</v>
      </c>
      <c r="E102" s="85"/>
      <c r="F102" s="85">
        <v>9495.2566666666662</v>
      </c>
      <c r="G102" s="85"/>
      <c r="H102" s="85"/>
      <c r="I102" s="108">
        <v>60999.123333333337</v>
      </c>
      <c r="J102" s="108"/>
      <c r="K102" s="85">
        <v>28246.9</v>
      </c>
      <c r="L102" s="85">
        <v>29220.283333333333</v>
      </c>
      <c r="M102" s="85">
        <v>3576.4</v>
      </c>
      <c r="N102" s="108">
        <v>61043.583333333336</v>
      </c>
      <c r="O102" s="108"/>
      <c r="P102" s="85"/>
      <c r="Q102" s="108"/>
      <c r="R102" s="108"/>
      <c r="S102" s="108"/>
      <c r="T102" s="109"/>
      <c r="U102" s="109"/>
      <c r="V102" s="109"/>
      <c r="W102" s="109"/>
      <c r="X102" s="109"/>
      <c r="Y102" s="109"/>
      <c r="Z102" s="109"/>
      <c r="AA102" s="110"/>
      <c r="AB102" s="111"/>
      <c r="AC102" s="112"/>
      <c r="AD102" s="85">
        <v>122042.70666666667</v>
      </c>
      <c r="AE102"/>
    </row>
    <row r="103" spans="1:31" ht="13">
      <c r="A103" s="106"/>
      <c r="B103" s="113" t="s">
        <v>740</v>
      </c>
      <c r="C103" s="114">
        <v>-4.6309599574860943E-3</v>
      </c>
      <c r="D103" s="115">
        <v>-5.9685406927923866E-2</v>
      </c>
      <c r="E103" s="115">
        <v>0</v>
      </c>
      <c r="F103" s="115">
        <v>-1.4824101485765099E-2</v>
      </c>
      <c r="G103" s="115">
        <v>0</v>
      </c>
      <c r="H103" s="115">
        <v>0</v>
      </c>
      <c r="I103" s="114">
        <v>-1.0725564840573115E-2</v>
      </c>
      <c r="J103" s="114">
        <v>0</v>
      </c>
      <c r="K103" s="115">
        <v>-3.3726916651938207E-2</v>
      </c>
      <c r="L103" s="115">
        <v>-2.1011856965925529E-2</v>
      </c>
      <c r="M103" s="115">
        <v>1.8076233311509142E-2</v>
      </c>
      <c r="N103" s="114">
        <v>-2.4756429748721394E-2</v>
      </c>
      <c r="O103" s="116">
        <v>0</v>
      </c>
      <c r="P103" s="115">
        <v>0</v>
      </c>
      <c r="Q103" s="114">
        <v>0</v>
      </c>
      <c r="R103" s="114">
        <v>0</v>
      </c>
      <c r="S103" s="114">
        <v>0</v>
      </c>
      <c r="T103" s="117">
        <v>0</v>
      </c>
      <c r="U103" s="117">
        <v>0</v>
      </c>
      <c r="V103" s="117">
        <v>0</v>
      </c>
      <c r="W103" s="117">
        <v>0</v>
      </c>
      <c r="X103" s="117">
        <v>0</v>
      </c>
      <c r="Y103" s="117">
        <v>0</v>
      </c>
      <c r="Z103" s="117">
        <v>0</v>
      </c>
      <c r="AA103" s="118">
        <v>0</v>
      </c>
      <c r="AB103" s="119">
        <v>0</v>
      </c>
      <c r="AC103" s="120">
        <v>0</v>
      </c>
      <c r="AD103" s="115">
        <v>-1.7793658079482275E-2</v>
      </c>
      <c r="AE103"/>
    </row>
    <row r="104" spans="1:31" ht="13">
      <c r="A104" s="106"/>
      <c r="B104" s="107" t="s">
        <v>728</v>
      </c>
      <c r="C104" s="108">
        <v>0</v>
      </c>
      <c r="D104" s="85">
        <v>0</v>
      </c>
      <c r="E104" s="85"/>
      <c r="F104" s="85">
        <v>0</v>
      </c>
      <c r="G104" s="85"/>
      <c r="H104" s="85"/>
      <c r="I104" s="108">
        <v>0</v>
      </c>
      <c r="J104" s="108"/>
      <c r="K104" s="85">
        <v>0</v>
      </c>
      <c r="L104" s="85">
        <v>0</v>
      </c>
      <c r="M104" s="85">
        <v>0</v>
      </c>
      <c r="N104" s="108">
        <v>0</v>
      </c>
      <c r="O104" s="121"/>
      <c r="P104" s="85"/>
      <c r="Q104" s="108"/>
      <c r="R104" s="108"/>
      <c r="S104" s="108"/>
      <c r="T104" s="109"/>
      <c r="U104" s="109"/>
      <c r="V104" s="109"/>
      <c r="W104" s="109"/>
      <c r="X104" s="109"/>
      <c r="Y104" s="109"/>
      <c r="Z104" s="109"/>
      <c r="AA104" s="122"/>
      <c r="AB104" s="111"/>
      <c r="AC104" s="112"/>
      <c r="AD104" s="85">
        <v>0</v>
      </c>
      <c r="AE104"/>
    </row>
    <row r="105" spans="1:31" ht="13">
      <c r="A105" s="106"/>
      <c r="B105" s="107" t="s">
        <v>730</v>
      </c>
      <c r="C105" s="108">
        <v>0</v>
      </c>
      <c r="D105" s="85">
        <v>0</v>
      </c>
      <c r="E105" s="85"/>
      <c r="F105" s="85">
        <v>0</v>
      </c>
      <c r="G105" s="85"/>
      <c r="H105" s="85"/>
      <c r="I105" s="108">
        <v>0</v>
      </c>
      <c r="J105" s="108"/>
      <c r="K105" s="85">
        <v>0</v>
      </c>
      <c r="L105" s="85">
        <v>0</v>
      </c>
      <c r="M105" s="85">
        <v>0</v>
      </c>
      <c r="N105" s="108">
        <v>0</v>
      </c>
      <c r="O105" s="121"/>
      <c r="P105" s="85"/>
      <c r="Q105" s="108"/>
      <c r="R105" s="108"/>
      <c r="S105" s="108"/>
      <c r="T105" s="109"/>
      <c r="U105" s="109"/>
      <c r="V105" s="109"/>
      <c r="W105" s="109"/>
      <c r="X105" s="109"/>
      <c r="Y105" s="109"/>
      <c r="Z105" s="109"/>
      <c r="AA105" s="122"/>
      <c r="AB105" s="111"/>
      <c r="AC105" s="112"/>
      <c r="AD105" s="85">
        <v>0</v>
      </c>
      <c r="AE105"/>
    </row>
    <row r="106" spans="1:31" ht="13">
      <c r="A106" s="106"/>
      <c r="B106" s="113" t="s">
        <v>742</v>
      </c>
      <c r="C106" s="114">
        <v>0</v>
      </c>
      <c r="D106" s="115">
        <v>0</v>
      </c>
      <c r="E106" s="115">
        <v>0</v>
      </c>
      <c r="F106" s="115">
        <v>0</v>
      </c>
      <c r="G106" s="115">
        <v>0</v>
      </c>
      <c r="H106" s="115">
        <v>0</v>
      </c>
      <c r="I106" s="114">
        <v>0</v>
      </c>
      <c r="J106" s="114">
        <v>0</v>
      </c>
      <c r="K106" s="115">
        <v>0</v>
      </c>
      <c r="L106" s="115">
        <v>0</v>
      </c>
      <c r="M106" s="115">
        <v>0</v>
      </c>
      <c r="N106" s="114">
        <v>0</v>
      </c>
      <c r="O106" s="116">
        <v>0</v>
      </c>
      <c r="P106" s="115">
        <v>0</v>
      </c>
      <c r="Q106" s="114">
        <v>0</v>
      </c>
      <c r="R106" s="114">
        <v>0</v>
      </c>
      <c r="S106" s="114">
        <v>0</v>
      </c>
      <c r="T106" s="117">
        <v>0</v>
      </c>
      <c r="U106" s="117">
        <v>0</v>
      </c>
      <c r="V106" s="117">
        <v>0</v>
      </c>
      <c r="W106" s="117">
        <v>0</v>
      </c>
      <c r="X106" s="117">
        <v>0</v>
      </c>
      <c r="Y106" s="117">
        <v>0</v>
      </c>
      <c r="Z106" s="117">
        <v>0</v>
      </c>
      <c r="AA106" s="118">
        <v>0</v>
      </c>
      <c r="AB106" s="119">
        <v>0</v>
      </c>
      <c r="AC106" s="120">
        <v>0</v>
      </c>
      <c r="AD106" s="115">
        <v>0</v>
      </c>
      <c r="AE106"/>
    </row>
    <row r="107" spans="1:31" ht="13">
      <c r="A107" s="106"/>
      <c r="B107" s="107" t="s">
        <v>732</v>
      </c>
      <c r="C107" s="108">
        <v>7241.2083333333321</v>
      </c>
      <c r="D107" s="85">
        <v>1222.7708333333333</v>
      </c>
      <c r="E107" s="85"/>
      <c r="F107" s="85">
        <v>1663.7499999999998</v>
      </c>
      <c r="G107" s="85"/>
      <c r="H107" s="85"/>
      <c r="I107" s="108">
        <v>10127.729166666666</v>
      </c>
      <c r="J107" s="108"/>
      <c r="K107" s="85">
        <v>0</v>
      </c>
      <c r="L107" s="85">
        <v>0</v>
      </c>
      <c r="M107" s="85">
        <v>0</v>
      </c>
      <c r="N107" s="108">
        <v>0</v>
      </c>
      <c r="O107" s="121"/>
      <c r="P107" s="85"/>
      <c r="Q107" s="108"/>
      <c r="R107" s="108"/>
      <c r="S107" s="108"/>
      <c r="T107" s="109"/>
      <c r="U107" s="109"/>
      <c r="V107" s="109"/>
      <c r="W107" s="109"/>
      <c r="X107" s="109"/>
      <c r="Y107" s="109"/>
      <c r="Z107" s="109"/>
      <c r="AA107" s="122"/>
      <c r="AB107" s="111"/>
      <c r="AC107" s="112"/>
      <c r="AD107" s="85">
        <v>10127.729166666666</v>
      </c>
      <c r="AE107"/>
    </row>
    <row r="108" spans="1:31" ht="13">
      <c r="A108" s="106"/>
      <c r="B108" s="107" t="s">
        <v>734</v>
      </c>
      <c r="C108" s="108">
        <v>7184.7083333333339</v>
      </c>
      <c r="D108" s="85">
        <v>1237.2083333333333</v>
      </c>
      <c r="E108" s="85"/>
      <c r="F108" s="85">
        <v>1373.1041666666667</v>
      </c>
      <c r="G108" s="85"/>
      <c r="H108" s="85"/>
      <c r="I108" s="108">
        <v>9795.0208333333339</v>
      </c>
      <c r="J108" s="108"/>
      <c r="K108" s="85">
        <v>0</v>
      </c>
      <c r="L108" s="85">
        <v>0</v>
      </c>
      <c r="M108" s="85">
        <v>0</v>
      </c>
      <c r="N108" s="108">
        <v>0</v>
      </c>
      <c r="O108" s="121"/>
      <c r="P108" s="85"/>
      <c r="Q108" s="108"/>
      <c r="R108" s="108"/>
      <c r="S108" s="108"/>
      <c r="T108" s="109"/>
      <c r="U108" s="109"/>
      <c r="V108" s="109"/>
      <c r="W108" s="109"/>
      <c r="X108" s="109"/>
      <c r="Y108" s="109"/>
      <c r="Z108" s="109"/>
      <c r="AA108" s="122"/>
      <c r="AB108" s="111"/>
      <c r="AC108" s="112"/>
      <c r="AD108" s="85">
        <v>9795.0208333333339</v>
      </c>
      <c r="AE108"/>
    </row>
    <row r="109" spans="1:31" ht="13">
      <c r="A109" s="106"/>
      <c r="B109" s="113" t="s">
        <v>744</v>
      </c>
      <c r="C109" s="114">
        <v>-7.8025651796141101E-3</v>
      </c>
      <c r="D109" s="115">
        <v>1.1807200177193193E-2</v>
      </c>
      <c r="E109" s="115">
        <v>0</v>
      </c>
      <c r="F109" s="115">
        <v>-0.17469321312296504</v>
      </c>
      <c r="G109" s="115">
        <v>0</v>
      </c>
      <c r="H109" s="115">
        <v>0</v>
      </c>
      <c r="I109" s="114">
        <v>-3.2851227344069867E-2</v>
      </c>
      <c r="J109" s="114">
        <v>0</v>
      </c>
      <c r="K109" s="115">
        <v>0</v>
      </c>
      <c r="L109" s="115">
        <v>0</v>
      </c>
      <c r="M109" s="115">
        <v>0</v>
      </c>
      <c r="N109" s="114">
        <v>0</v>
      </c>
      <c r="O109" s="116">
        <v>0</v>
      </c>
      <c r="P109" s="115">
        <v>0</v>
      </c>
      <c r="Q109" s="114">
        <v>0</v>
      </c>
      <c r="R109" s="114">
        <v>0</v>
      </c>
      <c r="S109" s="114">
        <v>0</v>
      </c>
      <c r="T109" s="117">
        <v>0</v>
      </c>
      <c r="U109" s="117">
        <v>0</v>
      </c>
      <c r="V109" s="117">
        <v>0</v>
      </c>
      <c r="W109" s="117">
        <v>0</v>
      </c>
      <c r="X109" s="117">
        <v>0</v>
      </c>
      <c r="Y109" s="117">
        <v>0</v>
      </c>
      <c r="Z109" s="117">
        <v>0</v>
      </c>
      <c r="AA109" s="118">
        <v>0</v>
      </c>
      <c r="AB109" s="119">
        <v>0</v>
      </c>
      <c r="AC109" s="120">
        <v>0</v>
      </c>
      <c r="AD109" s="115">
        <v>-3.2851227344069867E-2</v>
      </c>
      <c r="AE109"/>
    </row>
    <row r="110" spans="1:31" ht="13">
      <c r="A110" s="106"/>
      <c r="B110" s="107" t="s">
        <v>736</v>
      </c>
      <c r="C110" s="108">
        <v>54222.108333333337</v>
      </c>
      <c r="D110" s="85">
        <v>6264.2041666666664</v>
      </c>
      <c r="E110" s="85"/>
      <c r="F110" s="85">
        <v>11301.883333333335</v>
      </c>
      <c r="G110" s="85"/>
      <c r="H110" s="85"/>
      <c r="I110" s="108">
        <v>71788.195833333331</v>
      </c>
      <c r="J110" s="108"/>
      <c r="K110" s="85">
        <v>29232.833333333336</v>
      </c>
      <c r="L110" s="85">
        <v>29847.433333333331</v>
      </c>
      <c r="M110" s="85">
        <v>3512.8999999999996</v>
      </c>
      <c r="N110" s="108">
        <v>62593.166666666664</v>
      </c>
      <c r="O110" s="121"/>
      <c r="P110" s="85"/>
      <c r="Q110" s="108"/>
      <c r="R110" s="108"/>
      <c r="S110" s="108"/>
      <c r="T110" s="109"/>
      <c r="U110" s="109"/>
      <c r="V110" s="109"/>
      <c r="W110" s="109"/>
      <c r="X110" s="109"/>
      <c r="Y110" s="109"/>
      <c r="Z110" s="109"/>
      <c r="AA110" s="122"/>
      <c r="AB110" s="111"/>
      <c r="AC110" s="112"/>
      <c r="AD110" s="85">
        <v>134381.36250000002</v>
      </c>
      <c r="AE110"/>
    </row>
    <row r="111" spans="1:31" ht="13">
      <c r="A111" s="106"/>
      <c r="B111" s="107" t="s">
        <v>738</v>
      </c>
      <c r="C111" s="108">
        <v>53948.041666666664</v>
      </c>
      <c r="D111" s="85">
        <v>5977.7416666666668</v>
      </c>
      <c r="E111" s="85"/>
      <c r="F111" s="85">
        <v>10868.360833333332</v>
      </c>
      <c r="G111" s="85"/>
      <c r="H111" s="85"/>
      <c r="I111" s="108">
        <v>70794.144166666665</v>
      </c>
      <c r="J111" s="108"/>
      <c r="K111" s="85">
        <v>28246.9</v>
      </c>
      <c r="L111" s="85">
        <v>29220.283333333333</v>
      </c>
      <c r="M111" s="85">
        <v>3576.4</v>
      </c>
      <c r="N111" s="108">
        <v>61043.583333333336</v>
      </c>
      <c r="O111" s="121"/>
      <c r="P111" s="85"/>
      <c r="Q111" s="108"/>
      <c r="R111" s="108"/>
      <c r="S111" s="108"/>
      <c r="T111" s="109"/>
      <c r="U111" s="109"/>
      <c r="V111" s="109"/>
      <c r="W111" s="109"/>
      <c r="X111" s="109"/>
      <c r="Y111" s="109"/>
      <c r="Z111" s="109"/>
      <c r="AA111" s="122"/>
      <c r="AB111" s="111"/>
      <c r="AC111" s="112"/>
      <c r="AD111" s="85">
        <v>131837.72749999998</v>
      </c>
      <c r="AE111"/>
    </row>
    <row r="112" spans="1:31" ht="13">
      <c r="A112" s="123"/>
      <c r="B112" s="124" t="s">
        <v>746</v>
      </c>
      <c r="C112" s="114">
        <v>-5.0545188132824596E-3</v>
      </c>
      <c r="D112" s="115">
        <v>-4.5730070792445648E-2</v>
      </c>
      <c r="E112" s="115">
        <v>0</v>
      </c>
      <c r="F112" s="115">
        <v>-3.83584299371936E-2</v>
      </c>
      <c r="G112" s="115">
        <v>0</v>
      </c>
      <c r="H112" s="115">
        <v>0</v>
      </c>
      <c r="I112" s="114">
        <v>-1.3847007229078249E-2</v>
      </c>
      <c r="J112" s="114">
        <v>0</v>
      </c>
      <c r="K112" s="115">
        <v>-3.3726916651938207E-2</v>
      </c>
      <c r="L112" s="115">
        <v>-2.1011856965925529E-2</v>
      </c>
      <c r="M112" s="115">
        <v>1.8076233311509142E-2</v>
      </c>
      <c r="N112" s="114">
        <v>-2.4756429748721394E-2</v>
      </c>
      <c r="O112" s="116">
        <v>0</v>
      </c>
      <c r="P112" s="115">
        <v>0</v>
      </c>
      <c r="Q112" s="114">
        <v>0</v>
      </c>
      <c r="R112" s="114">
        <v>0</v>
      </c>
      <c r="S112" s="114">
        <v>0</v>
      </c>
      <c r="T112" s="117">
        <v>0</v>
      </c>
      <c r="U112" s="117">
        <v>0</v>
      </c>
      <c r="V112" s="117">
        <v>0</v>
      </c>
      <c r="W112" s="117">
        <v>0</v>
      </c>
      <c r="X112" s="117">
        <v>0</v>
      </c>
      <c r="Y112" s="117">
        <v>0</v>
      </c>
      <c r="Z112" s="117">
        <v>0</v>
      </c>
      <c r="AA112" s="118">
        <v>0</v>
      </c>
      <c r="AB112" s="111">
        <v>0</v>
      </c>
      <c r="AC112" s="112">
        <v>0</v>
      </c>
      <c r="AD112" s="115">
        <v>-1.8928480502643959E-2</v>
      </c>
      <c r="AE112"/>
    </row>
    <row r="113" spans="1:31" ht="13">
      <c r="A113" s="104" t="s">
        <v>257</v>
      </c>
      <c r="B113" s="92" t="s">
        <v>720</v>
      </c>
      <c r="C113" s="86">
        <v>79927.266666666677</v>
      </c>
      <c r="D113" s="80">
        <v>21825.333333333332</v>
      </c>
      <c r="E113" s="80">
        <v>56308.066666666666</v>
      </c>
      <c r="F113" s="80">
        <v>4849.8666666666668</v>
      </c>
      <c r="G113" s="80">
        <v>9749.5999999999985</v>
      </c>
      <c r="H113" s="80">
        <v>4777.3666666666668</v>
      </c>
      <c r="I113" s="86">
        <v>177437.50000000003</v>
      </c>
      <c r="J113" s="86"/>
      <c r="K113" s="80">
        <v>69838.726666666669</v>
      </c>
      <c r="L113" s="80">
        <v>54168.933333333349</v>
      </c>
      <c r="M113" s="80">
        <v>25775.533333333336</v>
      </c>
      <c r="N113" s="86">
        <v>149783.19333333336</v>
      </c>
      <c r="O113" s="86"/>
      <c r="P113" s="80"/>
      <c r="Q113" s="86"/>
      <c r="R113" s="86"/>
      <c r="S113" s="86"/>
      <c r="T113" s="88"/>
      <c r="U113" s="88"/>
      <c r="V113" s="88"/>
      <c r="W113" s="88"/>
      <c r="X113" s="88"/>
      <c r="Y113" s="88"/>
      <c r="Z113" s="88"/>
      <c r="AA113" s="105"/>
      <c r="AB113" s="90">
        <v>926.73333333333335</v>
      </c>
      <c r="AC113" s="91">
        <v>926.73333333333335</v>
      </c>
      <c r="AD113" s="85">
        <v>328147.4266666667</v>
      </c>
      <c r="AE113"/>
    </row>
    <row r="114" spans="1:31" ht="13">
      <c r="A114" s="106"/>
      <c r="B114" s="107" t="s">
        <v>721</v>
      </c>
      <c r="C114" s="108">
        <v>80606.566666666666</v>
      </c>
      <c r="D114" s="85">
        <v>21374.733333333334</v>
      </c>
      <c r="E114" s="85">
        <v>57185.416666666672</v>
      </c>
      <c r="F114" s="85">
        <v>5003.833333333333</v>
      </c>
      <c r="G114" s="85">
        <v>10095</v>
      </c>
      <c r="H114" s="85">
        <v>4844.5</v>
      </c>
      <c r="I114" s="108">
        <v>179110.05000000002</v>
      </c>
      <c r="J114" s="108"/>
      <c r="K114" s="85">
        <v>70054.21666666666</v>
      </c>
      <c r="L114" s="85">
        <v>54422.400000000009</v>
      </c>
      <c r="M114" s="85">
        <v>26302.783333333333</v>
      </c>
      <c r="N114" s="108">
        <v>150779.4</v>
      </c>
      <c r="O114" s="108"/>
      <c r="P114" s="85"/>
      <c r="Q114" s="108"/>
      <c r="R114" s="108"/>
      <c r="S114" s="108"/>
      <c r="T114" s="109"/>
      <c r="U114" s="109"/>
      <c r="V114" s="109"/>
      <c r="W114" s="109"/>
      <c r="X114" s="109"/>
      <c r="Y114" s="109"/>
      <c r="Z114" s="109"/>
      <c r="AA114" s="110"/>
      <c r="AB114" s="111">
        <v>914.56666666666672</v>
      </c>
      <c r="AC114" s="112">
        <v>914.56666666666672</v>
      </c>
      <c r="AD114" s="85">
        <v>330804.01666666666</v>
      </c>
      <c r="AE114"/>
    </row>
    <row r="115" spans="1:31" ht="13">
      <c r="A115" s="106"/>
      <c r="B115" s="113" t="s">
        <v>740</v>
      </c>
      <c r="C115" s="114">
        <v>8.4989769865768169E-3</v>
      </c>
      <c r="D115" s="115">
        <v>-2.0645732787586225E-2</v>
      </c>
      <c r="E115" s="115">
        <v>1.55812488678355E-2</v>
      </c>
      <c r="F115" s="115">
        <v>3.1746577225490645E-2</v>
      </c>
      <c r="G115" s="115">
        <v>3.5427094444900456E-2</v>
      </c>
      <c r="H115" s="115">
        <v>1.4052371948283897E-2</v>
      </c>
      <c r="I115" s="114">
        <v>9.42613596336748E-3</v>
      </c>
      <c r="J115" s="114">
        <v>0</v>
      </c>
      <c r="K115" s="115">
        <v>3.0855373556351209E-3</v>
      </c>
      <c r="L115" s="115">
        <v>4.6791888093296987E-3</v>
      </c>
      <c r="M115" s="115">
        <v>2.0455444827523633E-2</v>
      </c>
      <c r="N115" s="114">
        <v>6.6509909723287877E-3</v>
      </c>
      <c r="O115" s="116">
        <v>0</v>
      </c>
      <c r="P115" s="115">
        <v>0</v>
      </c>
      <c r="Q115" s="114">
        <v>0</v>
      </c>
      <c r="R115" s="114">
        <v>0</v>
      </c>
      <c r="S115" s="114">
        <v>0</v>
      </c>
      <c r="T115" s="117">
        <v>0</v>
      </c>
      <c r="U115" s="117">
        <v>0</v>
      </c>
      <c r="V115" s="117">
        <v>0</v>
      </c>
      <c r="W115" s="117">
        <v>0</v>
      </c>
      <c r="X115" s="117">
        <v>0</v>
      </c>
      <c r="Y115" s="117">
        <v>0</v>
      </c>
      <c r="Z115" s="117">
        <v>0</v>
      </c>
      <c r="AA115" s="118">
        <v>0</v>
      </c>
      <c r="AB115" s="119">
        <v>-1.312855190274077E-2</v>
      </c>
      <c r="AC115" s="120">
        <v>-1.312855190274077E-2</v>
      </c>
      <c r="AD115" s="115">
        <v>8.0957209598916773E-3</v>
      </c>
      <c r="AE115"/>
    </row>
    <row r="116" spans="1:31" ht="13">
      <c r="A116" s="106"/>
      <c r="B116" s="107" t="s">
        <v>728</v>
      </c>
      <c r="C116" s="108">
        <v>0</v>
      </c>
      <c r="D116" s="85">
        <v>0</v>
      </c>
      <c r="E116" s="85">
        <v>0</v>
      </c>
      <c r="F116" s="85">
        <v>0</v>
      </c>
      <c r="G116" s="85">
        <v>0</v>
      </c>
      <c r="H116" s="85">
        <v>0</v>
      </c>
      <c r="I116" s="108">
        <v>0</v>
      </c>
      <c r="J116" s="108"/>
      <c r="K116" s="85">
        <v>11591.582222222221</v>
      </c>
      <c r="L116" s="85">
        <v>11945.246666666668</v>
      </c>
      <c r="M116" s="85">
        <v>7278.2922222222232</v>
      </c>
      <c r="N116" s="108">
        <v>30815.121111111112</v>
      </c>
      <c r="O116" s="121"/>
      <c r="P116" s="85"/>
      <c r="Q116" s="108"/>
      <c r="R116" s="108"/>
      <c r="S116" s="108"/>
      <c r="T116" s="109"/>
      <c r="U116" s="109"/>
      <c r="V116" s="109"/>
      <c r="W116" s="109"/>
      <c r="X116" s="109"/>
      <c r="Y116" s="109"/>
      <c r="Z116" s="109"/>
      <c r="AA116" s="122"/>
      <c r="AB116" s="111">
        <v>0</v>
      </c>
      <c r="AC116" s="112">
        <v>0</v>
      </c>
      <c r="AD116" s="85">
        <v>30815.121111111112</v>
      </c>
      <c r="AE116"/>
    </row>
    <row r="117" spans="1:31" ht="13">
      <c r="A117" s="106"/>
      <c r="B117" s="107" t="s">
        <v>730</v>
      </c>
      <c r="C117" s="108">
        <v>0</v>
      </c>
      <c r="D117" s="85">
        <v>0</v>
      </c>
      <c r="E117" s="85">
        <v>0</v>
      </c>
      <c r="F117" s="85">
        <v>0</v>
      </c>
      <c r="G117" s="85">
        <v>0</v>
      </c>
      <c r="H117" s="85">
        <v>0</v>
      </c>
      <c r="I117" s="108">
        <v>0</v>
      </c>
      <c r="J117" s="108"/>
      <c r="K117" s="85">
        <v>11853.945555555556</v>
      </c>
      <c r="L117" s="85">
        <v>12665.833333333334</v>
      </c>
      <c r="M117" s="85">
        <v>7569.2344444444434</v>
      </c>
      <c r="N117" s="108">
        <v>32089.013333333332</v>
      </c>
      <c r="O117" s="121"/>
      <c r="P117" s="85"/>
      <c r="Q117" s="108"/>
      <c r="R117" s="108"/>
      <c r="S117" s="108"/>
      <c r="T117" s="109"/>
      <c r="U117" s="109"/>
      <c r="V117" s="109"/>
      <c r="W117" s="109"/>
      <c r="X117" s="109"/>
      <c r="Y117" s="109"/>
      <c r="Z117" s="109"/>
      <c r="AA117" s="122"/>
      <c r="AB117" s="111">
        <v>0</v>
      </c>
      <c r="AC117" s="112">
        <v>0</v>
      </c>
      <c r="AD117" s="85">
        <v>32089.013333333332</v>
      </c>
      <c r="AE117"/>
    </row>
    <row r="118" spans="1:31" ht="13">
      <c r="A118" s="106"/>
      <c r="B118" s="113" t="s">
        <v>742</v>
      </c>
      <c r="C118" s="114">
        <v>0</v>
      </c>
      <c r="D118" s="115">
        <v>0</v>
      </c>
      <c r="E118" s="115">
        <v>0</v>
      </c>
      <c r="F118" s="115">
        <v>0</v>
      </c>
      <c r="G118" s="115">
        <v>0</v>
      </c>
      <c r="H118" s="115">
        <v>0</v>
      </c>
      <c r="I118" s="114">
        <v>0</v>
      </c>
      <c r="J118" s="114">
        <v>0</v>
      </c>
      <c r="K118" s="115">
        <v>2.2633953527962547E-2</v>
      </c>
      <c r="L118" s="115">
        <v>6.0324134509291513E-2</v>
      </c>
      <c r="M118" s="115">
        <v>3.9973968252320198E-2</v>
      </c>
      <c r="N118" s="114">
        <v>4.133984148979656E-2</v>
      </c>
      <c r="O118" s="116">
        <v>0</v>
      </c>
      <c r="P118" s="115">
        <v>0</v>
      </c>
      <c r="Q118" s="114">
        <v>0</v>
      </c>
      <c r="R118" s="114">
        <v>0</v>
      </c>
      <c r="S118" s="114">
        <v>0</v>
      </c>
      <c r="T118" s="117">
        <v>0</v>
      </c>
      <c r="U118" s="117">
        <v>0</v>
      </c>
      <c r="V118" s="117">
        <v>0</v>
      </c>
      <c r="W118" s="117">
        <v>0</v>
      </c>
      <c r="X118" s="117">
        <v>0</v>
      </c>
      <c r="Y118" s="117">
        <v>0</v>
      </c>
      <c r="Z118" s="117">
        <v>0</v>
      </c>
      <c r="AA118" s="118">
        <v>0</v>
      </c>
      <c r="AB118" s="119">
        <v>0</v>
      </c>
      <c r="AC118" s="120">
        <v>0</v>
      </c>
      <c r="AD118" s="115">
        <v>4.133984148979656E-2</v>
      </c>
      <c r="AE118"/>
    </row>
    <row r="119" spans="1:31" ht="13">
      <c r="A119" s="106"/>
      <c r="B119" s="107" t="s">
        <v>732</v>
      </c>
      <c r="C119" s="108">
        <v>21836.041666666664</v>
      </c>
      <c r="D119" s="85">
        <v>3752.625</v>
      </c>
      <c r="E119" s="85">
        <v>6815.9166666666661</v>
      </c>
      <c r="F119" s="85">
        <v>604.08333333333337</v>
      </c>
      <c r="G119" s="85">
        <v>1115.7916666666665</v>
      </c>
      <c r="H119" s="85">
        <v>36.75</v>
      </c>
      <c r="I119" s="108">
        <v>34161.208333333328</v>
      </c>
      <c r="J119" s="108"/>
      <c r="K119" s="85">
        <v>0</v>
      </c>
      <c r="L119" s="85">
        <v>0</v>
      </c>
      <c r="M119" s="85">
        <v>0</v>
      </c>
      <c r="N119" s="108">
        <v>0</v>
      </c>
      <c r="O119" s="121"/>
      <c r="P119" s="85"/>
      <c r="Q119" s="108"/>
      <c r="R119" s="108"/>
      <c r="S119" s="108"/>
      <c r="T119" s="109"/>
      <c r="U119" s="109"/>
      <c r="V119" s="109"/>
      <c r="W119" s="109"/>
      <c r="X119" s="109"/>
      <c r="Y119" s="109"/>
      <c r="Z119" s="109"/>
      <c r="AA119" s="122"/>
      <c r="AB119" s="111">
        <v>155.25</v>
      </c>
      <c r="AC119" s="112">
        <v>155.25</v>
      </c>
      <c r="AD119" s="85">
        <v>34316.458333333328</v>
      </c>
      <c r="AE119"/>
    </row>
    <row r="120" spans="1:31" ht="13">
      <c r="A120" s="106"/>
      <c r="B120" s="107" t="s">
        <v>734</v>
      </c>
      <c r="C120" s="108">
        <v>21698.020833333332</v>
      </c>
      <c r="D120" s="85">
        <v>3632.7083333333335</v>
      </c>
      <c r="E120" s="85">
        <v>7242.5</v>
      </c>
      <c r="F120" s="85">
        <v>597.41666666666663</v>
      </c>
      <c r="G120" s="85">
        <v>1382.6666666666665</v>
      </c>
      <c r="H120" s="85">
        <v>60.041666666666664</v>
      </c>
      <c r="I120" s="108">
        <v>34613.354166666657</v>
      </c>
      <c r="J120" s="108"/>
      <c r="K120" s="85">
        <v>0</v>
      </c>
      <c r="L120" s="85">
        <v>0</v>
      </c>
      <c r="M120" s="85">
        <v>0</v>
      </c>
      <c r="N120" s="108">
        <v>0</v>
      </c>
      <c r="O120" s="121"/>
      <c r="P120" s="85"/>
      <c r="Q120" s="108"/>
      <c r="R120" s="108"/>
      <c r="S120" s="108"/>
      <c r="T120" s="109"/>
      <c r="U120" s="109"/>
      <c r="V120" s="109"/>
      <c r="W120" s="109"/>
      <c r="X120" s="109"/>
      <c r="Y120" s="109"/>
      <c r="Z120" s="109"/>
      <c r="AA120" s="122"/>
      <c r="AB120" s="111">
        <v>159.25</v>
      </c>
      <c r="AC120" s="112">
        <v>159.25</v>
      </c>
      <c r="AD120" s="85">
        <v>34772.604166666657</v>
      </c>
      <c r="AE120"/>
    </row>
    <row r="121" spans="1:31" ht="13">
      <c r="A121" s="106"/>
      <c r="B121" s="113" t="s">
        <v>744</v>
      </c>
      <c r="C121" s="114">
        <v>-6.3207808191731397E-3</v>
      </c>
      <c r="D121" s="115">
        <v>-3.1955408991483698E-2</v>
      </c>
      <c r="E121" s="115">
        <v>6.2586348131212569E-2</v>
      </c>
      <c r="F121" s="115">
        <v>-1.103600496620236E-2</v>
      </c>
      <c r="G121" s="115">
        <v>0.23917995444191348</v>
      </c>
      <c r="H121" s="115">
        <v>0.63378684807256225</v>
      </c>
      <c r="I121" s="114">
        <v>1.3235651061327951E-2</v>
      </c>
      <c r="J121" s="114">
        <v>0</v>
      </c>
      <c r="K121" s="115">
        <v>0</v>
      </c>
      <c r="L121" s="115">
        <v>0</v>
      </c>
      <c r="M121" s="115">
        <v>0</v>
      </c>
      <c r="N121" s="114">
        <v>0</v>
      </c>
      <c r="O121" s="116">
        <v>0</v>
      </c>
      <c r="P121" s="115">
        <v>0</v>
      </c>
      <c r="Q121" s="114">
        <v>0</v>
      </c>
      <c r="R121" s="114">
        <v>0</v>
      </c>
      <c r="S121" s="114">
        <v>0</v>
      </c>
      <c r="T121" s="117">
        <v>0</v>
      </c>
      <c r="U121" s="117">
        <v>0</v>
      </c>
      <c r="V121" s="117">
        <v>0</v>
      </c>
      <c r="W121" s="117">
        <v>0</v>
      </c>
      <c r="X121" s="117">
        <v>0</v>
      </c>
      <c r="Y121" s="117">
        <v>0</v>
      </c>
      <c r="Z121" s="117">
        <v>0</v>
      </c>
      <c r="AA121" s="118">
        <v>0</v>
      </c>
      <c r="AB121" s="119">
        <v>2.5764895330112721E-2</v>
      </c>
      <c r="AC121" s="120">
        <v>2.5764895330112721E-2</v>
      </c>
      <c r="AD121" s="115">
        <v>1.3292334217667524E-2</v>
      </c>
      <c r="AE121"/>
    </row>
    <row r="122" spans="1:31" ht="13">
      <c r="A122" s="106"/>
      <c r="B122" s="107" t="s">
        <v>736</v>
      </c>
      <c r="C122" s="108">
        <v>101763.30833333332</v>
      </c>
      <c r="D122" s="85">
        <v>25577.958333333332</v>
      </c>
      <c r="E122" s="85">
        <v>63123.983333333337</v>
      </c>
      <c r="F122" s="85">
        <v>5453.95</v>
      </c>
      <c r="G122" s="85">
        <v>10865.391666666666</v>
      </c>
      <c r="H122" s="85">
        <v>4814.1166666666668</v>
      </c>
      <c r="I122" s="108">
        <v>211598.70833333334</v>
      </c>
      <c r="J122" s="108"/>
      <c r="K122" s="85">
        <v>81430.308888888889</v>
      </c>
      <c r="L122" s="85">
        <v>66114.180000000008</v>
      </c>
      <c r="M122" s="85">
        <v>33053.825555555559</v>
      </c>
      <c r="N122" s="108">
        <v>180598.31444444446</v>
      </c>
      <c r="O122" s="121"/>
      <c r="P122" s="85"/>
      <c r="Q122" s="108"/>
      <c r="R122" s="108"/>
      <c r="S122" s="108"/>
      <c r="T122" s="109"/>
      <c r="U122" s="109"/>
      <c r="V122" s="109"/>
      <c r="W122" s="109"/>
      <c r="X122" s="109"/>
      <c r="Y122" s="109"/>
      <c r="Z122" s="109"/>
      <c r="AA122" s="122"/>
      <c r="AB122" s="111">
        <v>1081.9833333333333</v>
      </c>
      <c r="AC122" s="112">
        <v>1081.9833333333333</v>
      </c>
      <c r="AD122" s="85">
        <v>393279.00611111114</v>
      </c>
      <c r="AE122"/>
    </row>
    <row r="123" spans="1:31" ht="13">
      <c r="A123" s="106"/>
      <c r="B123" s="107" t="s">
        <v>738</v>
      </c>
      <c r="C123" s="108">
        <v>102304.58749999999</v>
      </c>
      <c r="D123" s="85">
        <v>25007.441666666666</v>
      </c>
      <c r="E123" s="85">
        <v>64427.916666666672</v>
      </c>
      <c r="F123" s="85">
        <v>5601.25</v>
      </c>
      <c r="G123" s="85">
        <v>11477.666666666668</v>
      </c>
      <c r="H123" s="85">
        <v>4904.541666666667</v>
      </c>
      <c r="I123" s="108">
        <v>213723.40416666665</v>
      </c>
      <c r="J123" s="108"/>
      <c r="K123" s="85">
        <v>81908.162222222221</v>
      </c>
      <c r="L123" s="85">
        <v>67088.233333333323</v>
      </c>
      <c r="M123" s="85">
        <v>33872.017777777779</v>
      </c>
      <c r="N123" s="108">
        <v>182868.4133333333</v>
      </c>
      <c r="O123" s="121"/>
      <c r="P123" s="85"/>
      <c r="Q123" s="108"/>
      <c r="R123" s="108"/>
      <c r="S123" s="108"/>
      <c r="T123" s="109"/>
      <c r="U123" s="109"/>
      <c r="V123" s="109"/>
      <c r="W123" s="109"/>
      <c r="X123" s="109"/>
      <c r="Y123" s="109"/>
      <c r="Z123" s="109"/>
      <c r="AA123" s="122"/>
      <c r="AB123" s="111">
        <v>1073.8166666666666</v>
      </c>
      <c r="AC123" s="112">
        <v>1073.8166666666666</v>
      </c>
      <c r="AD123" s="85">
        <v>397665.63416666666</v>
      </c>
      <c r="AE123"/>
    </row>
    <row r="124" spans="1:31" ht="13">
      <c r="A124" s="123"/>
      <c r="B124" s="124" t="s">
        <v>746</v>
      </c>
      <c r="C124" s="114">
        <v>5.3190012739530255E-3</v>
      </c>
      <c r="D124" s="115">
        <v>-2.2305011965054539E-2</v>
      </c>
      <c r="E124" s="115">
        <v>2.0656702325766847E-2</v>
      </c>
      <c r="F124" s="115">
        <v>2.7007948367696842E-2</v>
      </c>
      <c r="G124" s="115">
        <v>5.6350936881398028E-2</v>
      </c>
      <c r="H124" s="115">
        <v>1.87833005016497E-2</v>
      </c>
      <c r="I124" s="114">
        <v>1.0041156914749726E-2</v>
      </c>
      <c r="J124" s="114">
        <v>0</v>
      </c>
      <c r="K124" s="115">
        <v>5.8682490568144627E-3</v>
      </c>
      <c r="L124" s="115">
        <v>1.4732895928427381E-2</v>
      </c>
      <c r="M124" s="115">
        <v>2.4753329107005635E-2</v>
      </c>
      <c r="N124" s="114">
        <v>1.2569878605302072E-2</v>
      </c>
      <c r="O124" s="116">
        <v>0</v>
      </c>
      <c r="P124" s="115">
        <v>0</v>
      </c>
      <c r="Q124" s="114">
        <v>0</v>
      </c>
      <c r="R124" s="114">
        <v>0</v>
      </c>
      <c r="S124" s="114">
        <v>0</v>
      </c>
      <c r="T124" s="117">
        <v>0</v>
      </c>
      <c r="U124" s="117">
        <v>0</v>
      </c>
      <c r="V124" s="117">
        <v>0</v>
      </c>
      <c r="W124" s="117">
        <v>0</v>
      </c>
      <c r="X124" s="117">
        <v>0</v>
      </c>
      <c r="Y124" s="117">
        <v>0</v>
      </c>
      <c r="Z124" s="117">
        <v>0</v>
      </c>
      <c r="AA124" s="118">
        <v>0</v>
      </c>
      <c r="AB124" s="111">
        <v>-7.5478673423805751E-3</v>
      </c>
      <c r="AC124" s="112">
        <v>-7.5478673423805751E-3</v>
      </c>
      <c r="AD124" s="115">
        <v>1.1153984798050066E-2</v>
      </c>
      <c r="AE124"/>
    </row>
    <row r="125" spans="1:31" ht="13">
      <c r="A125" s="104" t="s">
        <v>331</v>
      </c>
      <c r="B125" s="92" t="s">
        <v>720</v>
      </c>
      <c r="C125" s="86">
        <v>39782</v>
      </c>
      <c r="D125" s="80"/>
      <c r="E125" s="80">
        <v>16979.833333333332</v>
      </c>
      <c r="F125" s="80">
        <v>6705.2666666666664</v>
      </c>
      <c r="G125" s="80">
        <v>9344.2000000000007</v>
      </c>
      <c r="H125" s="80">
        <v>4613.2999999999993</v>
      </c>
      <c r="I125" s="86">
        <v>77424.599999999991</v>
      </c>
      <c r="J125" s="86">
        <v>6620.6666666666661</v>
      </c>
      <c r="K125" s="80">
        <v>17469.266666666666</v>
      </c>
      <c r="L125" s="80">
        <v>6882.4333333333343</v>
      </c>
      <c r="M125" s="80">
        <v>10382.800000000001</v>
      </c>
      <c r="N125" s="86">
        <v>41355.166666666672</v>
      </c>
      <c r="O125" s="86"/>
      <c r="P125" s="80"/>
      <c r="Q125" s="86">
        <v>0</v>
      </c>
      <c r="R125" s="86">
        <v>0</v>
      </c>
      <c r="S125" s="86">
        <v>0</v>
      </c>
      <c r="T125" s="88"/>
      <c r="U125" s="88"/>
      <c r="V125" s="88"/>
      <c r="W125" s="88"/>
      <c r="X125" s="88"/>
      <c r="Y125" s="88"/>
      <c r="Z125" s="88"/>
      <c r="AA125" s="105"/>
      <c r="AB125" s="90"/>
      <c r="AC125" s="91"/>
      <c r="AD125" s="85">
        <v>118779.76666666666</v>
      </c>
      <c r="AE125"/>
    </row>
    <row r="126" spans="1:31" ht="13">
      <c r="A126" s="106"/>
      <c r="B126" s="107" t="s">
        <v>721</v>
      </c>
      <c r="C126" s="108">
        <v>39357.166666666672</v>
      </c>
      <c r="D126" s="85"/>
      <c r="E126" s="85">
        <v>16489.266666666666</v>
      </c>
      <c r="F126" s="85">
        <v>6267.3333333333339</v>
      </c>
      <c r="G126" s="85">
        <v>8980.2666666666664</v>
      </c>
      <c r="H126" s="85">
        <v>4361.333333333333</v>
      </c>
      <c r="I126" s="108">
        <v>75455.366666666669</v>
      </c>
      <c r="J126" s="108">
        <v>6146.9</v>
      </c>
      <c r="K126" s="85">
        <v>16023.033333333333</v>
      </c>
      <c r="L126" s="85">
        <v>6359.7</v>
      </c>
      <c r="M126" s="85">
        <v>8942.8333333333339</v>
      </c>
      <c r="N126" s="108">
        <v>37472.466666666667</v>
      </c>
      <c r="O126" s="108"/>
      <c r="P126" s="85"/>
      <c r="Q126" s="108">
        <v>0</v>
      </c>
      <c r="R126" s="108">
        <v>0</v>
      </c>
      <c r="S126" s="108">
        <v>0</v>
      </c>
      <c r="T126" s="109"/>
      <c r="U126" s="109"/>
      <c r="V126" s="109"/>
      <c r="W126" s="109"/>
      <c r="X126" s="109"/>
      <c r="Y126" s="109"/>
      <c r="Z126" s="109"/>
      <c r="AA126" s="110"/>
      <c r="AB126" s="111"/>
      <c r="AC126" s="112"/>
      <c r="AD126" s="85">
        <v>112927.83333333331</v>
      </c>
      <c r="AE126"/>
    </row>
    <row r="127" spans="1:31" ht="13">
      <c r="A127" s="106"/>
      <c r="B127" s="113" t="s">
        <v>740</v>
      </c>
      <c r="C127" s="114">
        <v>-1.0679034069009313E-2</v>
      </c>
      <c r="D127" s="115">
        <v>0</v>
      </c>
      <c r="E127" s="115">
        <v>-2.8891135562775394E-2</v>
      </c>
      <c r="F127" s="115">
        <v>-6.5311844420803428E-2</v>
      </c>
      <c r="G127" s="115">
        <v>-3.8947511112062488E-2</v>
      </c>
      <c r="H127" s="115">
        <v>-5.4617446657851489E-2</v>
      </c>
      <c r="I127" s="114">
        <v>-2.5434207388005253E-2</v>
      </c>
      <c r="J127" s="114">
        <v>-7.1558755412345146E-2</v>
      </c>
      <c r="K127" s="115">
        <v>-8.2787295020970181E-2</v>
      </c>
      <c r="L127" s="115">
        <v>-7.5951819366212689E-2</v>
      </c>
      <c r="M127" s="115">
        <v>-0.13868770145497042</v>
      </c>
      <c r="N127" s="114">
        <v>-9.3886696946370987E-2</v>
      </c>
      <c r="O127" s="116">
        <v>0</v>
      </c>
      <c r="P127" s="115">
        <v>0</v>
      </c>
      <c r="Q127" s="114">
        <v>0</v>
      </c>
      <c r="R127" s="114">
        <v>0</v>
      </c>
      <c r="S127" s="114">
        <v>0</v>
      </c>
      <c r="T127" s="117">
        <v>0</v>
      </c>
      <c r="U127" s="117">
        <v>0</v>
      </c>
      <c r="V127" s="117">
        <v>0</v>
      </c>
      <c r="W127" s="117">
        <v>0</v>
      </c>
      <c r="X127" s="117">
        <v>0</v>
      </c>
      <c r="Y127" s="117">
        <v>0</v>
      </c>
      <c r="Z127" s="117">
        <v>0</v>
      </c>
      <c r="AA127" s="118">
        <v>0</v>
      </c>
      <c r="AB127" s="119">
        <v>0</v>
      </c>
      <c r="AC127" s="120">
        <v>0</v>
      </c>
      <c r="AD127" s="115">
        <v>-4.9267088979520611E-2</v>
      </c>
      <c r="AE127"/>
    </row>
    <row r="128" spans="1:31" ht="13">
      <c r="A128" s="106"/>
      <c r="B128" s="107" t="s">
        <v>728</v>
      </c>
      <c r="C128" s="108">
        <v>0</v>
      </c>
      <c r="D128" s="85"/>
      <c r="E128" s="85">
        <v>0</v>
      </c>
      <c r="F128" s="85">
        <v>0</v>
      </c>
      <c r="G128" s="85">
        <v>0</v>
      </c>
      <c r="H128" s="85">
        <v>0</v>
      </c>
      <c r="I128" s="108">
        <v>0</v>
      </c>
      <c r="J128" s="108">
        <v>0</v>
      </c>
      <c r="K128" s="85">
        <v>0</v>
      </c>
      <c r="L128" s="85">
        <v>0</v>
      </c>
      <c r="M128" s="85">
        <v>0</v>
      </c>
      <c r="N128" s="108">
        <v>0</v>
      </c>
      <c r="O128" s="121"/>
      <c r="P128" s="85"/>
      <c r="Q128" s="108">
        <v>4522.6706111111107</v>
      </c>
      <c r="R128" s="108">
        <v>15802.672611111106</v>
      </c>
      <c r="S128" s="108">
        <v>20325.343222222218</v>
      </c>
      <c r="T128" s="109"/>
      <c r="U128" s="109"/>
      <c r="V128" s="109"/>
      <c r="W128" s="109"/>
      <c r="X128" s="109"/>
      <c r="Y128" s="109"/>
      <c r="Z128" s="109"/>
      <c r="AA128" s="122"/>
      <c r="AB128" s="111"/>
      <c r="AC128" s="112"/>
      <c r="AD128" s="85">
        <v>20325.343222222218</v>
      </c>
      <c r="AE128"/>
    </row>
    <row r="129" spans="1:31" ht="13">
      <c r="A129" s="106"/>
      <c r="B129" s="107" t="s">
        <v>730</v>
      </c>
      <c r="C129" s="108">
        <v>0</v>
      </c>
      <c r="D129" s="85"/>
      <c r="E129" s="85">
        <v>0</v>
      </c>
      <c r="F129" s="85">
        <v>0</v>
      </c>
      <c r="G129" s="85">
        <v>0</v>
      </c>
      <c r="H129" s="85">
        <v>0</v>
      </c>
      <c r="I129" s="108">
        <v>0</v>
      </c>
      <c r="J129" s="108">
        <v>0</v>
      </c>
      <c r="K129" s="85">
        <v>0</v>
      </c>
      <c r="L129" s="85">
        <v>0</v>
      </c>
      <c r="M129" s="85">
        <v>0</v>
      </c>
      <c r="N129" s="108">
        <v>0</v>
      </c>
      <c r="O129" s="121"/>
      <c r="P129" s="85"/>
      <c r="Q129" s="108">
        <v>3714.7210444444445</v>
      </c>
      <c r="R129" s="108">
        <v>15335.873522222222</v>
      </c>
      <c r="S129" s="108">
        <v>19050.594566666667</v>
      </c>
      <c r="T129" s="109"/>
      <c r="U129" s="109"/>
      <c r="V129" s="109"/>
      <c r="W129" s="109"/>
      <c r="X129" s="109"/>
      <c r="Y129" s="109"/>
      <c r="Z129" s="109"/>
      <c r="AA129" s="122"/>
      <c r="AB129" s="111"/>
      <c r="AC129" s="112"/>
      <c r="AD129" s="85">
        <v>19050.594566666667</v>
      </c>
      <c r="AE129"/>
    </row>
    <row r="130" spans="1:31" ht="13">
      <c r="A130" s="106"/>
      <c r="B130" s="113" t="s">
        <v>742</v>
      </c>
      <c r="C130" s="114">
        <v>0</v>
      </c>
      <c r="D130" s="115">
        <v>0</v>
      </c>
      <c r="E130" s="115">
        <v>0</v>
      </c>
      <c r="F130" s="115">
        <v>0</v>
      </c>
      <c r="G130" s="115">
        <v>0</v>
      </c>
      <c r="H130" s="115">
        <v>0</v>
      </c>
      <c r="I130" s="114">
        <v>0</v>
      </c>
      <c r="J130" s="114">
        <v>0</v>
      </c>
      <c r="K130" s="115">
        <v>0</v>
      </c>
      <c r="L130" s="115">
        <v>0</v>
      </c>
      <c r="M130" s="115">
        <v>0</v>
      </c>
      <c r="N130" s="114">
        <v>0</v>
      </c>
      <c r="O130" s="116">
        <v>0</v>
      </c>
      <c r="P130" s="115">
        <v>0</v>
      </c>
      <c r="Q130" s="114">
        <v>-0.17864435333445</v>
      </c>
      <c r="R130" s="114">
        <v>-2.953924949129616E-2</v>
      </c>
      <c r="S130" s="114">
        <v>-6.2717201949231347E-2</v>
      </c>
      <c r="T130" s="117">
        <v>0</v>
      </c>
      <c r="U130" s="117">
        <v>0</v>
      </c>
      <c r="V130" s="117">
        <v>0</v>
      </c>
      <c r="W130" s="117">
        <v>0</v>
      </c>
      <c r="X130" s="117">
        <v>0</v>
      </c>
      <c r="Y130" s="117">
        <v>0</v>
      </c>
      <c r="Z130" s="117">
        <v>0</v>
      </c>
      <c r="AA130" s="118">
        <v>0</v>
      </c>
      <c r="AB130" s="119">
        <v>0</v>
      </c>
      <c r="AC130" s="120">
        <v>0</v>
      </c>
      <c r="AD130" s="115">
        <v>-6.2717201949231347E-2</v>
      </c>
      <c r="AE130"/>
    </row>
    <row r="131" spans="1:31" ht="13">
      <c r="A131" s="106"/>
      <c r="B131" s="107" t="s">
        <v>732</v>
      </c>
      <c r="C131" s="108">
        <v>8757.6666666666679</v>
      </c>
      <c r="D131" s="85"/>
      <c r="E131" s="85">
        <v>1862.375</v>
      </c>
      <c r="F131" s="85">
        <v>1538.0416666666667</v>
      </c>
      <c r="G131" s="85">
        <v>1024.125</v>
      </c>
      <c r="H131" s="85">
        <v>19.125</v>
      </c>
      <c r="I131" s="108">
        <v>13201.333333333334</v>
      </c>
      <c r="J131" s="108">
        <v>0</v>
      </c>
      <c r="K131" s="85">
        <v>0</v>
      </c>
      <c r="L131" s="85">
        <v>0</v>
      </c>
      <c r="M131" s="85">
        <v>0</v>
      </c>
      <c r="N131" s="108">
        <v>0</v>
      </c>
      <c r="O131" s="121"/>
      <c r="P131" s="85"/>
      <c r="Q131" s="108">
        <v>0</v>
      </c>
      <c r="R131" s="108">
        <v>0</v>
      </c>
      <c r="S131" s="108">
        <v>0</v>
      </c>
      <c r="T131" s="109"/>
      <c r="U131" s="109"/>
      <c r="V131" s="109"/>
      <c r="W131" s="109"/>
      <c r="X131" s="109"/>
      <c r="Y131" s="109"/>
      <c r="Z131" s="109"/>
      <c r="AA131" s="122"/>
      <c r="AB131" s="111"/>
      <c r="AC131" s="112"/>
      <c r="AD131" s="85">
        <v>13201.333333333334</v>
      </c>
      <c r="AE131"/>
    </row>
    <row r="132" spans="1:31" ht="13">
      <c r="A132" s="106"/>
      <c r="B132" s="107" t="s">
        <v>734</v>
      </c>
      <c r="C132" s="108">
        <v>8836.5833333333321</v>
      </c>
      <c r="D132" s="85"/>
      <c r="E132" s="85">
        <v>1959.3333333333335</v>
      </c>
      <c r="F132" s="85">
        <v>1927.25</v>
      </c>
      <c r="G132" s="85">
        <v>1006.625</v>
      </c>
      <c r="H132" s="85">
        <v>16.875</v>
      </c>
      <c r="I132" s="108">
        <v>13746.666666666666</v>
      </c>
      <c r="J132" s="108">
        <v>0</v>
      </c>
      <c r="K132" s="85">
        <v>0</v>
      </c>
      <c r="L132" s="85">
        <v>0</v>
      </c>
      <c r="M132" s="85">
        <v>0</v>
      </c>
      <c r="N132" s="108">
        <v>0</v>
      </c>
      <c r="O132" s="121"/>
      <c r="P132" s="85"/>
      <c r="Q132" s="108">
        <v>0</v>
      </c>
      <c r="R132" s="108">
        <v>0</v>
      </c>
      <c r="S132" s="108">
        <v>0</v>
      </c>
      <c r="T132" s="109"/>
      <c r="U132" s="109"/>
      <c r="V132" s="109"/>
      <c r="W132" s="109"/>
      <c r="X132" s="109"/>
      <c r="Y132" s="109"/>
      <c r="Z132" s="109"/>
      <c r="AA132" s="122"/>
      <c r="AB132" s="111"/>
      <c r="AC132" s="112"/>
      <c r="AD132" s="85">
        <v>13746.666666666666</v>
      </c>
      <c r="AE132"/>
    </row>
    <row r="133" spans="1:31" ht="13">
      <c r="A133" s="106"/>
      <c r="B133" s="113" t="s">
        <v>744</v>
      </c>
      <c r="C133" s="114">
        <v>9.0111521333685798E-3</v>
      </c>
      <c r="D133" s="115">
        <v>0</v>
      </c>
      <c r="E133" s="115">
        <v>5.2061659619213899E-2</v>
      </c>
      <c r="F133" s="115">
        <v>0.25305447945168363</v>
      </c>
      <c r="G133" s="115">
        <v>-1.7087757842060295E-2</v>
      </c>
      <c r="H133" s="115">
        <v>-0.11764705882352941</v>
      </c>
      <c r="I133" s="114">
        <v>4.1308958691041071E-2</v>
      </c>
      <c r="J133" s="114">
        <v>0</v>
      </c>
      <c r="K133" s="115">
        <v>0</v>
      </c>
      <c r="L133" s="115">
        <v>0</v>
      </c>
      <c r="M133" s="115">
        <v>0</v>
      </c>
      <c r="N133" s="114">
        <v>0</v>
      </c>
      <c r="O133" s="116">
        <v>0</v>
      </c>
      <c r="P133" s="115">
        <v>0</v>
      </c>
      <c r="Q133" s="114">
        <v>0</v>
      </c>
      <c r="R133" s="114">
        <v>0</v>
      </c>
      <c r="S133" s="114">
        <v>0</v>
      </c>
      <c r="T133" s="117">
        <v>0</v>
      </c>
      <c r="U133" s="117">
        <v>0</v>
      </c>
      <c r="V133" s="117">
        <v>0</v>
      </c>
      <c r="W133" s="117">
        <v>0</v>
      </c>
      <c r="X133" s="117">
        <v>0</v>
      </c>
      <c r="Y133" s="117">
        <v>0</v>
      </c>
      <c r="Z133" s="117">
        <v>0</v>
      </c>
      <c r="AA133" s="118">
        <v>0</v>
      </c>
      <c r="AB133" s="119">
        <v>0</v>
      </c>
      <c r="AC133" s="120">
        <v>0</v>
      </c>
      <c r="AD133" s="115">
        <v>4.1308958691041071E-2</v>
      </c>
      <c r="AE133"/>
    </row>
    <row r="134" spans="1:31" ht="13">
      <c r="A134" s="106"/>
      <c r="B134" s="107" t="s">
        <v>736</v>
      </c>
      <c r="C134" s="108">
        <v>48539.666666666672</v>
      </c>
      <c r="D134" s="85"/>
      <c r="E134" s="85">
        <v>18842.208333333332</v>
      </c>
      <c r="F134" s="85">
        <v>8243.3083333333343</v>
      </c>
      <c r="G134" s="85">
        <v>10368.324999999999</v>
      </c>
      <c r="H134" s="85">
        <v>4632.4249999999993</v>
      </c>
      <c r="I134" s="108">
        <v>90625.933333333334</v>
      </c>
      <c r="J134" s="108">
        <v>6620.6666666666661</v>
      </c>
      <c r="K134" s="85">
        <v>17469.266666666666</v>
      </c>
      <c r="L134" s="85">
        <v>6882.4333333333343</v>
      </c>
      <c r="M134" s="85">
        <v>10382.800000000001</v>
      </c>
      <c r="N134" s="108">
        <v>41355.166666666672</v>
      </c>
      <c r="O134" s="121"/>
      <c r="P134" s="85"/>
      <c r="Q134" s="108">
        <v>4522.6706111111107</v>
      </c>
      <c r="R134" s="108">
        <v>15802.672611111106</v>
      </c>
      <c r="S134" s="108">
        <v>20325.343222222218</v>
      </c>
      <c r="T134" s="109"/>
      <c r="U134" s="109"/>
      <c r="V134" s="109"/>
      <c r="W134" s="109"/>
      <c r="X134" s="109"/>
      <c r="Y134" s="109"/>
      <c r="Z134" s="109"/>
      <c r="AA134" s="122"/>
      <c r="AB134" s="111"/>
      <c r="AC134" s="112"/>
      <c r="AD134" s="85">
        <v>152306.44322222221</v>
      </c>
      <c r="AE134"/>
    </row>
    <row r="135" spans="1:31" ht="13">
      <c r="A135" s="106"/>
      <c r="B135" s="107" t="s">
        <v>738</v>
      </c>
      <c r="C135" s="108">
        <v>48193.75</v>
      </c>
      <c r="D135" s="85"/>
      <c r="E135" s="85">
        <v>18448.599999999999</v>
      </c>
      <c r="F135" s="85">
        <v>8194.5833333333339</v>
      </c>
      <c r="G135" s="85">
        <v>9986.8916666666682</v>
      </c>
      <c r="H135" s="85">
        <v>4378.208333333333</v>
      </c>
      <c r="I135" s="108">
        <v>89202.033333333326</v>
      </c>
      <c r="J135" s="108">
        <v>6146.9</v>
      </c>
      <c r="K135" s="85">
        <v>16023.033333333333</v>
      </c>
      <c r="L135" s="85">
        <v>6359.7</v>
      </c>
      <c r="M135" s="85">
        <v>8942.8333333333339</v>
      </c>
      <c r="N135" s="108">
        <v>37472.466666666667</v>
      </c>
      <c r="O135" s="121"/>
      <c r="P135" s="85"/>
      <c r="Q135" s="108">
        <v>3714.7210444444445</v>
      </c>
      <c r="R135" s="108">
        <v>15335.873522222222</v>
      </c>
      <c r="S135" s="108">
        <v>19050.594566666667</v>
      </c>
      <c r="T135" s="109"/>
      <c r="U135" s="109"/>
      <c r="V135" s="109"/>
      <c r="W135" s="109"/>
      <c r="X135" s="109"/>
      <c r="Y135" s="109"/>
      <c r="Z135" s="109"/>
      <c r="AA135" s="122"/>
      <c r="AB135" s="111"/>
      <c r="AC135" s="112"/>
      <c r="AD135" s="85">
        <v>145725.09456666664</v>
      </c>
      <c r="AE135"/>
    </row>
    <row r="136" spans="1:31" ht="13">
      <c r="A136" s="123"/>
      <c r="B136" s="124" t="s">
        <v>746</v>
      </c>
      <c r="C136" s="114">
        <v>-7.1264738804689941E-3</v>
      </c>
      <c r="D136" s="115">
        <v>0</v>
      </c>
      <c r="E136" s="115">
        <v>-2.0889713475729373E-2</v>
      </c>
      <c r="F136" s="115">
        <v>-5.9108549661999006E-3</v>
      </c>
      <c r="G136" s="115">
        <v>-3.678832726919061E-2</v>
      </c>
      <c r="H136" s="115">
        <v>-5.4877664865953857E-2</v>
      </c>
      <c r="I136" s="114">
        <v>-1.57118381861262E-2</v>
      </c>
      <c r="J136" s="114">
        <v>-7.1558755412345146E-2</v>
      </c>
      <c r="K136" s="115">
        <v>-8.2787295020970181E-2</v>
      </c>
      <c r="L136" s="115">
        <v>-7.5951819366212689E-2</v>
      </c>
      <c r="M136" s="115">
        <v>-0.13868770145497042</v>
      </c>
      <c r="N136" s="114">
        <v>-9.3886696946370987E-2</v>
      </c>
      <c r="O136" s="116">
        <v>0</v>
      </c>
      <c r="P136" s="115">
        <v>0</v>
      </c>
      <c r="Q136" s="114">
        <v>-0.17864435333445</v>
      </c>
      <c r="R136" s="114">
        <v>-2.953924949129616E-2</v>
      </c>
      <c r="S136" s="114">
        <v>-6.2717201949231347E-2</v>
      </c>
      <c r="T136" s="117">
        <v>0</v>
      </c>
      <c r="U136" s="117">
        <v>0</v>
      </c>
      <c r="V136" s="117">
        <v>0</v>
      </c>
      <c r="W136" s="117">
        <v>0</v>
      </c>
      <c r="X136" s="117">
        <v>0</v>
      </c>
      <c r="Y136" s="117">
        <v>0</v>
      </c>
      <c r="Z136" s="117">
        <v>0</v>
      </c>
      <c r="AA136" s="118">
        <v>0</v>
      </c>
      <c r="AB136" s="111">
        <v>0</v>
      </c>
      <c r="AC136" s="112">
        <v>0</v>
      </c>
      <c r="AD136" s="115">
        <v>-4.3211229389377395E-2</v>
      </c>
      <c r="AE136"/>
    </row>
    <row r="137" spans="1:31" ht="13">
      <c r="A137" s="104" t="s">
        <v>538</v>
      </c>
      <c r="B137" s="92" t="s">
        <v>720</v>
      </c>
      <c r="C137" s="86">
        <v>46660.399999999994</v>
      </c>
      <c r="D137" s="80"/>
      <c r="E137" s="80">
        <v>17845.183333333334</v>
      </c>
      <c r="F137" s="80">
        <v>9745.0666666666675</v>
      </c>
      <c r="G137" s="80">
        <v>5282.8666666666668</v>
      </c>
      <c r="H137" s="80">
        <v>12958.95</v>
      </c>
      <c r="I137" s="86">
        <v>92492.46666666666</v>
      </c>
      <c r="J137" s="86"/>
      <c r="K137" s="80">
        <v>28647.566666666666</v>
      </c>
      <c r="L137" s="80">
        <v>20381.533333333333</v>
      </c>
      <c r="M137" s="80">
        <v>9778.3666666666668</v>
      </c>
      <c r="N137" s="86">
        <v>58807.466666666667</v>
      </c>
      <c r="O137" s="86"/>
      <c r="P137" s="80"/>
      <c r="Q137" s="86"/>
      <c r="R137" s="86"/>
      <c r="S137" s="86"/>
      <c r="T137" s="88"/>
      <c r="U137" s="88"/>
      <c r="V137" s="88"/>
      <c r="W137" s="88"/>
      <c r="X137" s="88"/>
      <c r="Y137" s="88"/>
      <c r="Z137" s="88"/>
      <c r="AA137" s="105"/>
      <c r="AB137" s="90"/>
      <c r="AC137" s="91"/>
      <c r="AD137" s="85">
        <v>151299.93333333332</v>
      </c>
      <c r="AE137"/>
    </row>
    <row r="138" spans="1:31" ht="13">
      <c r="A138" s="106"/>
      <c r="B138" s="107" t="s">
        <v>721</v>
      </c>
      <c r="C138" s="108">
        <v>47741.566666666666</v>
      </c>
      <c r="D138" s="85"/>
      <c r="E138" s="85">
        <v>17448.3</v>
      </c>
      <c r="F138" s="85">
        <v>9703.2666666666664</v>
      </c>
      <c r="G138" s="85">
        <v>4807.0333333333328</v>
      </c>
      <c r="H138" s="85">
        <v>12992.583333333334</v>
      </c>
      <c r="I138" s="108">
        <v>92692.749999999985</v>
      </c>
      <c r="J138" s="108"/>
      <c r="K138" s="85">
        <v>27911.933333333334</v>
      </c>
      <c r="L138" s="85">
        <v>19925.133333333335</v>
      </c>
      <c r="M138" s="85">
        <v>9789.6666666666679</v>
      </c>
      <c r="N138" s="108">
        <v>57626.733333333337</v>
      </c>
      <c r="O138" s="108"/>
      <c r="P138" s="85"/>
      <c r="Q138" s="108"/>
      <c r="R138" s="108"/>
      <c r="S138" s="108"/>
      <c r="T138" s="109"/>
      <c r="U138" s="109"/>
      <c r="V138" s="109"/>
      <c r="W138" s="109"/>
      <c r="X138" s="109"/>
      <c r="Y138" s="109"/>
      <c r="Z138" s="109"/>
      <c r="AA138" s="110"/>
      <c r="AB138" s="111"/>
      <c r="AC138" s="112"/>
      <c r="AD138" s="85">
        <v>150319.48333333331</v>
      </c>
      <c r="AE138"/>
    </row>
    <row r="139" spans="1:31" ht="13">
      <c r="A139" s="106"/>
      <c r="B139" s="113" t="s">
        <v>740</v>
      </c>
      <c r="C139" s="114">
        <v>2.3170968672936186E-2</v>
      </c>
      <c r="D139" s="115">
        <v>0</v>
      </c>
      <c r="E139" s="115">
        <v>-2.2240361778295078E-2</v>
      </c>
      <c r="F139" s="115">
        <v>-4.2893498248687632E-3</v>
      </c>
      <c r="G139" s="115">
        <v>-9.00710472849338E-2</v>
      </c>
      <c r="H139" s="115">
        <v>2.5953748824814674E-3</v>
      </c>
      <c r="I139" s="114">
        <v>2.1654015786511638E-3</v>
      </c>
      <c r="J139" s="114">
        <v>0</v>
      </c>
      <c r="K139" s="115">
        <v>-2.5678737112052499E-2</v>
      </c>
      <c r="L139" s="115">
        <v>-2.2392819643925931E-2</v>
      </c>
      <c r="M139" s="115">
        <v>1.1556122188096606E-3</v>
      </c>
      <c r="N139" s="114">
        <v>-2.0077949285351587E-2</v>
      </c>
      <c r="O139" s="116">
        <v>0</v>
      </c>
      <c r="P139" s="115">
        <v>0</v>
      </c>
      <c r="Q139" s="114">
        <v>0</v>
      </c>
      <c r="R139" s="114">
        <v>0</v>
      </c>
      <c r="S139" s="114">
        <v>0</v>
      </c>
      <c r="T139" s="117">
        <v>0</v>
      </c>
      <c r="U139" s="117">
        <v>0</v>
      </c>
      <c r="V139" s="117">
        <v>0</v>
      </c>
      <c r="W139" s="117">
        <v>0</v>
      </c>
      <c r="X139" s="117">
        <v>0</v>
      </c>
      <c r="Y139" s="117">
        <v>0</v>
      </c>
      <c r="Z139" s="117">
        <v>0</v>
      </c>
      <c r="AA139" s="118">
        <v>0</v>
      </c>
      <c r="AB139" s="119">
        <v>0</v>
      </c>
      <c r="AC139" s="120">
        <v>0</v>
      </c>
      <c r="AD139" s="115">
        <v>-6.4801746993498298E-3</v>
      </c>
      <c r="AE139"/>
    </row>
    <row r="140" spans="1:31" ht="13">
      <c r="A140" s="106"/>
      <c r="B140" s="107" t="s">
        <v>728</v>
      </c>
      <c r="C140" s="108">
        <v>0</v>
      </c>
      <c r="D140" s="85"/>
      <c r="E140" s="85">
        <v>0</v>
      </c>
      <c r="F140" s="85">
        <v>0</v>
      </c>
      <c r="G140" s="85">
        <v>0</v>
      </c>
      <c r="H140" s="85">
        <v>0</v>
      </c>
      <c r="I140" s="108">
        <v>0</v>
      </c>
      <c r="J140" s="108"/>
      <c r="K140" s="85">
        <v>0</v>
      </c>
      <c r="L140" s="85">
        <v>0</v>
      </c>
      <c r="M140" s="85">
        <v>0</v>
      </c>
      <c r="N140" s="108">
        <v>0</v>
      </c>
      <c r="O140" s="121"/>
      <c r="P140" s="85"/>
      <c r="Q140" s="108"/>
      <c r="R140" s="108"/>
      <c r="S140" s="108"/>
      <c r="T140" s="109"/>
      <c r="U140" s="109"/>
      <c r="V140" s="109"/>
      <c r="W140" s="109"/>
      <c r="X140" s="109"/>
      <c r="Y140" s="109"/>
      <c r="Z140" s="109"/>
      <c r="AA140" s="122"/>
      <c r="AB140" s="111"/>
      <c r="AC140" s="112"/>
      <c r="AD140" s="85">
        <v>0</v>
      </c>
      <c r="AE140"/>
    </row>
    <row r="141" spans="1:31" ht="13">
      <c r="A141" s="106"/>
      <c r="B141" s="107" t="s">
        <v>730</v>
      </c>
      <c r="C141" s="108">
        <v>0</v>
      </c>
      <c r="D141" s="85"/>
      <c r="E141" s="85">
        <v>0</v>
      </c>
      <c r="F141" s="85">
        <v>0</v>
      </c>
      <c r="G141" s="85">
        <v>0</v>
      </c>
      <c r="H141" s="85">
        <v>0</v>
      </c>
      <c r="I141" s="108">
        <v>0</v>
      </c>
      <c r="J141" s="108"/>
      <c r="K141" s="85">
        <v>0</v>
      </c>
      <c r="L141" s="85">
        <v>0</v>
      </c>
      <c r="M141" s="85">
        <v>0</v>
      </c>
      <c r="N141" s="108">
        <v>0</v>
      </c>
      <c r="O141" s="121"/>
      <c r="P141" s="85"/>
      <c r="Q141" s="108"/>
      <c r="R141" s="108"/>
      <c r="S141" s="108"/>
      <c r="T141" s="109"/>
      <c r="U141" s="109"/>
      <c r="V141" s="109"/>
      <c r="W141" s="109"/>
      <c r="X141" s="109"/>
      <c r="Y141" s="109"/>
      <c r="Z141" s="109"/>
      <c r="AA141" s="122"/>
      <c r="AB141" s="111"/>
      <c r="AC141" s="112"/>
      <c r="AD141" s="85">
        <v>0</v>
      </c>
      <c r="AE141"/>
    </row>
    <row r="142" spans="1:31" ht="13">
      <c r="A142" s="106"/>
      <c r="B142" s="113" t="s">
        <v>742</v>
      </c>
      <c r="C142" s="114">
        <v>0</v>
      </c>
      <c r="D142" s="115">
        <v>0</v>
      </c>
      <c r="E142" s="115">
        <v>0</v>
      </c>
      <c r="F142" s="115">
        <v>0</v>
      </c>
      <c r="G142" s="115">
        <v>0</v>
      </c>
      <c r="H142" s="115">
        <v>0</v>
      </c>
      <c r="I142" s="114">
        <v>0</v>
      </c>
      <c r="J142" s="114">
        <v>0</v>
      </c>
      <c r="K142" s="115">
        <v>0</v>
      </c>
      <c r="L142" s="115">
        <v>0</v>
      </c>
      <c r="M142" s="115">
        <v>0</v>
      </c>
      <c r="N142" s="114">
        <v>0</v>
      </c>
      <c r="O142" s="116">
        <v>0</v>
      </c>
      <c r="P142" s="115">
        <v>0</v>
      </c>
      <c r="Q142" s="114">
        <v>0</v>
      </c>
      <c r="R142" s="114">
        <v>0</v>
      </c>
      <c r="S142" s="114">
        <v>0</v>
      </c>
      <c r="T142" s="117">
        <v>0</v>
      </c>
      <c r="U142" s="117">
        <v>0</v>
      </c>
      <c r="V142" s="117">
        <v>0</v>
      </c>
      <c r="W142" s="117">
        <v>0</v>
      </c>
      <c r="X142" s="117">
        <v>0</v>
      </c>
      <c r="Y142" s="117">
        <v>0</v>
      </c>
      <c r="Z142" s="117">
        <v>0</v>
      </c>
      <c r="AA142" s="118">
        <v>0</v>
      </c>
      <c r="AB142" s="119">
        <v>0</v>
      </c>
      <c r="AC142" s="120">
        <v>0</v>
      </c>
      <c r="AD142" s="115">
        <v>0</v>
      </c>
      <c r="AE142"/>
    </row>
    <row r="143" spans="1:31" ht="13">
      <c r="A143" s="106"/>
      <c r="B143" s="107" t="s">
        <v>732</v>
      </c>
      <c r="C143" s="108">
        <v>11510.708333333334</v>
      </c>
      <c r="D143" s="85"/>
      <c r="E143" s="85">
        <v>1832.208333333333</v>
      </c>
      <c r="F143" s="85">
        <v>535.08333333333337</v>
      </c>
      <c r="G143" s="85">
        <v>730.5</v>
      </c>
      <c r="H143" s="85">
        <v>344.66666666666669</v>
      </c>
      <c r="I143" s="108">
        <v>14953.166666666668</v>
      </c>
      <c r="J143" s="108"/>
      <c r="K143" s="85">
        <v>0</v>
      </c>
      <c r="L143" s="85">
        <v>0</v>
      </c>
      <c r="M143" s="85">
        <v>0</v>
      </c>
      <c r="N143" s="108">
        <v>0</v>
      </c>
      <c r="O143" s="121"/>
      <c r="P143" s="85"/>
      <c r="Q143" s="108"/>
      <c r="R143" s="108"/>
      <c r="S143" s="108"/>
      <c r="T143" s="109"/>
      <c r="U143" s="109"/>
      <c r="V143" s="109"/>
      <c r="W143" s="109"/>
      <c r="X143" s="109"/>
      <c r="Y143" s="109"/>
      <c r="Z143" s="109"/>
      <c r="AA143" s="122"/>
      <c r="AB143" s="111"/>
      <c r="AC143" s="112"/>
      <c r="AD143" s="85">
        <v>14953.166666666668</v>
      </c>
      <c r="AE143"/>
    </row>
    <row r="144" spans="1:31" ht="13">
      <c r="A144" s="106"/>
      <c r="B144" s="107" t="s">
        <v>734</v>
      </c>
      <c r="C144" s="108">
        <v>11530.666666666666</v>
      </c>
      <c r="D144" s="85"/>
      <c r="E144" s="85">
        <v>1868.875</v>
      </c>
      <c r="F144" s="85">
        <v>528.16666666666663</v>
      </c>
      <c r="G144" s="85">
        <v>817.91666666666674</v>
      </c>
      <c r="H144" s="85">
        <v>548.04166666666663</v>
      </c>
      <c r="I144" s="108">
        <v>15293.666666666664</v>
      </c>
      <c r="J144" s="108"/>
      <c r="K144" s="85">
        <v>0</v>
      </c>
      <c r="L144" s="85">
        <v>0</v>
      </c>
      <c r="M144" s="85">
        <v>0</v>
      </c>
      <c r="N144" s="108">
        <v>0</v>
      </c>
      <c r="O144" s="121"/>
      <c r="P144" s="85"/>
      <c r="Q144" s="108"/>
      <c r="R144" s="108"/>
      <c r="S144" s="108"/>
      <c r="T144" s="109"/>
      <c r="U144" s="109"/>
      <c r="V144" s="109"/>
      <c r="W144" s="109"/>
      <c r="X144" s="109"/>
      <c r="Y144" s="109"/>
      <c r="Z144" s="109"/>
      <c r="AA144" s="122"/>
      <c r="AB144" s="111"/>
      <c r="AC144" s="112"/>
      <c r="AD144" s="85">
        <v>15293.666666666664</v>
      </c>
      <c r="AE144"/>
    </row>
    <row r="145" spans="1:31" ht="13">
      <c r="A145" s="106"/>
      <c r="B145" s="113" t="s">
        <v>744</v>
      </c>
      <c r="C145" s="114">
        <v>1.7338927158405792E-3</v>
      </c>
      <c r="D145" s="115">
        <v>0</v>
      </c>
      <c r="E145" s="115">
        <v>2.001228026288876E-2</v>
      </c>
      <c r="F145" s="115">
        <v>-1.2926335461766221E-2</v>
      </c>
      <c r="G145" s="115">
        <v>0.11966689482089903</v>
      </c>
      <c r="H145" s="115">
        <v>0.59006286266924546</v>
      </c>
      <c r="I145" s="114">
        <v>2.2771096423277366E-2</v>
      </c>
      <c r="J145" s="114">
        <v>0</v>
      </c>
      <c r="K145" s="115">
        <v>0</v>
      </c>
      <c r="L145" s="115">
        <v>0</v>
      </c>
      <c r="M145" s="115">
        <v>0</v>
      </c>
      <c r="N145" s="114">
        <v>0</v>
      </c>
      <c r="O145" s="116">
        <v>0</v>
      </c>
      <c r="P145" s="115">
        <v>0</v>
      </c>
      <c r="Q145" s="114">
        <v>0</v>
      </c>
      <c r="R145" s="114">
        <v>0</v>
      </c>
      <c r="S145" s="114">
        <v>0</v>
      </c>
      <c r="T145" s="117">
        <v>0</v>
      </c>
      <c r="U145" s="117">
        <v>0</v>
      </c>
      <c r="V145" s="117">
        <v>0</v>
      </c>
      <c r="W145" s="117">
        <v>0</v>
      </c>
      <c r="X145" s="117">
        <v>0</v>
      </c>
      <c r="Y145" s="117">
        <v>0</v>
      </c>
      <c r="Z145" s="117">
        <v>0</v>
      </c>
      <c r="AA145" s="118">
        <v>0</v>
      </c>
      <c r="AB145" s="119">
        <v>0</v>
      </c>
      <c r="AC145" s="120">
        <v>0</v>
      </c>
      <c r="AD145" s="115">
        <v>2.2771096423277366E-2</v>
      </c>
      <c r="AE145"/>
    </row>
    <row r="146" spans="1:31" ht="13">
      <c r="A146" s="106"/>
      <c r="B146" s="107" t="s">
        <v>736</v>
      </c>
      <c r="C146" s="108">
        <v>58171.108333333337</v>
      </c>
      <c r="D146" s="85"/>
      <c r="E146" s="85">
        <v>19677.391666666666</v>
      </c>
      <c r="F146" s="85">
        <v>10280.150000000001</v>
      </c>
      <c r="G146" s="85">
        <v>6013.3666666666668</v>
      </c>
      <c r="H146" s="85">
        <v>13303.616666666667</v>
      </c>
      <c r="I146" s="108">
        <v>107445.63333333333</v>
      </c>
      <c r="J146" s="108"/>
      <c r="K146" s="85">
        <v>28647.566666666666</v>
      </c>
      <c r="L146" s="85">
        <v>20381.533333333333</v>
      </c>
      <c r="M146" s="85">
        <v>9778.3666666666668</v>
      </c>
      <c r="N146" s="108">
        <v>58807.466666666667</v>
      </c>
      <c r="O146" s="121"/>
      <c r="P146" s="85"/>
      <c r="Q146" s="108"/>
      <c r="R146" s="108"/>
      <c r="S146" s="108"/>
      <c r="T146" s="109"/>
      <c r="U146" s="109"/>
      <c r="V146" s="109"/>
      <c r="W146" s="109"/>
      <c r="X146" s="109"/>
      <c r="Y146" s="109"/>
      <c r="Z146" s="109"/>
      <c r="AA146" s="122"/>
      <c r="AB146" s="111"/>
      <c r="AC146" s="112"/>
      <c r="AD146" s="85">
        <v>166253.1</v>
      </c>
      <c r="AE146"/>
    </row>
    <row r="147" spans="1:31" ht="13">
      <c r="A147" s="106"/>
      <c r="B147" s="107" t="s">
        <v>738</v>
      </c>
      <c r="C147" s="108">
        <v>59272.23333333333</v>
      </c>
      <c r="D147" s="85"/>
      <c r="E147" s="85">
        <v>19317.175000000003</v>
      </c>
      <c r="F147" s="85">
        <v>10231.433333333332</v>
      </c>
      <c r="G147" s="85">
        <v>5624.9500000000007</v>
      </c>
      <c r="H147" s="85">
        <v>13540.625</v>
      </c>
      <c r="I147" s="108">
        <v>107986.41666666666</v>
      </c>
      <c r="J147" s="108"/>
      <c r="K147" s="85">
        <v>27911.933333333334</v>
      </c>
      <c r="L147" s="85">
        <v>19925.133333333335</v>
      </c>
      <c r="M147" s="85">
        <v>9789.6666666666679</v>
      </c>
      <c r="N147" s="108">
        <v>57626.733333333337</v>
      </c>
      <c r="O147" s="121"/>
      <c r="P147" s="85"/>
      <c r="Q147" s="108"/>
      <c r="R147" s="108"/>
      <c r="S147" s="108"/>
      <c r="T147" s="109"/>
      <c r="U147" s="109"/>
      <c r="V147" s="109"/>
      <c r="W147" s="109"/>
      <c r="X147" s="109"/>
      <c r="Y147" s="109"/>
      <c r="Z147" s="109"/>
      <c r="AA147" s="122"/>
      <c r="AB147" s="111"/>
      <c r="AC147" s="112"/>
      <c r="AD147" s="85">
        <v>165613.14999999997</v>
      </c>
      <c r="AE147"/>
    </row>
    <row r="148" spans="1:31" ht="13">
      <c r="A148" s="123"/>
      <c r="B148" s="124" t="s">
        <v>746</v>
      </c>
      <c r="C148" s="114">
        <v>1.8929070315977178E-2</v>
      </c>
      <c r="D148" s="115">
        <v>0</v>
      </c>
      <c r="E148" s="115">
        <v>-1.8306118654784286E-2</v>
      </c>
      <c r="F148" s="115">
        <v>-4.7389062092157179E-3</v>
      </c>
      <c r="G148" s="115">
        <v>-6.4592214012117344E-2</v>
      </c>
      <c r="H148" s="115">
        <v>1.7815330918785233E-2</v>
      </c>
      <c r="I148" s="114">
        <v>5.0330880516630521E-3</v>
      </c>
      <c r="J148" s="114">
        <v>0</v>
      </c>
      <c r="K148" s="115">
        <v>-2.5678737112052499E-2</v>
      </c>
      <c r="L148" s="115">
        <v>-2.2392819643925931E-2</v>
      </c>
      <c r="M148" s="115">
        <v>1.1556122188096606E-3</v>
      </c>
      <c r="N148" s="114">
        <v>-2.0077949285351587E-2</v>
      </c>
      <c r="O148" s="116">
        <v>0</v>
      </c>
      <c r="P148" s="115">
        <v>0</v>
      </c>
      <c r="Q148" s="114">
        <v>0</v>
      </c>
      <c r="R148" s="114">
        <v>0</v>
      </c>
      <c r="S148" s="114">
        <v>0</v>
      </c>
      <c r="T148" s="117">
        <v>0</v>
      </c>
      <c r="U148" s="117">
        <v>0</v>
      </c>
      <c r="V148" s="117">
        <v>0</v>
      </c>
      <c r="W148" s="117">
        <v>0</v>
      </c>
      <c r="X148" s="117">
        <v>0</v>
      </c>
      <c r="Y148" s="117">
        <v>0</v>
      </c>
      <c r="Z148" s="117">
        <v>0</v>
      </c>
      <c r="AA148" s="118">
        <v>0</v>
      </c>
      <c r="AB148" s="111">
        <v>0</v>
      </c>
      <c r="AC148" s="112">
        <v>0</v>
      </c>
      <c r="AD148" s="115">
        <v>-3.8492515327532696E-3</v>
      </c>
      <c r="AE148"/>
    </row>
    <row r="149" spans="1:31" ht="13">
      <c r="A149" s="104" t="s">
        <v>405</v>
      </c>
      <c r="B149" s="92" t="s">
        <v>720</v>
      </c>
      <c r="C149" s="86">
        <v>35124.800000000003</v>
      </c>
      <c r="D149" s="80">
        <v>33188.933333333334</v>
      </c>
      <c r="E149" s="80">
        <v>26245.5</v>
      </c>
      <c r="F149" s="80"/>
      <c r="G149" s="80">
        <v>5573.333333333333</v>
      </c>
      <c r="H149" s="80"/>
      <c r="I149" s="86">
        <v>100132.56666666667</v>
      </c>
      <c r="J149" s="86"/>
      <c r="K149" s="80">
        <v>30490.866666666669</v>
      </c>
      <c r="L149" s="80">
        <v>25758.333333333336</v>
      </c>
      <c r="M149" s="80">
        <v>1717.4</v>
      </c>
      <c r="N149" s="86">
        <v>57966.600000000006</v>
      </c>
      <c r="O149" s="86"/>
      <c r="P149" s="80"/>
      <c r="Q149" s="86"/>
      <c r="R149" s="86">
        <v>0</v>
      </c>
      <c r="S149" s="86">
        <v>0</v>
      </c>
      <c r="T149" s="88"/>
      <c r="U149" s="88"/>
      <c r="V149" s="88"/>
      <c r="W149" s="88"/>
      <c r="X149" s="88"/>
      <c r="Y149" s="88"/>
      <c r="Z149" s="88"/>
      <c r="AA149" s="105"/>
      <c r="AB149" s="90"/>
      <c r="AC149" s="91"/>
      <c r="AD149" s="85">
        <v>158099.16666666666</v>
      </c>
      <c r="AE149"/>
    </row>
    <row r="150" spans="1:31" ht="13">
      <c r="A150" s="106"/>
      <c r="B150" s="107" t="s">
        <v>721</v>
      </c>
      <c r="C150" s="108">
        <v>35589.300000000003</v>
      </c>
      <c r="D150" s="85">
        <v>32692.866666666669</v>
      </c>
      <c r="E150" s="85">
        <v>25980.899999999998</v>
      </c>
      <c r="F150" s="85"/>
      <c r="G150" s="85">
        <v>5443.3</v>
      </c>
      <c r="H150" s="85"/>
      <c r="I150" s="108">
        <v>99706.366666666669</v>
      </c>
      <c r="J150" s="108"/>
      <c r="K150" s="85">
        <v>30270.366666666669</v>
      </c>
      <c r="L150" s="85">
        <v>26590.26666666667</v>
      </c>
      <c r="M150" s="85">
        <v>1770.2666666666667</v>
      </c>
      <c r="N150" s="108">
        <v>58630.900000000009</v>
      </c>
      <c r="O150" s="108"/>
      <c r="P150" s="85"/>
      <c r="Q150" s="108"/>
      <c r="R150" s="108">
        <v>0</v>
      </c>
      <c r="S150" s="108">
        <v>0</v>
      </c>
      <c r="T150" s="109"/>
      <c r="U150" s="109"/>
      <c r="V150" s="109"/>
      <c r="W150" s="109"/>
      <c r="X150" s="109"/>
      <c r="Y150" s="109"/>
      <c r="Z150" s="109"/>
      <c r="AA150" s="110"/>
      <c r="AB150" s="111"/>
      <c r="AC150" s="112"/>
      <c r="AD150" s="85">
        <v>158337.26666666666</v>
      </c>
      <c r="AE150"/>
    </row>
    <row r="151" spans="1:31" ht="13">
      <c r="A151" s="106"/>
      <c r="B151" s="113" t="s">
        <v>740</v>
      </c>
      <c r="C151" s="114">
        <v>1.3224274586616862E-2</v>
      </c>
      <c r="D151" s="115">
        <v>-1.4946749318045745E-2</v>
      </c>
      <c r="E151" s="115">
        <v>-1.0081728296279445E-2</v>
      </c>
      <c r="F151" s="115">
        <v>0</v>
      </c>
      <c r="G151" s="115">
        <v>-2.3331339712918574E-2</v>
      </c>
      <c r="H151" s="115">
        <v>0</v>
      </c>
      <c r="I151" s="114">
        <v>-4.2563574887554204E-3</v>
      </c>
      <c r="J151" s="114">
        <v>0</v>
      </c>
      <c r="K151" s="115">
        <v>-7.231673747111156E-3</v>
      </c>
      <c r="L151" s="115">
        <v>3.229763830475578E-2</v>
      </c>
      <c r="M151" s="115">
        <v>3.0782966499747617E-2</v>
      </c>
      <c r="N151" s="114">
        <v>1.1460047682631208E-2</v>
      </c>
      <c r="O151" s="116">
        <v>0</v>
      </c>
      <c r="P151" s="115">
        <v>0</v>
      </c>
      <c r="Q151" s="114">
        <v>0</v>
      </c>
      <c r="R151" s="114">
        <v>0</v>
      </c>
      <c r="S151" s="114">
        <v>0</v>
      </c>
      <c r="T151" s="117">
        <v>0</v>
      </c>
      <c r="U151" s="117">
        <v>0</v>
      </c>
      <c r="V151" s="117">
        <v>0</v>
      </c>
      <c r="W151" s="117">
        <v>0</v>
      </c>
      <c r="X151" s="117">
        <v>0</v>
      </c>
      <c r="Y151" s="117">
        <v>0</v>
      </c>
      <c r="Z151" s="117">
        <v>0</v>
      </c>
      <c r="AA151" s="118">
        <v>0</v>
      </c>
      <c r="AB151" s="119">
        <v>0</v>
      </c>
      <c r="AC151" s="120">
        <v>0</v>
      </c>
      <c r="AD151" s="115">
        <v>1.5060167932576174E-3</v>
      </c>
      <c r="AE151"/>
    </row>
    <row r="152" spans="1:31" ht="13">
      <c r="A152" s="106"/>
      <c r="B152" s="107" t="s">
        <v>728</v>
      </c>
      <c r="C152" s="108">
        <v>0</v>
      </c>
      <c r="D152" s="85">
        <v>0</v>
      </c>
      <c r="E152" s="85">
        <v>0</v>
      </c>
      <c r="F152" s="85"/>
      <c r="G152" s="85">
        <v>0</v>
      </c>
      <c r="H152" s="85"/>
      <c r="I152" s="108">
        <v>0</v>
      </c>
      <c r="J152" s="108"/>
      <c r="K152" s="85">
        <v>0</v>
      </c>
      <c r="L152" s="85">
        <v>0</v>
      </c>
      <c r="M152" s="85">
        <v>0</v>
      </c>
      <c r="N152" s="108">
        <v>0</v>
      </c>
      <c r="O152" s="121"/>
      <c r="P152" s="85"/>
      <c r="Q152" s="108"/>
      <c r="R152" s="108">
        <v>12387.348888888891</v>
      </c>
      <c r="S152" s="108">
        <v>12387.348888888891</v>
      </c>
      <c r="T152" s="109"/>
      <c r="U152" s="109"/>
      <c r="V152" s="109"/>
      <c r="W152" s="109"/>
      <c r="X152" s="109"/>
      <c r="Y152" s="109"/>
      <c r="Z152" s="109"/>
      <c r="AA152" s="122"/>
      <c r="AB152" s="111"/>
      <c r="AC152" s="112"/>
      <c r="AD152" s="85">
        <v>12387.348888888891</v>
      </c>
      <c r="AE152"/>
    </row>
    <row r="153" spans="1:31" ht="13">
      <c r="A153" s="106"/>
      <c r="B153" s="107" t="s">
        <v>730</v>
      </c>
      <c r="C153" s="108">
        <v>0</v>
      </c>
      <c r="D153" s="85">
        <v>0</v>
      </c>
      <c r="E153" s="85">
        <v>0</v>
      </c>
      <c r="F153" s="85"/>
      <c r="G153" s="85">
        <v>0</v>
      </c>
      <c r="H153" s="85"/>
      <c r="I153" s="108">
        <v>0</v>
      </c>
      <c r="J153" s="108"/>
      <c r="K153" s="85">
        <v>0</v>
      </c>
      <c r="L153" s="85">
        <v>0</v>
      </c>
      <c r="M153" s="85">
        <v>0</v>
      </c>
      <c r="N153" s="108">
        <v>0</v>
      </c>
      <c r="O153" s="121"/>
      <c r="P153" s="85"/>
      <c r="Q153" s="108"/>
      <c r="R153" s="108">
        <v>12858.136666666669</v>
      </c>
      <c r="S153" s="108">
        <v>12858.136666666669</v>
      </c>
      <c r="T153" s="109"/>
      <c r="U153" s="109"/>
      <c r="V153" s="109"/>
      <c r="W153" s="109"/>
      <c r="X153" s="109"/>
      <c r="Y153" s="109"/>
      <c r="Z153" s="109"/>
      <c r="AA153" s="122"/>
      <c r="AB153" s="111"/>
      <c r="AC153" s="112"/>
      <c r="AD153" s="85">
        <v>12858.136666666669</v>
      </c>
      <c r="AE153"/>
    </row>
    <row r="154" spans="1:31" ht="13">
      <c r="A154" s="106"/>
      <c r="B154" s="113" t="s">
        <v>742</v>
      </c>
      <c r="C154" s="114">
        <v>0</v>
      </c>
      <c r="D154" s="115">
        <v>0</v>
      </c>
      <c r="E154" s="115">
        <v>0</v>
      </c>
      <c r="F154" s="115">
        <v>0</v>
      </c>
      <c r="G154" s="115">
        <v>0</v>
      </c>
      <c r="H154" s="115">
        <v>0</v>
      </c>
      <c r="I154" s="114">
        <v>0</v>
      </c>
      <c r="J154" s="114">
        <v>0</v>
      </c>
      <c r="K154" s="115">
        <v>0</v>
      </c>
      <c r="L154" s="115">
        <v>0</v>
      </c>
      <c r="M154" s="115">
        <v>0</v>
      </c>
      <c r="N154" s="114">
        <v>0</v>
      </c>
      <c r="O154" s="116">
        <v>0</v>
      </c>
      <c r="P154" s="115">
        <v>0</v>
      </c>
      <c r="Q154" s="114">
        <v>0</v>
      </c>
      <c r="R154" s="114">
        <v>3.8005531449918327E-2</v>
      </c>
      <c r="S154" s="114">
        <v>3.8005531449918327E-2</v>
      </c>
      <c r="T154" s="117">
        <v>0</v>
      </c>
      <c r="U154" s="117">
        <v>0</v>
      </c>
      <c r="V154" s="117">
        <v>0</v>
      </c>
      <c r="W154" s="117">
        <v>0</v>
      </c>
      <c r="X154" s="117">
        <v>0</v>
      </c>
      <c r="Y154" s="117">
        <v>0</v>
      </c>
      <c r="Z154" s="117">
        <v>0</v>
      </c>
      <c r="AA154" s="118">
        <v>0</v>
      </c>
      <c r="AB154" s="119">
        <v>0</v>
      </c>
      <c r="AC154" s="120">
        <v>0</v>
      </c>
      <c r="AD154" s="115">
        <v>3.8005531449918327E-2</v>
      </c>
      <c r="AE154"/>
    </row>
    <row r="155" spans="1:31" ht="13">
      <c r="A155" s="106"/>
      <c r="B155" s="107" t="s">
        <v>732</v>
      </c>
      <c r="C155" s="108">
        <v>7616.2083333333339</v>
      </c>
      <c r="D155" s="85">
        <v>4885.208333333333</v>
      </c>
      <c r="E155" s="85">
        <v>2687.5</v>
      </c>
      <c r="F155" s="85"/>
      <c r="G155" s="85">
        <v>236.91666666666666</v>
      </c>
      <c r="H155" s="85"/>
      <c r="I155" s="108">
        <v>15425.833333333334</v>
      </c>
      <c r="J155" s="108"/>
      <c r="K155" s="85">
        <v>0</v>
      </c>
      <c r="L155" s="85">
        <v>0</v>
      </c>
      <c r="M155" s="85">
        <v>0</v>
      </c>
      <c r="N155" s="108">
        <v>0</v>
      </c>
      <c r="O155" s="121"/>
      <c r="P155" s="85"/>
      <c r="Q155" s="108"/>
      <c r="R155" s="108">
        <v>0</v>
      </c>
      <c r="S155" s="108">
        <v>0</v>
      </c>
      <c r="T155" s="109"/>
      <c r="U155" s="109"/>
      <c r="V155" s="109"/>
      <c r="W155" s="109"/>
      <c r="X155" s="109"/>
      <c r="Y155" s="109"/>
      <c r="Z155" s="109"/>
      <c r="AA155" s="122"/>
      <c r="AB155" s="111"/>
      <c r="AC155" s="112"/>
      <c r="AD155" s="85">
        <v>15425.833333333334</v>
      </c>
      <c r="AE155"/>
    </row>
    <row r="156" spans="1:31" ht="13">
      <c r="A156" s="106"/>
      <c r="B156" s="107" t="s">
        <v>734</v>
      </c>
      <c r="C156" s="108">
        <v>7761.4166666666661</v>
      </c>
      <c r="D156" s="85">
        <v>4860.333333333333</v>
      </c>
      <c r="E156" s="85">
        <v>2740.916666666667</v>
      </c>
      <c r="F156" s="85"/>
      <c r="G156" s="85">
        <v>286.75</v>
      </c>
      <c r="H156" s="85"/>
      <c r="I156" s="108">
        <v>15649.416666666668</v>
      </c>
      <c r="J156" s="108"/>
      <c r="K156" s="85">
        <v>0</v>
      </c>
      <c r="L156" s="85">
        <v>0</v>
      </c>
      <c r="M156" s="85">
        <v>0</v>
      </c>
      <c r="N156" s="108">
        <v>0</v>
      </c>
      <c r="O156" s="121"/>
      <c r="P156" s="85"/>
      <c r="Q156" s="108"/>
      <c r="R156" s="108">
        <v>0</v>
      </c>
      <c r="S156" s="108">
        <v>0</v>
      </c>
      <c r="T156" s="109"/>
      <c r="U156" s="109"/>
      <c r="V156" s="109"/>
      <c r="W156" s="109"/>
      <c r="X156" s="109"/>
      <c r="Y156" s="109"/>
      <c r="Z156" s="109"/>
      <c r="AA156" s="122"/>
      <c r="AB156" s="111"/>
      <c r="AC156" s="112"/>
      <c r="AD156" s="85">
        <v>15649.416666666668</v>
      </c>
      <c r="AE156"/>
    </row>
    <row r="157" spans="1:31" ht="13">
      <c r="A157" s="106"/>
      <c r="B157" s="113" t="s">
        <v>744</v>
      </c>
      <c r="C157" s="114">
        <v>1.9065698701781673E-2</v>
      </c>
      <c r="D157" s="115">
        <v>-5.0919015736278737E-3</v>
      </c>
      <c r="E157" s="115">
        <v>1.9875968992248173E-2</v>
      </c>
      <c r="F157" s="115">
        <v>0</v>
      </c>
      <c r="G157" s="115">
        <v>0.21034118888498071</v>
      </c>
      <c r="H157" s="115">
        <v>0</v>
      </c>
      <c r="I157" s="114">
        <v>1.4494084598346968E-2</v>
      </c>
      <c r="J157" s="114">
        <v>0</v>
      </c>
      <c r="K157" s="115">
        <v>0</v>
      </c>
      <c r="L157" s="115">
        <v>0</v>
      </c>
      <c r="M157" s="115">
        <v>0</v>
      </c>
      <c r="N157" s="114">
        <v>0</v>
      </c>
      <c r="O157" s="116">
        <v>0</v>
      </c>
      <c r="P157" s="115">
        <v>0</v>
      </c>
      <c r="Q157" s="114">
        <v>0</v>
      </c>
      <c r="R157" s="114">
        <v>0</v>
      </c>
      <c r="S157" s="114">
        <v>0</v>
      </c>
      <c r="T157" s="117">
        <v>0</v>
      </c>
      <c r="U157" s="117">
        <v>0</v>
      </c>
      <c r="V157" s="117">
        <v>0</v>
      </c>
      <c r="W157" s="117">
        <v>0</v>
      </c>
      <c r="X157" s="117">
        <v>0</v>
      </c>
      <c r="Y157" s="117">
        <v>0</v>
      </c>
      <c r="Z157" s="117">
        <v>0</v>
      </c>
      <c r="AA157" s="118">
        <v>0</v>
      </c>
      <c r="AB157" s="119">
        <v>0</v>
      </c>
      <c r="AC157" s="120">
        <v>0</v>
      </c>
      <c r="AD157" s="115">
        <v>1.4494084598346968E-2</v>
      </c>
      <c r="AE157"/>
    </row>
    <row r="158" spans="1:31" ht="13">
      <c r="A158" s="106"/>
      <c r="B158" s="107" t="s">
        <v>736</v>
      </c>
      <c r="C158" s="108">
        <v>42741.008333333331</v>
      </c>
      <c r="D158" s="85">
        <v>38074.141666666663</v>
      </c>
      <c r="E158" s="85">
        <v>28933</v>
      </c>
      <c r="F158" s="85"/>
      <c r="G158" s="85">
        <v>5810.25</v>
      </c>
      <c r="H158" s="85"/>
      <c r="I158" s="108">
        <v>115558.39999999999</v>
      </c>
      <c r="J158" s="108"/>
      <c r="K158" s="85">
        <v>30490.866666666669</v>
      </c>
      <c r="L158" s="85">
        <v>25758.333333333336</v>
      </c>
      <c r="M158" s="85">
        <v>1717.4</v>
      </c>
      <c r="N158" s="108">
        <v>57966.600000000006</v>
      </c>
      <c r="O158" s="121"/>
      <c r="P158" s="85"/>
      <c r="Q158" s="108"/>
      <c r="R158" s="108">
        <v>12387.348888888891</v>
      </c>
      <c r="S158" s="108">
        <v>12387.348888888891</v>
      </c>
      <c r="T158" s="109"/>
      <c r="U158" s="109"/>
      <c r="V158" s="109"/>
      <c r="W158" s="109"/>
      <c r="X158" s="109"/>
      <c r="Y158" s="109"/>
      <c r="Z158" s="109"/>
      <c r="AA158" s="122"/>
      <c r="AB158" s="111"/>
      <c r="AC158" s="112"/>
      <c r="AD158" s="85">
        <v>185912.3488888889</v>
      </c>
      <c r="AE158"/>
    </row>
    <row r="159" spans="1:31" ht="13">
      <c r="A159" s="106"/>
      <c r="B159" s="107" t="s">
        <v>738</v>
      </c>
      <c r="C159" s="108">
        <v>43350.716666666667</v>
      </c>
      <c r="D159" s="85">
        <v>37553.199999999997</v>
      </c>
      <c r="E159" s="85">
        <v>28721.816666666666</v>
      </c>
      <c r="F159" s="85"/>
      <c r="G159" s="85">
        <v>5730.05</v>
      </c>
      <c r="H159" s="85"/>
      <c r="I159" s="108">
        <v>115355.78333333333</v>
      </c>
      <c r="J159" s="108"/>
      <c r="K159" s="85">
        <v>30270.366666666669</v>
      </c>
      <c r="L159" s="85">
        <v>26590.26666666667</v>
      </c>
      <c r="M159" s="85">
        <v>1770.2666666666667</v>
      </c>
      <c r="N159" s="108">
        <v>58630.900000000009</v>
      </c>
      <c r="O159" s="121"/>
      <c r="P159" s="85"/>
      <c r="Q159" s="108"/>
      <c r="R159" s="108">
        <v>12858.136666666669</v>
      </c>
      <c r="S159" s="108">
        <v>12858.136666666669</v>
      </c>
      <c r="T159" s="109"/>
      <c r="U159" s="109"/>
      <c r="V159" s="109"/>
      <c r="W159" s="109"/>
      <c r="X159" s="109"/>
      <c r="Y159" s="109"/>
      <c r="Z159" s="109"/>
      <c r="AA159" s="122"/>
      <c r="AB159" s="111"/>
      <c r="AC159" s="112"/>
      <c r="AD159" s="85">
        <v>186844.81999999998</v>
      </c>
      <c r="AE159"/>
    </row>
    <row r="160" spans="1:31" ht="13">
      <c r="A160" s="123"/>
      <c r="B160" s="124" t="s">
        <v>746</v>
      </c>
      <c r="C160" s="114">
        <v>1.4265183651688201E-2</v>
      </c>
      <c r="D160" s="115">
        <v>-1.368229574884264E-2</v>
      </c>
      <c r="E160" s="115">
        <v>-7.2990472240463938E-3</v>
      </c>
      <c r="F160" s="115">
        <v>0</v>
      </c>
      <c r="G160" s="115">
        <v>-1.3803192633707641E-2</v>
      </c>
      <c r="H160" s="115">
        <v>0</v>
      </c>
      <c r="I160" s="114">
        <v>-1.7533703016541298E-3</v>
      </c>
      <c r="J160" s="114">
        <v>0</v>
      </c>
      <c r="K160" s="115">
        <v>-7.231673747111156E-3</v>
      </c>
      <c r="L160" s="115">
        <v>3.229763830475578E-2</v>
      </c>
      <c r="M160" s="115">
        <v>3.0782966499747617E-2</v>
      </c>
      <c r="N160" s="114">
        <v>1.1460047682631208E-2</v>
      </c>
      <c r="O160" s="116">
        <v>0</v>
      </c>
      <c r="P160" s="115">
        <v>0</v>
      </c>
      <c r="Q160" s="114">
        <v>0</v>
      </c>
      <c r="R160" s="114">
        <v>3.8005531449918327E-2</v>
      </c>
      <c r="S160" s="114">
        <v>3.8005531449918327E-2</v>
      </c>
      <c r="T160" s="117">
        <v>0</v>
      </c>
      <c r="U160" s="117">
        <v>0</v>
      </c>
      <c r="V160" s="117">
        <v>0</v>
      </c>
      <c r="W160" s="117">
        <v>0</v>
      </c>
      <c r="X160" s="117">
        <v>0</v>
      </c>
      <c r="Y160" s="117">
        <v>0</v>
      </c>
      <c r="Z160" s="117">
        <v>0</v>
      </c>
      <c r="AA160" s="118">
        <v>0</v>
      </c>
      <c r="AB160" s="111">
        <v>0</v>
      </c>
      <c r="AC160" s="112">
        <v>0</v>
      </c>
      <c r="AD160" s="115">
        <v>5.0156491308084366E-3</v>
      </c>
      <c r="AE160"/>
    </row>
    <row r="161" spans="1:37" ht="13">
      <c r="A161" s="104" t="s">
        <v>570</v>
      </c>
      <c r="B161" s="92" t="s">
        <v>720</v>
      </c>
      <c r="C161" s="86">
        <v>233247.7</v>
      </c>
      <c r="D161" s="80">
        <v>54703.23333333333</v>
      </c>
      <c r="E161" s="80">
        <v>137376.06666666665</v>
      </c>
      <c r="F161" s="80">
        <v>13620.066666666666</v>
      </c>
      <c r="G161" s="80">
        <v>6685.5666666666675</v>
      </c>
      <c r="H161" s="80"/>
      <c r="I161" s="86">
        <v>445632.6333333333</v>
      </c>
      <c r="J161" s="86">
        <v>26741.833333333336</v>
      </c>
      <c r="K161" s="80">
        <v>349676.6</v>
      </c>
      <c r="L161" s="80">
        <v>78779.566666666666</v>
      </c>
      <c r="M161" s="80">
        <v>15965.500000000002</v>
      </c>
      <c r="N161" s="86">
        <v>471163.49999999994</v>
      </c>
      <c r="O161" s="86">
        <v>67345.333333333328</v>
      </c>
      <c r="P161" s="80">
        <v>67345.333333333328</v>
      </c>
      <c r="Q161" s="86"/>
      <c r="R161" s="86"/>
      <c r="S161" s="86"/>
      <c r="T161" s="88">
        <v>12551.466666666667</v>
      </c>
      <c r="U161" s="88">
        <v>12551.466666666667</v>
      </c>
      <c r="V161" s="88">
        <v>49026</v>
      </c>
      <c r="W161" s="88">
        <v>49026</v>
      </c>
      <c r="X161" s="88">
        <v>31002.466666666667</v>
      </c>
      <c r="Y161" s="88">
        <v>31002.466666666667</v>
      </c>
      <c r="Z161" s="88"/>
      <c r="AA161" s="105"/>
      <c r="AB161" s="90">
        <v>2309.1</v>
      </c>
      <c r="AC161" s="91">
        <v>2309.1</v>
      </c>
      <c r="AD161" s="85">
        <v>1079030.5</v>
      </c>
      <c r="AE161"/>
    </row>
    <row r="162" spans="1:37" ht="13">
      <c r="A162" s="106"/>
      <c r="B162" s="107" t="s">
        <v>721</v>
      </c>
      <c r="C162" s="108">
        <v>236716.7</v>
      </c>
      <c r="D162" s="85">
        <v>54400.399999999994</v>
      </c>
      <c r="E162" s="85">
        <v>136176.59999999998</v>
      </c>
      <c r="F162" s="85">
        <v>13918.266666666668</v>
      </c>
      <c r="G162" s="85">
        <v>6628.0333333333328</v>
      </c>
      <c r="H162" s="85"/>
      <c r="I162" s="108">
        <v>447839.99999999994</v>
      </c>
      <c r="J162" s="108">
        <v>27074.300000000003</v>
      </c>
      <c r="K162" s="85">
        <v>342957.86666666664</v>
      </c>
      <c r="L162" s="85">
        <v>78292.600000000006</v>
      </c>
      <c r="M162" s="85">
        <v>17050.933333333331</v>
      </c>
      <c r="N162" s="108">
        <v>465375.69999999995</v>
      </c>
      <c r="O162" s="108">
        <v>75336</v>
      </c>
      <c r="P162" s="85">
        <v>75336</v>
      </c>
      <c r="Q162" s="108"/>
      <c r="R162" s="108"/>
      <c r="S162" s="108"/>
      <c r="T162" s="109">
        <v>65045.766666666663</v>
      </c>
      <c r="U162" s="109">
        <v>65045.766666666663</v>
      </c>
      <c r="V162" s="109">
        <v>6703.1333333333332</v>
      </c>
      <c r="W162" s="109">
        <v>6703.1333333333332</v>
      </c>
      <c r="X162" s="109">
        <v>3587.1</v>
      </c>
      <c r="Y162" s="109">
        <v>3587.1</v>
      </c>
      <c r="Z162" s="109"/>
      <c r="AA162" s="110"/>
      <c r="AB162" s="111">
        <v>2453.3000000000002</v>
      </c>
      <c r="AC162" s="112">
        <v>2453.3000000000002</v>
      </c>
      <c r="AD162" s="85">
        <v>1066341</v>
      </c>
      <c r="AE162"/>
    </row>
    <row r="163" spans="1:37" ht="13">
      <c r="A163" s="106"/>
      <c r="B163" s="113" t="s">
        <v>740</v>
      </c>
      <c r="C163" s="114">
        <v>1.4872601101747198E-2</v>
      </c>
      <c r="D163" s="115">
        <v>-5.5359311484940096E-3</v>
      </c>
      <c r="E163" s="115">
        <v>-8.7312637184255373E-3</v>
      </c>
      <c r="F163" s="115">
        <v>2.18941659610087E-2</v>
      </c>
      <c r="G163" s="115">
        <v>-8.6056031151686956E-3</v>
      </c>
      <c r="H163" s="115">
        <v>0</v>
      </c>
      <c r="I163" s="114">
        <v>4.9533326366954181E-3</v>
      </c>
      <c r="J163" s="114">
        <v>1.2432456014608838E-2</v>
      </c>
      <c r="K163" s="115">
        <v>-1.921413481294813E-2</v>
      </c>
      <c r="L163" s="115">
        <v>-6.1813829051271738E-3</v>
      </c>
      <c r="M163" s="115">
        <v>6.7986178530790059E-2</v>
      </c>
      <c r="N163" s="114">
        <v>-1.2284058506229151E-2</v>
      </c>
      <c r="O163" s="116">
        <v>0.11865212140410628</v>
      </c>
      <c r="P163" s="115">
        <v>0.11865212140410628</v>
      </c>
      <c r="Q163" s="114">
        <v>0</v>
      </c>
      <c r="R163" s="114">
        <v>0</v>
      </c>
      <c r="S163" s="114">
        <v>0</v>
      </c>
      <c r="T163" s="117">
        <v>4.1823239780742751</v>
      </c>
      <c r="U163" s="117">
        <v>4.1823239780742751</v>
      </c>
      <c r="V163" s="117">
        <v>-0.86327390908225576</v>
      </c>
      <c r="W163" s="117">
        <v>-0.86327390908225576</v>
      </c>
      <c r="X163" s="117">
        <v>-0.88429630330489839</v>
      </c>
      <c r="Y163" s="117">
        <v>-0.88429630330489839</v>
      </c>
      <c r="Z163" s="117">
        <v>0</v>
      </c>
      <c r="AA163" s="118">
        <v>0</v>
      </c>
      <c r="AB163" s="119">
        <v>6.2448573037114145E-2</v>
      </c>
      <c r="AC163" s="120">
        <v>6.2448573037114145E-2</v>
      </c>
      <c r="AD163" s="115">
        <v>-1.1760093899107295E-2</v>
      </c>
      <c r="AE163"/>
    </row>
    <row r="164" spans="1:37" ht="13">
      <c r="A164" s="106"/>
      <c r="B164" s="107" t="s">
        <v>728</v>
      </c>
      <c r="C164" s="108">
        <v>0</v>
      </c>
      <c r="D164" s="85">
        <v>0</v>
      </c>
      <c r="E164" s="85">
        <v>0</v>
      </c>
      <c r="F164" s="85">
        <v>0</v>
      </c>
      <c r="G164" s="85">
        <v>0</v>
      </c>
      <c r="H164" s="85"/>
      <c r="I164" s="108">
        <v>0</v>
      </c>
      <c r="J164" s="108">
        <v>404.9</v>
      </c>
      <c r="K164" s="85">
        <v>10161.783333333333</v>
      </c>
      <c r="L164" s="85">
        <v>3761.3522222222218</v>
      </c>
      <c r="M164" s="85">
        <v>750.43</v>
      </c>
      <c r="N164" s="108">
        <v>15078.465555555555</v>
      </c>
      <c r="O164" s="121">
        <v>2694.34</v>
      </c>
      <c r="P164" s="85">
        <v>2694.34</v>
      </c>
      <c r="Q164" s="108"/>
      <c r="R164" s="108"/>
      <c r="S164" s="108"/>
      <c r="T164" s="109">
        <v>534.19666666666672</v>
      </c>
      <c r="U164" s="109">
        <v>534.19666666666672</v>
      </c>
      <c r="V164" s="109">
        <v>2337.5544444444445</v>
      </c>
      <c r="W164" s="109">
        <v>2337.5544444444445</v>
      </c>
      <c r="X164" s="109">
        <v>890.98222222222216</v>
      </c>
      <c r="Y164" s="109">
        <v>890.98222222222216</v>
      </c>
      <c r="Z164" s="109"/>
      <c r="AA164" s="122"/>
      <c r="AB164" s="111">
        <v>0</v>
      </c>
      <c r="AC164" s="112">
        <v>0</v>
      </c>
      <c r="AD164" s="85">
        <v>21535.538888888888</v>
      </c>
      <c r="AE164"/>
    </row>
    <row r="165" spans="1:37" ht="13">
      <c r="A165" s="106"/>
      <c r="B165" s="107" t="s">
        <v>730</v>
      </c>
      <c r="C165" s="108">
        <v>0</v>
      </c>
      <c r="D165" s="85">
        <v>0</v>
      </c>
      <c r="E165" s="85">
        <v>0</v>
      </c>
      <c r="F165" s="85">
        <v>0</v>
      </c>
      <c r="G165" s="85">
        <v>0</v>
      </c>
      <c r="H165" s="85"/>
      <c r="I165" s="108">
        <v>0</v>
      </c>
      <c r="J165" s="108">
        <v>407.12555555555559</v>
      </c>
      <c r="K165" s="85">
        <v>10292.454444444447</v>
      </c>
      <c r="L165" s="85">
        <v>3678.3799999999997</v>
      </c>
      <c r="M165" s="85">
        <v>721.68222222222221</v>
      </c>
      <c r="N165" s="108">
        <v>15099.642222222225</v>
      </c>
      <c r="O165" s="121">
        <v>2960.6711111111108</v>
      </c>
      <c r="P165" s="85">
        <v>2960.6711111111108</v>
      </c>
      <c r="Q165" s="108"/>
      <c r="R165" s="108"/>
      <c r="S165" s="108"/>
      <c r="T165" s="109">
        <v>2178.67</v>
      </c>
      <c r="U165" s="109">
        <v>2178.67</v>
      </c>
      <c r="V165" s="109">
        <v>753.24111111111119</v>
      </c>
      <c r="W165" s="109">
        <v>753.24111111111119</v>
      </c>
      <c r="X165" s="109">
        <v>28.76</v>
      </c>
      <c r="Y165" s="109">
        <v>28.76</v>
      </c>
      <c r="Z165" s="109"/>
      <c r="AA165" s="122"/>
      <c r="AB165" s="111">
        <v>0</v>
      </c>
      <c r="AC165" s="112">
        <v>0</v>
      </c>
      <c r="AD165" s="85">
        <v>21020.984444444446</v>
      </c>
      <c r="AE165"/>
    </row>
    <row r="166" spans="1:37" ht="13">
      <c r="A166" s="106"/>
      <c r="B166" s="113" t="s">
        <v>742</v>
      </c>
      <c r="C166" s="114">
        <v>0</v>
      </c>
      <c r="D166" s="115">
        <v>0</v>
      </c>
      <c r="E166" s="115">
        <v>0</v>
      </c>
      <c r="F166" s="115">
        <v>0</v>
      </c>
      <c r="G166" s="115">
        <v>0</v>
      </c>
      <c r="H166" s="115">
        <v>0</v>
      </c>
      <c r="I166" s="114">
        <v>0</v>
      </c>
      <c r="J166" s="114">
        <v>5.4965560769464454E-3</v>
      </c>
      <c r="K166" s="115">
        <v>1.2859072745871159E-2</v>
      </c>
      <c r="L166" s="115">
        <v>-2.2059147168408986E-2</v>
      </c>
      <c r="M166" s="115">
        <v>-3.8308406883756974E-2</v>
      </c>
      <c r="N166" s="114">
        <v>1.4044311464359899E-3</v>
      </c>
      <c r="O166" s="116">
        <v>9.8848367730542785E-2</v>
      </c>
      <c r="P166" s="115">
        <v>9.8848367730542785E-2</v>
      </c>
      <c r="Q166" s="114">
        <v>0</v>
      </c>
      <c r="R166" s="114">
        <v>0</v>
      </c>
      <c r="S166" s="114">
        <v>0</v>
      </c>
      <c r="T166" s="117">
        <v>3.0784043329859787</v>
      </c>
      <c r="U166" s="117">
        <v>3.0784043329859787</v>
      </c>
      <c r="V166" s="117">
        <v>-0.67776531883511681</v>
      </c>
      <c r="W166" s="117">
        <v>-0.67776531883511681</v>
      </c>
      <c r="X166" s="117">
        <v>-0.96772101700495339</v>
      </c>
      <c r="Y166" s="117">
        <v>-0.96772101700495339</v>
      </c>
      <c r="Z166" s="117">
        <v>0</v>
      </c>
      <c r="AA166" s="118">
        <v>0</v>
      </c>
      <c r="AB166" s="119">
        <v>0</v>
      </c>
      <c r="AC166" s="120">
        <v>0</v>
      </c>
      <c r="AD166" s="115">
        <v>-2.3893269961770425E-2</v>
      </c>
      <c r="AE166"/>
    </row>
    <row r="167" spans="1:37" ht="13">
      <c r="A167" s="106"/>
      <c r="B167" s="107" t="s">
        <v>732</v>
      </c>
      <c r="C167" s="108">
        <v>54063.249999999993</v>
      </c>
      <c r="D167" s="85">
        <v>9469.1666666666661</v>
      </c>
      <c r="E167" s="85">
        <v>28121.541666666668</v>
      </c>
      <c r="F167" s="85">
        <v>2502.625</v>
      </c>
      <c r="G167" s="85">
        <v>791.66666666666674</v>
      </c>
      <c r="H167" s="85"/>
      <c r="I167" s="108">
        <v>94948.25</v>
      </c>
      <c r="J167" s="108">
        <v>0</v>
      </c>
      <c r="K167" s="85">
        <v>0</v>
      </c>
      <c r="L167" s="85">
        <v>0</v>
      </c>
      <c r="M167" s="85">
        <v>0</v>
      </c>
      <c r="N167" s="108">
        <v>0</v>
      </c>
      <c r="O167" s="121">
        <v>0</v>
      </c>
      <c r="P167" s="85">
        <v>0</v>
      </c>
      <c r="Q167" s="108"/>
      <c r="R167" s="108"/>
      <c r="S167" s="108"/>
      <c r="T167" s="109">
        <v>0</v>
      </c>
      <c r="U167" s="109">
        <v>0</v>
      </c>
      <c r="V167" s="109">
        <v>0</v>
      </c>
      <c r="W167" s="109">
        <v>0</v>
      </c>
      <c r="X167" s="109">
        <v>0</v>
      </c>
      <c r="Y167" s="109">
        <v>0</v>
      </c>
      <c r="Z167" s="109"/>
      <c r="AA167" s="122"/>
      <c r="AB167" s="111">
        <v>675.66666666666663</v>
      </c>
      <c r="AC167" s="112">
        <v>675.66666666666663</v>
      </c>
      <c r="AD167" s="85">
        <v>95623.916666666672</v>
      </c>
      <c r="AE167"/>
    </row>
    <row r="168" spans="1:37" ht="13">
      <c r="A168" s="106"/>
      <c r="B168" s="107" t="s">
        <v>734</v>
      </c>
      <c r="C168" s="108">
        <v>54253.041666666664</v>
      </c>
      <c r="D168" s="85">
        <v>9519.875</v>
      </c>
      <c r="E168" s="85">
        <v>28063.333333333336</v>
      </c>
      <c r="F168" s="85">
        <v>2496.5416666666665</v>
      </c>
      <c r="G168" s="85">
        <v>653.45833333333326</v>
      </c>
      <c r="H168" s="85"/>
      <c r="I168" s="108">
        <v>94986.25</v>
      </c>
      <c r="J168" s="108">
        <v>0</v>
      </c>
      <c r="K168" s="85">
        <v>0</v>
      </c>
      <c r="L168" s="85">
        <v>0</v>
      </c>
      <c r="M168" s="85">
        <v>0</v>
      </c>
      <c r="N168" s="108">
        <v>0</v>
      </c>
      <c r="O168" s="121">
        <v>0</v>
      </c>
      <c r="P168" s="85">
        <v>0</v>
      </c>
      <c r="Q168" s="108"/>
      <c r="R168" s="108"/>
      <c r="S168" s="108"/>
      <c r="T168" s="109">
        <v>0</v>
      </c>
      <c r="U168" s="109">
        <v>0</v>
      </c>
      <c r="V168" s="109">
        <v>0</v>
      </c>
      <c r="W168" s="109">
        <v>0</v>
      </c>
      <c r="X168" s="109">
        <v>0</v>
      </c>
      <c r="Y168" s="109">
        <v>0</v>
      </c>
      <c r="Z168" s="109"/>
      <c r="AA168" s="122"/>
      <c r="AB168" s="111">
        <v>720</v>
      </c>
      <c r="AC168" s="112">
        <v>720</v>
      </c>
      <c r="AD168" s="85">
        <v>95706.25</v>
      </c>
      <c r="AE168"/>
    </row>
    <row r="169" spans="1:37" ht="13">
      <c r="A169" s="106"/>
      <c r="B169" s="113" t="s">
        <v>744</v>
      </c>
      <c r="C169" s="114">
        <v>3.5105486012526354E-3</v>
      </c>
      <c r="D169" s="115">
        <v>5.3550998855936578E-3</v>
      </c>
      <c r="E169" s="115">
        <v>-2.0698841487175029E-3</v>
      </c>
      <c r="F169" s="115">
        <v>-2.430781013269461E-3</v>
      </c>
      <c r="G169" s="115">
        <v>-0.17457894736842122</v>
      </c>
      <c r="H169" s="115">
        <v>0</v>
      </c>
      <c r="I169" s="114">
        <v>4.0021801349713254E-4</v>
      </c>
      <c r="J169" s="114">
        <v>0</v>
      </c>
      <c r="K169" s="115">
        <v>0</v>
      </c>
      <c r="L169" s="115">
        <v>0</v>
      </c>
      <c r="M169" s="115">
        <v>0</v>
      </c>
      <c r="N169" s="114">
        <v>0</v>
      </c>
      <c r="O169" s="116">
        <v>0</v>
      </c>
      <c r="P169" s="115">
        <v>0</v>
      </c>
      <c r="Q169" s="114">
        <v>0</v>
      </c>
      <c r="R169" s="114">
        <v>0</v>
      </c>
      <c r="S169" s="114">
        <v>0</v>
      </c>
      <c r="T169" s="117">
        <v>0</v>
      </c>
      <c r="U169" s="117">
        <v>0</v>
      </c>
      <c r="V169" s="117">
        <v>0</v>
      </c>
      <c r="W169" s="117">
        <v>0</v>
      </c>
      <c r="X169" s="117">
        <v>0</v>
      </c>
      <c r="Y169" s="117">
        <v>0</v>
      </c>
      <c r="Z169" s="117">
        <v>0</v>
      </c>
      <c r="AA169" s="118">
        <v>0</v>
      </c>
      <c r="AB169" s="119">
        <v>6.561420818944258E-2</v>
      </c>
      <c r="AC169" s="120">
        <v>6.561420818944258E-2</v>
      </c>
      <c r="AD169" s="115">
        <v>8.610119330330464E-4</v>
      </c>
      <c r="AE169"/>
      <c r="AI169" s="15" t="s">
        <v>863</v>
      </c>
      <c r="AJ169" s="15">
        <v>11</v>
      </c>
      <c r="AK169" s="15" t="s">
        <v>764</v>
      </c>
    </row>
    <row r="170" spans="1:37" ht="13">
      <c r="A170" s="106"/>
      <c r="B170" s="107" t="s">
        <v>736</v>
      </c>
      <c r="C170" s="108">
        <v>287310.95</v>
      </c>
      <c r="D170" s="85">
        <v>64172.399999999994</v>
      </c>
      <c r="E170" s="85">
        <v>165497.60833333337</v>
      </c>
      <c r="F170" s="85">
        <v>16122.691666666666</v>
      </c>
      <c r="G170" s="85">
        <v>7477.2333333333336</v>
      </c>
      <c r="H170" s="85"/>
      <c r="I170" s="108">
        <v>540580.8833333333</v>
      </c>
      <c r="J170" s="108">
        <v>27146.733333333337</v>
      </c>
      <c r="K170" s="85">
        <v>359838.38333333342</v>
      </c>
      <c r="L170" s="85">
        <v>82540.918888888889</v>
      </c>
      <c r="M170" s="85">
        <v>16715.93</v>
      </c>
      <c r="N170" s="108">
        <v>486241.96555555565</v>
      </c>
      <c r="O170" s="121">
        <v>70039.673333333325</v>
      </c>
      <c r="P170" s="85">
        <v>70039.673333333325</v>
      </c>
      <c r="Q170" s="108"/>
      <c r="R170" s="108"/>
      <c r="S170" s="108"/>
      <c r="T170" s="109">
        <v>13085.663333333334</v>
      </c>
      <c r="U170" s="109">
        <v>13085.663333333334</v>
      </c>
      <c r="V170" s="109">
        <v>51363.554444444446</v>
      </c>
      <c r="W170" s="109">
        <v>51363.554444444446</v>
      </c>
      <c r="X170" s="109">
        <v>31893.448888888888</v>
      </c>
      <c r="Y170" s="109">
        <v>31893.448888888888</v>
      </c>
      <c r="Z170" s="109"/>
      <c r="AA170" s="122"/>
      <c r="AB170" s="111">
        <v>2984.7666666666664</v>
      </c>
      <c r="AC170" s="112">
        <v>2984.7666666666664</v>
      </c>
      <c r="AD170" s="85">
        <v>1196189.9555555554</v>
      </c>
      <c r="AE170"/>
      <c r="AI170" s="15">
        <f>+GETPIVOTDATA("Sum of Old Grand Total FTE",$A$2,"State","TX","Category","10","Category2","Two-Year")-GETPIVOTDATA("Sum of Old Grand Total FTE",$A$2,"State","TX","Category","10b","Category2","10b")</f>
        <v>-15177.518888888888</v>
      </c>
      <c r="AJ170" s="15">
        <f>+GETPIVOTDATA("Sum of Old Grand Total FTE",$A$2,"State","TX","Category","11","Category2","11")</f>
        <v>70039.673333333325</v>
      </c>
      <c r="AK170" s="15">
        <f>SUM(AF170:AJ170)</f>
        <v>54862.154444444437</v>
      </c>
    </row>
    <row r="171" spans="1:37" ht="13">
      <c r="A171" s="106"/>
      <c r="B171" s="107" t="s">
        <v>738</v>
      </c>
      <c r="C171" s="108">
        <v>290969.7416666667</v>
      </c>
      <c r="D171" s="85">
        <v>63920.274999999994</v>
      </c>
      <c r="E171" s="85">
        <v>164239.93333333335</v>
      </c>
      <c r="F171" s="85">
        <v>16414.808333333334</v>
      </c>
      <c r="G171" s="85">
        <v>7281.4916666666668</v>
      </c>
      <c r="H171" s="85"/>
      <c r="I171" s="108">
        <v>542826.25000000012</v>
      </c>
      <c r="J171" s="108">
        <v>27481.425555555557</v>
      </c>
      <c r="K171" s="85">
        <v>353250.32111111115</v>
      </c>
      <c r="L171" s="85">
        <v>81970.980000000025</v>
      </c>
      <c r="M171" s="85">
        <v>17772.615555555556</v>
      </c>
      <c r="N171" s="108">
        <v>480475.3422222223</v>
      </c>
      <c r="O171" s="121">
        <v>78296.671111111122</v>
      </c>
      <c r="P171" s="85">
        <v>78296.671111111122</v>
      </c>
      <c r="Q171" s="108"/>
      <c r="R171" s="108"/>
      <c r="S171" s="108"/>
      <c r="T171" s="109">
        <v>67224.436666666661</v>
      </c>
      <c r="U171" s="109">
        <v>67224.436666666661</v>
      </c>
      <c r="V171" s="109">
        <v>7456.3744444444455</v>
      </c>
      <c r="W171" s="109">
        <v>7456.3744444444455</v>
      </c>
      <c r="X171" s="109">
        <v>3615.86</v>
      </c>
      <c r="Y171" s="109">
        <v>3615.86</v>
      </c>
      <c r="Z171" s="109"/>
      <c r="AA171" s="122"/>
      <c r="AB171" s="111">
        <v>3173.3</v>
      </c>
      <c r="AC171" s="112">
        <v>3173.3</v>
      </c>
      <c r="AD171" s="85">
        <v>1183068.2344444448</v>
      </c>
      <c r="AE171"/>
      <c r="AI171" s="15">
        <f>+GETPIVOTDATA("Sum of NEW Grand Total FTE",$A$2,"State","TX","Category","10","Category2","Two-Year")-GETPIVOTDATA("Sum of NEW Grand Total FTE",$A$2,"State","TX","Category","10b","Category2","10b")</f>
        <v>14156.755555555555</v>
      </c>
      <c r="AJ171" s="15">
        <f>+GETPIVOTDATA("Sum of NEW Grand Total FTE",$A$2,"State","TX","Category","11","Category2","11")</f>
        <v>78296.671111111122</v>
      </c>
      <c r="AK171" s="15">
        <f>SUM(AF171:AJ171)</f>
        <v>92453.426666666681</v>
      </c>
    </row>
    <row r="172" spans="1:37" ht="13">
      <c r="A172" s="123"/>
      <c r="B172" s="124" t="s">
        <v>746</v>
      </c>
      <c r="C172" s="114">
        <v>1.2734605717835279E-2</v>
      </c>
      <c r="D172" s="115">
        <v>-3.9288697321589973E-3</v>
      </c>
      <c r="E172" s="115">
        <v>-7.5993545324648986E-3</v>
      </c>
      <c r="F172" s="115">
        <v>1.8118355961034338E-2</v>
      </c>
      <c r="G172" s="115">
        <v>-2.6178354739052338E-2</v>
      </c>
      <c r="H172" s="115">
        <v>0</v>
      </c>
      <c r="I172" s="114">
        <v>4.1536183314907849E-3</v>
      </c>
      <c r="J172" s="114">
        <v>1.2329005413378901E-2</v>
      </c>
      <c r="K172" s="115">
        <v>-1.8308392120913557E-2</v>
      </c>
      <c r="L172" s="115">
        <v>-6.9049254183380033E-3</v>
      </c>
      <c r="M172" s="115">
        <v>6.3214284551057334E-2</v>
      </c>
      <c r="N172" s="114">
        <v>-1.1859575564903451E-2</v>
      </c>
      <c r="O172" s="116">
        <v>0.11789029538274733</v>
      </c>
      <c r="P172" s="115">
        <v>0.11789029538274733</v>
      </c>
      <c r="Q172" s="114">
        <v>0</v>
      </c>
      <c r="R172" s="114">
        <v>0</v>
      </c>
      <c r="S172" s="114">
        <v>0</v>
      </c>
      <c r="T172" s="117">
        <v>4.1372586130520954</v>
      </c>
      <c r="U172" s="117">
        <v>4.1372586130520954</v>
      </c>
      <c r="V172" s="117">
        <v>-0.85483141645679206</v>
      </c>
      <c r="W172" s="117">
        <v>-0.85483141645679206</v>
      </c>
      <c r="X172" s="117">
        <v>-0.88662687398289808</v>
      </c>
      <c r="Y172" s="117">
        <v>-0.88662687398289808</v>
      </c>
      <c r="Z172" s="117">
        <v>0</v>
      </c>
      <c r="AA172" s="118">
        <v>0</v>
      </c>
      <c r="AB172" s="111">
        <v>6.3165183208067785E-2</v>
      </c>
      <c r="AC172" s="112">
        <v>6.3165183208067785E-2</v>
      </c>
      <c r="AD172" s="115">
        <v>-1.096959646765837E-2</v>
      </c>
      <c r="AE172"/>
    </row>
    <row r="173" spans="1:37" ht="13">
      <c r="A173" s="104" t="s">
        <v>674</v>
      </c>
      <c r="B173" s="92" t="s">
        <v>720</v>
      </c>
      <c r="C173" s="86">
        <v>107643.96666666667</v>
      </c>
      <c r="D173" s="80">
        <v>6214.6833333333334</v>
      </c>
      <c r="E173" s="80">
        <v>44262.19</v>
      </c>
      <c r="F173" s="80"/>
      <c r="G173" s="80">
        <v>4721.7666666666664</v>
      </c>
      <c r="H173" s="80">
        <v>1544.5666666666666</v>
      </c>
      <c r="I173" s="86">
        <v>164387.17333333337</v>
      </c>
      <c r="J173" s="86"/>
      <c r="K173" s="80">
        <v>62193</v>
      </c>
      <c r="L173" s="80">
        <v>24557.933333333334</v>
      </c>
      <c r="M173" s="80">
        <v>14499.733333333334</v>
      </c>
      <c r="N173" s="86">
        <v>101250.66666666667</v>
      </c>
      <c r="O173" s="86">
        <v>98379.5</v>
      </c>
      <c r="P173" s="80">
        <v>98379.5</v>
      </c>
      <c r="Q173" s="86"/>
      <c r="R173" s="86"/>
      <c r="S173" s="86"/>
      <c r="T173" s="88">
        <v>62193</v>
      </c>
      <c r="U173" s="88">
        <v>62193</v>
      </c>
      <c r="V173" s="88">
        <v>26319.4</v>
      </c>
      <c r="W173" s="88">
        <v>26319.4</v>
      </c>
      <c r="X173" s="88">
        <v>12738.266666666666</v>
      </c>
      <c r="Y173" s="88">
        <v>12738.266666666666</v>
      </c>
      <c r="Z173" s="88"/>
      <c r="AA173" s="105"/>
      <c r="AB173" s="90"/>
      <c r="AC173" s="91"/>
      <c r="AD173" s="85">
        <v>465268.00666666671</v>
      </c>
      <c r="AE173"/>
    </row>
    <row r="174" spans="1:37" ht="13">
      <c r="A174" s="106"/>
      <c r="B174" s="107" t="s">
        <v>721</v>
      </c>
      <c r="C174" s="108">
        <v>109154.79999999999</v>
      </c>
      <c r="D174" s="85">
        <v>6138.1166666666668</v>
      </c>
      <c r="E174" s="85">
        <v>43821.263333333329</v>
      </c>
      <c r="F174" s="85"/>
      <c r="G174" s="85">
        <v>4663.7</v>
      </c>
      <c r="H174" s="85">
        <v>1527.6666666666667</v>
      </c>
      <c r="I174" s="108">
        <v>165305.54666666666</v>
      </c>
      <c r="J174" s="108"/>
      <c r="K174" s="85">
        <v>60664.966666666667</v>
      </c>
      <c r="L174" s="85">
        <v>23934.799999999996</v>
      </c>
      <c r="M174" s="85">
        <v>14328.066666666668</v>
      </c>
      <c r="N174" s="108">
        <v>98927.833333333328</v>
      </c>
      <c r="O174" s="108">
        <v>97665.2</v>
      </c>
      <c r="P174" s="85">
        <v>97665.2</v>
      </c>
      <c r="Q174" s="108"/>
      <c r="R174" s="108"/>
      <c r="S174" s="108"/>
      <c r="T174" s="109">
        <v>60664.966666666667</v>
      </c>
      <c r="U174" s="109">
        <v>60664.966666666667</v>
      </c>
      <c r="V174" s="109">
        <v>23934.799999999999</v>
      </c>
      <c r="W174" s="109">
        <v>23934.799999999999</v>
      </c>
      <c r="X174" s="109">
        <v>14328.066666666666</v>
      </c>
      <c r="Y174" s="109">
        <v>14328.066666666666</v>
      </c>
      <c r="Z174" s="109"/>
      <c r="AA174" s="110"/>
      <c r="AB174" s="111"/>
      <c r="AC174" s="112"/>
      <c r="AD174" s="85">
        <v>460826.41333333333</v>
      </c>
      <c r="AE174"/>
    </row>
    <row r="175" spans="1:37" ht="13">
      <c r="A175" s="106"/>
      <c r="B175" s="113" t="s">
        <v>740</v>
      </c>
      <c r="C175" s="114">
        <v>1.4035466920424837E-2</v>
      </c>
      <c r="D175" s="115">
        <v>-1.2320284487544273E-2</v>
      </c>
      <c r="E175" s="115">
        <v>-9.9617001930241943E-3</v>
      </c>
      <c r="F175" s="115">
        <v>0</v>
      </c>
      <c r="G175" s="115">
        <v>-1.2297656950435207E-2</v>
      </c>
      <c r="H175" s="115">
        <v>-1.0941580162720848E-2</v>
      </c>
      <c r="I175" s="114">
        <v>5.5866483662388713E-3</v>
      </c>
      <c r="J175" s="114">
        <v>0</v>
      </c>
      <c r="K175" s="115">
        <v>-2.4569217328852651E-2</v>
      </c>
      <c r="L175" s="115">
        <v>-2.537401355705849E-2</v>
      </c>
      <c r="M175" s="115">
        <v>-1.1839298193989732E-2</v>
      </c>
      <c r="N175" s="114">
        <v>-2.2941412731438186E-2</v>
      </c>
      <c r="O175" s="116">
        <v>-7.2606589787506844E-3</v>
      </c>
      <c r="P175" s="115">
        <v>-7.2606589787506844E-3</v>
      </c>
      <c r="Q175" s="114">
        <v>0</v>
      </c>
      <c r="R175" s="114">
        <v>0</v>
      </c>
      <c r="S175" s="114">
        <v>0</v>
      </c>
      <c r="T175" s="117">
        <v>-2.4569217328852651E-2</v>
      </c>
      <c r="U175" s="117">
        <v>-2.4569217328852651E-2</v>
      </c>
      <c r="V175" s="117">
        <v>-9.0602369354924578E-2</v>
      </c>
      <c r="W175" s="117">
        <v>-9.0602369354924578E-2</v>
      </c>
      <c r="X175" s="117">
        <v>0.12480504935260679</v>
      </c>
      <c r="Y175" s="117">
        <v>0.12480504935260679</v>
      </c>
      <c r="Z175" s="117">
        <v>0</v>
      </c>
      <c r="AA175" s="118">
        <v>0</v>
      </c>
      <c r="AB175" s="119">
        <v>0</v>
      </c>
      <c r="AC175" s="120">
        <v>0</v>
      </c>
      <c r="AD175" s="115">
        <v>-9.5463115230174939E-3</v>
      </c>
      <c r="AE175"/>
    </row>
    <row r="176" spans="1:37" ht="13">
      <c r="A176" s="106"/>
      <c r="B176" s="107" t="s">
        <v>728</v>
      </c>
      <c r="C176" s="108">
        <v>0</v>
      </c>
      <c r="D176" s="85">
        <v>0</v>
      </c>
      <c r="E176" s="85">
        <v>0</v>
      </c>
      <c r="F176" s="85"/>
      <c r="G176" s="85">
        <v>0</v>
      </c>
      <c r="H176" s="85">
        <v>0</v>
      </c>
      <c r="I176" s="108">
        <v>0</v>
      </c>
      <c r="J176" s="108"/>
      <c r="K176" s="85">
        <v>0</v>
      </c>
      <c r="L176" s="85">
        <v>0</v>
      </c>
      <c r="M176" s="85">
        <v>0</v>
      </c>
      <c r="N176" s="108">
        <v>0</v>
      </c>
      <c r="O176" s="121">
        <v>0</v>
      </c>
      <c r="P176" s="85">
        <v>0</v>
      </c>
      <c r="Q176" s="108"/>
      <c r="R176" s="108"/>
      <c r="S176" s="108"/>
      <c r="T176" s="109">
        <v>0</v>
      </c>
      <c r="U176" s="109">
        <v>0</v>
      </c>
      <c r="V176" s="109">
        <v>0</v>
      </c>
      <c r="W176" s="109">
        <v>0</v>
      </c>
      <c r="X176" s="109">
        <v>0</v>
      </c>
      <c r="Y176" s="109">
        <v>0</v>
      </c>
      <c r="Z176" s="109"/>
      <c r="AA176" s="122"/>
      <c r="AB176" s="111"/>
      <c r="AC176" s="112"/>
      <c r="AD176" s="85">
        <v>0</v>
      </c>
      <c r="AE176"/>
    </row>
    <row r="177" spans="1:37" ht="13">
      <c r="A177" s="106"/>
      <c r="B177" s="107" t="s">
        <v>730</v>
      </c>
      <c r="C177" s="108">
        <v>0</v>
      </c>
      <c r="D177" s="85">
        <v>0</v>
      </c>
      <c r="E177" s="85">
        <v>0</v>
      </c>
      <c r="F177" s="85"/>
      <c r="G177" s="85">
        <v>0</v>
      </c>
      <c r="H177" s="85">
        <v>0</v>
      </c>
      <c r="I177" s="108">
        <v>0</v>
      </c>
      <c r="J177" s="108"/>
      <c r="K177" s="85">
        <v>0</v>
      </c>
      <c r="L177" s="85">
        <v>0</v>
      </c>
      <c r="M177" s="85">
        <v>0</v>
      </c>
      <c r="N177" s="108">
        <v>0</v>
      </c>
      <c r="O177" s="121">
        <v>0</v>
      </c>
      <c r="P177" s="85">
        <v>0</v>
      </c>
      <c r="Q177" s="108"/>
      <c r="R177" s="108"/>
      <c r="S177" s="108"/>
      <c r="T177" s="109">
        <v>0</v>
      </c>
      <c r="U177" s="109">
        <v>0</v>
      </c>
      <c r="V177" s="109">
        <v>0</v>
      </c>
      <c r="W177" s="109">
        <v>0</v>
      </c>
      <c r="X177" s="109">
        <v>0</v>
      </c>
      <c r="Y177" s="109">
        <v>0</v>
      </c>
      <c r="Z177" s="109"/>
      <c r="AA177" s="122"/>
      <c r="AB177" s="111"/>
      <c r="AC177" s="112"/>
      <c r="AD177" s="85">
        <v>0</v>
      </c>
      <c r="AE177"/>
    </row>
    <row r="178" spans="1:37" ht="13">
      <c r="A178" s="106"/>
      <c r="B178" s="113" t="s">
        <v>742</v>
      </c>
      <c r="C178" s="114">
        <v>0</v>
      </c>
      <c r="D178" s="115">
        <v>0</v>
      </c>
      <c r="E178" s="115">
        <v>0</v>
      </c>
      <c r="F178" s="115">
        <v>0</v>
      </c>
      <c r="G178" s="115">
        <v>0</v>
      </c>
      <c r="H178" s="115">
        <v>0</v>
      </c>
      <c r="I178" s="114">
        <v>0</v>
      </c>
      <c r="J178" s="114">
        <v>0</v>
      </c>
      <c r="K178" s="115">
        <v>0</v>
      </c>
      <c r="L178" s="115">
        <v>0</v>
      </c>
      <c r="M178" s="115">
        <v>0</v>
      </c>
      <c r="N178" s="114">
        <v>0</v>
      </c>
      <c r="O178" s="116">
        <v>0</v>
      </c>
      <c r="P178" s="115">
        <v>0</v>
      </c>
      <c r="Q178" s="114">
        <v>0</v>
      </c>
      <c r="R178" s="114">
        <v>0</v>
      </c>
      <c r="S178" s="114">
        <v>0</v>
      </c>
      <c r="T178" s="117">
        <v>0</v>
      </c>
      <c r="U178" s="117">
        <v>0</v>
      </c>
      <c r="V178" s="117">
        <v>0</v>
      </c>
      <c r="W178" s="117">
        <v>0</v>
      </c>
      <c r="X178" s="117">
        <v>0</v>
      </c>
      <c r="Y178" s="117">
        <v>0</v>
      </c>
      <c r="Z178" s="117">
        <v>0</v>
      </c>
      <c r="AA178" s="118">
        <v>0</v>
      </c>
      <c r="AB178" s="119">
        <v>0</v>
      </c>
      <c r="AC178" s="120">
        <v>0</v>
      </c>
      <c r="AD178" s="115">
        <v>0</v>
      </c>
      <c r="AE178"/>
    </row>
    <row r="179" spans="1:37" ht="13">
      <c r="A179" s="106"/>
      <c r="B179" s="107" t="s">
        <v>732</v>
      </c>
      <c r="C179" s="108">
        <v>29458.208333333332</v>
      </c>
      <c r="D179" s="85">
        <v>2554.6875</v>
      </c>
      <c r="E179" s="85">
        <v>3779.1416666666669</v>
      </c>
      <c r="F179" s="85"/>
      <c r="G179" s="85">
        <v>125.91666666666667</v>
      </c>
      <c r="H179" s="85">
        <v>0</v>
      </c>
      <c r="I179" s="108">
        <v>35917.954166666663</v>
      </c>
      <c r="J179" s="108"/>
      <c r="K179" s="85">
        <v>0</v>
      </c>
      <c r="L179" s="85">
        <v>0</v>
      </c>
      <c r="M179" s="85">
        <v>0</v>
      </c>
      <c r="N179" s="108">
        <v>0</v>
      </c>
      <c r="O179" s="121">
        <v>0</v>
      </c>
      <c r="P179" s="85">
        <v>0</v>
      </c>
      <c r="Q179" s="108"/>
      <c r="R179" s="108"/>
      <c r="S179" s="108"/>
      <c r="T179" s="109">
        <v>0</v>
      </c>
      <c r="U179" s="109">
        <v>0</v>
      </c>
      <c r="V179" s="109">
        <v>0</v>
      </c>
      <c r="W179" s="109">
        <v>0</v>
      </c>
      <c r="X179" s="109">
        <v>0</v>
      </c>
      <c r="Y179" s="109">
        <v>0</v>
      </c>
      <c r="Z179" s="109"/>
      <c r="AA179" s="122"/>
      <c r="AB179" s="111"/>
      <c r="AC179" s="112"/>
      <c r="AD179" s="85">
        <v>35917.954166666663</v>
      </c>
      <c r="AE179"/>
    </row>
    <row r="180" spans="1:37" ht="13">
      <c r="A180" s="106"/>
      <c r="B180" s="107" t="s">
        <v>734</v>
      </c>
      <c r="C180" s="108">
        <v>29650.791666666664</v>
      </c>
      <c r="D180" s="85">
        <v>2495.125</v>
      </c>
      <c r="E180" s="85">
        <v>4057.041666666667</v>
      </c>
      <c r="F180" s="85"/>
      <c r="G180" s="85">
        <v>107.95833333333333</v>
      </c>
      <c r="H180" s="85">
        <v>0</v>
      </c>
      <c r="I180" s="108">
        <v>36310.916666666664</v>
      </c>
      <c r="J180" s="108"/>
      <c r="K180" s="85">
        <v>0</v>
      </c>
      <c r="L180" s="85">
        <v>0</v>
      </c>
      <c r="M180" s="85">
        <v>0</v>
      </c>
      <c r="N180" s="108">
        <v>0</v>
      </c>
      <c r="O180" s="121">
        <v>0</v>
      </c>
      <c r="P180" s="85">
        <v>0</v>
      </c>
      <c r="Q180" s="108"/>
      <c r="R180" s="108"/>
      <c r="S180" s="108"/>
      <c r="T180" s="109">
        <v>0</v>
      </c>
      <c r="U180" s="109">
        <v>0</v>
      </c>
      <c r="V180" s="109">
        <v>0</v>
      </c>
      <c r="W180" s="109">
        <v>0</v>
      </c>
      <c r="X180" s="109">
        <v>0</v>
      </c>
      <c r="Y180" s="109">
        <v>0</v>
      </c>
      <c r="Z180" s="109"/>
      <c r="AA180" s="122"/>
      <c r="AB180" s="111"/>
      <c r="AC180" s="112"/>
      <c r="AD180" s="85">
        <v>36310.916666666664</v>
      </c>
      <c r="AE180"/>
    </row>
    <row r="181" spans="1:37" ht="13">
      <c r="A181" s="106"/>
      <c r="B181" s="113" t="s">
        <v>744</v>
      </c>
      <c r="C181" s="114">
        <v>6.5375100601558012E-3</v>
      </c>
      <c r="D181" s="115">
        <v>-2.3314984709480121E-2</v>
      </c>
      <c r="E181" s="115">
        <v>7.3535216329986761E-2</v>
      </c>
      <c r="F181" s="115">
        <v>0</v>
      </c>
      <c r="G181" s="115">
        <v>-0.14262078093977507</v>
      </c>
      <c r="H181" s="115">
        <v>0</v>
      </c>
      <c r="I181" s="114">
        <v>1.0940559091327276E-2</v>
      </c>
      <c r="J181" s="114">
        <v>0</v>
      </c>
      <c r="K181" s="115">
        <v>0</v>
      </c>
      <c r="L181" s="115">
        <v>0</v>
      </c>
      <c r="M181" s="115">
        <v>0</v>
      </c>
      <c r="N181" s="114">
        <v>0</v>
      </c>
      <c r="O181" s="116">
        <v>0</v>
      </c>
      <c r="P181" s="115">
        <v>0</v>
      </c>
      <c r="Q181" s="114">
        <v>0</v>
      </c>
      <c r="R181" s="114">
        <v>0</v>
      </c>
      <c r="S181" s="114">
        <v>0</v>
      </c>
      <c r="T181" s="117">
        <v>0</v>
      </c>
      <c r="U181" s="117">
        <v>0</v>
      </c>
      <c r="V181" s="117">
        <v>0</v>
      </c>
      <c r="W181" s="117">
        <v>0</v>
      </c>
      <c r="X181" s="117">
        <v>0</v>
      </c>
      <c r="Y181" s="117">
        <v>0</v>
      </c>
      <c r="Z181" s="117">
        <v>0</v>
      </c>
      <c r="AA181" s="118">
        <v>0</v>
      </c>
      <c r="AB181" s="119">
        <v>0</v>
      </c>
      <c r="AC181" s="120">
        <v>0</v>
      </c>
      <c r="AD181" s="115">
        <v>1.0940559091327276E-2</v>
      </c>
      <c r="AE181"/>
      <c r="AF181" s="127"/>
      <c r="AG181" s="128"/>
      <c r="AI181" s="15" t="s">
        <v>671</v>
      </c>
      <c r="AJ181" s="15">
        <v>11</v>
      </c>
      <c r="AK181" s="15" t="s">
        <v>764</v>
      </c>
    </row>
    <row r="182" spans="1:37" ht="13">
      <c r="A182" s="106"/>
      <c r="B182" s="107" t="s">
        <v>736</v>
      </c>
      <c r="C182" s="108">
        <v>137102.17499999999</v>
      </c>
      <c r="D182" s="85">
        <v>8769.3708333333343</v>
      </c>
      <c r="E182" s="85">
        <v>48041.331666666665</v>
      </c>
      <c r="F182" s="85"/>
      <c r="G182" s="85">
        <v>4847.6833333333334</v>
      </c>
      <c r="H182" s="85">
        <v>1544.5666666666666</v>
      </c>
      <c r="I182" s="108">
        <v>200305.1275</v>
      </c>
      <c r="J182" s="108"/>
      <c r="K182" s="85">
        <v>62193</v>
      </c>
      <c r="L182" s="85">
        <v>24557.933333333334</v>
      </c>
      <c r="M182" s="85">
        <v>14499.733333333334</v>
      </c>
      <c r="N182" s="108">
        <v>101250.66666666667</v>
      </c>
      <c r="O182" s="121">
        <v>98379.5</v>
      </c>
      <c r="P182" s="85">
        <v>98379.5</v>
      </c>
      <c r="Q182" s="108"/>
      <c r="R182" s="108"/>
      <c r="S182" s="108"/>
      <c r="T182" s="109">
        <v>62193</v>
      </c>
      <c r="U182" s="109">
        <v>62193</v>
      </c>
      <c r="V182" s="109">
        <v>26319.4</v>
      </c>
      <c r="W182" s="109">
        <v>26319.4</v>
      </c>
      <c r="X182" s="109">
        <v>12738.266666666666</v>
      </c>
      <c r="Y182" s="109">
        <v>12738.266666666666</v>
      </c>
      <c r="Z182" s="109"/>
      <c r="AA182" s="122"/>
      <c r="AB182" s="111"/>
      <c r="AC182" s="112"/>
      <c r="AD182" s="85">
        <v>501185.96083333337</v>
      </c>
      <c r="AE182"/>
      <c r="AF182" s="129"/>
      <c r="AI182" s="15">
        <f>+GETPIVOTDATA("Sum of Old Grand Total FTE",$A$2,"State","VA","Category","10b","Category2","10b")</f>
        <v>12738.266666666666</v>
      </c>
      <c r="AJ182" s="15">
        <f>+GETPIVOTDATA("Sum of Old Grand Total FTE",$A$2,"State","VA","Category","11","Category2","11")</f>
        <v>98379.5</v>
      </c>
      <c r="AK182" s="15">
        <f>+AJ182+AI182</f>
        <v>111117.76666666666</v>
      </c>
    </row>
    <row r="183" spans="1:37" ht="13">
      <c r="A183" s="106"/>
      <c r="B183" s="107" t="s">
        <v>738</v>
      </c>
      <c r="C183" s="108">
        <v>138805.59166666667</v>
      </c>
      <c r="D183" s="85">
        <v>8633.2416666666668</v>
      </c>
      <c r="E183" s="85">
        <v>47878.305</v>
      </c>
      <c r="F183" s="85"/>
      <c r="G183" s="85">
        <v>4771.6583333333328</v>
      </c>
      <c r="H183" s="85">
        <v>1527.6666666666667</v>
      </c>
      <c r="I183" s="108">
        <v>201616.46333333332</v>
      </c>
      <c r="J183" s="108"/>
      <c r="K183" s="85">
        <v>60664.966666666667</v>
      </c>
      <c r="L183" s="85">
        <v>23934.799999999996</v>
      </c>
      <c r="M183" s="85">
        <v>14328.066666666668</v>
      </c>
      <c r="N183" s="108">
        <v>98927.833333333328</v>
      </c>
      <c r="O183" s="121">
        <v>97665.2</v>
      </c>
      <c r="P183" s="85">
        <v>97665.2</v>
      </c>
      <c r="Q183" s="108"/>
      <c r="R183" s="108"/>
      <c r="S183" s="108"/>
      <c r="T183" s="109">
        <v>60664.966666666667</v>
      </c>
      <c r="U183" s="109">
        <v>60664.966666666667</v>
      </c>
      <c r="V183" s="109">
        <v>23934.799999999999</v>
      </c>
      <c r="W183" s="109">
        <v>23934.799999999999</v>
      </c>
      <c r="X183" s="109">
        <v>14328.066666666666</v>
      </c>
      <c r="Y183" s="109">
        <v>14328.066666666666</v>
      </c>
      <c r="Z183" s="109"/>
      <c r="AA183" s="122"/>
      <c r="AB183" s="111"/>
      <c r="AC183" s="112"/>
      <c r="AD183" s="85">
        <v>497137.32999999996</v>
      </c>
      <c r="AE183"/>
      <c r="AF183" s="129"/>
      <c r="AI183" s="15">
        <f>+GETPIVOTDATA("Sum of NEW Grand Total FTE",$A$2,"State","VA","Category","10b","Category2","10b")</f>
        <v>14328.066666666666</v>
      </c>
      <c r="AJ183" s="15">
        <f>+GETPIVOTDATA("Sum of NEW Grand Total FTE",$A$2,"State","VA","Category","11","Category2","11")</f>
        <v>97665.2</v>
      </c>
      <c r="AK183" s="15">
        <f>+AJ183+AI183</f>
        <v>111993.26666666666</v>
      </c>
    </row>
    <row r="184" spans="1:37" ht="13">
      <c r="A184" s="123"/>
      <c r="B184" s="124" t="s">
        <v>746</v>
      </c>
      <c r="C184" s="114">
        <v>1.2424432119086996E-2</v>
      </c>
      <c r="D184" s="115">
        <v>-1.5523253521133549E-2</v>
      </c>
      <c r="E184" s="115">
        <v>-3.3934668547037881E-3</v>
      </c>
      <c r="F184" s="115">
        <v>0</v>
      </c>
      <c r="G184" s="115">
        <v>-1.5682748804411843E-2</v>
      </c>
      <c r="H184" s="115">
        <v>-1.0941580162720848E-2</v>
      </c>
      <c r="I184" s="114">
        <v>6.5466912889351123E-3</v>
      </c>
      <c r="J184" s="114">
        <v>0</v>
      </c>
      <c r="K184" s="115">
        <v>-2.4569217328852651E-2</v>
      </c>
      <c r="L184" s="115">
        <v>-2.537401355705849E-2</v>
      </c>
      <c r="M184" s="115">
        <v>-1.1839298193989732E-2</v>
      </c>
      <c r="N184" s="114">
        <v>-2.2941412731438186E-2</v>
      </c>
      <c r="O184" s="116">
        <v>-7.2606589787506844E-3</v>
      </c>
      <c r="P184" s="115">
        <v>-7.2606589787506844E-3</v>
      </c>
      <c r="Q184" s="114">
        <v>0</v>
      </c>
      <c r="R184" s="114">
        <v>0</v>
      </c>
      <c r="S184" s="114">
        <v>0</v>
      </c>
      <c r="T184" s="117">
        <v>-2.4569217328852651E-2</v>
      </c>
      <c r="U184" s="117">
        <v>-2.4569217328852651E-2</v>
      </c>
      <c r="V184" s="117">
        <v>-9.0602369354924578E-2</v>
      </c>
      <c r="W184" s="117">
        <v>-9.0602369354924578E-2</v>
      </c>
      <c r="X184" s="117">
        <v>0.12480504935260679</v>
      </c>
      <c r="Y184" s="117">
        <v>0.12480504935260679</v>
      </c>
      <c r="Z184" s="117">
        <v>0</v>
      </c>
      <c r="AA184" s="118">
        <v>0</v>
      </c>
      <c r="AB184" s="111">
        <v>0</v>
      </c>
      <c r="AC184" s="112">
        <v>0</v>
      </c>
      <c r="AD184" s="115">
        <v>-8.0781010437755776E-3</v>
      </c>
      <c r="AE184"/>
      <c r="AF184" s="130"/>
      <c r="AG184" s="127"/>
    </row>
    <row r="185" spans="1:37" ht="13">
      <c r="A185" s="104" t="s">
        <v>456</v>
      </c>
      <c r="B185" s="92" t="s">
        <v>720</v>
      </c>
      <c r="C185" s="86">
        <v>20740</v>
      </c>
      <c r="D185" s="80"/>
      <c r="E185" s="80">
        <v>8486.4666666666672</v>
      </c>
      <c r="F185" s="80"/>
      <c r="G185" s="80">
        <v>9900.4500000000007</v>
      </c>
      <c r="H185" s="80">
        <v>5915.67</v>
      </c>
      <c r="I185" s="86">
        <v>45042.58666666667</v>
      </c>
      <c r="J185" s="86">
        <v>2904.5333333333333</v>
      </c>
      <c r="K185" s="80"/>
      <c r="L185" s="80">
        <v>2184.1366666666668</v>
      </c>
      <c r="M185" s="80">
        <v>7231.2200000000012</v>
      </c>
      <c r="N185" s="86">
        <v>12319.890000000001</v>
      </c>
      <c r="O185" s="86"/>
      <c r="P185" s="80"/>
      <c r="Q185" s="86"/>
      <c r="R185" s="86"/>
      <c r="S185" s="86"/>
      <c r="T185" s="88"/>
      <c r="U185" s="88"/>
      <c r="V185" s="88"/>
      <c r="W185" s="88"/>
      <c r="X185" s="88"/>
      <c r="Y185" s="88"/>
      <c r="Z185" s="88"/>
      <c r="AA185" s="105"/>
      <c r="AB185" s="90"/>
      <c r="AC185" s="91"/>
      <c r="AD185" s="85">
        <v>57362.476666666669</v>
      </c>
      <c r="AE185"/>
    </row>
    <row r="186" spans="1:37" ht="13">
      <c r="A186" s="106"/>
      <c r="B186" s="107" t="s">
        <v>721</v>
      </c>
      <c r="C186" s="108">
        <v>20253.849999999999</v>
      </c>
      <c r="D186" s="85"/>
      <c r="E186" s="85">
        <v>8151.9</v>
      </c>
      <c r="F186" s="85"/>
      <c r="G186" s="85">
        <v>9511.1833333333343</v>
      </c>
      <c r="H186" s="85">
        <v>5923.5999999999995</v>
      </c>
      <c r="I186" s="108">
        <v>43840.533333333333</v>
      </c>
      <c r="J186" s="108">
        <v>2882.4</v>
      </c>
      <c r="K186" s="85"/>
      <c r="L186" s="85">
        <v>2178.4899999999998</v>
      </c>
      <c r="M186" s="85">
        <v>7098.4866666666667</v>
      </c>
      <c r="N186" s="108">
        <v>12159.376666666667</v>
      </c>
      <c r="O186" s="108"/>
      <c r="P186" s="85"/>
      <c r="Q186" s="108"/>
      <c r="R186" s="108"/>
      <c r="S186" s="108"/>
      <c r="T186" s="109"/>
      <c r="U186" s="109"/>
      <c r="V186" s="109"/>
      <c r="W186" s="109"/>
      <c r="X186" s="109"/>
      <c r="Y186" s="109"/>
      <c r="Z186" s="109"/>
      <c r="AA186" s="110"/>
      <c r="AB186" s="111"/>
      <c r="AC186" s="112"/>
      <c r="AD186" s="85">
        <v>55999.909999999996</v>
      </c>
      <c r="AE186"/>
    </row>
    <row r="187" spans="1:37" ht="13">
      <c r="A187" s="106"/>
      <c r="B187" s="113" t="s">
        <v>740</v>
      </c>
      <c r="C187" s="114">
        <v>-2.3440212150434014E-2</v>
      </c>
      <c r="D187" s="115">
        <v>0</v>
      </c>
      <c r="E187" s="115">
        <v>-3.9423552793860124E-2</v>
      </c>
      <c r="F187" s="115">
        <v>0</v>
      </c>
      <c r="G187" s="115">
        <v>-3.9318078134495546E-2</v>
      </c>
      <c r="H187" s="115">
        <v>1.3405074995730629E-3</v>
      </c>
      <c r="I187" s="114">
        <v>-2.6687040471920713E-2</v>
      </c>
      <c r="J187" s="114">
        <v>-7.6202717590891983E-3</v>
      </c>
      <c r="K187" s="115">
        <v>0</v>
      </c>
      <c r="L187" s="115">
        <v>-2.5853083064095446E-3</v>
      </c>
      <c r="M187" s="115">
        <v>-1.8355593293155854E-2</v>
      </c>
      <c r="N187" s="114">
        <v>-1.3028795982215282E-2</v>
      </c>
      <c r="O187" s="116">
        <v>0</v>
      </c>
      <c r="P187" s="115">
        <v>0</v>
      </c>
      <c r="Q187" s="114">
        <v>0</v>
      </c>
      <c r="R187" s="114">
        <v>0</v>
      </c>
      <c r="S187" s="114">
        <v>0</v>
      </c>
      <c r="T187" s="117">
        <v>0</v>
      </c>
      <c r="U187" s="117">
        <v>0</v>
      </c>
      <c r="V187" s="117">
        <v>0</v>
      </c>
      <c r="W187" s="117">
        <v>0</v>
      </c>
      <c r="X187" s="117">
        <v>0</v>
      </c>
      <c r="Y187" s="117">
        <v>0</v>
      </c>
      <c r="Z187" s="117">
        <v>0</v>
      </c>
      <c r="AA187" s="118">
        <v>0</v>
      </c>
      <c r="AB187" s="119">
        <v>0</v>
      </c>
      <c r="AC187" s="120">
        <v>0</v>
      </c>
      <c r="AD187" s="115">
        <v>-2.375362337621055E-2</v>
      </c>
      <c r="AE187"/>
    </row>
    <row r="188" spans="1:37" ht="13">
      <c r="A188" s="106"/>
      <c r="B188" s="107" t="s">
        <v>728</v>
      </c>
      <c r="C188" s="108">
        <v>0</v>
      </c>
      <c r="D188" s="85"/>
      <c r="E188" s="85">
        <v>0</v>
      </c>
      <c r="F188" s="85"/>
      <c r="G188" s="85">
        <v>0</v>
      </c>
      <c r="H188" s="85">
        <v>0</v>
      </c>
      <c r="I188" s="108">
        <v>0</v>
      </c>
      <c r="J188" s="108">
        <v>0</v>
      </c>
      <c r="K188" s="85"/>
      <c r="L188" s="85">
        <v>0</v>
      </c>
      <c r="M188" s="85">
        <v>0</v>
      </c>
      <c r="N188" s="108">
        <v>0</v>
      </c>
      <c r="O188" s="121"/>
      <c r="P188" s="85"/>
      <c r="Q188" s="108"/>
      <c r="R188" s="108"/>
      <c r="S188" s="108"/>
      <c r="T188" s="109"/>
      <c r="U188" s="109"/>
      <c r="V188" s="109"/>
      <c r="W188" s="109"/>
      <c r="X188" s="109"/>
      <c r="Y188" s="109"/>
      <c r="Z188" s="109"/>
      <c r="AA188" s="122"/>
      <c r="AB188" s="111"/>
      <c r="AC188" s="112"/>
      <c r="AD188" s="85">
        <v>0</v>
      </c>
      <c r="AE188"/>
    </row>
    <row r="189" spans="1:37" ht="13">
      <c r="A189" s="106"/>
      <c r="B189" s="107" t="s">
        <v>730</v>
      </c>
      <c r="C189" s="108">
        <v>0</v>
      </c>
      <c r="D189" s="85"/>
      <c r="E189" s="85">
        <v>0</v>
      </c>
      <c r="F189" s="85"/>
      <c r="G189" s="85">
        <v>0</v>
      </c>
      <c r="H189" s="85">
        <v>0</v>
      </c>
      <c r="I189" s="108">
        <v>0</v>
      </c>
      <c r="J189" s="108">
        <v>0</v>
      </c>
      <c r="K189" s="85"/>
      <c r="L189" s="85">
        <v>0</v>
      </c>
      <c r="M189" s="85">
        <v>0</v>
      </c>
      <c r="N189" s="108">
        <v>0</v>
      </c>
      <c r="O189" s="121"/>
      <c r="P189" s="85"/>
      <c r="Q189" s="108"/>
      <c r="R189" s="108"/>
      <c r="S189" s="108"/>
      <c r="T189" s="109"/>
      <c r="U189" s="109"/>
      <c r="V189" s="109"/>
      <c r="W189" s="109"/>
      <c r="X189" s="109"/>
      <c r="Y189" s="109"/>
      <c r="Z189" s="109"/>
      <c r="AA189" s="122"/>
      <c r="AB189" s="111"/>
      <c r="AC189" s="112"/>
      <c r="AD189" s="85">
        <v>0</v>
      </c>
      <c r="AE189"/>
    </row>
    <row r="190" spans="1:37" ht="13">
      <c r="A190" s="106"/>
      <c r="B190" s="113" t="s">
        <v>742</v>
      </c>
      <c r="C190" s="114">
        <v>0</v>
      </c>
      <c r="D190" s="115">
        <v>0</v>
      </c>
      <c r="E190" s="115">
        <v>0</v>
      </c>
      <c r="F190" s="115">
        <v>0</v>
      </c>
      <c r="G190" s="115">
        <v>0</v>
      </c>
      <c r="H190" s="115">
        <v>0</v>
      </c>
      <c r="I190" s="114">
        <v>0</v>
      </c>
      <c r="J190" s="114">
        <v>0</v>
      </c>
      <c r="K190" s="115">
        <v>0</v>
      </c>
      <c r="L190" s="115">
        <v>0</v>
      </c>
      <c r="M190" s="115">
        <v>0</v>
      </c>
      <c r="N190" s="114">
        <v>0</v>
      </c>
      <c r="O190" s="116">
        <v>0</v>
      </c>
      <c r="P190" s="115">
        <v>0</v>
      </c>
      <c r="Q190" s="114">
        <v>0</v>
      </c>
      <c r="R190" s="114">
        <v>0</v>
      </c>
      <c r="S190" s="114">
        <v>0</v>
      </c>
      <c r="T190" s="117">
        <v>0</v>
      </c>
      <c r="U190" s="117">
        <v>0</v>
      </c>
      <c r="V190" s="117">
        <v>0</v>
      </c>
      <c r="W190" s="117">
        <v>0</v>
      </c>
      <c r="X190" s="117">
        <v>0</v>
      </c>
      <c r="Y190" s="117">
        <v>0</v>
      </c>
      <c r="Z190" s="117">
        <v>0</v>
      </c>
      <c r="AA190" s="118">
        <v>0</v>
      </c>
      <c r="AB190" s="119">
        <v>0</v>
      </c>
      <c r="AC190" s="120">
        <v>0</v>
      </c>
      <c r="AD190" s="115">
        <v>0</v>
      </c>
      <c r="AE190"/>
    </row>
    <row r="191" spans="1:37" ht="13">
      <c r="A191" s="106"/>
      <c r="B191" s="107" t="s">
        <v>732</v>
      </c>
      <c r="C191" s="108">
        <v>3738.9583333333335</v>
      </c>
      <c r="D191" s="85"/>
      <c r="E191" s="85">
        <v>2906.4583333333335</v>
      </c>
      <c r="F191" s="85"/>
      <c r="G191" s="85">
        <v>934.66666666666663</v>
      </c>
      <c r="H191" s="85">
        <v>97</v>
      </c>
      <c r="I191" s="108">
        <v>7677.0833333333339</v>
      </c>
      <c r="J191" s="108">
        <v>0</v>
      </c>
      <c r="K191" s="85"/>
      <c r="L191" s="85">
        <v>0</v>
      </c>
      <c r="M191" s="85">
        <v>0</v>
      </c>
      <c r="N191" s="108">
        <v>0</v>
      </c>
      <c r="O191" s="121"/>
      <c r="P191" s="85"/>
      <c r="Q191" s="108"/>
      <c r="R191" s="108"/>
      <c r="S191" s="108"/>
      <c r="T191" s="109"/>
      <c r="U191" s="109"/>
      <c r="V191" s="109"/>
      <c r="W191" s="109"/>
      <c r="X191" s="109"/>
      <c r="Y191" s="109"/>
      <c r="Z191" s="109">
        <v>0</v>
      </c>
      <c r="AA191" s="122">
        <v>0</v>
      </c>
      <c r="AB191" s="111"/>
      <c r="AC191" s="112"/>
      <c r="AD191" s="85">
        <v>7677.0833333333339</v>
      </c>
      <c r="AE191"/>
    </row>
    <row r="192" spans="1:37" ht="13">
      <c r="A192" s="106"/>
      <c r="B192" s="107" t="s">
        <v>734</v>
      </c>
      <c r="C192" s="108">
        <v>3708.6666666666665</v>
      </c>
      <c r="D192" s="85"/>
      <c r="E192" s="85">
        <v>2768.25</v>
      </c>
      <c r="F192" s="85"/>
      <c r="G192" s="85">
        <v>967.87499999999989</v>
      </c>
      <c r="H192" s="85">
        <v>101.54166666666667</v>
      </c>
      <c r="I192" s="108">
        <v>7546.333333333333</v>
      </c>
      <c r="J192" s="108">
        <v>0</v>
      </c>
      <c r="K192" s="85"/>
      <c r="L192" s="85">
        <v>0</v>
      </c>
      <c r="M192" s="85">
        <v>0</v>
      </c>
      <c r="N192" s="108">
        <v>0</v>
      </c>
      <c r="O192" s="121"/>
      <c r="P192" s="85"/>
      <c r="Q192" s="108"/>
      <c r="R192" s="108"/>
      <c r="S192" s="108"/>
      <c r="T192" s="109"/>
      <c r="U192" s="109"/>
      <c r="V192" s="109"/>
      <c r="W192" s="109"/>
      <c r="X192" s="109"/>
      <c r="Y192" s="109"/>
      <c r="Z192" s="109">
        <v>0</v>
      </c>
      <c r="AA192" s="122">
        <v>0</v>
      </c>
      <c r="AB192" s="111"/>
      <c r="AC192" s="112"/>
      <c r="AD192" s="85">
        <v>7546.333333333333</v>
      </c>
      <c r="AE192"/>
    </row>
    <row r="193" spans="1:33" ht="13">
      <c r="A193" s="106"/>
      <c r="B193" s="113" t="s">
        <v>744</v>
      </c>
      <c r="C193" s="114">
        <v>-8.1016325848332002E-3</v>
      </c>
      <c r="D193" s="115">
        <v>0</v>
      </c>
      <c r="E193" s="115">
        <v>-4.7552146799512626E-2</v>
      </c>
      <c r="F193" s="115">
        <v>0</v>
      </c>
      <c r="G193" s="115">
        <v>3.5529600570613329E-2</v>
      </c>
      <c r="H193" s="115">
        <v>4.6821305841924447E-2</v>
      </c>
      <c r="I193" s="114">
        <v>-1.7031207598371893E-2</v>
      </c>
      <c r="J193" s="114">
        <v>0</v>
      </c>
      <c r="K193" s="115">
        <v>0</v>
      </c>
      <c r="L193" s="115">
        <v>0</v>
      </c>
      <c r="M193" s="115">
        <v>0</v>
      </c>
      <c r="N193" s="114">
        <v>0</v>
      </c>
      <c r="O193" s="116">
        <v>0</v>
      </c>
      <c r="P193" s="115">
        <v>0</v>
      </c>
      <c r="Q193" s="114">
        <v>0</v>
      </c>
      <c r="R193" s="114">
        <v>0</v>
      </c>
      <c r="S193" s="114">
        <v>0</v>
      </c>
      <c r="T193" s="117">
        <v>0</v>
      </c>
      <c r="U193" s="117">
        <v>0</v>
      </c>
      <c r="V193" s="117">
        <v>0</v>
      </c>
      <c r="W193" s="117">
        <v>0</v>
      </c>
      <c r="X193" s="117">
        <v>0</v>
      </c>
      <c r="Y193" s="117">
        <v>0</v>
      </c>
      <c r="Z193" s="117">
        <v>0</v>
      </c>
      <c r="AA193" s="118">
        <v>0</v>
      </c>
      <c r="AB193" s="119">
        <v>0</v>
      </c>
      <c r="AC193" s="120">
        <v>0</v>
      </c>
      <c r="AD193" s="115">
        <v>-1.7031207598371893E-2</v>
      </c>
      <c r="AE193"/>
      <c r="AF193" s="127"/>
      <c r="AG193" s="128"/>
    </row>
    <row r="194" spans="1:33" ht="13">
      <c r="A194" s="106"/>
      <c r="B194" s="107" t="s">
        <v>736</v>
      </c>
      <c r="C194" s="108">
        <v>24478.958333333332</v>
      </c>
      <c r="D194" s="85"/>
      <c r="E194" s="85">
        <v>11392.925000000001</v>
      </c>
      <c r="F194" s="85"/>
      <c r="G194" s="85">
        <v>10835.116666666667</v>
      </c>
      <c r="H194" s="85">
        <v>6012.67</v>
      </c>
      <c r="I194" s="108">
        <v>52719.67</v>
      </c>
      <c r="J194" s="108">
        <v>2904.5333333333333</v>
      </c>
      <c r="K194" s="85"/>
      <c r="L194" s="85">
        <v>2184.1366666666668</v>
      </c>
      <c r="M194" s="85">
        <v>7231.2200000000012</v>
      </c>
      <c r="N194" s="108">
        <v>12319.890000000001</v>
      </c>
      <c r="O194" s="121"/>
      <c r="P194" s="85"/>
      <c r="Q194" s="108"/>
      <c r="R194" s="108"/>
      <c r="S194" s="108"/>
      <c r="T194" s="109"/>
      <c r="U194" s="109"/>
      <c r="V194" s="109"/>
      <c r="W194" s="109"/>
      <c r="X194" s="109"/>
      <c r="Y194" s="109"/>
      <c r="Z194" s="109">
        <v>0</v>
      </c>
      <c r="AA194" s="122">
        <v>0</v>
      </c>
      <c r="AB194" s="111"/>
      <c r="AC194" s="112"/>
      <c r="AD194" s="85">
        <v>65039.56</v>
      </c>
      <c r="AE194"/>
      <c r="AF194" s="129"/>
    </row>
    <row r="195" spans="1:33" ht="13">
      <c r="A195" s="106"/>
      <c r="B195" s="107" t="s">
        <v>738</v>
      </c>
      <c r="C195" s="108">
        <v>23962.516666666666</v>
      </c>
      <c r="D195" s="85"/>
      <c r="E195" s="85">
        <v>10920.15</v>
      </c>
      <c r="F195" s="85"/>
      <c r="G195" s="85">
        <v>10479.058333333334</v>
      </c>
      <c r="H195" s="85">
        <v>6025.1416666666664</v>
      </c>
      <c r="I195" s="108">
        <v>51386.866666666669</v>
      </c>
      <c r="J195" s="108">
        <v>2882.4</v>
      </c>
      <c r="K195" s="85"/>
      <c r="L195" s="85">
        <v>2178.4899999999998</v>
      </c>
      <c r="M195" s="85">
        <v>7098.4866666666667</v>
      </c>
      <c r="N195" s="108">
        <v>12159.376666666667</v>
      </c>
      <c r="O195" s="121"/>
      <c r="P195" s="85"/>
      <c r="Q195" s="108"/>
      <c r="R195" s="108"/>
      <c r="S195" s="108"/>
      <c r="T195" s="109"/>
      <c r="U195" s="109"/>
      <c r="V195" s="109"/>
      <c r="W195" s="109"/>
      <c r="X195" s="109"/>
      <c r="Y195" s="109"/>
      <c r="Z195" s="109">
        <v>0</v>
      </c>
      <c r="AA195" s="122">
        <v>0</v>
      </c>
      <c r="AB195" s="111"/>
      <c r="AC195" s="112"/>
      <c r="AD195" s="85">
        <v>63546.243333333332</v>
      </c>
      <c r="AE195"/>
      <c r="AF195" s="129"/>
    </row>
    <row r="196" spans="1:33" ht="13">
      <c r="A196" s="123"/>
      <c r="B196" s="124" t="s">
        <v>746</v>
      </c>
      <c r="C196" s="114">
        <v>-2.1097371041455634E-2</v>
      </c>
      <c r="D196" s="115">
        <v>0</v>
      </c>
      <c r="E196" s="115">
        <v>-4.1497245000735226E-2</v>
      </c>
      <c r="F196" s="115">
        <v>0</v>
      </c>
      <c r="G196" s="115">
        <v>-3.2861513566228247E-2</v>
      </c>
      <c r="H196" s="115">
        <v>2.074231026593236E-3</v>
      </c>
      <c r="I196" s="114">
        <v>-2.5280949849142392E-2</v>
      </c>
      <c r="J196" s="114">
        <v>-7.6202717590891983E-3</v>
      </c>
      <c r="K196" s="115">
        <v>0</v>
      </c>
      <c r="L196" s="115">
        <v>-2.5853083064095446E-3</v>
      </c>
      <c r="M196" s="115">
        <v>-1.8355593293155854E-2</v>
      </c>
      <c r="N196" s="114">
        <v>-1.3028795982215282E-2</v>
      </c>
      <c r="O196" s="116">
        <v>0</v>
      </c>
      <c r="P196" s="115">
        <v>0</v>
      </c>
      <c r="Q196" s="114">
        <v>0</v>
      </c>
      <c r="R196" s="114">
        <v>0</v>
      </c>
      <c r="S196" s="114">
        <v>0</v>
      </c>
      <c r="T196" s="117">
        <v>0</v>
      </c>
      <c r="U196" s="117">
        <v>0</v>
      </c>
      <c r="V196" s="117">
        <v>0</v>
      </c>
      <c r="W196" s="117">
        <v>0</v>
      </c>
      <c r="X196" s="117">
        <v>0</v>
      </c>
      <c r="Y196" s="117">
        <v>0</v>
      </c>
      <c r="Z196" s="117">
        <v>0</v>
      </c>
      <c r="AA196" s="118">
        <v>0</v>
      </c>
      <c r="AB196" s="111">
        <v>0</v>
      </c>
      <c r="AC196" s="112">
        <v>0</v>
      </c>
      <c r="AD196" s="115">
        <v>-2.2960128676557359E-2</v>
      </c>
      <c r="AE196"/>
      <c r="AF196" s="130"/>
      <c r="AG196" s="127"/>
    </row>
    <row r="197" spans="1:33" ht="13">
      <c r="A197" s="104" t="s">
        <v>725</v>
      </c>
      <c r="B197" s="92"/>
      <c r="C197" s="86">
        <v>868444.03333333333</v>
      </c>
      <c r="D197" s="80">
        <v>202986.55</v>
      </c>
      <c r="E197" s="80">
        <v>526777.33133333328</v>
      </c>
      <c r="F197" s="80">
        <v>150546.97866666666</v>
      </c>
      <c r="G197" s="80">
        <v>63013.57699999999</v>
      </c>
      <c r="H197" s="80">
        <v>72850.831999999995</v>
      </c>
      <c r="I197" s="86">
        <v>1884619.3023333333</v>
      </c>
      <c r="J197" s="86">
        <v>319562.60800000001</v>
      </c>
      <c r="K197" s="80">
        <v>720534.36</v>
      </c>
      <c r="L197" s="80">
        <v>341801.60000000003</v>
      </c>
      <c r="M197" s="80">
        <v>143164.247</v>
      </c>
      <c r="N197" s="86">
        <v>1525062.8149999999</v>
      </c>
      <c r="O197" s="86">
        <v>165724.83333333331</v>
      </c>
      <c r="P197" s="80">
        <v>165724.83333333331</v>
      </c>
      <c r="Q197" s="86">
        <v>80106.146666666682</v>
      </c>
      <c r="R197" s="86">
        <v>2142.6</v>
      </c>
      <c r="S197" s="86">
        <v>82248.746666666673</v>
      </c>
      <c r="T197" s="86">
        <v>74744.466666666674</v>
      </c>
      <c r="U197" s="86">
        <v>74744.466666666674</v>
      </c>
      <c r="V197" s="86">
        <v>75345.399999999994</v>
      </c>
      <c r="W197" s="86">
        <v>75345.399999999994</v>
      </c>
      <c r="X197" s="86">
        <v>43740.733333333337</v>
      </c>
      <c r="Y197" s="86">
        <v>43740.733333333337</v>
      </c>
      <c r="Z197" s="86"/>
      <c r="AA197" s="131"/>
      <c r="AB197" s="90">
        <v>3235.833333333333</v>
      </c>
      <c r="AC197" s="91">
        <v>3235.833333333333</v>
      </c>
      <c r="AD197" s="85">
        <v>3854722.1306666667</v>
      </c>
      <c r="AE197"/>
    </row>
    <row r="198" spans="1:33" ht="13">
      <c r="A198" s="106" t="s">
        <v>726</v>
      </c>
      <c r="B198" s="107"/>
      <c r="C198" s="108">
        <v>876558.08333333337</v>
      </c>
      <c r="D198" s="85">
        <v>199807.55100000004</v>
      </c>
      <c r="E198" s="85">
        <v>524585.39666666661</v>
      </c>
      <c r="F198" s="85">
        <v>146934.99</v>
      </c>
      <c r="G198" s="85">
        <v>61313.916666666664</v>
      </c>
      <c r="H198" s="85">
        <v>72558.383333333346</v>
      </c>
      <c r="I198" s="108">
        <v>1881758.321</v>
      </c>
      <c r="J198" s="108">
        <v>319048.03333333338</v>
      </c>
      <c r="K198" s="85">
        <v>708505.67</v>
      </c>
      <c r="L198" s="85">
        <v>338406.32</v>
      </c>
      <c r="M198" s="85">
        <v>141668.40333333332</v>
      </c>
      <c r="N198" s="108">
        <v>1507628.4266666668</v>
      </c>
      <c r="O198" s="108">
        <v>173001.2</v>
      </c>
      <c r="P198" s="85">
        <v>173001.2</v>
      </c>
      <c r="Q198" s="108">
        <v>82525.64</v>
      </c>
      <c r="R198" s="108">
        <v>2324.4333333333334</v>
      </c>
      <c r="S198" s="108">
        <v>84850.073333333334</v>
      </c>
      <c r="T198" s="108">
        <v>125710.73333333334</v>
      </c>
      <c r="U198" s="108">
        <v>125710.73333333334</v>
      </c>
      <c r="V198" s="108">
        <v>30637.933333333334</v>
      </c>
      <c r="W198" s="108">
        <v>30637.933333333334</v>
      </c>
      <c r="X198" s="108">
        <v>17915.166666666664</v>
      </c>
      <c r="Y198" s="108">
        <v>17915.166666666664</v>
      </c>
      <c r="Z198" s="108"/>
      <c r="AA198" s="132"/>
      <c r="AB198" s="90">
        <v>3367.8666666666668</v>
      </c>
      <c r="AC198" s="91">
        <v>3367.8666666666668</v>
      </c>
      <c r="AD198" s="85">
        <v>3824869.7209999999</v>
      </c>
      <c r="AE198"/>
    </row>
    <row r="199" spans="1:33" ht="13">
      <c r="A199" s="106" t="s">
        <v>741</v>
      </c>
      <c r="B199" s="113"/>
      <c r="C199" s="114">
        <v>9.3432042694291603E-3</v>
      </c>
      <c r="D199" s="115">
        <v>-1.5661131242439372E-2</v>
      </c>
      <c r="E199" s="115">
        <v>-4.1610269392546402E-3</v>
      </c>
      <c r="F199" s="115">
        <v>-2.3992435442122824E-2</v>
      </c>
      <c r="G199" s="115">
        <v>-2.6972922570850499E-2</v>
      </c>
      <c r="H199" s="115">
        <v>-4.0143490285282956E-3</v>
      </c>
      <c r="I199" s="114">
        <v>-1.5180685721467144E-3</v>
      </c>
      <c r="J199" s="114">
        <v>-1.6102467991708277E-3</v>
      </c>
      <c r="K199" s="115">
        <v>-1.6694124066477956E-2</v>
      </c>
      <c r="L199" s="115">
        <v>-9.9334818795459023E-3</v>
      </c>
      <c r="M199" s="115">
        <v>-1.0448444342857034E-2</v>
      </c>
      <c r="N199" s="114">
        <v>-1.1431914909900257E-2</v>
      </c>
      <c r="O199" s="116">
        <v>4.3906314583712754E-2</v>
      </c>
      <c r="P199" s="115">
        <v>4.3906314583712754E-2</v>
      </c>
      <c r="Q199" s="114">
        <v>3.0203591534632302E-2</v>
      </c>
      <c r="R199" s="114">
        <v>8.4865739444288948E-2</v>
      </c>
      <c r="S199" s="114">
        <v>3.1627553878835118E-2</v>
      </c>
      <c r="T199" s="114">
        <v>0.68187344079873902</v>
      </c>
      <c r="U199" s="114">
        <v>0.68187344079873902</v>
      </c>
      <c r="V199" s="114">
        <v>-0.59336690317745555</v>
      </c>
      <c r="W199" s="114">
        <v>-0.59336690317745555</v>
      </c>
      <c r="X199" s="114">
        <v>-0.59042372403450039</v>
      </c>
      <c r="Y199" s="114">
        <v>-0.59042372403450039</v>
      </c>
      <c r="Z199" s="114">
        <v>0</v>
      </c>
      <c r="AA199" s="133">
        <v>0</v>
      </c>
      <c r="AB199" s="134">
        <v>4.080350244656207E-2</v>
      </c>
      <c r="AC199" s="135">
        <v>4.080350244656207E-2</v>
      </c>
      <c r="AD199" s="115">
        <v>-7.7443739534874961E-3</v>
      </c>
      <c r="AE199"/>
    </row>
    <row r="200" spans="1:33" ht="13">
      <c r="A200" s="106" t="s">
        <v>729</v>
      </c>
      <c r="B200" s="107"/>
      <c r="C200" s="108">
        <v>0</v>
      </c>
      <c r="D200" s="85">
        <v>0</v>
      </c>
      <c r="E200" s="85">
        <v>0</v>
      </c>
      <c r="F200" s="85">
        <v>0</v>
      </c>
      <c r="G200" s="85">
        <v>0</v>
      </c>
      <c r="H200" s="85">
        <v>0</v>
      </c>
      <c r="I200" s="108">
        <v>0</v>
      </c>
      <c r="J200" s="108">
        <v>17045.206666666665</v>
      </c>
      <c r="K200" s="85">
        <v>24459.68</v>
      </c>
      <c r="L200" s="85">
        <v>15706.59888888889</v>
      </c>
      <c r="M200" s="85">
        <v>8202.9955555555571</v>
      </c>
      <c r="N200" s="108">
        <v>65414.481111111105</v>
      </c>
      <c r="O200" s="121">
        <v>2694.34</v>
      </c>
      <c r="P200" s="85">
        <v>2694.34</v>
      </c>
      <c r="Q200" s="108">
        <v>4522.6706111111107</v>
      </c>
      <c r="R200" s="108">
        <v>28190.021499999995</v>
      </c>
      <c r="S200" s="108">
        <v>32712.692111111108</v>
      </c>
      <c r="T200" s="108">
        <v>534.19666666666672</v>
      </c>
      <c r="U200" s="108">
        <v>534.19666666666672</v>
      </c>
      <c r="V200" s="108">
        <v>2337.5544444444445</v>
      </c>
      <c r="W200" s="108">
        <v>2337.5544444444445</v>
      </c>
      <c r="X200" s="108">
        <v>890.98222222222216</v>
      </c>
      <c r="Y200" s="108">
        <v>890.98222222222216</v>
      </c>
      <c r="Z200" s="108"/>
      <c r="AA200" s="107"/>
      <c r="AB200" s="90">
        <v>0</v>
      </c>
      <c r="AC200" s="91">
        <v>0</v>
      </c>
      <c r="AD200" s="85">
        <v>104584.24655555555</v>
      </c>
      <c r="AE200"/>
    </row>
    <row r="201" spans="1:33" ht="13">
      <c r="A201" s="106" t="s">
        <v>731</v>
      </c>
      <c r="B201" s="107"/>
      <c r="C201" s="108">
        <v>0</v>
      </c>
      <c r="D201" s="85">
        <v>0</v>
      </c>
      <c r="E201" s="85">
        <v>0</v>
      </c>
      <c r="F201" s="85">
        <v>0</v>
      </c>
      <c r="G201" s="85">
        <v>0</v>
      </c>
      <c r="H201" s="85">
        <v>0</v>
      </c>
      <c r="I201" s="108">
        <v>0</v>
      </c>
      <c r="J201" s="108">
        <v>15670.405555555559</v>
      </c>
      <c r="K201" s="85">
        <v>24714.812222222226</v>
      </c>
      <c r="L201" s="85">
        <v>16344.213333333333</v>
      </c>
      <c r="M201" s="85">
        <v>8468.3366666666661</v>
      </c>
      <c r="N201" s="108">
        <v>65197.767777777779</v>
      </c>
      <c r="O201" s="121">
        <v>2960.6711111111108</v>
      </c>
      <c r="P201" s="85">
        <v>2960.6711111111108</v>
      </c>
      <c r="Q201" s="108">
        <v>3714.7210444444445</v>
      </c>
      <c r="R201" s="108">
        <v>28194.010188888889</v>
      </c>
      <c r="S201" s="108">
        <v>31908.731233333336</v>
      </c>
      <c r="T201" s="108">
        <v>2178.67</v>
      </c>
      <c r="U201" s="108">
        <v>2178.67</v>
      </c>
      <c r="V201" s="108">
        <v>753.24111111111119</v>
      </c>
      <c r="W201" s="108">
        <v>753.24111111111119</v>
      </c>
      <c r="X201" s="108">
        <v>28.76</v>
      </c>
      <c r="Y201" s="108">
        <v>28.76</v>
      </c>
      <c r="Z201" s="108"/>
      <c r="AA201" s="107"/>
      <c r="AB201" s="90">
        <v>0</v>
      </c>
      <c r="AC201" s="91">
        <v>0</v>
      </c>
      <c r="AD201" s="85">
        <v>103027.84123333334</v>
      </c>
      <c r="AE201"/>
    </row>
    <row r="202" spans="1:33" ht="13">
      <c r="A202" s="106" t="s">
        <v>743</v>
      </c>
      <c r="B202" s="113"/>
      <c r="C202" s="114">
        <v>0</v>
      </c>
      <c r="D202" s="115">
        <v>0</v>
      </c>
      <c r="E202" s="115">
        <v>0</v>
      </c>
      <c r="F202" s="115">
        <v>0</v>
      </c>
      <c r="G202" s="115">
        <v>0</v>
      </c>
      <c r="H202" s="115">
        <v>0</v>
      </c>
      <c r="I202" s="114">
        <v>0</v>
      </c>
      <c r="J202" s="114">
        <v>-8.0656171438487009E-2</v>
      </c>
      <c r="K202" s="115">
        <v>1.0430726085632159E-2</v>
      </c>
      <c r="L202" s="115">
        <v>4.0595322319939793E-2</v>
      </c>
      <c r="M202" s="115">
        <v>3.2346855403499818E-2</v>
      </c>
      <c r="N202" s="114">
        <v>-3.3129259707069406E-3</v>
      </c>
      <c r="O202" s="116">
        <v>9.8848367730542785E-2</v>
      </c>
      <c r="P202" s="115">
        <v>9.8848367730542785E-2</v>
      </c>
      <c r="Q202" s="114">
        <v>-0.17864435333445</v>
      </c>
      <c r="R202" s="114">
        <v>1.4149293532469921E-4</v>
      </c>
      <c r="S202" s="114">
        <v>-2.4576420523479352E-2</v>
      </c>
      <c r="T202" s="114">
        <v>3.0784043329859787</v>
      </c>
      <c r="U202" s="114">
        <v>3.0784043329859787</v>
      </c>
      <c r="V202" s="114">
        <v>-0.67776531883511681</v>
      </c>
      <c r="W202" s="114">
        <v>-0.67776531883511681</v>
      </c>
      <c r="X202" s="114">
        <v>-0.96772101700495339</v>
      </c>
      <c r="Y202" s="114">
        <v>-0.96772101700495339</v>
      </c>
      <c r="Z202" s="114">
        <v>0</v>
      </c>
      <c r="AA202" s="133">
        <v>0</v>
      </c>
      <c r="AB202" s="136">
        <v>0</v>
      </c>
      <c r="AC202" s="137">
        <v>0</v>
      </c>
      <c r="AD202" s="115">
        <v>-1.4881833292124266E-2</v>
      </c>
      <c r="AE202"/>
    </row>
    <row r="203" spans="1:33" ht="13">
      <c r="A203" s="106" t="s">
        <v>733</v>
      </c>
      <c r="B203" s="107"/>
      <c r="C203" s="108">
        <v>201317.55833333332</v>
      </c>
      <c r="D203" s="85">
        <v>45206.020833333336</v>
      </c>
      <c r="E203" s="85">
        <v>79948.724999999991</v>
      </c>
      <c r="F203" s="85">
        <v>22507.083333333332</v>
      </c>
      <c r="G203" s="85">
        <v>8253.4166666666679</v>
      </c>
      <c r="H203" s="85">
        <v>883.20833333333337</v>
      </c>
      <c r="I203" s="108">
        <v>358116.01249999995</v>
      </c>
      <c r="J203" s="108">
        <v>0</v>
      </c>
      <c r="K203" s="85">
        <v>0</v>
      </c>
      <c r="L203" s="85">
        <v>0</v>
      </c>
      <c r="M203" s="85">
        <v>0</v>
      </c>
      <c r="N203" s="108">
        <v>0</v>
      </c>
      <c r="O203" s="121">
        <v>0</v>
      </c>
      <c r="P203" s="85">
        <v>0</v>
      </c>
      <c r="Q203" s="108">
        <v>0</v>
      </c>
      <c r="R203" s="108">
        <v>0</v>
      </c>
      <c r="S203" s="108">
        <v>0</v>
      </c>
      <c r="T203" s="108">
        <v>0</v>
      </c>
      <c r="U203" s="108">
        <v>0</v>
      </c>
      <c r="V203" s="108">
        <v>0</v>
      </c>
      <c r="W203" s="108">
        <v>0</v>
      </c>
      <c r="X203" s="108">
        <v>0</v>
      </c>
      <c r="Y203" s="108">
        <v>0</v>
      </c>
      <c r="Z203" s="108">
        <v>0</v>
      </c>
      <c r="AA203" s="107">
        <v>0</v>
      </c>
      <c r="AB203" s="90">
        <v>1541.9166666666665</v>
      </c>
      <c r="AC203" s="91">
        <v>1541.9166666666665</v>
      </c>
      <c r="AD203" s="85">
        <v>359657.92916666664</v>
      </c>
      <c r="AE203"/>
    </row>
    <row r="204" spans="1:33" ht="13">
      <c r="A204" s="106" t="s">
        <v>735</v>
      </c>
      <c r="B204" s="107"/>
      <c r="C204" s="108">
        <v>202254.19583333333</v>
      </c>
      <c r="D204" s="85">
        <v>47048.062499999993</v>
      </c>
      <c r="E204" s="85">
        <v>82443.087500000009</v>
      </c>
      <c r="F204" s="85">
        <v>23482.041666666672</v>
      </c>
      <c r="G204" s="85">
        <v>8901.6666666666661</v>
      </c>
      <c r="H204" s="85">
        <v>1168.0416666666667</v>
      </c>
      <c r="I204" s="108">
        <v>365297.09583333333</v>
      </c>
      <c r="J204" s="108">
        <v>0</v>
      </c>
      <c r="K204" s="85">
        <v>0</v>
      </c>
      <c r="L204" s="85">
        <v>0</v>
      </c>
      <c r="M204" s="85">
        <v>0</v>
      </c>
      <c r="N204" s="108">
        <v>0</v>
      </c>
      <c r="O204" s="121">
        <v>0</v>
      </c>
      <c r="P204" s="85">
        <v>0</v>
      </c>
      <c r="Q204" s="108">
        <v>0</v>
      </c>
      <c r="R204" s="108">
        <v>0</v>
      </c>
      <c r="S204" s="108">
        <v>0</v>
      </c>
      <c r="T204" s="108">
        <v>0</v>
      </c>
      <c r="U204" s="108">
        <v>0</v>
      </c>
      <c r="V204" s="108">
        <v>0</v>
      </c>
      <c r="W204" s="108">
        <v>0</v>
      </c>
      <c r="X204" s="108">
        <v>0</v>
      </c>
      <c r="Y204" s="108">
        <v>0</v>
      </c>
      <c r="Z204" s="108">
        <v>0</v>
      </c>
      <c r="AA204" s="107">
        <v>0</v>
      </c>
      <c r="AB204" s="90">
        <v>1620.4166666666665</v>
      </c>
      <c r="AC204" s="91">
        <v>1620.4166666666665</v>
      </c>
      <c r="AD204" s="85">
        <v>366917.51249999995</v>
      </c>
      <c r="AE204"/>
    </row>
    <row r="205" spans="1:33" ht="13">
      <c r="A205" s="106" t="s">
        <v>745</v>
      </c>
      <c r="B205" s="113"/>
      <c r="C205" s="114">
        <v>4.6525375518865946E-3</v>
      </c>
      <c r="D205" s="115">
        <v>4.0747706449500355E-2</v>
      </c>
      <c r="E205" s="115">
        <v>3.1199528197604375E-2</v>
      </c>
      <c r="F205" s="115">
        <v>4.3317844382324527E-2</v>
      </c>
      <c r="G205" s="115">
        <v>7.8543229571591114E-2</v>
      </c>
      <c r="H205" s="115">
        <v>0.32249846676416494</v>
      </c>
      <c r="I205" s="114">
        <v>2.0052393868686264E-2</v>
      </c>
      <c r="J205" s="114">
        <v>0</v>
      </c>
      <c r="K205" s="115">
        <v>0</v>
      </c>
      <c r="L205" s="115">
        <v>0</v>
      </c>
      <c r="M205" s="115">
        <v>0</v>
      </c>
      <c r="N205" s="114">
        <v>0</v>
      </c>
      <c r="O205" s="116">
        <v>0</v>
      </c>
      <c r="P205" s="115">
        <v>0</v>
      </c>
      <c r="Q205" s="114">
        <v>0</v>
      </c>
      <c r="R205" s="114">
        <v>0</v>
      </c>
      <c r="S205" s="114">
        <v>0</v>
      </c>
      <c r="T205" s="114">
        <v>0</v>
      </c>
      <c r="U205" s="114">
        <v>0</v>
      </c>
      <c r="V205" s="114">
        <v>0</v>
      </c>
      <c r="W205" s="114">
        <v>0</v>
      </c>
      <c r="X205" s="114">
        <v>0</v>
      </c>
      <c r="Y205" s="114">
        <v>0</v>
      </c>
      <c r="Z205" s="114">
        <v>0</v>
      </c>
      <c r="AA205" s="133">
        <v>0</v>
      </c>
      <c r="AB205" s="136">
        <v>5.0910663135707725E-2</v>
      </c>
      <c r="AC205" s="137">
        <v>5.0910663135707725E-2</v>
      </c>
      <c r="AD205" s="115">
        <v>2.0184688685034383E-2</v>
      </c>
      <c r="AE205"/>
      <c r="AF205" s="127"/>
      <c r="AG205" s="128"/>
    </row>
    <row r="206" spans="1:33" ht="13">
      <c r="A206" s="106" t="s">
        <v>737</v>
      </c>
      <c r="B206" s="107"/>
      <c r="C206" s="108">
        <v>1069761.5916666666</v>
      </c>
      <c r="D206" s="85">
        <v>248192.5708333333</v>
      </c>
      <c r="E206" s="85">
        <v>606726.05633333337</v>
      </c>
      <c r="F206" s="85">
        <v>173054.06200000003</v>
      </c>
      <c r="G206" s="85">
        <v>71266.993666666676</v>
      </c>
      <c r="H206" s="85">
        <v>73734.040333333338</v>
      </c>
      <c r="I206" s="108">
        <v>2242735.3148333333</v>
      </c>
      <c r="J206" s="108">
        <v>336607.81466666673</v>
      </c>
      <c r="K206" s="85">
        <v>744994.04</v>
      </c>
      <c r="L206" s="85">
        <v>357508.19888888887</v>
      </c>
      <c r="M206" s="85">
        <v>151367.24255555557</v>
      </c>
      <c r="N206" s="108">
        <v>1590477.2961111111</v>
      </c>
      <c r="O206" s="121">
        <v>168419.17333333334</v>
      </c>
      <c r="P206" s="85">
        <v>168419.17333333334</v>
      </c>
      <c r="Q206" s="108">
        <v>84628.817277777795</v>
      </c>
      <c r="R206" s="108">
        <v>30332.621499999994</v>
      </c>
      <c r="S206" s="108">
        <v>114961.43877777779</v>
      </c>
      <c r="T206" s="108">
        <v>75278.66333333333</v>
      </c>
      <c r="U206" s="108">
        <v>75278.66333333333</v>
      </c>
      <c r="V206" s="108">
        <v>77682.954444444447</v>
      </c>
      <c r="W206" s="108">
        <v>77682.954444444447</v>
      </c>
      <c r="X206" s="108">
        <v>44631.715555555551</v>
      </c>
      <c r="Y206" s="108">
        <v>44631.715555555551</v>
      </c>
      <c r="Z206" s="108">
        <v>0</v>
      </c>
      <c r="AA206" s="107">
        <v>0</v>
      </c>
      <c r="AB206" s="90">
        <v>4777.75</v>
      </c>
      <c r="AC206" s="91">
        <v>4777.75</v>
      </c>
      <c r="AD206" s="85">
        <v>4318964.3063888885</v>
      </c>
      <c r="AE206"/>
      <c r="AF206" s="129"/>
    </row>
    <row r="207" spans="1:33" ht="13">
      <c r="A207" s="106" t="s">
        <v>739</v>
      </c>
      <c r="B207" s="107"/>
      <c r="C207" s="108">
        <v>1078812.2791666668</v>
      </c>
      <c r="D207" s="85">
        <v>246855.61350000004</v>
      </c>
      <c r="E207" s="85">
        <v>607028.48416666675</v>
      </c>
      <c r="F207" s="85">
        <v>170417.03166666668</v>
      </c>
      <c r="G207" s="85">
        <v>70215.583333333343</v>
      </c>
      <c r="H207" s="85">
        <v>73726.425000000003</v>
      </c>
      <c r="I207" s="108">
        <v>2247055.4168333337</v>
      </c>
      <c r="J207" s="108">
        <v>334718.43888888898</v>
      </c>
      <c r="K207" s="85">
        <v>733220.48222222237</v>
      </c>
      <c r="L207" s="85">
        <v>354750.53333333333</v>
      </c>
      <c r="M207" s="85">
        <v>150136.74000000002</v>
      </c>
      <c r="N207" s="108">
        <v>1572826.1944444445</v>
      </c>
      <c r="O207" s="121">
        <v>175961.87111111113</v>
      </c>
      <c r="P207" s="85">
        <v>175961.87111111113</v>
      </c>
      <c r="Q207" s="108">
        <v>86240.361044444449</v>
      </c>
      <c r="R207" s="108">
        <v>30518.443522222224</v>
      </c>
      <c r="S207" s="108">
        <v>116758.80456666667</v>
      </c>
      <c r="T207" s="108">
        <v>127889.40333333332</v>
      </c>
      <c r="U207" s="108">
        <v>127889.40333333332</v>
      </c>
      <c r="V207" s="108">
        <v>31391.174444444445</v>
      </c>
      <c r="W207" s="108">
        <v>31391.174444444445</v>
      </c>
      <c r="X207" s="108">
        <v>17943.926666666666</v>
      </c>
      <c r="Y207" s="108">
        <v>17943.926666666666</v>
      </c>
      <c r="Z207" s="108">
        <v>0</v>
      </c>
      <c r="AA207" s="107">
        <v>0</v>
      </c>
      <c r="AB207" s="90">
        <v>4988.2833333333328</v>
      </c>
      <c r="AC207" s="91">
        <v>4988.2833333333328</v>
      </c>
      <c r="AD207" s="85">
        <v>4294815.0747333337</v>
      </c>
      <c r="AE207"/>
      <c r="AF207" s="129"/>
    </row>
    <row r="208" spans="1:33" ht="13">
      <c r="A208" s="123" t="s">
        <v>747</v>
      </c>
      <c r="B208" s="124"/>
      <c r="C208" s="114">
        <v>8.4604715391767317E-3</v>
      </c>
      <c r="D208" s="115">
        <v>-5.3867741844343051E-3</v>
      </c>
      <c r="E208" s="115">
        <v>4.9845862094859866E-4</v>
      </c>
      <c r="F208" s="115">
        <v>-1.5238188013947171E-2</v>
      </c>
      <c r="G208" s="115">
        <v>-1.4753117526621843E-2</v>
      </c>
      <c r="H208" s="115">
        <v>-1.0328110732700141E-4</v>
      </c>
      <c r="I208" s="114">
        <v>1.9262647586756941E-3</v>
      </c>
      <c r="J208" s="114">
        <v>-5.612988455567511E-3</v>
      </c>
      <c r="K208" s="115">
        <v>-1.5803559687239E-2</v>
      </c>
      <c r="L208" s="115">
        <v>-7.7135729030162851E-3</v>
      </c>
      <c r="M208" s="115">
        <v>-8.1292526360443786E-3</v>
      </c>
      <c r="N208" s="114">
        <v>-1.1097990339016588E-2</v>
      </c>
      <c r="O208" s="116">
        <v>4.4785267784502009E-2</v>
      </c>
      <c r="P208" s="115">
        <v>4.4785267784502009E-2</v>
      </c>
      <c r="Q208" s="114">
        <v>1.9042494253193952E-2</v>
      </c>
      <c r="R208" s="114">
        <v>6.1261444950360538E-3</v>
      </c>
      <c r="S208" s="114">
        <v>1.5634510214883619E-2</v>
      </c>
      <c r="T208" s="114">
        <v>0.69887983753165284</v>
      </c>
      <c r="U208" s="114">
        <v>0.69887983753165284</v>
      </c>
      <c r="V208" s="114">
        <v>-0.59590653227672896</v>
      </c>
      <c r="W208" s="114">
        <v>-0.59590653227672896</v>
      </c>
      <c r="X208" s="114">
        <v>-0.59795570384627328</v>
      </c>
      <c r="Y208" s="114">
        <v>-0.59795570384627328</v>
      </c>
      <c r="Z208" s="114">
        <v>0</v>
      </c>
      <c r="AA208" s="133">
        <v>0</v>
      </c>
      <c r="AB208" s="138">
        <v>4.4065372473095672E-2</v>
      </c>
      <c r="AC208" s="139">
        <v>4.4065372473095672E-2</v>
      </c>
      <c r="AD208" s="115">
        <v>-5.5914404339560504E-3</v>
      </c>
      <c r="AE208"/>
      <c r="AF208" s="130"/>
      <c r="AG208" s="127"/>
    </row>
    <row r="209" spans="3:27">
      <c r="C209" s="140"/>
      <c r="D209" s="140"/>
      <c r="E209" s="140"/>
      <c r="F209" s="140"/>
      <c r="G209" s="140"/>
      <c r="H209" s="140"/>
      <c r="I209" s="140"/>
      <c r="J209" s="140"/>
      <c r="K209" s="140"/>
      <c r="L209" s="140"/>
      <c r="M209" s="140"/>
      <c r="N209" s="140"/>
      <c r="O209" s="140"/>
      <c r="P209" s="140"/>
      <c r="Q209" s="140"/>
      <c r="R209" s="140"/>
      <c r="S209" s="140"/>
      <c r="T209" s="140"/>
      <c r="U209" s="140"/>
      <c r="V209" s="140"/>
      <c r="W209" s="140"/>
      <c r="X209" s="140"/>
      <c r="Y209" s="140"/>
      <c r="Z209" s="140"/>
      <c r="AA209" s="14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339933"/>
  </sheetPr>
  <dimension ref="A1:AC141"/>
  <sheetViews>
    <sheetView zoomScale="80" zoomScaleNormal="80" workbookViewId="0">
      <pane xSplit="2" ySplit="5" topLeftCell="F6" activePane="bottomRight" state="frozen"/>
      <selection pane="topRight" activeCell="C1" sqref="C1"/>
      <selection pane="bottomLeft" activeCell="A6" sqref="A6"/>
      <selection pane="bottomRight" activeCell="F25" sqref="F25"/>
    </sheetView>
  </sheetViews>
  <sheetFormatPr defaultColWidth="9.33203125" defaultRowHeight="12.5"/>
  <cols>
    <col min="1" max="1" width="5" style="15" customWidth="1"/>
    <col min="2" max="2" width="32" style="15" customWidth="1"/>
    <col min="3" max="8" width="15.109375" style="15" customWidth="1"/>
    <col min="9" max="9" width="17.44140625" style="15" customWidth="1"/>
    <col min="10" max="13" width="13.6640625" style="15" customWidth="1"/>
    <col min="14" max="14" width="17.44140625" style="15" customWidth="1"/>
    <col min="15" max="16" width="11.44140625" style="15" customWidth="1"/>
    <col min="17" max="18" width="12.77734375" style="15" customWidth="1"/>
    <col min="19" max="19" width="16.6640625" style="15" customWidth="1"/>
    <col min="20" max="20" width="6.44140625" style="15" customWidth="1"/>
    <col min="21" max="21" width="9.33203125" style="15"/>
    <col min="22" max="25" width="11.44140625" style="15" customWidth="1"/>
    <col min="26" max="26" width="9.44140625" style="15" customWidth="1"/>
    <col min="27" max="27" width="10.6640625" style="15" customWidth="1"/>
    <col min="28" max="28" width="10.109375" style="15" customWidth="1"/>
    <col min="29" max="29" width="13.6640625" style="15" customWidth="1"/>
    <col min="30" max="16384" width="9.33203125" style="15"/>
  </cols>
  <sheetData>
    <row r="1" spans="1:29" ht="13">
      <c r="E1" s="141" t="s">
        <v>845</v>
      </c>
      <c r="L1" s="142"/>
    </row>
    <row r="3" spans="1:29">
      <c r="A3" s="143"/>
      <c r="B3" s="144"/>
      <c r="C3" s="143" t="s">
        <v>846</v>
      </c>
      <c r="D3" s="144" t="s">
        <v>21</v>
      </c>
      <c r="E3" s="144"/>
      <c r="F3" s="144"/>
      <c r="G3" s="144"/>
      <c r="H3" s="144"/>
      <c r="I3" s="144"/>
      <c r="J3" s="144"/>
      <c r="K3" s="144"/>
      <c r="L3" s="144"/>
      <c r="M3" s="144"/>
      <c r="N3" s="144"/>
      <c r="O3" s="144"/>
      <c r="P3" s="144"/>
      <c r="Q3" s="144"/>
      <c r="R3" s="144"/>
      <c r="S3" s="144"/>
      <c r="T3" s="145"/>
      <c r="U3" s="145"/>
      <c r="V3" s="145"/>
      <c r="W3" s="146"/>
      <c r="X3" s="145"/>
      <c r="Y3" s="145"/>
      <c r="Z3" s="145"/>
      <c r="AA3" s="146"/>
      <c r="AB3" s="147"/>
      <c r="AC3" s="148"/>
    </row>
    <row r="4" spans="1:29">
      <c r="A4" s="149"/>
      <c r="B4" s="150"/>
      <c r="C4" s="143" t="s">
        <v>749</v>
      </c>
      <c r="D4" s="144"/>
      <c r="E4" s="144"/>
      <c r="F4" s="144"/>
      <c r="G4" s="144"/>
      <c r="H4" s="144"/>
      <c r="I4" s="143" t="s">
        <v>748</v>
      </c>
      <c r="J4" s="143" t="s">
        <v>750</v>
      </c>
      <c r="K4" s="144"/>
      <c r="L4" s="144"/>
      <c r="M4" s="144"/>
      <c r="N4" s="143" t="s">
        <v>751</v>
      </c>
      <c r="O4" s="143">
        <v>11</v>
      </c>
      <c r="P4" s="144" t="s">
        <v>847</v>
      </c>
      <c r="Q4" s="143" t="s">
        <v>752</v>
      </c>
      <c r="R4" s="143"/>
      <c r="S4" s="143" t="s">
        <v>753</v>
      </c>
      <c r="T4" s="151">
        <v>15</v>
      </c>
      <c r="U4" s="151" t="s">
        <v>907</v>
      </c>
      <c r="V4" s="151" t="s">
        <v>669</v>
      </c>
      <c r="W4" s="152" t="s">
        <v>722</v>
      </c>
      <c r="X4" s="151" t="s">
        <v>670</v>
      </c>
      <c r="Y4" s="151" t="s">
        <v>723</v>
      </c>
      <c r="Z4" s="151" t="s">
        <v>671</v>
      </c>
      <c r="AA4" s="152" t="s">
        <v>724</v>
      </c>
      <c r="AB4" s="153" t="s">
        <v>908</v>
      </c>
      <c r="AC4" s="154" t="s">
        <v>909</v>
      </c>
    </row>
    <row r="5" spans="1:29">
      <c r="A5" s="143" t="s">
        <v>17</v>
      </c>
      <c r="B5" s="143" t="s">
        <v>848</v>
      </c>
      <c r="C5" s="143">
        <v>1</v>
      </c>
      <c r="D5" s="155">
        <v>2</v>
      </c>
      <c r="E5" s="155">
        <v>3</v>
      </c>
      <c r="F5" s="155">
        <v>4</v>
      </c>
      <c r="G5" s="155">
        <v>5</v>
      </c>
      <c r="H5" s="155">
        <v>6</v>
      </c>
      <c r="I5" s="149"/>
      <c r="J5" s="143">
        <v>7</v>
      </c>
      <c r="K5" s="155">
        <v>8</v>
      </c>
      <c r="L5" s="155">
        <v>9</v>
      </c>
      <c r="M5" s="155">
        <v>10</v>
      </c>
      <c r="N5" s="149"/>
      <c r="O5" s="143">
        <v>11</v>
      </c>
      <c r="P5" s="155"/>
      <c r="Q5" s="149">
        <v>12</v>
      </c>
      <c r="R5" s="143">
        <v>13</v>
      </c>
      <c r="S5" s="149"/>
      <c r="T5" s="151">
        <v>15</v>
      </c>
      <c r="U5" s="156"/>
      <c r="V5" s="151" t="s">
        <v>669</v>
      </c>
      <c r="W5" s="157"/>
      <c r="X5" s="151" t="s">
        <v>670</v>
      </c>
      <c r="Y5" s="156"/>
      <c r="Z5" s="151" t="s">
        <v>671</v>
      </c>
      <c r="AA5" s="157"/>
      <c r="AB5" s="153" t="s">
        <v>908</v>
      </c>
      <c r="AC5" s="158"/>
    </row>
    <row r="6" spans="1:29" ht="13">
      <c r="A6" s="159" t="s">
        <v>72</v>
      </c>
      <c r="B6" s="143" t="s">
        <v>849</v>
      </c>
      <c r="C6" s="143">
        <v>1977044</v>
      </c>
      <c r="D6" s="155">
        <v>466959</v>
      </c>
      <c r="E6" s="155">
        <v>780241</v>
      </c>
      <c r="F6" s="155">
        <v>237430</v>
      </c>
      <c r="G6" s="155">
        <v>124912</v>
      </c>
      <c r="H6" s="155">
        <v>65486</v>
      </c>
      <c r="I6" s="143">
        <v>3652072</v>
      </c>
      <c r="J6" s="143">
        <v>0</v>
      </c>
      <c r="K6" s="155">
        <v>366758</v>
      </c>
      <c r="L6" s="155">
        <v>1016846</v>
      </c>
      <c r="M6" s="155">
        <v>315161</v>
      </c>
      <c r="N6" s="143">
        <v>1698765</v>
      </c>
      <c r="O6" s="143">
        <v>0</v>
      </c>
      <c r="P6" s="155">
        <v>0</v>
      </c>
      <c r="Q6" s="143">
        <v>41951</v>
      </c>
      <c r="R6" s="143">
        <v>40961</v>
      </c>
      <c r="S6" s="143">
        <v>82912</v>
      </c>
      <c r="T6" s="151">
        <v>0</v>
      </c>
      <c r="U6" s="151">
        <v>0</v>
      </c>
      <c r="V6" s="151">
        <v>0</v>
      </c>
      <c r="W6" s="152">
        <v>0</v>
      </c>
      <c r="X6" s="151">
        <v>0</v>
      </c>
      <c r="Y6" s="151">
        <v>0</v>
      </c>
      <c r="Z6" s="151">
        <v>0</v>
      </c>
      <c r="AA6" s="152">
        <v>0</v>
      </c>
      <c r="AB6" s="153">
        <v>0</v>
      </c>
      <c r="AC6" s="154">
        <v>0</v>
      </c>
    </row>
    <row r="7" spans="1:29" ht="13">
      <c r="A7" s="160"/>
      <c r="B7" s="161" t="s">
        <v>850</v>
      </c>
      <c r="C7" s="161">
        <v>8828</v>
      </c>
      <c r="D7" s="15">
        <v>1682</v>
      </c>
      <c r="E7" s="15">
        <v>8298</v>
      </c>
      <c r="F7" s="15">
        <v>471</v>
      </c>
      <c r="G7" s="15">
        <v>586</v>
      </c>
      <c r="H7" s="15">
        <v>0</v>
      </c>
      <c r="I7" s="161">
        <v>19865</v>
      </c>
      <c r="J7" s="161">
        <v>0</v>
      </c>
      <c r="K7" s="15">
        <v>24541</v>
      </c>
      <c r="L7" s="15">
        <v>61422</v>
      </c>
      <c r="M7" s="15">
        <v>31343</v>
      </c>
      <c r="N7" s="161">
        <v>117306</v>
      </c>
      <c r="O7" s="161">
        <v>0</v>
      </c>
      <c r="P7" s="15">
        <v>0</v>
      </c>
      <c r="Q7" s="161">
        <v>2007</v>
      </c>
      <c r="R7" s="161">
        <v>2291</v>
      </c>
      <c r="S7" s="161">
        <v>4298</v>
      </c>
      <c r="T7" s="162">
        <v>0</v>
      </c>
      <c r="U7" s="162">
        <v>0</v>
      </c>
      <c r="V7" s="162">
        <v>0</v>
      </c>
      <c r="W7" s="163">
        <v>0</v>
      </c>
      <c r="X7" s="162">
        <v>0</v>
      </c>
      <c r="Y7" s="162">
        <v>0</v>
      </c>
      <c r="Z7" s="162">
        <v>0</v>
      </c>
      <c r="AA7" s="163">
        <v>0</v>
      </c>
      <c r="AB7" s="164">
        <v>0</v>
      </c>
      <c r="AC7" s="165">
        <v>0</v>
      </c>
    </row>
    <row r="8" spans="1:29" ht="13">
      <c r="A8" s="160"/>
      <c r="B8" s="166" t="s">
        <v>851</v>
      </c>
      <c r="C8" s="166">
        <v>4.4652521643423213E-3</v>
      </c>
      <c r="D8" s="167">
        <v>3.6020293002169356E-3</v>
      </c>
      <c r="E8" s="167">
        <v>1.0635175541915896E-2</v>
      </c>
      <c r="F8" s="167">
        <v>1.9837425767594659E-3</v>
      </c>
      <c r="G8" s="167">
        <v>4.6913026770846675E-3</v>
      </c>
      <c r="H8" s="167">
        <v>0</v>
      </c>
      <c r="I8" s="166">
        <v>5.4393779750234938E-3</v>
      </c>
      <c r="J8" s="166">
        <v>0</v>
      </c>
      <c r="K8" s="167">
        <v>6.6913332497177971E-2</v>
      </c>
      <c r="L8" s="167">
        <v>6.0404427022380969E-2</v>
      </c>
      <c r="M8" s="167">
        <v>9.9450756914719773E-2</v>
      </c>
      <c r="N8" s="166">
        <v>6.9053694890111345E-2</v>
      </c>
      <c r="O8" s="166">
        <v>0</v>
      </c>
      <c r="P8" s="167">
        <v>0</v>
      </c>
      <c r="Q8" s="166">
        <v>4.7841529403351526E-2</v>
      </c>
      <c r="R8" s="166">
        <v>5.5931251678425817E-2</v>
      </c>
      <c r="S8" s="166">
        <v>5.1838093400231572E-2</v>
      </c>
      <c r="T8" s="168">
        <v>0</v>
      </c>
      <c r="U8" s="168">
        <v>0</v>
      </c>
      <c r="V8" s="168">
        <v>0</v>
      </c>
      <c r="W8" s="169">
        <v>0</v>
      </c>
      <c r="X8" s="168">
        <v>0</v>
      </c>
      <c r="Y8" s="168">
        <v>0</v>
      </c>
      <c r="Z8" s="168">
        <v>0</v>
      </c>
      <c r="AA8" s="169">
        <v>0</v>
      </c>
      <c r="AB8" s="164">
        <v>0</v>
      </c>
      <c r="AC8" s="165">
        <v>0</v>
      </c>
    </row>
    <row r="9" spans="1:29" ht="13">
      <c r="A9" s="160"/>
      <c r="B9" s="161" t="s">
        <v>852</v>
      </c>
      <c r="C9" s="161">
        <v>1973441</v>
      </c>
      <c r="D9" s="15">
        <v>464800</v>
      </c>
      <c r="E9" s="15">
        <v>813541</v>
      </c>
      <c r="F9" s="15">
        <v>229948</v>
      </c>
      <c r="G9" s="15">
        <v>125391</v>
      </c>
      <c r="H9" s="15">
        <v>64093</v>
      </c>
      <c r="I9" s="161">
        <v>3671214</v>
      </c>
      <c r="J9" s="161">
        <v>0</v>
      </c>
      <c r="K9" s="15">
        <v>361200</v>
      </c>
      <c r="L9" s="15">
        <v>1002823</v>
      </c>
      <c r="M9" s="15">
        <v>312314</v>
      </c>
      <c r="N9" s="161">
        <v>1676337</v>
      </c>
      <c r="O9" s="161">
        <v>0</v>
      </c>
      <c r="P9" s="15">
        <v>0</v>
      </c>
      <c r="Q9" s="161">
        <v>44337</v>
      </c>
      <c r="R9" s="161">
        <v>45115</v>
      </c>
      <c r="S9" s="161">
        <v>89452</v>
      </c>
      <c r="T9" s="162">
        <v>0</v>
      </c>
      <c r="U9" s="162">
        <v>0</v>
      </c>
      <c r="V9" s="162">
        <v>0</v>
      </c>
      <c r="W9" s="163">
        <v>0</v>
      </c>
      <c r="X9" s="162">
        <v>0</v>
      </c>
      <c r="Y9" s="162">
        <v>0</v>
      </c>
      <c r="Z9" s="162">
        <v>0</v>
      </c>
      <c r="AA9" s="163">
        <v>0</v>
      </c>
      <c r="AB9" s="164">
        <v>0</v>
      </c>
      <c r="AC9" s="165">
        <v>0</v>
      </c>
    </row>
    <row r="10" spans="1:29" ht="13">
      <c r="A10" s="160"/>
      <c r="B10" s="161" t="s">
        <v>853</v>
      </c>
      <c r="C10" s="161">
        <v>11342</v>
      </c>
      <c r="D10" s="15">
        <v>2065</v>
      </c>
      <c r="E10" s="15">
        <v>9226</v>
      </c>
      <c r="F10" s="15">
        <v>358</v>
      </c>
      <c r="G10" s="15">
        <v>450</v>
      </c>
      <c r="H10" s="15">
        <v>0</v>
      </c>
      <c r="I10" s="161">
        <v>23441</v>
      </c>
      <c r="J10" s="161">
        <v>0</v>
      </c>
      <c r="K10" s="15">
        <v>27988</v>
      </c>
      <c r="L10" s="15">
        <v>68809</v>
      </c>
      <c r="M10" s="15">
        <v>36063</v>
      </c>
      <c r="N10" s="161">
        <v>132860</v>
      </c>
      <c r="O10" s="161">
        <v>0</v>
      </c>
      <c r="P10" s="15">
        <v>0</v>
      </c>
      <c r="Q10" s="161">
        <v>1993</v>
      </c>
      <c r="R10" s="161">
        <v>2287</v>
      </c>
      <c r="S10" s="161">
        <v>4280</v>
      </c>
      <c r="T10" s="162">
        <v>0</v>
      </c>
      <c r="U10" s="162">
        <v>0</v>
      </c>
      <c r="V10" s="162">
        <v>0</v>
      </c>
      <c r="W10" s="163">
        <v>0</v>
      </c>
      <c r="X10" s="162">
        <v>0</v>
      </c>
      <c r="Y10" s="162">
        <v>0</v>
      </c>
      <c r="Z10" s="162">
        <v>0</v>
      </c>
      <c r="AA10" s="163">
        <v>0</v>
      </c>
      <c r="AB10" s="164">
        <v>0</v>
      </c>
      <c r="AC10" s="165">
        <v>0</v>
      </c>
    </row>
    <row r="11" spans="1:29" ht="13">
      <c r="A11" s="160"/>
      <c r="B11" s="170" t="s">
        <v>854</v>
      </c>
      <c r="C11" s="166">
        <v>5.7473215566110156E-3</v>
      </c>
      <c r="D11" s="167">
        <v>4.4427710843373495E-3</v>
      </c>
      <c r="E11" s="167">
        <v>1.1340547065237032E-2</v>
      </c>
      <c r="F11" s="167">
        <v>1.5568737279732809E-3</v>
      </c>
      <c r="G11" s="167">
        <v>3.5887743139459772E-3</v>
      </c>
      <c r="H11" s="167">
        <v>0</v>
      </c>
      <c r="I11" s="166">
        <v>6.3850813382167314E-3</v>
      </c>
      <c r="J11" s="166">
        <v>0</v>
      </c>
      <c r="K11" s="167">
        <v>7.7486157253599114E-2</v>
      </c>
      <c r="L11" s="167">
        <v>6.861529901089225E-2</v>
      </c>
      <c r="M11" s="167">
        <v>0.1154703279391894</v>
      </c>
      <c r="N11" s="166">
        <v>7.9256140024350719E-2</v>
      </c>
      <c r="O11" s="166">
        <v>0</v>
      </c>
      <c r="P11" s="167">
        <v>0</v>
      </c>
      <c r="Q11" s="166">
        <v>4.4951169452150573E-2</v>
      </c>
      <c r="R11" s="170">
        <v>5.0692674276848058E-2</v>
      </c>
      <c r="S11" s="170">
        <v>4.784688995215311E-2</v>
      </c>
      <c r="T11" s="171">
        <v>0</v>
      </c>
      <c r="U11" s="171">
        <v>0</v>
      </c>
      <c r="V11" s="171">
        <v>0</v>
      </c>
      <c r="W11" s="172">
        <v>0</v>
      </c>
      <c r="X11" s="171">
        <v>0</v>
      </c>
      <c r="Y11" s="171">
        <v>0</v>
      </c>
      <c r="Z11" s="171">
        <v>0</v>
      </c>
      <c r="AA11" s="172">
        <v>0</v>
      </c>
      <c r="AB11" s="164">
        <v>0</v>
      </c>
      <c r="AC11" s="165">
        <v>0</v>
      </c>
    </row>
    <row r="12" spans="1:29" ht="13">
      <c r="A12" s="173"/>
      <c r="B12" s="174" t="s">
        <v>855</v>
      </c>
      <c r="C12" s="175">
        <v>1.2820693922686944E-3</v>
      </c>
      <c r="D12" s="176">
        <v>8.4074178412041388E-4</v>
      </c>
      <c r="E12" s="176">
        <v>7.053715233211362E-4</v>
      </c>
      <c r="F12" s="176">
        <v>-4.2686884878618495E-4</v>
      </c>
      <c r="G12" s="176">
        <v>-1.1025283631386903E-3</v>
      </c>
      <c r="H12" s="176">
        <v>0</v>
      </c>
      <c r="I12" s="175">
        <v>9.4570336319323763E-4</v>
      </c>
      <c r="J12" s="175">
        <v>0</v>
      </c>
      <c r="K12" s="176">
        <v>1.0572824756421143E-2</v>
      </c>
      <c r="L12" s="176">
        <v>8.2108719885112813E-3</v>
      </c>
      <c r="M12" s="176">
        <v>1.6019571024469631E-2</v>
      </c>
      <c r="N12" s="175">
        <v>1.0202445134239374E-2</v>
      </c>
      <c r="O12" s="175">
        <v>0</v>
      </c>
      <c r="P12" s="176">
        <v>0</v>
      </c>
      <c r="Q12" s="175">
        <v>-2.8903599512009534E-3</v>
      </c>
      <c r="R12" s="175">
        <v>-5.2385774015777584E-3</v>
      </c>
      <c r="S12" s="175">
        <v>-3.9912034480784619E-3</v>
      </c>
      <c r="T12" s="177">
        <v>0</v>
      </c>
      <c r="U12" s="177">
        <v>0</v>
      </c>
      <c r="V12" s="177">
        <v>0</v>
      </c>
      <c r="W12" s="178">
        <v>0</v>
      </c>
      <c r="X12" s="177">
        <v>0</v>
      </c>
      <c r="Y12" s="177">
        <v>0</v>
      </c>
      <c r="Z12" s="177">
        <v>0</v>
      </c>
      <c r="AA12" s="178">
        <v>0</v>
      </c>
      <c r="AB12" s="164">
        <v>0</v>
      </c>
      <c r="AC12" s="165">
        <v>0</v>
      </c>
    </row>
    <row r="13" spans="1:29" ht="13">
      <c r="A13" s="159" t="s">
        <v>103</v>
      </c>
      <c r="B13" s="143" t="s">
        <v>849</v>
      </c>
      <c r="C13" s="143">
        <v>666952</v>
      </c>
      <c r="D13" s="155">
        <v>191891</v>
      </c>
      <c r="E13" s="155">
        <v>763199</v>
      </c>
      <c r="F13" s="155">
        <v>260631</v>
      </c>
      <c r="G13" s="155">
        <v>0</v>
      </c>
      <c r="H13" s="155">
        <v>229235</v>
      </c>
      <c r="I13" s="143">
        <v>2111908</v>
      </c>
      <c r="J13" s="143">
        <v>0</v>
      </c>
      <c r="K13" s="155">
        <v>149685</v>
      </c>
      <c r="L13" s="155">
        <v>186040</v>
      </c>
      <c r="M13" s="155">
        <v>594036</v>
      </c>
      <c r="N13" s="143">
        <v>929761</v>
      </c>
      <c r="O13" s="143">
        <v>0</v>
      </c>
      <c r="P13" s="155">
        <v>0</v>
      </c>
      <c r="Q13" s="143">
        <v>0</v>
      </c>
      <c r="R13" s="143">
        <v>0</v>
      </c>
      <c r="S13" s="143">
        <v>0</v>
      </c>
      <c r="T13" s="151">
        <v>0</v>
      </c>
      <c r="U13" s="151">
        <v>0</v>
      </c>
      <c r="V13" s="151">
        <v>0</v>
      </c>
      <c r="W13" s="152">
        <v>0</v>
      </c>
      <c r="X13" s="151">
        <v>0</v>
      </c>
      <c r="Y13" s="151">
        <v>0</v>
      </c>
      <c r="Z13" s="151">
        <v>0</v>
      </c>
      <c r="AA13" s="152">
        <v>0</v>
      </c>
      <c r="AB13" s="153">
        <v>0</v>
      </c>
      <c r="AC13" s="154">
        <v>0</v>
      </c>
    </row>
    <row r="14" spans="1:29" ht="13">
      <c r="A14" s="160"/>
      <c r="B14" s="161" t="s">
        <v>850</v>
      </c>
      <c r="C14" s="161">
        <v>2241</v>
      </c>
      <c r="D14" s="15">
        <v>17871</v>
      </c>
      <c r="E14" s="15">
        <v>33924</v>
      </c>
      <c r="F14" s="15">
        <v>10139</v>
      </c>
      <c r="G14" s="15">
        <v>0</v>
      </c>
      <c r="H14" s="15">
        <v>16161</v>
      </c>
      <c r="I14" s="161">
        <v>80336</v>
      </c>
      <c r="J14" s="161">
        <v>0</v>
      </c>
      <c r="K14" s="15">
        <v>22626</v>
      </c>
      <c r="L14" s="15">
        <v>14122</v>
      </c>
      <c r="M14" s="15">
        <v>89474</v>
      </c>
      <c r="N14" s="161">
        <v>126222</v>
      </c>
      <c r="O14" s="161">
        <v>0</v>
      </c>
      <c r="P14" s="15">
        <v>0</v>
      </c>
      <c r="Q14" s="161">
        <v>0</v>
      </c>
      <c r="R14" s="161">
        <v>0</v>
      </c>
      <c r="S14" s="161">
        <v>0</v>
      </c>
      <c r="T14" s="162">
        <v>0</v>
      </c>
      <c r="U14" s="162">
        <v>0</v>
      </c>
      <c r="V14" s="162">
        <v>0</v>
      </c>
      <c r="W14" s="163">
        <v>0</v>
      </c>
      <c r="X14" s="162">
        <v>0</v>
      </c>
      <c r="Y14" s="162">
        <v>0</v>
      </c>
      <c r="Z14" s="162">
        <v>0</v>
      </c>
      <c r="AA14" s="163">
        <v>0</v>
      </c>
      <c r="AB14" s="164">
        <v>0</v>
      </c>
      <c r="AC14" s="165">
        <v>0</v>
      </c>
    </row>
    <row r="15" spans="1:29" ht="13">
      <c r="A15" s="160"/>
      <c r="B15" s="166" t="s">
        <v>851</v>
      </c>
      <c r="C15" s="166">
        <v>3.3600618935095781E-3</v>
      </c>
      <c r="D15" s="167">
        <v>9.3130996242658595E-2</v>
      </c>
      <c r="E15" s="167">
        <v>4.4449743775869729E-2</v>
      </c>
      <c r="F15" s="167">
        <v>3.8901742310009167E-2</v>
      </c>
      <c r="G15" s="167">
        <v>0</v>
      </c>
      <c r="H15" s="167">
        <v>7.0499705542347371E-2</v>
      </c>
      <c r="I15" s="166">
        <v>3.8039535813113069E-2</v>
      </c>
      <c r="J15" s="166">
        <v>0</v>
      </c>
      <c r="K15" s="167">
        <v>0.15115743060426898</v>
      </c>
      <c r="L15" s="167">
        <v>7.5908406794237798E-2</v>
      </c>
      <c r="M15" s="167">
        <v>0.15062050111441058</v>
      </c>
      <c r="N15" s="166">
        <v>0.13575746885489928</v>
      </c>
      <c r="O15" s="166">
        <v>0</v>
      </c>
      <c r="P15" s="167">
        <v>0</v>
      </c>
      <c r="Q15" s="166">
        <v>0</v>
      </c>
      <c r="R15" s="166">
        <v>0</v>
      </c>
      <c r="S15" s="166">
        <v>0</v>
      </c>
      <c r="T15" s="168">
        <v>0</v>
      </c>
      <c r="U15" s="168">
        <v>0</v>
      </c>
      <c r="V15" s="168">
        <v>0</v>
      </c>
      <c r="W15" s="169">
        <v>0</v>
      </c>
      <c r="X15" s="168">
        <v>0</v>
      </c>
      <c r="Y15" s="168">
        <v>0</v>
      </c>
      <c r="Z15" s="168">
        <v>0</v>
      </c>
      <c r="AA15" s="169">
        <v>0</v>
      </c>
      <c r="AB15" s="164">
        <v>0</v>
      </c>
      <c r="AC15" s="165">
        <v>0</v>
      </c>
    </row>
    <row r="16" spans="1:29" ht="13">
      <c r="A16" s="160"/>
      <c r="B16" s="161" t="s">
        <v>852</v>
      </c>
      <c r="C16" s="161">
        <v>663774</v>
      </c>
      <c r="D16" s="15">
        <v>175222</v>
      </c>
      <c r="E16" s="15">
        <v>745856</v>
      </c>
      <c r="F16" s="15">
        <v>256554</v>
      </c>
      <c r="G16" s="15">
        <v>0</v>
      </c>
      <c r="H16" s="15">
        <v>220599</v>
      </c>
      <c r="I16" s="161">
        <v>2062005</v>
      </c>
      <c r="J16" s="161">
        <v>0</v>
      </c>
      <c r="K16" s="15">
        <v>150746</v>
      </c>
      <c r="L16" s="15">
        <v>188653</v>
      </c>
      <c r="M16" s="15">
        <v>589214</v>
      </c>
      <c r="N16" s="161">
        <v>928613</v>
      </c>
      <c r="O16" s="161">
        <v>0</v>
      </c>
      <c r="P16" s="15">
        <v>0</v>
      </c>
      <c r="Q16" s="161">
        <v>0</v>
      </c>
      <c r="R16" s="161">
        <v>0</v>
      </c>
      <c r="S16" s="161">
        <v>0</v>
      </c>
      <c r="T16" s="162">
        <v>0</v>
      </c>
      <c r="U16" s="162">
        <v>0</v>
      </c>
      <c r="V16" s="162">
        <v>0</v>
      </c>
      <c r="W16" s="163">
        <v>0</v>
      </c>
      <c r="X16" s="162">
        <v>0</v>
      </c>
      <c r="Y16" s="162">
        <v>0</v>
      </c>
      <c r="Z16" s="162">
        <v>0</v>
      </c>
      <c r="AA16" s="163">
        <v>0</v>
      </c>
      <c r="AB16" s="164">
        <v>0</v>
      </c>
      <c r="AC16" s="165">
        <v>0</v>
      </c>
    </row>
    <row r="17" spans="1:29" ht="13">
      <c r="A17" s="160"/>
      <c r="B17" s="161" t="s">
        <v>853</v>
      </c>
      <c r="C17" s="161">
        <v>1941</v>
      </c>
      <c r="D17" s="15">
        <v>12084</v>
      </c>
      <c r="E17" s="15">
        <v>36519</v>
      </c>
      <c r="F17" s="15">
        <v>10890</v>
      </c>
      <c r="G17" s="15">
        <v>0</v>
      </c>
      <c r="H17" s="15">
        <v>16239</v>
      </c>
      <c r="I17" s="161">
        <v>77673</v>
      </c>
      <c r="J17" s="161">
        <v>0</v>
      </c>
      <c r="K17" s="15">
        <v>24056</v>
      </c>
      <c r="L17" s="15">
        <v>16163</v>
      </c>
      <c r="M17" s="15">
        <v>92565</v>
      </c>
      <c r="N17" s="161">
        <v>132784</v>
      </c>
      <c r="O17" s="161">
        <v>0</v>
      </c>
      <c r="P17" s="15">
        <v>0</v>
      </c>
      <c r="Q17" s="161">
        <v>0</v>
      </c>
      <c r="R17" s="161">
        <v>0</v>
      </c>
      <c r="S17" s="161">
        <v>0</v>
      </c>
      <c r="T17" s="162">
        <v>0</v>
      </c>
      <c r="U17" s="162">
        <v>0</v>
      </c>
      <c r="V17" s="162">
        <v>0</v>
      </c>
      <c r="W17" s="163">
        <v>0</v>
      </c>
      <c r="X17" s="162">
        <v>0</v>
      </c>
      <c r="Y17" s="162">
        <v>0</v>
      </c>
      <c r="Z17" s="162">
        <v>0</v>
      </c>
      <c r="AA17" s="163">
        <v>0</v>
      </c>
      <c r="AB17" s="164">
        <v>0</v>
      </c>
      <c r="AC17" s="165">
        <v>0</v>
      </c>
    </row>
    <row r="18" spans="1:29" ht="13">
      <c r="A18" s="160"/>
      <c r="B18" s="170" t="s">
        <v>854</v>
      </c>
      <c r="C18" s="166">
        <v>2.9241880519574434E-3</v>
      </c>
      <c r="D18" s="167">
        <v>6.8963942883884438E-2</v>
      </c>
      <c r="E18" s="167">
        <v>4.8962534322979236E-2</v>
      </c>
      <c r="F18" s="167">
        <v>4.2447204097383007E-2</v>
      </c>
      <c r="G18" s="167">
        <v>0</v>
      </c>
      <c r="H18" s="167">
        <v>7.3613207675465434E-2</v>
      </c>
      <c r="I18" s="166">
        <v>3.766867684607942E-2</v>
      </c>
      <c r="J18" s="166">
        <v>0</v>
      </c>
      <c r="K18" s="167">
        <v>0.15957969034004219</v>
      </c>
      <c r="L18" s="167">
        <v>8.5675817506215113E-2</v>
      </c>
      <c r="M18" s="167">
        <v>0.15709911848666189</v>
      </c>
      <c r="N18" s="166">
        <v>0.14299175221540081</v>
      </c>
      <c r="O18" s="166">
        <v>0</v>
      </c>
      <c r="P18" s="167">
        <v>0</v>
      </c>
      <c r="Q18" s="166">
        <v>0</v>
      </c>
      <c r="R18" s="170">
        <v>0</v>
      </c>
      <c r="S18" s="170">
        <v>0</v>
      </c>
      <c r="T18" s="171">
        <v>0</v>
      </c>
      <c r="U18" s="171">
        <v>0</v>
      </c>
      <c r="V18" s="171">
        <v>0</v>
      </c>
      <c r="W18" s="172">
        <v>0</v>
      </c>
      <c r="X18" s="171">
        <v>0</v>
      </c>
      <c r="Y18" s="171">
        <v>0</v>
      </c>
      <c r="Z18" s="171">
        <v>0</v>
      </c>
      <c r="AA18" s="172">
        <v>0</v>
      </c>
      <c r="AB18" s="164">
        <v>0</v>
      </c>
      <c r="AC18" s="165">
        <v>0</v>
      </c>
    </row>
    <row r="19" spans="1:29" ht="13">
      <c r="A19" s="173"/>
      <c r="B19" s="174" t="s">
        <v>855</v>
      </c>
      <c r="C19" s="175">
        <v>-4.3587384155213465E-4</v>
      </c>
      <c r="D19" s="176">
        <v>-2.4167053358774157E-2</v>
      </c>
      <c r="E19" s="176">
        <v>4.5127905471095062E-3</v>
      </c>
      <c r="F19" s="176">
        <v>3.5454617873738395E-3</v>
      </c>
      <c r="G19" s="176">
        <v>0</v>
      </c>
      <c r="H19" s="176">
        <v>3.1135021331180623E-3</v>
      </c>
      <c r="I19" s="175">
        <v>-3.7085896703364929E-4</v>
      </c>
      <c r="J19" s="175">
        <v>0</v>
      </c>
      <c r="K19" s="176">
        <v>8.4222597357732076E-3</v>
      </c>
      <c r="L19" s="176">
        <v>9.7674107119773146E-3</v>
      </c>
      <c r="M19" s="176">
        <v>6.4786173722513052E-3</v>
      </c>
      <c r="N19" s="175">
        <v>7.2342833605015255E-3</v>
      </c>
      <c r="O19" s="175">
        <v>0</v>
      </c>
      <c r="P19" s="176">
        <v>0</v>
      </c>
      <c r="Q19" s="175">
        <v>0</v>
      </c>
      <c r="R19" s="175">
        <v>0</v>
      </c>
      <c r="S19" s="175">
        <v>0</v>
      </c>
      <c r="T19" s="177">
        <v>0</v>
      </c>
      <c r="U19" s="177">
        <v>0</v>
      </c>
      <c r="V19" s="177">
        <v>0</v>
      </c>
      <c r="W19" s="178">
        <v>0</v>
      </c>
      <c r="X19" s="177">
        <v>0</v>
      </c>
      <c r="Y19" s="177">
        <v>0</v>
      </c>
      <c r="Z19" s="177">
        <v>0</v>
      </c>
      <c r="AA19" s="178">
        <v>0</v>
      </c>
      <c r="AB19" s="164">
        <v>0</v>
      </c>
      <c r="AC19" s="165">
        <v>0</v>
      </c>
    </row>
    <row r="20" spans="1:29" ht="13">
      <c r="A20" s="159" t="s">
        <v>477</v>
      </c>
      <c r="B20" s="143" t="s">
        <v>849</v>
      </c>
      <c r="C20" s="143">
        <v>0</v>
      </c>
      <c r="D20" s="155">
        <v>0</v>
      </c>
      <c r="E20" s="155">
        <v>0</v>
      </c>
      <c r="F20" s="155">
        <v>0</v>
      </c>
      <c r="G20" s="155">
        <v>0</v>
      </c>
      <c r="H20" s="155">
        <v>0</v>
      </c>
      <c r="I20" s="143">
        <v>0</v>
      </c>
      <c r="J20" s="143">
        <v>0</v>
      </c>
      <c r="K20" s="155">
        <v>0</v>
      </c>
      <c r="L20" s="155">
        <v>0</v>
      </c>
      <c r="M20" s="155">
        <v>0</v>
      </c>
      <c r="N20" s="143">
        <v>0</v>
      </c>
      <c r="O20" s="143">
        <v>0</v>
      </c>
      <c r="P20" s="155">
        <v>0</v>
      </c>
      <c r="Q20" s="143">
        <v>0</v>
      </c>
      <c r="R20" s="143">
        <v>0</v>
      </c>
      <c r="S20" s="143">
        <v>0</v>
      </c>
      <c r="T20" s="151">
        <v>0</v>
      </c>
      <c r="U20" s="151">
        <v>0</v>
      </c>
      <c r="V20" s="151">
        <v>0</v>
      </c>
      <c r="W20" s="152">
        <v>0</v>
      </c>
      <c r="X20" s="151">
        <v>0</v>
      </c>
      <c r="Y20" s="151">
        <v>0</v>
      </c>
      <c r="Z20" s="151">
        <v>0</v>
      </c>
      <c r="AA20" s="152">
        <v>0</v>
      </c>
      <c r="AB20" s="153">
        <v>0</v>
      </c>
      <c r="AC20" s="154">
        <v>0</v>
      </c>
    </row>
    <row r="21" spans="1:29" ht="13">
      <c r="A21" s="160"/>
      <c r="B21" s="161" t="s">
        <v>850</v>
      </c>
      <c r="C21" s="161">
        <v>0</v>
      </c>
      <c r="D21" s="15">
        <v>0</v>
      </c>
      <c r="E21" s="15">
        <v>0</v>
      </c>
      <c r="F21" s="15">
        <v>0</v>
      </c>
      <c r="G21" s="15">
        <v>0</v>
      </c>
      <c r="H21" s="15">
        <v>0</v>
      </c>
      <c r="I21" s="161">
        <v>0</v>
      </c>
      <c r="J21" s="161">
        <v>0</v>
      </c>
      <c r="K21" s="15">
        <v>0</v>
      </c>
      <c r="L21" s="15">
        <v>0</v>
      </c>
      <c r="M21" s="15">
        <v>0</v>
      </c>
      <c r="N21" s="161">
        <v>0</v>
      </c>
      <c r="O21" s="161">
        <v>0</v>
      </c>
      <c r="P21" s="15">
        <v>0</v>
      </c>
      <c r="Q21" s="161">
        <v>0</v>
      </c>
      <c r="R21" s="161">
        <v>0</v>
      </c>
      <c r="S21" s="161">
        <v>0</v>
      </c>
      <c r="T21" s="162">
        <v>0</v>
      </c>
      <c r="U21" s="162">
        <v>0</v>
      </c>
      <c r="V21" s="162">
        <v>0</v>
      </c>
      <c r="W21" s="163">
        <v>0</v>
      </c>
      <c r="X21" s="162">
        <v>0</v>
      </c>
      <c r="Y21" s="162">
        <v>0</v>
      </c>
      <c r="Z21" s="162">
        <v>0</v>
      </c>
      <c r="AA21" s="163">
        <v>0</v>
      </c>
      <c r="AB21" s="164">
        <v>0</v>
      </c>
      <c r="AC21" s="165">
        <v>0</v>
      </c>
    </row>
    <row r="22" spans="1:29" ht="13">
      <c r="A22" s="160"/>
      <c r="B22" s="166" t="s">
        <v>851</v>
      </c>
      <c r="C22" s="166">
        <v>0</v>
      </c>
      <c r="D22" s="167">
        <v>0</v>
      </c>
      <c r="E22" s="167">
        <v>0</v>
      </c>
      <c r="F22" s="167">
        <v>0</v>
      </c>
      <c r="G22" s="167">
        <v>0</v>
      </c>
      <c r="H22" s="167">
        <v>0</v>
      </c>
      <c r="I22" s="166">
        <v>0</v>
      </c>
      <c r="J22" s="166">
        <v>0</v>
      </c>
      <c r="K22" s="167">
        <v>0</v>
      </c>
      <c r="L22" s="167">
        <v>0</v>
      </c>
      <c r="M22" s="167">
        <v>0</v>
      </c>
      <c r="N22" s="166">
        <v>0</v>
      </c>
      <c r="O22" s="166">
        <v>0</v>
      </c>
      <c r="P22" s="167">
        <v>0</v>
      </c>
      <c r="Q22" s="166">
        <v>0</v>
      </c>
      <c r="R22" s="166">
        <v>0</v>
      </c>
      <c r="S22" s="166">
        <v>0</v>
      </c>
      <c r="T22" s="168">
        <v>0</v>
      </c>
      <c r="U22" s="168">
        <v>0</v>
      </c>
      <c r="V22" s="168">
        <v>0</v>
      </c>
      <c r="W22" s="169">
        <v>0</v>
      </c>
      <c r="X22" s="168">
        <v>0</v>
      </c>
      <c r="Y22" s="168">
        <v>0</v>
      </c>
      <c r="Z22" s="168">
        <v>0</v>
      </c>
      <c r="AA22" s="169">
        <v>0</v>
      </c>
      <c r="AB22" s="164">
        <v>0</v>
      </c>
      <c r="AC22" s="165">
        <v>0</v>
      </c>
    </row>
    <row r="23" spans="1:29" ht="13">
      <c r="A23" s="160"/>
      <c r="B23" s="161" t="s">
        <v>852</v>
      </c>
      <c r="C23" s="161">
        <v>0</v>
      </c>
      <c r="D23" s="15">
        <v>0</v>
      </c>
      <c r="E23" s="15">
        <v>0</v>
      </c>
      <c r="F23" s="15">
        <v>0</v>
      </c>
      <c r="G23" s="15">
        <v>0</v>
      </c>
      <c r="H23" s="15">
        <v>0</v>
      </c>
      <c r="I23" s="161">
        <v>0</v>
      </c>
      <c r="J23" s="161">
        <v>0</v>
      </c>
      <c r="K23" s="15">
        <v>0</v>
      </c>
      <c r="L23" s="15">
        <v>0</v>
      </c>
      <c r="M23" s="15">
        <v>0</v>
      </c>
      <c r="N23" s="161">
        <v>0</v>
      </c>
      <c r="O23" s="161">
        <v>0</v>
      </c>
      <c r="P23" s="15">
        <v>0</v>
      </c>
      <c r="Q23" s="161">
        <v>0</v>
      </c>
      <c r="R23" s="161">
        <v>0</v>
      </c>
      <c r="S23" s="161">
        <v>0</v>
      </c>
      <c r="T23" s="162">
        <v>0</v>
      </c>
      <c r="U23" s="162">
        <v>0</v>
      </c>
      <c r="V23" s="162">
        <v>0</v>
      </c>
      <c r="W23" s="163">
        <v>0</v>
      </c>
      <c r="X23" s="162">
        <v>0</v>
      </c>
      <c r="Y23" s="162">
        <v>0</v>
      </c>
      <c r="Z23" s="162">
        <v>0</v>
      </c>
      <c r="AA23" s="163">
        <v>0</v>
      </c>
      <c r="AB23" s="164">
        <v>0</v>
      </c>
      <c r="AC23" s="165">
        <v>0</v>
      </c>
    </row>
    <row r="24" spans="1:29" ht="13">
      <c r="A24" s="160"/>
      <c r="B24" s="161" t="s">
        <v>853</v>
      </c>
      <c r="C24" s="161">
        <v>0</v>
      </c>
      <c r="D24" s="15">
        <v>0</v>
      </c>
      <c r="E24" s="15">
        <v>0</v>
      </c>
      <c r="F24" s="15">
        <v>0</v>
      </c>
      <c r="G24" s="15">
        <v>0</v>
      </c>
      <c r="H24" s="15">
        <v>0</v>
      </c>
      <c r="I24" s="161">
        <v>0</v>
      </c>
      <c r="J24" s="161">
        <v>0</v>
      </c>
      <c r="K24" s="15">
        <v>0</v>
      </c>
      <c r="L24" s="15">
        <v>0</v>
      </c>
      <c r="M24" s="15">
        <v>0</v>
      </c>
      <c r="N24" s="161">
        <v>0</v>
      </c>
      <c r="O24" s="161">
        <v>0</v>
      </c>
      <c r="P24" s="15">
        <v>0</v>
      </c>
      <c r="Q24" s="161">
        <v>0</v>
      </c>
      <c r="R24" s="161">
        <v>0</v>
      </c>
      <c r="S24" s="161">
        <v>0</v>
      </c>
      <c r="T24" s="162">
        <v>0</v>
      </c>
      <c r="U24" s="162">
        <v>0</v>
      </c>
      <c r="V24" s="162">
        <v>0</v>
      </c>
      <c r="W24" s="163">
        <v>0</v>
      </c>
      <c r="X24" s="162">
        <v>0</v>
      </c>
      <c r="Y24" s="162">
        <v>0</v>
      </c>
      <c r="Z24" s="162">
        <v>0</v>
      </c>
      <c r="AA24" s="163">
        <v>0</v>
      </c>
      <c r="AB24" s="164">
        <v>0</v>
      </c>
      <c r="AC24" s="165">
        <v>0</v>
      </c>
    </row>
    <row r="25" spans="1:29" ht="13">
      <c r="A25" s="160"/>
      <c r="B25" s="170" t="s">
        <v>854</v>
      </c>
      <c r="C25" s="166">
        <v>0</v>
      </c>
      <c r="D25" s="167">
        <v>0</v>
      </c>
      <c r="E25" s="167">
        <v>0</v>
      </c>
      <c r="F25" s="167">
        <v>0</v>
      </c>
      <c r="G25" s="167">
        <v>0</v>
      </c>
      <c r="H25" s="167">
        <v>0</v>
      </c>
      <c r="I25" s="166">
        <v>0</v>
      </c>
      <c r="J25" s="166">
        <v>0</v>
      </c>
      <c r="K25" s="167">
        <v>0</v>
      </c>
      <c r="L25" s="167">
        <v>0</v>
      </c>
      <c r="M25" s="167">
        <v>0</v>
      </c>
      <c r="N25" s="166">
        <v>0</v>
      </c>
      <c r="O25" s="166">
        <v>0</v>
      </c>
      <c r="P25" s="167">
        <v>0</v>
      </c>
      <c r="Q25" s="166">
        <v>0</v>
      </c>
      <c r="R25" s="170">
        <v>0</v>
      </c>
      <c r="S25" s="170">
        <v>0</v>
      </c>
      <c r="T25" s="171">
        <v>0</v>
      </c>
      <c r="U25" s="171">
        <v>0</v>
      </c>
      <c r="V25" s="171">
        <v>0</v>
      </c>
      <c r="W25" s="172">
        <v>0</v>
      </c>
      <c r="X25" s="171">
        <v>0</v>
      </c>
      <c r="Y25" s="171">
        <v>0</v>
      </c>
      <c r="Z25" s="171">
        <v>0</v>
      </c>
      <c r="AA25" s="172">
        <v>0</v>
      </c>
      <c r="AB25" s="164">
        <v>0</v>
      </c>
      <c r="AC25" s="165">
        <v>0</v>
      </c>
    </row>
    <row r="26" spans="1:29" ht="13">
      <c r="A26" s="173"/>
      <c r="B26" s="174" t="s">
        <v>855</v>
      </c>
      <c r="C26" s="175">
        <v>0</v>
      </c>
      <c r="D26" s="176">
        <v>0</v>
      </c>
      <c r="E26" s="176">
        <v>0</v>
      </c>
      <c r="F26" s="176">
        <v>0</v>
      </c>
      <c r="G26" s="176">
        <v>0</v>
      </c>
      <c r="H26" s="176">
        <v>0</v>
      </c>
      <c r="I26" s="175">
        <v>0</v>
      </c>
      <c r="J26" s="175">
        <v>0</v>
      </c>
      <c r="K26" s="176">
        <v>0</v>
      </c>
      <c r="L26" s="176">
        <v>0</v>
      </c>
      <c r="M26" s="176">
        <v>0</v>
      </c>
      <c r="N26" s="175">
        <v>0</v>
      </c>
      <c r="O26" s="175">
        <v>0</v>
      </c>
      <c r="P26" s="176">
        <v>0</v>
      </c>
      <c r="Q26" s="175">
        <v>0</v>
      </c>
      <c r="R26" s="175">
        <v>0</v>
      </c>
      <c r="S26" s="175">
        <v>0</v>
      </c>
      <c r="T26" s="177">
        <v>0</v>
      </c>
      <c r="U26" s="177">
        <v>0</v>
      </c>
      <c r="V26" s="177">
        <v>0</v>
      </c>
      <c r="W26" s="178">
        <v>0</v>
      </c>
      <c r="X26" s="177">
        <v>0</v>
      </c>
      <c r="Y26" s="177">
        <v>0</v>
      </c>
      <c r="Z26" s="177">
        <v>0</v>
      </c>
      <c r="AA26" s="178">
        <v>0</v>
      </c>
      <c r="AB26" s="164">
        <v>0</v>
      </c>
      <c r="AC26" s="165">
        <v>0</v>
      </c>
    </row>
    <row r="27" spans="1:29" ht="13">
      <c r="A27" s="159" t="s">
        <v>132</v>
      </c>
      <c r="B27" s="143" t="s">
        <v>849</v>
      </c>
      <c r="C27" s="143">
        <v>0</v>
      </c>
      <c r="D27" s="155">
        <v>0</v>
      </c>
      <c r="E27" s="155">
        <v>0</v>
      </c>
      <c r="F27" s="155">
        <v>0</v>
      </c>
      <c r="G27" s="155">
        <v>0</v>
      </c>
      <c r="H27" s="155">
        <v>0</v>
      </c>
      <c r="I27" s="143">
        <v>0</v>
      </c>
      <c r="J27" s="143">
        <v>23158383</v>
      </c>
      <c r="K27" s="155">
        <v>3280919</v>
      </c>
      <c r="L27" s="155">
        <v>0</v>
      </c>
      <c r="M27" s="155">
        <v>199184</v>
      </c>
      <c r="N27" s="143">
        <v>26638486</v>
      </c>
      <c r="O27" s="143">
        <v>0</v>
      </c>
      <c r="P27" s="155">
        <v>0</v>
      </c>
      <c r="Q27" s="143">
        <v>0</v>
      </c>
      <c r="R27" s="143">
        <v>0</v>
      </c>
      <c r="S27" s="143">
        <v>0</v>
      </c>
      <c r="T27" s="151">
        <v>0</v>
      </c>
      <c r="U27" s="151">
        <v>0</v>
      </c>
      <c r="V27" s="151">
        <v>0</v>
      </c>
      <c r="W27" s="152">
        <v>0</v>
      </c>
      <c r="X27" s="151">
        <v>0</v>
      </c>
      <c r="Y27" s="151">
        <v>0</v>
      </c>
      <c r="Z27" s="151">
        <v>0</v>
      </c>
      <c r="AA27" s="152">
        <v>0</v>
      </c>
      <c r="AB27" s="153">
        <v>0</v>
      </c>
      <c r="AC27" s="154">
        <v>0</v>
      </c>
    </row>
    <row r="28" spans="1:29" ht="13">
      <c r="A28" s="160"/>
      <c r="B28" s="161" t="s">
        <v>850</v>
      </c>
      <c r="C28" s="161">
        <v>0</v>
      </c>
      <c r="D28" s="15">
        <v>0</v>
      </c>
      <c r="E28" s="15">
        <v>0</v>
      </c>
      <c r="F28" s="15">
        <v>0</v>
      </c>
      <c r="G28" s="15">
        <v>0</v>
      </c>
      <c r="H28" s="15">
        <v>0</v>
      </c>
      <c r="I28" s="161">
        <v>0</v>
      </c>
      <c r="J28" s="161">
        <v>966574</v>
      </c>
      <c r="K28" s="15">
        <v>70041</v>
      </c>
      <c r="L28" s="15">
        <v>0</v>
      </c>
      <c r="M28" s="15">
        <v>12651</v>
      </c>
      <c r="N28" s="161">
        <v>1049266</v>
      </c>
      <c r="O28" s="161">
        <v>0</v>
      </c>
      <c r="P28" s="15">
        <v>0</v>
      </c>
      <c r="Q28" s="161">
        <v>0</v>
      </c>
      <c r="R28" s="161">
        <v>0</v>
      </c>
      <c r="S28" s="161">
        <v>0</v>
      </c>
      <c r="T28" s="162">
        <v>0</v>
      </c>
      <c r="U28" s="162">
        <v>0</v>
      </c>
      <c r="V28" s="162">
        <v>0</v>
      </c>
      <c r="W28" s="163">
        <v>0</v>
      </c>
      <c r="X28" s="162">
        <v>0</v>
      </c>
      <c r="Y28" s="162">
        <v>0</v>
      </c>
      <c r="Z28" s="162">
        <v>0</v>
      </c>
      <c r="AA28" s="163">
        <v>0</v>
      </c>
      <c r="AB28" s="164">
        <v>0</v>
      </c>
      <c r="AC28" s="165">
        <v>0</v>
      </c>
    </row>
    <row r="29" spans="1:29" ht="13">
      <c r="A29" s="160"/>
      <c r="B29" s="166" t="s">
        <v>851</v>
      </c>
      <c r="C29" s="166">
        <v>0</v>
      </c>
      <c r="D29" s="167">
        <v>0</v>
      </c>
      <c r="E29" s="167">
        <v>0</v>
      </c>
      <c r="F29" s="167">
        <v>0</v>
      </c>
      <c r="G29" s="167">
        <v>0</v>
      </c>
      <c r="H29" s="167">
        <v>0</v>
      </c>
      <c r="I29" s="166">
        <v>0</v>
      </c>
      <c r="J29" s="166">
        <v>4.1737542729127504E-2</v>
      </c>
      <c r="K29" s="167">
        <v>2.1347982074534606E-2</v>
      </c>
      <c r="L29" s="167">
        <v>0</v>
      </c>
      <c r="M29" s="167">
        <v>6.3514137681741509E-2</v>
      </c>
      <c r="N29" s="166">
        <v>3.9389100416592743E-2</v>
      </c>
      <c r="O29" s="166">
        <v>0</v>
      </c>
      <c r="P29" s="167">
        <v>0</v>
      </c>
      <c r="Q29" s="166">
        <v>0</v>
      </c>
      <c r="R29" s="166">
        <v>0</v>
      </c>
      <c r="S29" s="166">
        <v>0</v>
      </c>
      <c r="T29" s="168">
        <v>0</v>
      </c>
      <c r="U29" s="168">
        <v>0</v>
      </c>
      <c r="V29" s="168">
        <v>0</v>
      </c>
      <c r="W29" s="169">
        <v>0</v>
      </c>
      <c r="X29" s="168">
        <v>0</v>
      </c>
      <c r="Y29" s="168">
        <v>0</v>
      </c>
      <c r="Z29" s="168">
        <v>0</v>
      </c>
      <c r="AA29" s="169">
        <v>0</v>
      </c>
      <c r="AB29" s="164">
        <v>0</v>
      </c>
      <c r="AC29" s="165">
        <v>0</v>
      </c>
    </row>
    <row r="30" spans="1:29" ht="13">
      <c r="A30" s="160"/>
      <c r="B30" s="161" t="s">
        <v>852</v>
      </c>
      <c r="C30" s="161">
        <v>0</v>
      </c>
      <c r="D30" s="15">
        <v>0</v>
      </c>
      <c r="E30" s="15">
        <v>0</v>
      </c>
      <c r="F30" s="15">
        <v>0</v>
      </c>
      <c r="G30" s="15">
        <v>0</v>
      </c>
      <c r="H30" s="15">
        <v>0</v>
      </c>
      <c r="I30" s="161">
        <v>0</v>
      </c>
      <c r="J30" s="161">
        <v>21922505</v>
      </c>
      <c r="K30" s="15">
        <v>3158472</v>
      </c>
      <c r="L30" s="15">
        <v>0</v>
      </c>
      <c r="M30" s="15">
        <v>200975</v>
      </c>
      <c r="N30" s="161">
        <v>25281952</v>
      </c>
      <c r="O30" s="161">
        <v>0</v>
      </c>
      <c r="P30" s="15">
        <v>0</v>
      </c>
      <c r="Q30" s="161">
        <v>0</v>
      </c>
      <c r="R30" s="161">
        <v>0</v>
      </c>
      <c r="S30" s="161">
        <v>0</v>
      </c>
      <c r="T30" s="162">
        <v>0</v>
      </c>
      <c r="U30" s="162">
        <v>0</v>
      </c>
      <c r="V30" s="162">
        <v>0</v>
      </c>
      <c r="W30" s="163">
        <v>0</v>
      </c>
      <c r="X30" s="162">
        <v>0</v>
      </c>
      <c r="Y30" s="162">
        <v>0</v>
      </c>
      <c r="Z30" s="162">
        <v>0</v>
      </c>
      <c r="AA30" s="163">
        <v>0</v>
      </c>
      <c r="AB30" s="164">
        <v>0</v>
      </c>
      <c r="AC30" s="165">
        <v>0</v>
      </c>
    </row>
    <row r="31" spans="1:29" ht="13">
      <c r="A31" s="160"/>
      <c r="B31" s="161" t="s">
        <v>853</v>
      </c>
      <c r="C31" s="161">
        <v>0</v>
      </c>
      <c r="D31" s="15">
        <v>0</v>
      </c>
      <c r="E31" s="15">
        <v>0</v>
      </c>
      <c r="F31" s="15">
        <v>0</v>
      </c>
      <c r="G31" s="15">
        <v>0</v>
      </c>
      <c r="H31" s="15">
        <v>0</v>
      </c>
      <c r="I31" s="161">
        <v>0</v>
      </c>
      <c r="J31" s="161">
        <v>1005571</v>
      </c>
      <c r="K31" s="15">
        <v>76908</v>
      </c>
      <c r="L31" s="15">
        <v>0</v>
      </c>
      <c r="M31" s="15">
        <v>14576</v>
      </c>
      <c r="N31" s="161">
        <v>1097055</v>
      </c>
      <c r="O31" s="161">
        <v>0</v>
      </c>
      <c r="P31" s="15">
        <v>0</v>
      </c>
      <c r="Q31" s="161">
        <v>0</v>
      </c>
      <c r="R31" s="161">
        <v>0</v>
      </c>
      <c r="S31" s="161">
        <v>0</v>
      </c>
      <c r="T31" s="162">
        <v>0</v>
      </c>
      <c r="U31" s="162">
        <v>0</v>
      </c>
      <c r="V31" s="162">
        <v>0</v>
      </c>
      <c r="W31" s="163">
        <v>0</v>
      </c>
      <c r="X31" s="162">
        <v>0</v>
      </c>
      <c r="Y31" s="162">
        <v>0</v>
      </c>
      <c r="Z31" s="162">
        <v>0</v>
      </c>
      <c r="AA31" s="163">
        <v>0</v>
      </c>
      <c r="AB31" s="164">
        <v>0</v>
      </c>
      <c r="AC31" s="165">
        <v>0</v>
      </c>
    </row>
    <row r="32" spans="1:29" ht="13">
      <c r="A32" s="160"/>
      <c r="B32" s="170" t="s">
        <v>854</v>
      </c>
      <c r="C32" s="166">
        <v>0</v>
      </c>
      <c r="D32" s="167">
        <v>0</v>
      </c>
      <c r="E32" s="167">
        <v>0</v>
      </c>
      <c r="F32" s="167">
        <v>0</v>
      </c>
      <c r="G32" s="167">
        <v>0</v>
      </c>
      <c r="H32" s="167">
        <v>0</v>
      </c>
      <c r="I32" s="166">
        <v>0</v>
      </c>
      <c r="J32" s="166">
        <v>4.586934750385506E-2</v>
      </c>
      <c r="K32" s="167">
        <v>2.4349748865907312E-2</v>
      </c>
      <c r="L32" s="167">
        <v>0</v>
      </c>
      <c r="M32" s="167">
        <v>7.2526433636024387E-2</v>
      </c>
      <c r="N32" s="166">
        <v>4.3392812390435673E-2</v>
      </c>
      <c r="O32" s="166">
        <v>0</v>
      </c>
      <c r="P32" s="167">
        <v>0</v>
      </c>
      <c r="Q32" s="166">
        <v>0</v>
      </c>
      <c r="R32" s="170">
        <v>0</v>
      </c>
      <c r="S32" s="170">
        <v>0</v>
      </c>
      <c r="T32" s="171">
        <v>0</v>
      </c>
      <c r="U32" s="171">
        <v>0</v>
      </c>
      <c r="V32" s="171">
        <v>0</v>
      </c>
      <c r="W32" s="172">
        <v>0</v>
      </c>
      <c r="X32" s="171">
        <v>0</v>
      </c>
      <c r="Y32" s="171">
        <v>0</v>
      </c>
      <c r="Z32" s="171">
        <v>0</v>
      </c>
      <c r="AA32" s="172">
        <v>0</v>
      </c>
      <c r="AB32" s="164">
        <v>0</v>
      </c>
      <c r="AC32" s="165">
        <v>0</v>
      </c>
    </row>
    <row r="33" spans="1:29" ht="13">
      <c r="A33" s="173"/>
      <c r="B33" s="174" t="s">
        <v>855</v>
      </c>
      <c r="C33" s="175">
        <v>0</v>
      </c>
      <c r="D33" s="176">
        <v>0</v>
      </c>
      <c r="E33" s="176">
        <v>0</v>
      </c>
      <c r="F33" s="176">
        <v>0</v>
      </c>
      <c r="G33" s="176">
        <v>0</v>
      </c>
      <c r="H33" s="176">
        <v>0</v>
      </c>
      <c r="I33" s="175">
        <v>0</v>
      </c>
      <c r="J33" s="175">
        <v>4.1318047747275558E-3</v>
      </c>
      <c r="K33" s="176">
        <v>3.0017667913727064E-3</v>
      </c>
      <c r="L33" s="176">
        <v>0</v>
      </c>
      <c r="M33" s="176">
        <v>9.0122959542828784E-3</v>
      </c>
      <c r="N33" s="175">
        <v>4.00371197384293E-3</v>
      </c>
      <c r="O33" s="175">
        <v>0</v>
      </c>
      <c r="P33" s="176">
        <v>0</v>
      </c>
      <c r="Q33" s="175">
        <v>0</v>
      </c>
      <c r="R33" s="175">
        <v>0</v>
      </c>
      <c r="S33" s="175">
        <v>0</v>
      </c>
      <c r="T33" s="177">
        <v>0</v>
      </c>
      <c r="U33" s="177">
        <v>0</v>
      </c>
      <c r="V33" s="177">
        <v>0</v>
      </c>
      <c r="W33" s="178">
        <v>0</v>
      </c>
      <c r="X33" s="177">
        <v>0</v>
      </c>
      <c r="Y33" s="177">
        <v>0</v>
      </c>
      <c r="Z33" s="177">
        <v>0</v>
      </c>
      <c r="AA33" s="178">
        <v>0</v>
      </c>
      <c r="AB33" s="164">
        <v>0</v>
      </c>
      <c r="AC33" s="165">
        <v>0</v>
      </c>
    </row>
    <row r="34" spans="1:29" ht="13">
      <c r="A34" s="159" t="s">
        <v>159</v>
      </c>
      <c r="B34" s="143" t="s">
        <v>849</v>
      </c>
      <c r="C34" s="143">
        <v>1962423</v>
      </c>
      <c r="D34" s="155">
        <v>448495</v>
      </c>
      <c r="E34" s="155">
        <v>1975298.2400000002</v>
      </c>
      <c r="F34" s="155">
        <v>1401427.36</v>
      </c>
      <c r="G34" s="155">
        <v>117481.81</v>
      </c>
      <c r="H34" s="155">
        <v>873982.8600000001</v>
      </c>
      <c r="I34" s="143">
        <v>6779108.2699999949</v>
      </c>
      <c r="J34" s="143">
        <v>316760.24</v>
      </c>
      <c r="K34" s="155">
        <v>0</v>
      </c>
      <c r="L34" s="155">
        <v>0</v>
      </c>
      <c r="M34" s="155">
        <v>0</v>
      </c>
      <c r="N34" s="143">
        <v>316760.24</v>
      </c>
      <c r="O34" s="143">
        <v>0</v>
      </c>
      <c r="P34" s="155">
        <v>0</v>
      </c>
      <c r="Q34" s="143">
        <v>1984110.4</v>
      </c>
      <c r="R34" s="143">
        <v>0</v>
      </c>
      <c r="S34" s="143">
        <v>1984110.4</v>
      </c>
      <c r="T34" s="151">
        <v>0</v>
      </c>
      <c r="U34" s="151">
        <v>0</v>
      </c>
      <c r="V34" s="151">
        <v>0</v>
      </c>
      <c r="W34" s="152">
        <v>0</v>
      </c>
      <c r="X34" s="151">
        <v>0</v>
      </c>
      <c r="Y34" s="151">
        <v>0</v>
      </c>
      <c r="Z34" s="151">
        <v>0</v>
      </c>
      <c r="AA34" s="152">
        <v>0</v>
      </c>
      <c r="AB34" s="153">
        <v>0</v>
      </c>
      <c r="AC34" s="154">
        <v>0</v>
      </c>
    </row>
    <row r="35" spans="1:29" ht="13">
      <c r="A35" s="160"/>
      <c r="B35" s="161" t="s">
        <v>850</v>
      </c>
      <c r="C35" s="161">
        <v>27398</v>
      </c>
      <c r="D35" s="15">
        <v>4472</v>
      </c>
      <c r="E35" s="15">
        <v>30269</v>
      </c>
      <c r="F35" s="15">
        <v>54984.5</v>
      </c>
      <c r="G35" s="15">
        <v>2674</v>
      </c>
      <c r="H35" s="15">
        <v>47799</v>
      </c>
      <c r="I35" s="161">
        <v>167596.5</v>
      </c>
      <c r="J35" s="161">
        <v>21875</v>
      </c>
      <c r="K35" s="15">
        <v>0</v>
      </c>
      <c r="L35" s="15">
        <v>0</v>
      </c>
      <c r="M35" s="15">
        <v>0</v>
      </c>
      <c r="N35" s="161">
        <v>21875</v>
      </c>
      <c r="O35" s="161">
        <v>0</v>
      </c>
      <c r="P35" s="15">
        <v>0</v>
      </c>
      <c r="Q35" s="161">
        <v>296903.5</v>
      </c>
      <c r="R35" s="161">
        <v>0</v>
      </c>
      <c r="S35" s="161">
        <v>296903.5</v>
      </c>
      <c r="T35" s="162">
        <v>0</v>
      </c>
      <c r="U35" s="162">
        <v>0</v>
      </c>
      <c r="V35" s="162">
        <v>0</v>
      </c>
      <c r="W35" s="163">
        <v>0</v>
      </c>
      <c r="X35" s="162">
        <v>0</v>
      </c>
      <c r="Y35" s="162">
        <v>0</v>
      </c>
      <c r="Z35" s="162">
        <v>0</v>
      </c>
      <c r="AA35" s="163">
        <v>0</v>
      </c>
      <c r="AB35" s="164">
        <v>0</v>
      </c>
      <c r="AC35" s="165">
        <v>0</v>
      </c>
    </row>
    <row r="36" spans="1:29" ht="13">
      <c r="A36" s="160"/>
      <c r="B36" s="166" t="s">
        <v>851</v>
      </c>
      <c r="C36" s="166">
        <v>1.3961312112628113E-2</v>
      </c>
      <c r="D36" s="167">
        <v>9.9711256535747333E-3</v>
      </c>
      <c r="E36" s="167">
        <v>1.53237619449304E-2</v>
      </c>
      <c r="F36" s="167">
        <v>3.9234641458691086E-2</v>
      </c>
      <c r="G36" s="167">
        <v>2.2760970400439014E-2</v>
      </c>
      <c r="H36" s="167">
        <v>5.4691003894515727E-2</v>
      </c>
      <c r="I36" s="166">
        <v>2.4722499379700884E-2</v>
      </c>
      <c r="J36" s="166">
        <v>6.905854093304134E-2</v>
      </c>
      <c r="K36" s="167">
        <v>0</v>
      </c>
      <c r="L36" s="167">
        <v>0</v>
      </c>
      <c r="M36" s="167">
        <v>0</v>
      </c>
      <c r="N36" s="166">
        <v>6.905854093304134E-2</v>
      </c>
      <c r="O36" s="166">
        <v>0</v>
      </c>
      <c r="P36" s="167">
        <v>0</v>
      </c>
      <c r="Q36" s="166">
        <v>0.14964061475611437</v>
      </c>
      <c r="R36" s="166">
        <v>0</v>
      </c>
      <c r="S36" s="166">
        <v>0.14964061475611437</v>
      </c>
      <c r="T36" s="168">
        <v>0</v>
      </c>
      <c r="U36" s="168">
        <v>0</v>
      </c>
      <c r="V36" s="168">
        <v>0</v>
      </c>
      <c r="W36" s="169">
        <v>0</v>
      </c>
      <c r="X36" s="168">
        <v>0</v>
      </c>
      <c r="Y36" s="168">
        <v>0</v>
      </c>
      <c r="Z36" s="168">
        <v>0</v>
      </c>
      <c r="AA36" s="169">
        <v>0</v>
      </c>
      <c r="AB36" s="164">
        <v>0</v>
      </c>
      <c r="AC36" s="165">
        <v>0</v>
      </c>
    </row>
    <row r="37" spans="1:29" ht="13">
      <c r="A37" s="160"/>
      <c r="B37" s="161" t="s">
        <v>852</v>
      </c>
      <c r="C37" s="161">
        <v>2018446</v>
      </c>
      <c r="D37" s="15">
        <v>456127.53</v>
      </c>
      <c r="E37" s="15">
        <v>2065777</v>
      </c>
      <c r="F37" s="15">
        <v>1403878</v>
      </c>
      <c r="G37" s="15">
        <v>103628</v>
      </c>
      <c r="H37" s="15">
        <v>880697</v>
      </c>
      <c r="I37" s="161">
        <v>6928553.5300000003</v>
      </c>
      <c r="J37" s="161">
        <v>302780</v>
      </c>
      <c r="K37" s="15">
        <v>0</v>
      </c>
      <c r="L37" s="15">
        <v>0</v>
      </c>
      <c r="M37" s="15">
        <v>0</v>
      </c>
      <c r="N37" s="161">
        <v>302780</v>
      </c>
      <c r="O37" s="161">
        <v>0</v>
      </c>
      <c r="P37" s="15">
        <v>0</v>
      </c>
      <c r="Q37" s="161">
        <v>2038837</v>
      </c>
      <c r="R37" s="161">
        <v>0</v>
      </c>
      <c r="S37" s="161">
        <v>2038837</v>
      </c>
      <c r="T37" s="162">
        <v>0</v>
      </c>
      <c r="U37" s="162">
        <v>0</v>
      </c>
      <c r="V37" s="162">
        <v>0</v>
      </c>
      <c r="W37" s="163">
        <v>0</v>
      </c>
      <c r="X37" s="162">
        <v>0</v>
      </c>
      <c r="Y37" s="162">
        <v>0</v>
      </c>
      <c r="Z37" s="162">
        <v>0</v>
      </c>
      <c r="AA37" s="163">
        <v>0</v>
      </c>
      <c r="AB37" s="164">
        <v>0</v>
      </c>
      <c r="AC37" s="165">
        <v>0</v>
      </c>
    </row>
    <row r="38" spans="1:29" ht="13">
      <c r="A38" s="160"/>
      <c r="B38" s="161" t="s">
        <v>853</v>
      </c>
      <c r="C38" s="161">
        <v>27324.5</v>
      </c>
      <c r="D38" s="15">
        <v>4173</v>
      </c>
      <c r="E38" s="15">
        <v>36515</v>
      </c>
      <c r="F38" s="15">
        <v>57041</v>
      </c>
      <c r="G38" s="15">
        <v>2079</v>
      </c>
      <c r="H38" s="15">
        <v>46577</v>
      </c>
      <c r="I38" s="161">
        <v>173709.5</v>
      </c>
      <c r="J38" s="161">
        <v>20420</v>
      </c>
      <c r="K38" s="15">
        <v>0</v>
      </c>
      <c r="L38" s="15">
        <v>0</v>
      </c>
      <c r="M38" s="15">
        <v>0</v>
      </c>
      <c r="N38" s="161">
        <v>20420</v>
      </c>
      <c r="O38" s="161">
        <v>0</v>
      </c>
      <c r="P38" s="15">
        <v>0</v>
      </c>
      <c r="Q38" s="161">
        <v>348932</v>
      </c>
      <c r="R38" s="161">
        <v>0</v>
      </c>
      <c r="S38" s="161">
        <v>348932</v>
      </c>
      <c r="T38" s="162">
        <v>0</v>
      </c>
      <c r="U38" s="162">
        <v>0</v>
      </c>
      <c r="V38" s="162">
        <v>0</v>
      </c>
      <c r="W38" s="163">
        <v>0</v>
      </c>
      <c r="X38" s="162">
        <v>0</v>
      </c>
      <c r="Y38" s="162">
        <v>0</v>
      </c>
      <c r="Z38" s="162">
        <v>0</v>
      </c>
      <c r="AA38" s="163">
        <v>0</v>
      </c>
      <c r="AB38" s="164">
        <v>0</v>
      </c>
      <c r="AC38" s="165">
        <v>0</v>
      </c>
    </row>
    <row r="39" spans="1:29" ht="13">
      <c r="A39" s="160"/>
      <c r="B39" s="170" t="s">
        <v>854</v>
      </c>
      <c r="C39" s="166">
        <v>1.353739460951643E-2</v>
      </c>
      <c r="D39" s="167">
        <v>9.1487571469321301E-3</v>
      </c>
      <c r="E39" s="167">
        <v>1.7676157687882089E-2</v>
      </c>
      <c r="F39" s="167">
        <v>4.0631023493494449E-2</v>
      </c>
      <c r="G39" s="167">
        <v>2.0062145366117265E-2</v>
      </c>
      <c r="H39" s="167">
        <v>5.2886520562690685E-2</v>
      </c>
      <c r="I39" s="166">
        <v>2.5071538994084958E-2</v>
      </c>
      <c r="J39" s="166">
        <v>6.744170684985798E-2</v>
      </c>
      <c r="K39" s="167">
        <v>0</v>
      </c>
      <c r="L39" s="167">
        <v>0</v>
      </c>
      <c r="M39" s="167">
        <v>0</v>
      </c>
      <c r="N39" s="166">
        <v>6.744170684985798E-2</v>
      </c>
      <c r="O39" s="166">
        <v>0</v>
      </c>
      <c r="P39" s="167">
        <v>0</v>
      </c>
      <c r="Q39" s="166">
        <v>0.17114266613760687</v>
      </c>
      <c r="R39" s="170">
        <v>0</v>
      </c>
      <c r="S39" s="170">
        <v>0.17114266613760687</v>
      </c>
      <c r="T39" s="171">
        <v>0</v>
      </c>
      <c r="U39" s="171">
        <v>0</v>
      </c>
      <c r="V39" s="171">
        <v>0</v>
      </c>
      <c r="W39" s="172">
        <v>0</v>
      </c>
      <c r="X39" s="171">
        <v>0</v>
      </c>
      <c r="Y39" s="171">
        <v>0</v>
      </c>
      <c r="Z39" s="171">
        <v>0</v>
      </c>
      <c r="AA39" s="172">
        <v>0</v>
      </c>
      <c r="AB39" s="164">
        <v>0</v>
      </c>
      <c r="AC39" s="165">
        <v>0</v>
      </c>
    </row>
    <row r="40" spans="1:29" ht="13">
      <c r="A40" s="173"/>
      <c r="B40" s="174" t="s">
        <v>855</v>
      </c>
      <c r="C40" s="175">
        <v>-4.2391750311168361E-4</v>
      </c>
      <c r="D40" s="176">
        <v>-8.2236850664260328E-4</v>
      </c>
      <c r="E40" s="176">
        <v>2.3523957429516899E-3</v>
      </c>
      <c r="F40" s="176">
        <v>1.3963820348033631E-3</v>
      </c>
      <c r="G40" s="176">
        <v>-2.6988250343217488E-3</v>
      </c>
      <c r="H40" s="176">
        <v>-1.8044833318250422E-3</v>
      </c>
      <c r="I40" s="175">
        <v>3.4903961438407377E-4</v>
      </c>
      <c r="J40" s="175">
        <v>-1.6168340831833605E-3</v>
      </c>
      <c r="K40" s="176">
        <v>0</v>
      </c>
      <c r="L40" s="176">
        <v>0</v>
      </c>
      <c r="M40" s="176">
        <v>0</v>
      </c>
      <c r="N40" s="175">
        <v>-1.6168340831833605E-3</v>
      </c>
      <c r="O40" s="175">
        <v>0</v>
      </c>
      <c r="P40" s="176">
        <v>0</v>
      </c>
      <c r="Q40" s="175">
        <v>2.1502051381492499E-2</v>
      </c>
      <c r="R40" s="175">
        <v>0</v>
      </c>
      <c r="S40" s="175">
        <v>2.1502051381492499E-2</v>
      </c>
      <c r="T40" s="177">
        <v>0</v>
      </c>
      <c r="U40" s="177">
        <v>0</v>
      </c>
      <c r="V40" s="177">
        <v>0</v>
      </c>
      <c r="W40" s="178">
        <v>0</v>
      </c>
      <c r="X40" s="177">
        <v>0</v>
      </c>
      <c r="Y40" s="177">
        <v>0</v>
      </c>
      <c r="Z40" s="177">
        <v>0</v>
      </c>
      <c r="AA40" s="178">
        <v>0</v>
      </c>
      <c r="AB40" s="164">
        <v>0</v>
      </c>
      <c r="AC40" s="165">
        <v>0</v>
      </c>
    </row>
    <row r="41" spans="1:29" ht="13">
      <c r="A41" s="159" t="s">
        <v>208</v>
      </c>
      <c r="B41" s="143" t="s">
        <v>849</v>
      </c>
      <c r="C41" s="143">
        <v>988441</v>
      </c>
      <c r="D41" s="155">
        <v>0</v>
      </c>
      <c r="E41" s="155">
        <v>1466563</v>
      </c>
      <c r="F41" s="155">
        <v>41820</v>
      </c>
      <c r="G41" s="155">
        <v>0</v>
      </c>
      <c r="H41" s="155">
        <v>0</v>
      </c>
      <c r="I41" s="143">
        <v>2496824</v>
      </c>
      <c r="J41" s="143">
        <v>0</v>
      </c>
      <c r="K41" s="155">
        <v>380141</v>
      </c>
      <c r="L41" s="155">
        <v>515493</v>
      </c>
      <c r="M41" s="155">
        <v>289746</v>
      </c>
      <c r="N41" s="143">
        <v>1185380</v>
      </c>
      <c r="O41" s="143">
        <v>0</v>
      </c>
      <c r="P41" s="155">
        <v>0</v>
      </c>
      <c r="Q41" s="143">
        <v>149960</v>
      </c>
      <c r="R41" s="143">
        <v>0</v>
      </c>
      <c r="S41" s="143">
        <v>149960</v>
      </c>
      <c r="T41" s="151">
        <v>0</v>
      </c>
      <c r="U41" s="151">
        <v>0</v>
      </c>
      <c r="V41" s="151">
        <v>0</v>
      </c>
      <c r="W41" s="152">
        <v>0</v>
      </c>
      <c r="X41" s="151">
        <v>0</v>
      </c>
      <c r="Y41" s="151">
        <v>0</v>
      </c>
      <c r="Z41" s="151">
        <v>0</v>
      </c>
      <c r="AA41" s="152">
        <v>0</v>
      </c>
      <c r="AB41" s="153">
        <v>0</v>
      </c>
      <c r="AC41" s="154">
        <v>0</v>
      </c>
    </row>
    <row r="42" spans="1:29" ht="13">
      <c r="A42" s="160"/>
      <c r="B42" s="161" t="s">
        <v>850</v>
      </c>
      <c r="C42" s="161">
        <v>4911</v>
      </c>
      <c r="D42" s="15">
        <v>0</v>
      </c>
      <c r="E42" s="15">
        <v>83399</v>
      </c>
      <c r="F42" s="15">
        <v>6158</v>
      </c>
      <c r="G42" s="15">
        <v>0</v>
      </c>
      <c r="H42" s="15">
        <v>0</v>
      </c>
      <c r="I42" s="161">
        <v>94468</v>
      </c>
      <c r="J42" s="161">
        <v>0</v>
      </c>
      <c r="K42" s="15">
        <v>32015</v>
      </c>
      <c r="L42" s="15">
        <v>57868</v>
      </c>
      <c r="M42" s="15">
        <v>32616</v>
      </c>
      <c r="N42" s="161">
        <v>122499</v>
      </c>
      <c r="O42" s="161">
        <v>0</v>
      </c>
      <c r="P42" s="15">
        <v>0</v>
      </c>
      <c r="Q42" s="161">
        <v>18044</v>
      </c>
      <c r="R42" s="161">
        <v>0</v>
      </c>
      <c r="S42" s="161">
        <v>18044</v>
      </c>
      <c r="T42" s="162">
        <v>0</v>
      </c>
      <c r="U42" s="162">
        <v>0</v>
      </c>
      <c r="V42" s="162">
        <v>0</v>
      </c>
      <c r="W42" s="163">
        <v>0</v>
      </c>
      <c r="X42" s="162">
        <v>0</v>
      </c>
      <c r="Y42" s="162">
        <v>0</v>
      </c>
      <c r="Z42" s="162">
        <v>0</v>
      </c>
      <c r="AA42" s="163">
        <v>0</v>
      </c>
      <c r="AB42" s="164">
        <v>0</v>
      </c>
      <c r="AC42" s="165">
        <v>0</v>
      </c>
    </row>
    <row r="43" spans="1:29" ht="13">
      <c r="A43" s="160"/>
      <c r="B43" s="166" t="s">
        <v>851</v>
      </c>
      <c r="C43" s="166">
        <v>4.9684300833332494E-3</v>
      </c>
      <c r="D43" s="167">
        <v>0</v>
      </c>
      <c r="E43" s="167">
        <v>5.6866974006571827E-2</v>
      </c>
      <c r="F43" s="167">
        <v>0.14725011956001913</v>
      </c>
      <c r="G43" s="167">
        <v>0</v>
      </c>
      <c r="H43" s="167">
        <v>0</v>
      </c>
      <c r="I43" s="166">
        <v>3.7835265921827087E-2</v>
      </c>
      <c r="J43" s="166">
        <v>0</v>
      </c>
      <c r="K43" s="167">
        <v>8.421875041103169E-2</v>
      </c>
      <c r="L43" s="167">
        <v>0.1122575864269738</v>
      </c>
      <c r="M43" s="167">
        <v>0.11256755917251662</v>
      </c>
      <c r="N43" s="166">
        <v>0.10334154448362551</v>
      </c>
      <c r="O43" s="166">
        <v>0</v>
      </c>
      <c r="P43" s="167">
        <v>0</v>
      </c>
      <c r="Q43" s="166">
        <v>0.12032542011202987</v>
      </c>
      <c r="R43" s="166">
        <v>0</v>
      </c>
      <c r="S43" s="166">
        <v>0.12032542011202987</v>
      </c>
      <c r="T43" s="168">
        <v>0</v>
      </c>
      <c r="U43" s="168">
        <v>0</v>
      </c>
      <c r="V43" s="168">
        <v>0</v>
      </c>
      <c r="W43" s="169">
        <v>0</v>
      </c>
      <c r="X43" s="168">
        <v>0</v>
      </c>
      <c r="Y43" s="168">
        <v>0</v>
      </c>
      <c r="Z43" s="168">
        <v>0</v>
      </c>
      <c r="AA43" s="169">
        <v>0</v>
      </c>
      <c r="AB43" s="164">
        <v>0</v>
      </c>
      <c r="AC43" s="165">
        <v>0</v>
      </c>
    </row>
    <row r="44" spans="1:29" ht="13">
      <c r="A44" s="160"/>
      <c r="B44" s="161" t="s">
        <v>852</v>
      </c>
      <c r="C44" s="161">
        <v>982780</v>
      </c>
      <c r="D44" s="15">
        <v>0</v>
      </c>
      <c r="E44" s="15">
        <v>1379703</v>
      </c>
      <c r="F44" s="15">
        <v>46384</v>
      </c>
      <c r="G44" s="15">
        <v>0</v>
      </c>
      <c r="H44" s="15">
        <v>0</v>
      </c>
      <c r="I44" s="161">
        <v>2408867</v>
      </c>
      <c r="J44" s="161">
        <v>0</v>
      </c>
      <c r="K44" s="15">
        <v>396101.1</v>
      </c>
      <c r="L44" s="15">
        <v>491195.4</v>
      </c>
      <c r="M44" s="15">
        <v>286792.5</v>
      </c>
      <c r="N44" s="161">
        <v>1174089</v>
      </c>
      <c r="O44" s="161">
        <v>0</v>
      </c>
      <c r="P44" s="15">
        <v>0</v>
      </c>
      <c r="Q44" s="161">
        <v>155878.70000000001</v>
      </c>
      <c r="R44" s="161">
        <v>0</v>
      </c>
      <c r="S44" s="161">
        <v>155878.70000000001</v>
      </c>
      <c r="T44" s="162">
        <v>0</v>
      </c>
      <c r="U44" s="162">
        <v>0</v>
      </c>
      <c r="V44" s="162">
        <v>0</v>
      </c>
      <c r="W44" s="163">
        <v>0</v>
      </c>
      <c r="X44" s="162">
        <v>0</v>
      </c>
      <c r="Y44" s="162">
        <v>0</v>
      </c>
      <c r="Z44" s="162">
        <v>0</v>
      </c>
      <c r="AA44" s="163">
        <v>0</v>
      </c>
      <c r="AB44" s="164">
        <v>0</v>
      </c>
      <c r="AC44" s="165">
        <v>0</v>
      </c>
    </row>
    <row r="45" spans="1:29" ht="13">
      <c r="A45" s="160"/>
      <c r="B45" s="161" t="s">
        <v>853</v>
      </c>
      <c r="C45" s="161">
        <v>5761</v>
      </c>
      <c r="D45" s="15">
        <v>0</v>
      </c>
      <c r="E45" s="15">
        <v>80659.5</v>
      </c>
      <c r="F45" s="15">
        <v>6775</v>
      </c>
      <c r="G45" s="15">
        <v>0</v>
      </c>
      <c r="H45" s="15">
        <v>0</v>
      </c>
      <c r="I45" s="161">
        <v>93195.5</v>
      </c>
      <c r="J45" s="161">
        <v>0</v>
      </c>
      <c r="K45" s="15">
        <v>39484.5</v>
      </c>
      <c r="L45" s="15">
        <v>61485.799999999988</v>
      </c>
      <c r="M45" s="15">
        <v>36740</v>
      </c>
      <c r="N45" s="161">
        <v>137710.30000000002</v>
      </c>
      <c r="O45" s="161">
        <v>0</v>
      </c>
      <c r="P45" s="15">
        <v>0</v>
      </c>
      <c r="Q45" s="161">
        <v>20280.5</v>
      </c>
      <c r="R45" s="161">
        <v>0</v>
      </c>
      <c r="S45" s="161">
        <v>20280.5</v>
      </c>
      <c r="T45" s="162">
        <v>0</v>
      </c>
      <c r="U45" s="162">
        <v>0</v>
      </c>
      <c r="V45" s="162">
        <v>0</v>
      </c>
      <c r="W45" s="163">
        <v>0</v>
      </c>
      <c r="X45" s="162">
        <v>0</v>
      </c>
      <c r="Y45" s="162">
        <v>0</v>
      </c>
      <c r="Z45" s="162">
        <v>0</v>
      </c>
      <c r="AA45" s="163">
        <v>0</v>
      </c>
      <c r="AB45" s="164">
        <v>0</v>
      </c>
      <c r="AC45" s="165">
        <v>0</v>
      </c>
    </row>
    <row r="46" spans="1:29" ht="13">
      <c r="A46" s="160"/>
      <c r="B46" s="170" t="s">
        <v>854</v>
      </c>
      <c r="C46" s="166">
        <v>5.8619426524756301E-3</v>
      </c>
      <c r="D46" s="167">
        <v>0</v>
      </c>
      <c r="E46" s="167">
        <v>5.8461494973918303E-2</v>
      </c>
      <c r="F46" s="167">
        <v>0.14606329768885823</v>
      </c>
      <c r="G46" s="167">
        <v>0</v>
      </c>
      <c r="H46" s="167">
        <v>0</v>
      </c>
      <c r="I46" s="166">
        <v>3.8688520370780119E-2</v>
      </c>
      <c r="J46" s="166">
        <v>0</v>
      </c>
      <c r="K46" s="167">
        <v>9.9682883990981103E-2</v>
      </c>
      <c r="L46" s="167">
        <v>0.12517584651647792</v>
      </c>
      <c r="M46" s="167">
        <v>0.12810655787721087</v>
      </c>
      <c r="N46" s="166">
        <v>0.1172911934274148</v>
      </c>
      <c r="O46" s="166">
        <v>0</v>
      </c>
      <c r="P46" s="167">
        <v>0</v>
      </c>
      <c r="Q46" s="166">
        <v>0.13010436961560495</v>
      </c>
      <c r="R46" s="170">
        <v>0</v>
      </c>
      <c r="S46" s="170">
        <v>0.13010436961560495</v>
      </c>
      <c r="T46" s="171">
        <v>0</v>
      </c>
      <c r="U46" s="171">
        <v>0</v>
      </c>
      <c r="V46" s="171">
        <v>0</v>
      </c>
      <c r="W46" s="172">
        <v>0</v>
      </c>
      <c r="X46" s="171">
        <v>0</v>
      </c>
      <c r="Y46" s="171">
        <v>0</v>
      </c>
      <c r="Z46" s="171">
        <v>0</v>
      </c>
      <c r="AA46" s="172">
        <v>0</v>
      </c>
      <c r="AB46" s="164">
        <v>0</v>
      </c>
      <c r="AC46" s="165">
        <v>0</v>
      </c>
    </row>
    <row r="47" spans="1:29" ht="13">
      <c r="A47" s="173"/>
      <c r="B47" s="174" t="s">
        <v>855</v>
      </c>
      <c r="C47" s="175">
        <v>8.9351256914238075E-4</v>
      </c>
      <c r="D47" s="176">
        <v>0</v>
      </c>
      <c r="E47" s="176">
        <v>1.5945209673464758E-3</v>
      </c>
      <c r="F47" s="176">
        <v>-1.186821871160898E-3</v>
      </c>
      <c r="G47" s="176">
        <v>0</v>
      </c>
      <c r="H47" s="176">
        <v>0</v>
      </c>
      <c r="I47" s="175">
        <v>8.5325444895303221E-4</v>
      </c>
      <c r="J47" s="175">
        <v>0</v>
      </c>
      <c r="K47" s="176">
        <v>1.5464133579949413E-2</v>
      </c>
      <c r="L47" s="176">
        <v>1.2918260089504127E-2</v>
      </c>
      <c r="M47" s="176">
        <v>1.5538998704694246E-2</v>
      </c>
      <c r="N47" s="175">
        <v>1.3949648943789292E-2</v>
      </c>
      <c r="O47" s="175">
        <v>0</v>
      </c>
      <c r="P47" s="176">
        <v>0</v>
      </c>
      <c r="Q47" s="175">
        <v>9.7789495035750795E-3</v>
      </c>
      <c r="R47" s="175">
        <v>0</v>
      </c>
      <c r="S47" s="175">
        <v>9.7789495035750795E-3</v>
      </c>
      <c r="T47" s="177">
        <v>0</v>
      </c>
      <c r="U47" s="177">
        <v>0</v>
      </c>
      <c r="V47" s="177">
        <v>0</v>
      </c>
      <c r="W47" s="178">
        <v>0</v>
      </c>
      <c r="X47" s="177">
        <v>0</v>
      </c>
      <c r="Y47" s="177">
        <v>0</v>
      </c>
      <c r="Z47" s="177">
        <v>0</v>
      </c>
      <c r="AA47" s="178">
        <v>0</v>
      </c>
      <c r="AB47" s="164">
        <v>0</v>
      </c>
      <c r="AC47" s="165">
        <v>0</v>
      </c>
    </row>
    <row r="48" spans="1:29" ht="13">
      <c r="A48" s="159" t="s">
        <v>481</v>
      </c>
      <c r="B48" s="143" t="s">
        <v>849</v>
      </c>
      <c r="C48" s="143">
        <v>697352</v>
      </c>
      <c r="D48" s="155">
        <v>840339</v>
      </c>
      <c r="E48" s="155">
        <v>856988</v>
      </c>
      <c r="F48" s="155">
        <v>574918</v>
      </c>
      <c r="G48" s="155">
        <v>48565</v>
      </c>
      <c r="H48" s="155">
        <v>74440</v>
      </c>
      <c r="I48" s="143">
        <v>3092602</v>
      </c>
      <c r="J48" s="143">
        <v>0</v>
      </c>
      <c r="K48" s="155">
        <v>443525</v>
      </c>
      <c r="L48" s="155">
        <v>419954</v>
      </c>
      <c r="M48" s="155">
        <v>174002</v>
      </c>
      <c r="N48" s="143">
        <v>1037481</v>
      </c>
      <c r="O48" s="143">
        <v>0</v>
      </c>
      <c r="P48" s="155">
        <v>0</v>
      </c>
      <c r="Q48" s="143">
        <v>227163</v>
      </c>
      <c r="R48" s="143">
        <v>23317</v>
      </c>
      <c r="S48" s="143">
        <v>250480</v>
      </c>
      <c r="T48" s="151">
        <v>0</v>
      </c>
      <c r="U48" s="151">
        <v>0</v>
      </c>
      <c r="V48" s="151">
        <v>0</v>
      </c>
      <c r="W48" s="152">
        <v>0</v>
      </c>
      <c r="X48" s="151">
        <v>0</v>
      </c>
      <c r="Y48" s="151">
        <v>0</v>
      </c>
      <c r="Z48" s="151">
        <v>0</v>
      </c>
      <c r="AA48" s="152">
        <v>0</v>
      </c>
      <c r="AB48" s="153">
        <v>0</v>
      </c>
      <c r="AC48" s="154">
        <v>0</v>
      </c>
    </row>
    <row r="49" spans="1:29" ht="13">
      <c r="A49" s="160"/>
      <c r="B49" s="161" t="s">
        <v>850</v>
      </c>
      <c r="C49" s="161">
        <v>10766</v>
      </c>
      <c r="D49" s="15">
        <v>32962</v>
      </c>
      <c r="E49" s="15">
        <v>52567</v>
      </c>
      <c r="F49" s="15">
        <v>14445</v>
      </c>
      <c r="G49" s="15">
        <v>1392</v>
      </c>
      <c r="H49" s="15">
        <v>6297</v>
      </c>
      <c r="I49" s="161">
        <v>118429</v>
      </c>
      <c r="J49" s="161">
        <v>0</v>
      </c>
      <c r="K49" s="15">
        <v>9570</v>
      </c>
      <c r="L49" s="15">
        <v>23719</v>
      </c>
      <c r="M49" s="15">
        <v>25221</v>
      </c>
      <c r="N49" s="161">
        <v>58510</v>
      </c>
      <c r="O49" s="161">
        <v>0</v>
      </c>
      <c r="P49" s="15">
        <v>0</v>
      </c>
      <c r="Q49" s="161">
        <v>25270.5</v>
      </c>
      <c r="R49" s="161">
        <v>1346</v>
      </c>
      <c r="S49" s="161">
        <v>26616.5</v>
      </c>
      <c r="T49" s="162">
        <v>0</v>
      </c>
      <c r="U49" s="162">
        <v>0</v>
      </c>
      <c r="V49" s="162">
        <v>0</v>
      </c>
      <c r="W49" s="163">
        <v>0</v>
      </c>
      <c r="X49" s="162">
        <v>0</v>
      </c>
      <c r="Y49" s="162">
        <v>0</v>
      </c>
      <c r="Z49" s="162">
        <v>0</v>
      </c>
      <c r="AA49" s="163">
        <v>0</v>
      </c>
      <c r="AB49" s="164">
        <v>0</v>
      </c>
      <c r="AC49" s="165">
        <v>0</v>
      </c>
    </row>
    <row r="50" spans="1:29" ht="13">
      <c r="A50" s="160"/>
      <c r="B50" s="166" t="s">
        <v>851</v>
      </c>
      <c r="C50" s="166">
        <v>1.5438401266505294E-2</v>
      </c>
      <c r="D50" s="167">
        <v>3.9224646243956308E-2</v>
      </c>
      <c r="E50" s="167">
        <v>6.1339248624251448E-2</v>
      </c>
      <c r="F50" s="167">
        <v>2.51253222198644E-2</v>
      </c>
      <c r="G50" s="167">
        <v>2.8662617111088234E-2</v>
      </c>
      <c r="H50" s="167">
        <v>8.4591617409994629E-2</v>
      </c>
      <c r="I50" s="166">
        <v>3.8294290697606738E-2</v>
      </c>
      <c r="J50" s="166">
        <v>0</v>
      </c>
      <c r="K50" s="167">
        <v>2.1577137703624374E-2</v>
      </c>
      <c r="L50" s="167">
        <v>5.6479995428070695E-2</v>
      </c>
      <c r="M50" s="167">
        <v>0.14494660980908267</v>
      </c>
      <c r="N50" s="166">
        <v>5.6396213521018701E-2</v>
      </c>
      <c r="O50" s="166">
        <v>0</v>
      </c>
      <c r="P50" s="167">
        <v>0</v>
      </c>
      <c r="Q50" s="166">
        <v>0.11124390855905231</v>
      </c>
      <c r="R50" s="166">
        <v>5.7726122571514348E-2</v>
      </c>
      <c r="S50" s="166">
        <v>0.10626197700415203</v>
      </c>
      <c r="T50" s="168">
        <v>0</v>
      </c>
      <c r="U50" s="168">
        <v>0</v>
      </c>
      <c r="V50" s="168">
        <v>0</v>
      </c>
      <c r="W50" s="169">
        <v>0</v>
      </c>
      <c r="X50" s="168">
        <v>0</v>
      </c>
      <c r="Y50" s="168">
        <v>0</v>
      </c>
      <c r="Z50" s="168">
        <v>0</v>
      </c>
      <c r="AA50" s="169">
        <v>0</v>
      </c>
      <c r="AB50" s="164">
        <v>0</v>
      </c>
      <c r="AC50" s="165">
        <v>0</v>
      </c>
    </row>
    <row r="51" spans="1:29" ht="13">
      <c r="A51" s="160"/>
      <c r="B51" s="161" t="s">
        <v>852</v>
      </c>
      <c r="C51" s="161">
        <v>701522</v>
      </c>
      <c r="D51" s="15">
        <v>818878</v>
      </c>
      <c r="E51" s="15">
        <v>848338</v>
      </c>
      <c r="F51" s="15">
        <v>579768</v>
      </c>
      <c r="G51" s="15">
        <v>46277</v>
      </c>
      <c r="H51" s="15">
        <v>75010</v>
      </c>
      <c r="I51" s="161">
        <v>3069793</v>
      </c>
      <c r="J51" s="161">
        <v>0</v>
      </c>
      <c r="K51" s="15">
        <v>440310</v>
      </c>
      <c r="L51" s="15">
        <v>435047.5</v>
      </c>
      <c r="M51" s="15">
        <v>167241</v>
      </c>
      <c r="N51" s="161">
        <v>1042598.5</v>
      </c>
      <c r="O51" s="161">
        <v>0</v>
      </c>
      <c r="P51" s="15">
        <v>0</v>
      </c>
      <c r="Q51" s="161">
        <v>236716.5</v>
      </c>
      <c r="R51" s="161">
        <v>24618</v>
      </c>
      <c r="S51" s="161">
        <v>261334.5</v>
      </c>
      <c r="T51" s="162">
        <v>0</v>
      </c>
      <c r="U51" s="162">
        <v>0</v>
      </c>
      <c r="V51" s="162">
        <v>0</v>
      </c>
      <c r="W51" s="163">
        <v>0</v>
      </c>
      <c r="X51" s="162">
        <v>0</v>
      </c>
      <c r="Y51" s="162">
        <v>0</v>
      </c>
      <c r="Z51" s="162">
        <v>0</v>
      </c>
      <c r="AA51" s="163">
        <v>0</v>
      </c>
      <c r="AB51" s="164">
        <v>0</v>
      </c>
      <c r="AC51" s="165">
        <v>0</v>
      </c>
    </row>
    <row r="52" spans="1:29" ht="13">
      <c r="A52" s="160"/>
      <c r="B52" s="161" t="s">
        <v>853</v>
      </c>
      <c r="C52" s="161">
        <v>13261</v>
      </c>
      <c r="D52" s="15">
        <v>30208</v>
      </c>
      <c r="E52" s="15">
        <v>47730</v>
      </c>
      <c r="F52" s="15">
        <v>22550</v>
      </c>
      <c r="G52" s="15">
        <v>1494</v>
      </c>
      <c r="H52" s="15">
        <v>5600</v>
      </c>
      <c r="I52" s="161">
        <v>120843</v>
      </c>
      <c r="J52" s="161">
        <v>0</v>
      </c>
      <c r="K52" s="15">
        <v>10602</v>
      </c>
      <c r="L52" s="15">
        <v>26277</v>
      </c>
      <c r="M52" s="15">
        <v>19071</v>
      </c>
      <c r="N52" s="161">
        <v>55950</v>
      </c>
      <c r="O52" s="161">
        <v>0</v>
      </c>
      <c r="P52" s="15">
        <v>0</v>
      </c>
      <c r="Q52" s="161">
        <v>23809</v>
      </c>
      <c r="R52" s="161">
        <v>1439</v>
      </c>
      <c r="S52" s="161">
        <v>25248</v>
      </c>
      <c r="T52" s="162">
        <v>0</v>
      </c>
      <c r="U52" s="162">
        <v>0</v>
      </c>
      <c r="V52" s="162">
        <v>0</v>
      </c>
      <c r="W52" s="163">
        <v>0</v>
      </c>
      <c r="X52" s="162">
        <v>0</v>
      </c>
      <c r="Y52" s="162">
        <v>0</v>
      </c>
      <c r="Z52" s="162">
        <v>0</v>
      </c>
      <c r="AA52" s="163">
        <v>0</v>
      </c>
      <c r="AB52" s="164">
        <v>0</v>
      </c>
      <c r="AC52" s="165">
        <v>0</v>
      </c>
    </row>
    <row r="53" spans="1:29" ht="13">
      <c r="A53" s="160"/>
      <c r="B53" s="170" t="s">
        <v>854</v>
      </c>
      <c r="C53" s="166">
        <v>1.890318478964309E-2</v>
      </c>
      <c r="D53" s="167">
        <v>3.688950002320248E-2</v>
      </c>
      <c r="E53" s="167">
        <v>5.6262951795157119E-2</v>
      </c>
      <c r="F53" s="167">
        <v>3.8894868292144447E-2</v>
      </c>
      <c r="G53" s="167">
        <v>3.2283855911143765E-2</v>
      </c>
      <c r="H53" s="167">
        <v>7.4656712438341558E-2</v>
      </c>
      <c r="I53" s="166">
        <v>3.9365194982202381E-2</v>
      </c>
      <c r="J53" s="166">
        <v>0</v>
      </c>
      <c r="K53" s="167">
        <v>2.4078490154663758E-2</v>
      </c>
      <c r="L53" s="167">
        <v>6.0400301116544743E-2</v>
      </c>
      <c r="M53" s="167">
        <v>0.1140330421367966</v>
      </c>
      <c r="N53" s="166">
        <v>5.3663994337225691E-2</v>
      </c>
      <c r="O53" s="166">
        <v>0</v>
      </c>
      <c r="P53" s="167">
        <v>0</v>
      </c>
      <c r="Q53" s="166">
        <v>0.10058022993749907</v>
      </c>
      <c r="R53" s="170">
        <v>5.8453164351287674E-2</v>
      </c>
      <c r="S53" s="170">
        <v>9.661181359521992E-2</v>
      </c>
      <c r="T53" s="171">
        <v>0</v>
      </c>
      <c r="U53" s="171">
        <v>0</v>
      </c>
      <c r="V53" s="171">
        <v>0</v>
      </c>
      <c r="W53" s="172">
        <v>0</v>
      </c>
      <c r="X53" s="171">
        <v>0</v>
      </c>
      <c r="Y53" s="171">
        <v>0</v>
      </c>
      <c r="Z53" s="171">
        <v>0</v>
      </c>
      <c r="AA53" s="172">
        <v>0</v>
      </c>
      <c r="AB53" s="164">
        <v>0</v>
      </c>
      <c r="AC53" s="165">
        <v>0</v>
      </c>
    </row>
    <row r="54" spans="1:29" ht="13">
      <c r="A54" s="173"/>
      <c r="B54" s="174" t="s">
        <v>855</v>
      </c>
      <c r="C54" s="175">
        <v>3.464783523137796E-3</v>
      </c>
      <c r="D54" s="176">
        <v>-2.3351462207538282E-3</v>
      </c>
      <c r="E54" s="176">
        <v>-5.0762968290943289E-3</v>
      </c>
      <c r="F54" s="176">
        <v>1.3769546072280047E-2</v>
      </c>
      <c r="G54" s="176">
        <v>3.6212388000555311E-3</v>
      </c>
      <c r="H54" s="176">
        <v>-9.9349049716530718E-3</v>
      </c>
      <c r="I54" s="175">
        <v>1.0709042845956432E-3</v>
      </c>
      <c r="J54" s="175">
        <v>0</v>
      </c>
      <c r="K54" s="176">
        <v>2.5013524510393847E-3</v>
      </c>
      <c r="L54" s="176">
        <v>3.9203056884740475E-3</v>
      </c>
      <c r="M54" s="176">
        <v>-3.0913567672286063E-2</v>
      </c>
      <c r="N54" s="175">
        <v>-2.7322191837930096E-3</v>
      </c>
      <c r="O54" s="175">
        <v>0</v>
      </c>
      <c r="P54" s="176">
        <v>0</v>
      </c>
      <c r="Q54" s="175">
        <v>-1.0663678621553235E-2</v>
      </c>
      <c r="R54" s="175">
        <v>7.2704177977332696E-4</v>
      </c>
      <c r="S54" s="175">
        <v>-9.6501634089321137E-3</v>
      </c>
      <c r="T54" s="177">
        <v>0</v>
      </c>
      <c r="U54" s="177">
        <v>0</v>
      </c>
      <c r="V54" s="177">
        <v>0</v>
      </c>
      <c r="W54" s="178">
        <v>0</v>
      </c>
      <c r="X54" s="177">
        <v>0</v>
      </c>
      <c r="Y54" s="177">
        <v>0</v>
      </c>
      <c r="Z54" s="177">
        <v>0</v>
      </c>
      <c r="AA54" s="178">
        <v>0</v>
      </c>
      <c r="AB54" s="164">
        <v>0</v>
      </c>
      <c r="AC54" s="165">
        <v>0</v>
      </c>
    </row>
    <row r="55" spans="1:29" ht="13">
      <c r="A55" s="159" t="s">
        <v>510</v>
      </c>
      <c r="B55" s="143" t="s">
        <v>849</v>
      </c>
      <c r="C55" s="143">
        <v>0</v>
      </c>
      <c r="D55" s="155">
        <v>0</v>
      </c>
      <c r="E55" s="155">
        <v>0</v>
      </c>
      <c r="F55" s="155">
        <v>0</v>
      </c>
      <c r="G55" s="155">
        <v>0</v>
      </c>
      <c r="H55" s="155">
        <v>0</v>
      </c>
      <c r="I55" s="143">
        <v>0</v>
      </c>
      <c r="J55" s="143">
        <v>0</v>
      </c>
      <c r="K55" s="155">
        <v>0</v>
      </c>
      <c r="L55" s="155">
        <v>0</v>
      </c>
      <c r="M55" s="155">
        <v>0</v>
      </c>
      <c r="N55" s="143">
        <v>0</v>
      </c>
      <c r="O55" s="143">
        <v>0</v>
      </c>
      <c r="P55" s="155">
        <v>0</v>
      </c>
      <c r="Q55" s="143">
        <v>0</v>
      </c>
      <c r="R55" s="143">
        <v>0</v>
      </c>
      <c r="S55" s="143">
        <v>0</v>
      </c>
      <c r="T55" s="151">
        <v>0</v>
      </c>
      <c r="U55" s="151">
        <v>0</v>
      </c>
      <c r="V55" s="151">
        <v>0</v>
      </c>
      <c r="W55" s="152">
        <v>0</v>
      </c>
      <c r="X55" s="151">
        <v>0</v>
      </c>
      <c r="Y55" s="151">
        <v>0</v>
      </c>
      <c r="Z55" s="151">
        <v>0</v>
      </c>
      <c r="AA55" s="152">
        <v>0</v>
      </c>
      <c r="AB55" s="153">
        <v>0</v>
      </c>
      <c r="AC55" s="154">
        <v>0</v>
      </c>
    </row>
    <row r="56" spans="1:29" ht="13">
      <c r="A56" s="160"/>
      <c r="B56" s="161" t="s">
        <v>850</v>
      </c>
      <c r="C56" s="161">
        <v>0</v>
      </c>
      <c r="D56" s="15">
        <v>0</v>
      </c>
      <c r="E56" s="15">
        <v>0</v>
      </c>
      <c r="F56" s="15">
        <v>0</v>
      </c>
      <c r="G56" s="15">
        <v>0</v>
      </c>
      <c r="H56" s="15">
        <v>0</v>
      </c>
      <c r="I56" s="161">
        <v>0</v>
      </c>
      <c r="J56" s="161">
        <v>0</v>
      </c>
      <c r="K56" s="15">
        <v>0</v>
      </c>
      <c r="L56" s="15">
        <v>0</v>
      </c>
      <c r="M56" s="15">
        <v>0</v>
      </c>
      <c r="N56" s="161">
        <v>0</v>
      </c>
      <c r="O56" s="161">
        <v>0</v>
      </c>
      <c r="P56" s="15">
        <v>0</v>
      </c>
      <c r="Q56" s="161">
        <v>0</v>
      </c>
      <c r="R56" s="161">
        <v>0</v>
      </c>
      <c r="S56" s="161">
        <v>0</v>
      </c>
      <c r="T56" s="162">
        <v>0</v>
      </c>
      <c r="U56" s="162">
        <v>0</v>
      </c>
      <c r="V56" s="162">
        <v>0</v>
      </c>
      <c r="W56" s="163">
        <v>0</v>
      </c>
      <c r="X56" s="162">
        <v>0</v>
      </c>
      <c r="Y56" s="162">
        <v>0</v>
      </c>
      <c r="Z56" s="162">
        <v>0</v>
      </c>
      <c r="AA56" s="163">
        <v>0</v>
      </c>
      <c r="AB56" s="164">
        <v>0</v>
      </c>
      <c r="AC56" s="165">
        <v>0</v>
      </c>
    </row>
    <row r="57" spans="1:29" ht="13">
      <c r="A57" s="160"/>
      <c r="B57" s="166" t="s">
        <v>851</v>
      </c>
      <c r="C57" s="166">
        <v>0</v>
      </c>
      <c r="D57" s="167">
        <v>0</v>
      </c>
      <c r="E57" s="167">
        <v>0</v>
      </c>
      <c r="F57" s="167">
        <v>0</v>
      </c>
      <c r="G57" s="167">
        <v>0</v>
      </c>
      <c r="H57" s="167">
        <v>0</v>
      </c>
      <c r="I57" s="166">
        <v>0</v>
      </c>
      <c r="J57" s="166">
        <v>0</v>
      </c>
      <c r="K57" s="167">
        <v>0</v>
      </c>
      <c r="L57" s="167">
        <v>0</v>
      </c>
      <c r="M57" s="167">
        <v>0</v>
      </c>
      <c r="N57" s="166">
        <v>0</v>
      </c>
      <c r="O57" s="166">
        <v>0</v>
      </c>
      <c r="P57" s="167">
        <v>0</v>
      </c>
      <c r="Q57" s="166">
        <v>0</v>
      </c>
      <c r="R57" s="166">
        <v>0</v>
      </c>
      <c r="S57" s="166">
        <v>0</v>
      </c>
      <c r="T57" s="168">
        <v>0</v>
      </c>
      <c r="U57" s="168">
        <v>0</v>
      </c>
      <c r="V57" s="168">
        <v>0</v>
      </c>
      <c r="W57" s="169">
        <v>0</v>
      </c>
      <c r="X57" s="168">
        <v>0</v>
      </c>
      <c r="Y57" s="168">
        <v>0</v>
      </c>
      <c r="Z57" s="168">
        <v>0</v>
      </c>
      <c r="AA57" s="169">
        <v>0</v>
      </c>
      <c r="AB57" s="164">
        <v>0</v>
      </c>
      <c r="AC57" s="165">
        <v>0</v>
      </c>
    </row>
    <row r="58" spans="1:29" ht="13">
      <c r="A58" s="160"/>
      <c r="B58" s="161" t="s">
        <v>852</v>
      </c>
      <c r="C58" s="161">
        <v>0</v>
      </c>
      <c r="D58" s="15">
        <v>0</v>
      </c>
      <c r="E58" s="15">
        <v>0</v>
      </c>
      <c r="F58" s="15">
        <v>0</v>
      </c>
      <c r="G58" s="15">
        <v>0</v>
      </c>
      <c r="H58" s="15">
        <v>0</v>
      </c>
      <c r="I58" s="161">
        <v>0</v>
      </c>
      <c r="J58" s="161">
        <v>0</v>
      </c>
      <c r="K58" s="15">
        <v>0</v>
      </c>
      <c r="L58" s="15">
        <v>0</v>
      </c>
      <c r="M58" s="15">
        <v>0</v>
      </c>
      <c r="N58" s="161">
        <v>0</v>
      </c>
      <c r="O58" s="161">
        <v>0</v>
      </c>
      <c r="P58" s="15">
        <v>0</v>
      </c>
      <c r="Q58" s="161">
        <v>0</v>
      </c>
      <c r="R58" s="161">
        <v>0</v>
      </c>
      <c r="S58" s="161">
        <v>0</v>
      </c>
      <c r="T58" s="162">
        <v>0</v>
      </c>
      <c r="U58" s="162">
        <v>0</v>
      </c>
      <c r="V58" s="162">
        <v>0</v>
      </c>
      <c r="W58" s="163">
        <v>0</v>
      </c>
      <c r="X58" s="162">
        <v>0</v>
      </c>
      <c r="Y58" s="162">
        <v>0</v>
      </c>
      <c r="Z58" s="162">
        <v>0</v>
      </c>
      <c r="AA58" s="163">
        <v>0</v>
      </c>
      <c r="AB58" s="164">
        <v>0</v>
      </c>
      <c r="AC58" s="165">
        <v>0</v>
      </c>
    </row>
    <row r="59" spans="1:29" ht="13">
      <c r="A59" s="160"/>
      <c r="B59" s="161" t="s">
        <v>853</v>
      </c>
      <c r="C59" s="161">
        <v>0</v>
      </c>
      <c r="D59" s="15">
        <v>0</v>
      </c>
      <c r="E59" s="15">
        <v>0</v>
      </c>
      <c r="F59" s="15">
        <v>0</v>
      </c>
      <c r="G59" s="15">
        <v>0</v>
      </c>
      <c r="H59" s="15">
        <v>0</v>
      </c>
      <c r="I59" s="161">
        <v>0</v>
      </c>
      <c r="J59" s="161">
        <v>0</v>
      </c>
      <c r="K59" s="15">
        <v>0</v>
      </c>
      <c r="L59" s="15">
        <v>0</v>
      </c>
      <c r="M59" s="15">
        <v>0</v>
      </c>
      <c r="N59" s="161">
        <v>0</v>
      </c>
      <c r="O59" s="161">
        <v>0</v>
      </c>
      <c r="P59" s="15">
        <v>0</v>
      </c>
      <c r="Q59" s="161">
        <v>0</v>
      </c>
      <c r="R59" s="161">
        <v>0</v>
      </c>
      <c r="S59" s="161">
        <v>0</v>
      </c>
      <c r="T59" s="162">
        <v>0</v>
      </c>
      <c r="U59" s="162">
        <v>0</v>
      </c>
      <c r="V59" s="162">
        <v>0</v>
      </c>
      <c r="W59" s="163">
        <v>0</v>
      </c>
      <c r="X59" s="162">
        <v>0</v>
      </c>
      <c r="Y59" s="162">
        <v>0</v>
      </c>
      <c r="Z59" s="162">
        <v>0</v>
      </c>
      <c r="AA59" s="163">
        <v>0</v>
      </c>
      <c r="AB59" s="164">
        <v>0</v>
      </c>
      <c r="AC59" s="165">
        <v>0</v>
      </c>
    </row>
    <row r="60" spans="1:29" ht="13">
      <c r="A60" s="160"/>
      <c r="B60" s="170" t="s">
        <v>854</v>
      </c>
      <c r="C60" s="166">
        <v>0</v>
      </c>
      <c r="D60" s="167">
        <v>0</v>
      </c>
      <c r="E60" s="167">
        <v>0</v>
      </c>
      <c r="F60" s="167">
        <v>0</v>
      </c>
      <c r="G60" s="167">
        <v>0</v>
      </c>
      <c r="H60" s="167">
        <v>0</v>
      </c>
      <c r="I60" s="166">
        <v>0</v>
      </c>
      <c r="J60" s="166">
        <v>0</v>
      </c>
      <c r="K60" s="167">
        <v>0</v>
      </c>
      <c r="L60" s="167">
        <v>0</v>
      </c>
      <c r="M60" s="167">
        <v>0</v>
      </c>
      <c r="N60" s="166">
        <v>0</v>
      </c>
      <c r="O60" s="166">
        <v>0</v>
      </c>
      <c r="P60" s="167">
        <v>0</v>
      </c>
      <c r="Q60" s="166">
        <v>0</v>
      </c>
      <c r="R60" s="170">
        <v>0</v>
      </c>
      <c r="S60" s="170">
        <v>0</v>
      </c>
      <c r="T60" s="171">
        <v>0</v>
      </c>
      <c r="U60" s="171">
        <v>0</v>
      </c>
      <c r="V60" s="171">
        <v>0</v>
      </c>
      <c r="W60" s="172">
        <v>0</v>
      </c>
      <c r="X60" s="171">
        <v>0</v>
      </c>
      <c r="Y60" s="171">
        <v>0</v>
      </c>
      <c r="Z60" s="171">
        <v>0</v>
      </c>
      <c r="AA60" s="172">
        <v>0</v>
      </c>
      <c r="AB60" s="164">
        <v>0</v>
      </c>
      <c r="AC60" s="165">
        <v>0</v>
      </c>
    </row>
    <row r="61" spans="1:29" ht="13">
      <c r="A61" s="173"/>
      <c r="B61" s="174" t="s">
        <v>855</v>
      </c>
      <c r="C61" s="175">
        <v>0</v>
      </c>
      <c r="D61" s="176">
        <v>0</v>
      </c>
      <c r="E61" s="176">
        <v>0</v>
      </c>
      <c r="F61" s="176">
        <v>0</v>
      </c>
      <c r="G61" s="176">
        <v>0</v>
      </c>
      <c r="H61" s="176">
        <v>0</v>
      </c>
      <c r="I61" s="175">
        <v>0</v>
      </c>
      <c r="J61" s="175">
        <v>0</v>
      </c>
      <c r="K61" s="176">
        <v>0</v>
      </c>
      <c r="L61" s="176">
        <v>0</v>
      </c>
      <c r="M61" s="176">
        <v>0</v>
      </c>
      <c r="N61" s="175">
        <v>0</v>
      </c>
      <c r="O61" s="175">
        <v>0</v>
      </c>
      <c r="P61" s="176">
        <v>0</v>
      </c>
      <c r="Q61" s="175">
        <v>0</v>
      </c>
      <c r="R61" s="175">
        <v>0</v>
      </c>
      <c r="S61" s="175">
        <v>0</v>
      </c>
      <c r="T61" s="177">
        <v>0</v>
      </c>
      <c r="U61" s="177">
        <v>0</v>
      </c>
      <c r="V61" s="177">
        <v>0</v>
      </c>
      <c r="W61" s="178">
        <v>0</v>
      </c>
      <c r="X61" s="177">
        <v>0</v>
      </c>
      <c r="Y61" s="177">
        <v>0</v>
      </c>
      <c r="Z61" s="177">
        <v>0</v>
      </c>
      <c r="AA61" s="178">
        <v>0</v>
      </c>
      <c r="AB61" s="164">
        <v>0</v>
      </c>
      <c r="AC61" s="165">
        <v>0</v>
      </c>
    </row>
    <row r="62" spans="1:29" ht="13">
      <c r="A62" s="159" t="s">
        <v>233</v>
      </c>
      <c r="B62" s="143" t="s">
        <v>849</v>
      </c>
      <c r="C62" s="143">
        <v>0</v>
      </c>
      <c r="D62" s="155">
        <v>0</v>
      </c>
      <c r="E62" s="155">
        <v>0</v>
      </c>
      <c r="F62" s="155">
        <v>0</v>
      </c>
      <c r="G62" s="155">
        <v>0</v>
      </c>
      <c r="H62" s="155">
        <v>0</v>
      </c>
      <c r="I62" s="143">
        <v>0</v>
      </c>
      <c r="J62" s="143">
        <v>0</v>
      </c>
      <c r="K62" s="155">
        <v>876985</v>
      </c>
      <c r="L62" s="155">
        <v>895423</v>
      </c>
      <c r="M62" s="155">
        <v>105387</v>
      </c>
      <c r="N62" s="143">
        <v>1877795</v>
      </c>
      <c r="O62" s="143">
        <v>0</v>
      </c>
      <c r="P62" s="155">
        <v>0</v>
      </c>
      <c r="Q62" s="143">
        <v>0</v>
      </c>
      <c r="R62" s="143">
        <v>0</v>
      </c>
      <c r="S62" s="143">
        <v>0</v>
      </c>
      <c r="T62" s="151">
        <v>0</v>
      </c>
      <c r="U62" s="151">
        <v>0</v>
      </c>
      <c r="V62" s="151">
        <v>0</v>
      </c>
      <c r="W62" s="152">
        <v>0</v>
      </c>
      <c r="X62" s="151">
        <v>0</v>
      </c>
      <c r="Y62" s="151">
        <v>0</v>
      </c>
      <c r="Z62" s="151">
        <v>0</v>
      </c>
      <c r="AA62" s="152">
        <v>0</v>
      </c>
      <c r="AB62" s="153">
        <v>0</v>
      </c>
      <c r="AC62" s="154">
        <v>0</v>
      </c>
    </row>
    <row r="63" spans="1:29" ht="13">
      <c r="A63" s="160"/>
      <c r="B63" s="161" t="s">
        <v>850</v>
      </c>
      <c r="C63" s="161">
        <v>0</v>
      </c>
      <c r="D63" s="15">
        <v>0</v>
      </c>
      <c r="E63" s="15">
        <v>0</v>
      </c>
      <c r="F63" s="15">
        <v>0</v>
      </c>
      <c r="G63" s="15">
        <v>0</v>
      </c>
      <c r="H63" s="15">
        <v>0</v>
      </c>
      <c r="I63" s="161">
        <v>0</v>
      </c>
      <c r="J63" s="161">
        <v>0</v>
      </c>
      <c r="K63" s="15">
        <v>60072</v>
      </c>
      <c r="L63" s="15">
        <v>58244</v>
      </c>
      <c r="M63" s="15">
        <v>4932</v>
      </c>
      <c r="N63" s="161">
        <v>123248</v>
      </c>
      <c r="O63" s="161">
        <v>0</v>
      </c>
      <c r="P63" s="15">
        <v>0</v>
      </c>
      <c r="Q63" s="161">
        <v>0</v>
      </c>
      <c r="R63" s="161">
        <v>0</v>
      </c>
      <c r="S63" s="161">
        <v>0</v>
      </c>
      <c r="T63" s="162">
        <v>0</v>
      </c>
      <c r="U63" s="162">
        <v>0</v>
      </c>
      <c r="V63" s="162">
        <v>0</v>
      </c>
      <c r="W63" s="163">
        <v>0</v>
      </c>
      <c r="X63" s="162">
        <v>0</v>
      </c>
      <c r="Y63" s="162">
        <v>0</v>
      </c>
      <c r="Z63" s="162">
        <v>0</v>
      </c>
      <c r="AA63" s="163">
        <v>0</v>
      </c>
      <c r="AB63" s="164">
        <v>0</v>
      </c>
      <c r="AC63" s="165">
        <v>0</v>
      </c>
    </row>
    <row r="64" spans="1:29" ht="13">
      <c r="A64" s="160"/>
      <c r="B64" s="166" t="s">
        <v>851</v>
      </c>
      <c r="C64" s="166">
        <v>0</v>
      </c>
      <c r="D64" s="167">
        <v>0</v>
      </c>
      <c r="E64" s="167">
        <v>0</v>
      </c>
      <c r="F64" s="167">
        <v>0</v>
      </c>
      <c r="G64" s="167">
        <v>0</v>
      </c>
      <c r="H64" s="167">
        <v>0</v>
      </c>
      <c r="I64" s="166">
        <v>0</v>
      </c>
      <c r="J64" s="166">
        <v>0</v>
      </c>
      <c r="K64" s="167">
        <v>6.8498320951897701E-2</v>
      </c>
      <c r="L64" s="167">
        <v>6.5046352394343226E-2</v>
      </c>
      <c r="M64" s="167">
        <v>4.6798941045859549E-2</v>
      </c>
      <c r="N64" s="166">
        <v>6.5634427613237872E-2</v>
      </c>
      <c r="O64" s="166">
        <v>0</v>
      </c>
      <c r="P64" s="167">
        <v>0</v>
      </c>
      <c r="Q64" s="166">
        <v>0</v>
      </c>
      <c r="R64" s="166">
        <v>0</v>
      </c>
      <c r="S64" s="166">
        <v>0</v>
      </c>
      <c r="T64" s="168">
        <v>0</v>
      </c>
      <c r="U64" s="168">
        <v>0</v>
      </c>
      <c r="V64" s="168">
        <v>0</v>
      </c>
      <c r="W64" s="169">
        <v>0</v>
      </c>
      <c r="X64" s="168">
        <v>0</v>
      </c>
      <c r="Y64" s="168">
        <v>0</v>
      </c>
      <c r="Z64" s="168">
        <v>0</v>
      </c>
      <c r="AA64" s="169">
        <v>0</v>
      </c>
      <c r="AB64" s="164">
        <v>0</v>
      </c>
      <c r="AC64" s="165">
        <v>0</v>
      </c>
    </row>
    <row r="65" spans="1:29" ht="13">
      <c r="A65" s="160"/>
      <c r="B65" s="161" t="s">
        <v>852</v>
      </c>
      <c r="C65" s="161">
        <v>0</v>
      </c>
      <c r="D65" s="15">
        <v>0</v>
      </c>
      <c r="E65" s="15">
        <v>0</v>
      </c>
      <c r="F65" s="15">
        <v>0</v>
      </c>
      <c r="G65" s="15">
        <v>0</v>
      </c>
      <c r="H65" s="15">
        <v>0</v>
      </c>
      <c r="I65" s="161">
        <v>0</v>
      </c>
      <c r="J65" s="161">
        <v>0</v>
      </c>
      <c r="K65" s="15">
        <v>847407</v>
      </c>
      <c r="L65" s="15">
        <v>876608.5</v>
      </c>
      <c r="M65" s="15">
        <v>107292</v>
      </c>
      <c r="N65" s="161">
        <v>1831307.5</v>
      </c>
      <c r="O65" s="161">
        <v>0</v>
      </c>
      <c r="P65" s="15">
        <v>0</v>
      </c>
      <c r="Q65" s="161">
        <v>0</v>
      </c>
      <c r="R65" s="161">
        <v>0</v>
      </c>
      <c r="S65" s="161">
        <v>0</v>
      </c>
      <c r="T65" s="162">
        <v>0</v>
      </c>
      <c r="U65" s="162">
        <v>0</v>
      </c>
      <c r="V65" s="162">
        <v>0</v>
      </c>
      <c r="W65" s="163">
        <v>0</v>
      </c>
      <c r="X65" s="162">
        <v>0</v>
      </c>
      <c r="Y65" s="162">
        <v>0</v>
      </c>
      <c r="Z65" s="162">
        <v>0</v>
      </c>
      <c r="AA65" s="163">
        <v>0</v>
      </c>
      <c r="AB65" s="164">
        <v>0</v>
      </c>
      <c r="AC65" s="165">
        <v>0</v>
      </c>
    </row>
    <row r="66" spans="1:29" ht="13">
      <c r="A66" s="160"/>
      <c r="B66" s="161" t="s">
        <v>853</v>
      </c>
      <c r="C66" s="161">
        <v>0</v>
      </c>
      <c r="D66" s="15">
        <v>0</v>
      </c>
      <c r="E66" s="15">
        <v>0</v>
      </c>
      <c r="F66" s="15">
        <v>0</v>
      </c>
      <c r="G66" s="15">
        <v>0</v>
      </c>
      <c r="H66" s="15">
        <v>0</v>
      </c>
      <c r="I66" s="161">
        <v>0</v>
      </c>
      <c r="J66" s="161">
        <v>0</v>
      </c>
      <c r="K66" s="15">
        <v>68561</v>
      </c>
      <c r="L66" s="15">
        <v>58048</v>
      </c>
      <c r="M66" s="15">
        <v>6120</v>
      </c>
      <c r="N66" s="161">
        <v>132729</v>
      </c>
      <c r="O66" s="161">
        <v>0</v>
      </c>
      <c r="P66" s="15">
        <v>0</v>
      </c>
      <c r="Q66" s="161">
        <v>0</v>
      </c>
      <c r="R66" s="161">
        <v>0</v>
      </c>
      <c r="S66" s="161">
        <v>0</v>
      </c>
      <c r="T66" s="162">
        <v>0</v>
      </c>
      <c r="U66" s="162">
        <v>0</v>
      </c>
      <c r="V66" s="162">
        <v>0</v>
      </c>
      <c r="W66" s="163">
        <v>0</v>
      </c>
      <c r="X66" s="162">
        <v>0</v>
      </c>
      <c r="Y66" s="162">
        <v>0</v>
      </c>
      <c r="Z66" s="162">
        <v>0</v>
      </c>
      <c r="AA66" s="163">
        <v>0</v>
      </c>
      <c r="AB66" s="164">
        <v>0</v>
      </c>
      <c r="AC66" s="165">
        <v>0</v>
      </c>
    </row>
    <row r="67" spans="1:29" ht="13">
      <c r="A67" s="160"/>
      <c r="B67" s="170" t="s">
        <v>854</v>
      </c>
      <c r="C67" s="166">
        <v>0</v>
      </c>
      <c r="D67" s="167">
        <v>0</v>
      </c>
      <c r="E67" s="167">
        <v>0</v>
      </c>
      <c r="F67" s="167">
        <v>0</v>
      </c>
      <c r="G67" s="167">
        <v>0</v>
      </c>
      <c r="H67" s="167">
        <v>0</v>
      </c>
      <c r="I67" s="166">
        <v>0</v>
      </c>
      <c r="J67" s="166">
        <v>0</v>
      </c>
      <c r="K67" s="167">
        <v>8.0906813373030906E-2</v>
      </c>
      <c r="L67" s="167">
        <v>6.6218842276797446E-2</v>
      </c>
      <c r="M67" s="167">
        <v>5.7040599485516159E-2</v>
      </c>
      <c r="N67" s="166">
        <v>7.2477724248931438E-2</v>
      </c>
      <c r="O67" s="166">
        <v>0</v>
      </c>
      <c r="P67" s="167">
        <v>0</v>
      </c>
      <c r="Q67" s="166">
        <v>0</v>
      </c>
      <c r="R67" s="170">
        <v>0</v>
      </c>
      <c r="S67" s="170">
        <v>0</v>
      </c>
      <c r="T67" s="171">
        <v>0</v>
      </c>
      <c r="U67" s="171">
        <v>0</v>
      </c>
      <c r="V67" s="171">
        <v>0</v>
      </c>
      <c r="W67" s="172">
        <v>0</v>
      </c>
      <c r="X67" s="171">
        <v>0</v>
      </c>
      <c r="Y67" s="171">
        <v>0</v>
      </c>
      <c r="Z67" s="171">
        <v>0</v>
      </c>
      <c r="AA67" s="172">
        <v>0</v>
      </c>
      <c r="AB67" s="164">
        <v>0</v>
      </c>
      <c r="AC67" s="165">
        <v>0</v>
      </c>
    </row>
    <row r="68" spans="1:29" ht="13">
      <c r="A68" s="160"/>
      <c r="B68" s="174" t="s">
        <v>855</v>
      </c>
      <c r="C68" s="175">
        <v>0</v>
      </c>
      <c r="D68" s="176">
        <v>0</v>
      </c>
      <c r="E68" s="176">
        <v>0</v>
      </c>
      <c r="F68" s="176">
        <v>0</v>
      </c>
      <c r="G68" s="176">
        <v>0</v>
      </c>
      <c r="H68" s="176">
        <v>0</v>
      </c>
      <c r="I68" s="175">
        <v>0</v>
      </c>
      <c r="J68" s="175">
        <v>0</v>
      </c>
      <c r="K68" s="176">
        <v>1.2408492421133205E-2</v>
      </c>
      <c r="L68" s="176">
        <v>1.1724898824542196E-3</v>
      </c>
      <c r="M68" s="176">
        <v>1.024165843965661E-2</v>
      </c>
      <c r="N68" s="175">
        <v>6.8432966356935659E-3</v>
      </c>
      <c r="O68" s="175">
        <v>0</v>
      </c>
      <c r="P68" s="176">
        <v>0</v>
      </c>
      <c r="Q68" s="175">
        <v>0</v>
      </c>
      <c r="R68" s="175">
        <v>0</v>
      </c>
      <c r="S68" s="175">
        <v>0</v>
      </c>
      <c r="T68" s="177">
        <v>0</v>
      </c>
      <c r="U68" s="177">
        <v>0</v>
      </c>
      <c r="V68" s="177">
        <v>0</v>
      </c>
      <c r="W68" s="178">
        <v>0</v>
      </c>
      <c r="X68" s="177">
        <v>0</v>
      </c>
      <c r="Y68" s="177">
        <v>0</v>
      </c>
      <c r="Z68" s="177">
        <v>0</v>
      </c>
      <c r="AA68" s="178">
        <v>0</v>
      </c>
      <c r="AB68" s="164">
        <v>0</v>
      </c>
      <c r="AC68" s="165">
        <v>0</v>
      </c>
    </row>
    <row r="69" spans="1:29" ht="13">
      <c r="A69" s="159" t="s">
        <v>257</v>
      </c>
      <c r="B69" s="143" t="s">
        <v>849</v>
      </c>
      <c r="C69" s="143">
        <v>2397818</v>
      </c>
      <c r="D69" s="155">
        <v>654760</v>
      </c>
      <c r="E69" s="155">
        <v>1689242</v>
      </c>
      <c r="F69" s="155">
        <v>145496</v>
      </c>
      <c r="G69" s="155">
        <v>292488</v>
      </c>
      <c r="H69" s="155">
        <v>143321</v>
      </c>
      <c r="I69" s="143">
        <v>5323125</v>
      </c>
      <c r="J69" s="143">
        <v>0</v>
      </c>
      <c r="K69" s="155">
        <v>2095161.8</v>
      </c>
      <c r="L69" s="155">
        <v>1625068</v>
      </c>
      <c r="M69" s="155">
        <v>773266</v>
      </c>
      <c r="N69" s="143">
        <v>4493495.8</v>
      </c>
      <c r="O69" s="143">
        <v>0</v>
      </c>
      <c r="P69" s="155">
        <v>0</v>
      </c>
      <c r="Q69" s="143">
        <v>0</v>
      </c>
      <c r="R69" s="143">
        <v>0</v>
      </c>
      <c r="S69" s="143">
        <v>0</v>
      </c>
      <c r="T69" s="151">
        <v>0</v>
      </c>
      <c r="U69" s="151">
        <v>0</v>
      </c>
      <c r="V69" s="151">
        <v>0</v>
      </c>
      <c r="W69" s="152">
        <v>0</v>
      </c>
      <c r="X69" s="151">
        <v>0</v>
      </c>
      <c r="Y69" s="151">
        <v>0</v>
      </c>
      <c r="Z69" s="151">
        <v>0</v>
      </c>
      <c r="AA69" s="152">
        <v>0</v>
      </c>
      <c r="AB69" s="153">
        <v>0</v>
      </c>
      <c r="AC69" s="154">
        <v>0</v>
      </c>
    </row>
    <row r="70" spans="1:29" ht="13">
      <c r="A70" s="160"/>
      <c r="B70" s="161" t="s">
        <v>850</v>
      </c>
      <c r="C70" s="161">
        <v>6694</v>
      </c>
      <c r="D70" s="15">
        <v>55</v>
      </c>
      <c r="E70" s="15">
        <v>7396</v>
      </c>
      <c r="F70" s="15">
        <v>7882</v>
      </c>
      <c r="G70" s="15">
        <v>0</v>
      </c>
      <c r="H70" s="15">
        <v>0</v>
      </c>
      <c r="I70" s="161">
        <v>22027</v>
      </c>
      <c r="J70" s="161">
        <v>0</v>
      </c>
      <c r="K70" s="15">
        <v>168704</v>
      </c>
      <c r="L70" s="15">
        <v>323130</v>
      </c>
      <c r="M70" s="15">
        <v>193331.5</v>
      </c>
      <c r="N70" s="161">
        <v>685165.5</v>
      </c>
      <c r="O70" s="161">
        <v>0</v>
      </c>
      <c r="P70" s="15">
        <v>0</v>
      </c>
      <c r="Q70" s="161">
        <v>0</v>
      </c>
      <c r="R70" s="161">
        <v>0</v>
      </c>
      <c r="S70" s="161">
        <v>0</v>
      </c>
      <c r="T70" s="162">
        <v>0</v>
      </c>
      <c r="U70" s="162">
        <v>0</v>
      </c>
      <c r="V70" s="162">
        <v>0</v>
      </c>
      <c r="W70" s="163">
        <v>0</v>
      </c>
      <c r="X70" s="162">
        <v>0</v>
      </c>
      <c r="Y70" s="162">
        <v>0</v>
      </c>
      <c r="Z70" s="162">
        <v>0</v>
      </c>
      <c r="AA70" s="163">
        <v>0</v>
      </c>
      <c r="AB70" s="164">
        <v>0</v>
      </c>
      <c r="AC70" s="165">
        <v>0</v>
      </c>
    </row>
    <row r="71" spans="1:29" ht="13">
      <c r="A71" s="160"/>
      <c r="B71" s="166" t="s">
        <v>851</v>
      </c>
      <c r="C71" s="166">
        <v>2.7917047916063689E-3</v>
      </c>
      <c r="D71" s="167">
        <v>8.4000244364347248E-5</v>
      </c>
      <c r="E71" s="167">
        <v>4.3782951169814626E-3</v>
      </c>
      <c r="F71" s="167">
        <v>5.4173310606477156E-2</v>
      </c>
      <c r="G71" s="167">
        <v>0</v>
      </c>
      <c r="H71" s="167">
        <v>0</v>
      </c>
      <c r="I71" s="166">
        <v>4.1379828578137845E-3</v>
      </c>
      <c r="J71" s="166">
        <v>0</v>
      </c>
      <c r="K71" s="167">
        <v>8.0520750235136967E-2</v>
      </c>
      <c r="L71" s="167">
        <v>0.19884091004191826</v>
      </c>
      <c r="M71" s="167">
        <v>0.2500193982407089</v>
      </c>
      <c r="N71" s="166">
        <v>0.15247939032234104</v>
      </c>
      <c r="O71" s="166">
        <v>0</v>
      </c>
      <c r="P71" s="167">
        <v>0</v>
      </c>
      <c r="Q71" s="166">
        <v>0</v>
      </c>
      <c r="R71" s="166">
        <v>0</v>
      </c>
      <c r="S71" s="166">
        <v>0</v>
      </c>
      <c r="T71" s="168">
        <v>0</v>
      </c>
      <c r="U71" s="168">
        <v>0</v>
      </c>
      <c r="V71" s="168">
        <v>0</v>
      </c>
      <c r="W71" s="169">
        <v>0</v>
      </c>
      <c r="X71" s="168">
        <v>0</v>
      </c>
      <c r="Y71" s="168">
        <v>0</v>
      </c>
      <c r="Z71" s="168">
        <v>0</v>
      </c>
      <c r="AA71" s="169">
        <v>0</v>
      </c>
      <c r="AB71" s="164">
        <v>0</v>
      </c>
      <c r="AC71" s="165">
        <v>0</v>
      </c>
    </row>
    <row r="72" spans="1:29" ht="13">
      <c r="A72" s="160"/>
      <c r="B72" s="161" t="s">
        <v>852</v>
      </c>
      <c r="C72" s="161">
        <v>2418197</v>
      </c>
      <c r="D72" s="15">
        <v>641242</v>
      </c>
      <c r="E72" s="15">
        <v>1715562.5</v>
      </c>
      <c r="F72" s="15">
        <v>150115</v>
      </c>
      <c r="G72" s="15">
        <v>302850</v>
      </c>
      <c r="H72" s="15">
        <v>145335</v>
      </c>
      <c r="I72" s="161">
        <v>5373301.5</v>
      </c>
      <c r="J72" s="161">
        <v>0</v>
      </c>
      <c r="K72" s="15">
        <v>2101626.5</v>
      </c>
      <c r="L72" s="15">
        <v>1632672</v>
      </c>
      <c r="M72" s="15">
        <v>789083.5</v>
      </c>
      <c r="N72" s="161">
        <v>4523382</v>
      </c>
      <c r="O72" s="161">
        <v>0</v>
      </c>
      <c r="P72" s="15">
        <v>0</v>
      </c>
      <c r="Q72" s="161">
        <v>0</v>
      </c>
      <c r="R72" s="161">
        <v>0</v>
      </c>
      <c r="S72" s="161">
        <v>0</v>
      </c>
      <c r="T72" s="162">
        <v>27437</v>
      </c>
      <c r="U72" s="162">
        <v>27437</v>
      </c>
      <c r="V72" s="162">
        <v>0</v>
      </c>
      <c r="W72" s="163">
        <v>0</v>
      </c>
      <c r="X72" s="162">
        <v>0</v>
      </c>
      <c r="Y72" s="162">
        <v>0</v>
      </c>
      <c r="Z72" s="162">
        <v>0</v>
      </c>
      <c r="AA72" s="163">
        <v>0</v>
      </c>
      <c r="AB72" s="164">
        <v>0</v>
      </c>
      <c r="AC72" s="165">
        <v>0</v>
      </c>
    </row>
    <row r="73" spans="1:29" ht="13">
      <c r="A73" s="160"/>
      <c r="B73" s="161" t="s">
        <v>853</v>
      </c>
      <c r="C73" s="161">
        <v>8248</v>
      </c>
      <c r="D73" s="15">
        <v>302</v>
      </c>
      <c r="E73" s="15">
        <v>9561</v>
      </c>
      <c r="F73" s="15">
        <v>7860</v>
      </c>
      <c r="G73" s="15">
        <v>0</v>
      </c>
      <c r="H73" s="15">
        <v>0</v>
      </c>
      <c r="I73" s="161">
        <v>25971</v>
      </c>
      <c r="J73" s="161">
        <v>0</v>
      </c>
      <c r="K73" s="15">
        <v>204541.5</v>
      </c>
      <c r="L73" s="15">
        <v>350400</v>
      </c>
      <c r="M73" s="15">
        <v>203058.5</v>
      </c>
      <c r="N73" s="161">
        <v>758000</v>
      </c>
      <c r="O73" s="161">
        <v>0</v>
      </c>
      <c r="P73" s="15">
        <v>0</v>
      </c>
      <c r="Q73" s="161">
        <v>0</v>
      </c>
      <c r="R73" s="161">
        <v>0</v>
      </c>
      <c r="S73" s="161">
        <v>0</v>
      </c>
      <c r="T73" s="162">
        <v>0</v>
      </c>
      <c r="U73" s="162">
        <v>0</v>
      </c>
      <c r="V73" s="162">
        <v>0</v>
      </c>
      <c r="W73" s="163">
        <v>0</v>
      </c>
      <c r="X73" s="162">
        <v>0</v>
      </c>
      <c r="Y73" s="162">
        <v>0</v>
      </c>
      <c r="Z73" s="162">
        <v>0</v>
      </c>
      <c r="AA73" s="163">
        <v>0</v>
      </c>
      <c r="AB73" s="164">
        <v>0</v>
      </c>
      <c r="AC73" s="165">
        <v>0</v>
      </c>
    </row>
    <row r="74" spans="1:29" ht="13">
      <c r="A74" s="160"/>
      <c r="B74" s="170" t="s">
        <v>854</v>
      </c>
      <c r="C74" s="166">
        <v>3.4108056539645035E-3</v>
      </c>
      <c r="D74" s="167">
        <v>4.7096104122936426E-4</v>
      </c>
      <c r="E74" s="167">
        <v>5.5730992021567269E-3</v>
      </c>
      <c r="F74" s="167">
        <v>5.2359857442627319E-2</v>
      </c>
      <c r="G74" s="167">
        <v>0</v>
      </c>
      <c r="H74" s="167">
        <v>0</v>
      </c>
      <c r="I74" s="166">
        <v>4.8333412893358024E-3</v>
      </c>
      <c r="J74" s="166">
        <v>0</v>
      </c>
      <c r="K74" s="167">
        <v>9.7325333497650504E-2</v>
      </c>
      <c r="L74" s="167">
        <v>0.21461751043687893</v>
      </c>
      <c r="M74" s="167">
        <v>0.25733461667871649</v>
      </c>
      <c r="N74" s="166">
        <v>0.1675737313364204</v>
      </c>
      <c r="O74" s="166">
        <v>0</v>
      </c>
      <c r="P74" s="167">
        <v>0</v>
      </c>
      <c r="Q74" s="166">
        <v>0</v>
      </c>
      <c r="R74" s="170">
        <v>0</v>
      </c>
      <c r="S74" s="170">
        <v>0</v>
      </c>
      <c r="T74" s="171">
        <v>0</v>
      </c>
      <c r="U74" s="171">
        <v>0</v>
      </c>
      <c r="V74" s="171">
        <v>0</v>
      </c>
      <c r="W74" s="172">
        <v>0</v>
      </c>
      <c r="X74" s="171">
        <v>0</v>
      </c>
      <c r="Y74" s="171">
        <v>0</v>
      </c>
      <c r="Z74" s="171">
        <v>0</v>
      </c>
      <c r="AA74" s="172">
        <v>0</v>
      </c>
      <c r="AB74" s="164">
        <v>0</v>
      </c>
      <c r="AC74" s="165">
        <v>0</v>
      </c>
    </row>
    <row r="75" spans="1:29" ht="13">
      <c r="A75" s="160"/>
      <c r="B75" s="174" t="s">
        <v>855</v>
      </c>
      <c r="C75" s="175">
        <v>6.1910086235813459E-4</v>
      </c>
      <c r="D75" s="176">
        <v>3.86960796865017E-4</v>
      </c>
      <c r="E75" s="176">
        <v>1.1948040851752642E-3</v>
      </c>
      <c r="F75" s="176">
        <v>-1.8134531638498361E-3</v>
      </c>
      <c r="G75" s="176">
        <v>0</v>
      </c>
      <c r="H75" s="176">
        <v>0</v>
      </c>
      <c r="I75" s="175">
        <v>6.9535843152201786E-4</v>
      </c>
      <c r="J75" s="175">
        <v>0</v>
      </c>
      <c r="K75" s="176">
        <v>1.6804583262513537E-2</v>
      </c>
      <c r="L75" s="176">
        <v>1.5776600394960677E-2</v>
      </c>
      <c r="M75" s="176">
        <v>7.3152184380075869E-3</v>
      </c>
      <c r="N75" s="175">
        <v>1.509434101407936E-2</v>
      </c>
      <c r="O75" s="175">
        <v>0</v>
      </c>
      <c r="P75" s="176">
        <v>0</v>
      </c>
      <c r="Q75" s="175">
        <v>0</v>
      </c>
      <c r="R75" s="175">
        <v>0</v>
      </c>
      <c r="S75" s="175">
        <v>0</v>
      </c>
      <c r="T75" s="177">
        <v>0</v>
      </c>
      <c r="U75" s="177">
        <v>0</v>
      </c>
      <c r="V75" s="177">
        <v>0</v>
      </c>
      <c r="W75" s="178">
        <v>0</v>
      </c>
      <c r="X75" s="177">
        <v>0</v>
      </c>
      <c r="Y75" s="177">
        <v>0</v>
      </c>
      <c r="Z75" s="177">
        <v>0</v>
      </c>
      <c r="AA75" s="178">
        <v>0</v>
      </c>
      <c r="AB75" s="164">
        <v>0</v>
      </c>
      <c r="AC75" s="165">
        <v>0</v>
      </c>
    </row>
    <row r="76" spans="1:29" ht="13">
      <c r="A76" s="159" t="s">
        <v>331</v>
      </c>
      <c r="B76" s="143" t="s">
        <v>849</v>
      </c>
      <c r="C76" s="143">
        <v>1193460</v>
      </c>
      <c r="D76" s="155">
        <v>0</v>
      </c>
      <c r="E76" s="155">
        <v>509395</v>
      </c>
      <c r="F76" s="155">
        <v>201158</v>
      </c>
      <c r="G76" s="155">
        <v>280326</v>
      </c>
      <c r="H76" s="155">
        <v>138399</v>
      </c>
      <c r="I76" s="143">
        <v>2322738</v>
      </c>
      <c r="J76" s="143">
        <v>198620</v>
      </c>
      <c r="K76" s="155">
        <v>524078</v>
      </c>
      <c r="L76" s="155">
        <v>206473</v>
      </c>
      <c r="M76" s="155">
        <v>311484</v>
      </c>
      <c r="N76" s="143">
        <v>1240655</v>
      </c>
      <c r="O76" s="143">
        <v>0</v>
      </c>
      <c r="P76" s="155">
        <v>0</v>
      </c>
      <c r="Q76" s="143">
        <v>0</v>
      </c>
      <c r="R76" s="143">
        <v>0</v>
      </c>
      <c r="S76" s="143">
        <v>0</v>
      </c>
      <c r="T76" s="151">
        <v>0</v>
      </c>
      <c r="U76" s="151">
        <v>0</v>
      </c>
      <c r="V76" s="151">
        <v>0</v>
      </c>
      <c r="W76" s="152">
        <v>0</v>
      </c>
      <c r="X76" s="151">
        <v>0</v>
      </c>
      <c r="Y76" s="151">
        <v>0</v>
      </c>
      <c r="Z76" s="151">
        <v>0</v>
      </c>
      <c r="AA76" s="152">
        <v>0</v>
      </c>
      <c r="AB76" s="153">
        <v>0</v>
      </c>
      <c r="AC76" s="154">
        <v>0</v>
      </c>
    </row>
    <row r="77" spans="1:29" ht="13">
      <c r="A77" s="160"/>
      <c r="B77" s="161" t="s">
        <v>850</v>
      </c>
      <c r="C77" s="161">
        <v>3296</v>
      </c>
      <c r="D77" s="15">
        <v>0</v>
      </c>
      <c r="E77" s="15">
        <v>7776</v>
      </c>
      <c r="F77" s="15">
        <v>4210</v>
      </c>
      <c r="G77" s="15">
        <v>6257</v>
      </c>
      <c r="H77" s="15">
        <v>5101</v>
      </c>
      <c r="I77" s="161">
        <v>26640</v>
      </c>
      <c r="J77" s="161">
        <v>9193</v>
      </c>
      <c r="K77" s="15">
        <v>37104</v>
      </c>
      <c r="L77" s="15">
        <v>9629</v>
      </c>
      <c r="M77" s="15">
        <v>34932</v>
      </c>
      <c r="N77" s="161">
        <v>90858</v>
      </c>
      <c r="O77" s="161">
        <v>0</v>
      </c>
      <c r="P77" s="15">
        <v>0</v>
      </c>
      <c r="Q77" s="161">
        <v>0</v>
      </c>
      <c r="R77" s="161">
        <v>0</v>
      </c>
      <c r="S77" s="161">
        <v>0</v>
      </c>
      <c r="T77" s="162">
        <v>0</v>
      </c>
      <c r="U77" s="162">
        <v>0</v>
      </c>
      <c r="V77" s="162">
        <v>0</v>
      </c>
      <c r="W77" s="163">
        <v>0</v>
      </c>
      <c r="X77" s="162">
        <v>0</v>
      </c>
      <c r="Y77" s="162">
        <v>0</v>
      </c>
      <c r="Z77" s="162">
        <v>0</v>
      </c>
      <c r="AA77" s="163">
        <v>0</v>
      </c>
      <c r="AB77" s="164">
        <v>0</v>
      </c>
      <c r="AC77" s="165">
        <v>0</v>
      </c>
    </row>
    <row r="78" spans="1:29" ht="13">
      <c r="A78" s="160"/>
      <c r="B78" s="166" t="s">
        <v>851</v>
      </c>
      <c r="C78" s="166">
        <v>2.7617180299297842E-3</v>
      </c>
      <c r="D78" s="167">
        <v>0</v>
      </c>
      <c r="E78" s="167">
        <v>1.5265167502625663E-2</v>
      </c>
      <c r="F78" s="167">
        <v>2.0928822119925632E-2</v>
      </c>
      <c r="G78" s="167">
        <v>2.2320441200602156E-2</v>
      </c>
      <c r="H78" s="167">
        <v>3.6857202725453217E-2</v>
      </c>
      <c r="I78" s="166">
        <v>1.1469222960144449E-2</v>
      </c>
      <c r="J78" s="166">
        <v>4.6284362098479512E-2</v>
      </c>
      <c r="K78" s="167">
        <v>7.0798621579230572E-2</v>
      </c>
      <c r="L78" s="167">
        <v>4.6635637589418473E-2</v>
      </c>
      <c r="M78" s="167">
        <v>0.11214701236660631</v>
      </c>
      <c r="N78" s="166">
        <v>7.3233896611064317E-2</v>
      </c>
      <c r="O78" s="166">
        <v>0</v>
      </c>
      <c r="P78" s="167">
        <v>0</v>
      </c>
      <c r="Q78" s="166">
        <v>0</v>
      </c>
      <c r="R78" s="166">
        <v>0</v>
      </c>
      <c r="S78" s="166">
        <v>0</v>
      </c>
      <c r="T78" s="168">
        <v>0</v>
      </c>
      <c r="U78" s="168">
        <v>0</v>
      </c>
      <c r="V78" s="168">
        <v>0</v>
      </c>
      <c r="W78" s="169">
        <v>0</v>
      </c>
      <c r="X78" s="168">
        <v>0</v>
      </c>
      <c r="Y78" s="168">
        <v>0</v>
      </c>
      <c r="Z78" s="168">
        <v>0</v>
      </c>
      <c r="AA78" s="169">
        <v>0</v>
      </c>
      <c r="AB78" s="164">
        <v>0</v>
      </c>
      <c r="AC78" s="165">
        <v>0</v>
      </c>
    </row>
    <row r="79" spans="1:29" ht="13">
      <c r="A79" s="160"/>
      <c r="B79" s="161" t="s">
        <v>852</v>
      </c>
      <c r="C79" s="161">
        <v>1180715</v>
      </c>
      <c r="D79" s="15">
        <v>0</v>
      </c>
      <c r="E79" s="15">
        <v>494678</v>
      </c>
      <c r="F79" s="15">
        <v>188020</v>
      </c>
      <c r="G79" s="15">
        <v>269408</v>
      </c>
      <c r="H79" s="15">
        <v>130840</v>
      </c>
      <c r="I79" s="161">
        <v>2263661</v>
      </c>
      <c r="J79" s="161">
        <v>184407</v>
      </c>
      <c r="K79" s="15">
        <v>480691</v>
      </c>
      <c r="L79" s="15">
        <v>190791</v>
      </c>
      <c r="M79" s="15">
        <v>268285</v>
      </c>
      <c r="N79" s="161">
        <v>1124174</v>
      </c>
      <c r="O79" s="161">
        <v>0</v>
      </c>
      <c r="P79" s="15">
        <v>0</v>
      </c>
      <c r="Q79" s="161">
        <v>0</v>
      </c>
      <c r="R79" s="161">
        <v>0</v>
      </c>
      <c r="S79" s="161">
        <v>0</v>
      </c>
      <c r="T79" s="162">
        <v>0</v>
      </c>
      <c r="U79" s="162">
        <v>0</v>
      </c>
      <c r="V79" s="162">
        <v>0</v>
      </c>
      <c r="W79" s="163">
        <v>0</v>
      </c>
      <c r="X79" s="162">
        <v>0</v>
      </c>
      <c r="Y79" s="162">
        <v>0</v>
      </c>
      <c r="Z79" s="162">
        <v>0</v>
      </c>
      <c r="AA79" s="163">
        <v>0</v>
      </c>
      <c r="AB79" s="164">
        <v>0</v>
      </c>
      <c r="AC79" s="165">
        <v>0</v>
      </c>
    </row>
    <row r="80" spans="1:29" ht="13">
      <c r="A80" s="160"/>
      <c r="B80" s="161" t="s">
        <v>853</v>
      </c>
      <c r="C80" s="161">
        <v>3271</v>
      </c>
      <c r="D80" s="15">
        <v>0</v>
      </c>
      <c r="E80" s="15">
        <v>7399</v>
      </c>
      <c r="F80" s="15">
        <v>4070</v>
      </c>
      <c r="G80" s="15">
        <v>6428</v>
      </c>
      <c r="H80" s="15">
        <v>5202</v>
      </c>
      <c r="I80" s="161">
        <v>26370</v>
      </c>
      <c r="J80" s="161">
        <v>10203</v>
      </c>
      <c r="K80" s="15">
        <v>38766</v>
      </c>
      <c r="L80" s="15">
        <v>10364</v>
      </c>
      <c r="M80" s="15">
        <v>34070</v>
      </c>
      <c r="N80" s="161">
        <v>93403</v>
      </c>
      <c r="O80" s="161">
        <v>0</v>
      </c>
      <c r="P80" s="15">
        <v>0</v>
      </c>
      <c r="Q80" s="161">
        <v>0</v>
      </c>
      <c r="R80" s="161">
        <v>0</v>
      </c>
      <c r="S80" s="161">
        <v>0</v>
      </c>
      <c r="T80" s="162">
        <v>0</v>
      </c>
      <c r="U80" s="162">
        <v>0</v>
      </c>
      <c r="V80" s="162">
        <v>0</v>
      </c>
      <c r="W80" s="163">
        <v>0</v>
      </c>
      <c r="X80" s="162">
        <v>0</v>
      </c>
      <c r="Y80" s="162">
        <v>0</v>
      </c>
      <c r="Z80" s="162">
        <v>0</v>
      </c>
      <c r="AA80" s="163">
        <v>0</v>
      </c>
      <c r="AB80" s="164">
        <v>0</v>
      </c>
      <c r="AC80" s="165">
        <v>0</v>
      </c>
    </row>
    <row r="81" spans="1:29" ht="13">
      <c r="A81" s="160"/>
      <c r="B81" s="170" t="s">
        <v>854</v>
      </c>
      <c r="C81" s="166">
        <v>2.7703552508437685E-3</v>
      </c>
      <c r="D81" s="167">
        <v>0</v>
      </c>
      <c r="E81" s="167">
        <v>1.4957204484533373E-2</v>
      </c>
      <c r="F81" s="167">
        <v>2.1646633336879054E-2</v>
      </c>
      <c r="G81" s="167">
        <v>2.3859722057251453E-2</v>
      </c>
      <c r="H81" s="167">
        <v>3.9758483644145519E-2</v>
      </c>
      <c r="I81" s="166">
        <v>1.1649270805124972E-2</v>
      </c>
      <c r="J81" s="166">
        <v>5.5328702272690301E-2</v>
      </c>
      <c r="K81" s="167">
        <v>8.0646402782660789E-2</v>
      </c>
      <c r="L81" s="167">
        <v>5.4321220602648969E-2</v>
      </c>
      <c r="M81" s="167">
        <v>0.12699181840207241</v>
      </c>
      <c r="N81" s="166">
        <v>8.3085892397440256E-2</v>
      </c>
      <c r="O81" s="166">
        <v>0</v>
      </c>
      <c r="P81" s="167">
        <v>0</v>
      </c>
      <c r="Q81" s="166">
        <v>0</v>
      </c>
      <c r="R81" s="170">
        <v>0</v>
      </c>
      <c r="S81" s="170">
        <v>0</v>
      </c>
      <c r="T81" s="171">
        <v>0</v>
      </c>
      <c r="U81" s="171">
        <v>0</v>
      </c>
      <c r="V81" s="171">
        <v>0</v>
      </c>
      <c r="W81" s="172">
        <v>0</v>
      </c>
      <c r="X81" s="171">
        <v>0</v>
      </c>
      <c r="Y81" s="171">
        <v>0</v>
      </c>
      <c r="Z81" s="171">
        <v>0</v>
      </c>
      <c r="AA81" s="172">
        <v>0</v>
      </c>
      <c r="AB81" s="164">
        <v>0</v>
      </c>
      <c r="AC81" s="165">
        <v>0</v>
      </c>
    </row>
    <row r="82" spans="1:29" ht="13">
      <c r="A82" s="160"/>
      <c r="B82" s="174" t="s">
        <v>855</v>
      </c>
      <c r="C82" s="175">
        <v>8.6372209139842955E-6</v>
      </c>
      <c r="D82" s="176">
        <v>0</v>
      </c>
      <c r="E82" s="176">
        <v>-3.0796301809228946E-4</v>
      </c>
      <c r="F82" s="176">
        <v>7.1781121695342273E-4</v>
      </c>
      <c r="G82" s="176">
        <v>1.5392808566492971E-3</v>
      </c>
      <c r="H82" s="176">
        <v>2.9012809186923019E-3</v>
      </c>
      <c r="I82" s="175">
        <v>1.800478449805222E-4</v>
      </c>
      <c r="J82" s="175">
        <v>9.0443401742107896E-3</v>
      </c>
      <c r="K82" s="176">
        <v>9.847781203430217E-3</v>
      </c>
      <c r="L82" s="176">
        <v>7.6855830132304959E-3</v>
      </c>
      <c r="M82" s="176">
        <v>1.4844806035466104E-2</v>
      </c>
      <c r="N82" s="175">
        <v>9.8519957863759389E-3</v>
      </c>
      <c r="O82" s="175">
        <v>0</v>
      </c>
      <c r="P82" s="176">
        <v>0</v>
      </c>
      <c r="Q82" s="175">
        <v>0</v>
      </c>
      <c r="R82" s="175">
        <v>0</v>
      </c>
      <c r="S82" s="175">
        <v>0</v>
      </c>
      <c r="T82" s="177">
        <v>0</v>
      </c>
      <c r="U82" s="177">
        <v>0</v>
      </c>
      <c r="V82" s="177">
        <v>0</v>
      </c>
      <c r="W82" s="178">
        <v>0</v>
      </c>
      <c r="X82" s="177">
        <v>0</v>
      </c>
      <c r="Y82" s="177">
        <v>0</v>
      </c>
      <c r="Z82" s="177">
        <v>0</v>
      </c>
      <c r="AA82" s="178">
        <v>0</v>
      </c>
      <c r="AB82" s="164">
        <v>0</v>
      </c>
      <c r="AC82" s="165">
        <v>0</v>
      </c>
    </row>
    <row r="83" spans="1:29" ht="13">
      <c r="A83" s="159" t="s">
        <v>538</v>
      </c>
      <c r="B83" s="143" t="s">
        <v>849</v>
      </c>
      <c r="C83" s="143">
        <v>1399812</v>
      </c>
      <c r="D83" s="155">
        <v>0</v>
      </c>
      <c r="E83" s="155">
        <v>434758.5</v>
      </c>
      <c r="F83" s="155">
        <v>292352</v>
      </c>
      <c r="G83" s="155">
        <v>90450</v>
      </c>
      <c r="H83" s="155">
        <v>388768.5</v>
      </c>
      <c r="I83" s="143">
        <v>2606141</v>
      </c>
      <c r="J83" s="143">
        <v>0</v>
      </c>
      <c r="K83" s="155">
        <v>859427</v>
      </c>
      <c r="L83" s="155">
        <v>611446</v>
      </c>
      <c r="M83" s="155">
        <v>293351</v>
      </c>
      <c r="N83" s="143">
        <v>1764224</v>
      </c>
      <c r="O83" s="143">
        <v>0</v>
      </c>
      <c r="P83" s="155">
        <v>0</v>
      </c>
      <c r="Q83" s="143">
        <v>0</v>
      </c>
      <c r="R83" s="143">
        <v>0</v>
      </c>
      <c r="S83" s="143">
        <v>0</v>
      </c>
      <c r="T83" s="151">
        <v>0</v>
      </c>
      <c r="U83" s="151">
        <v>0</v>
      </c>
      <c r="V83" s="151">
        <v>0</v>
      </c>
      <c r="W83" s="152">
        <v>0</v>
      </c>
      <c r="X83" s="151">
        <v>0</v>
      </c>
      <c r="Y83" s="151">
        <v>0</v>
      </c>
      <c r="Z83" s="151">
        <v>0</v>
      </c>
      <c r="AA83" s="152">
        <v>0</v>
      </c>
      <c r="AB83" s="153">
        <v>0</v>
      </c>
      <c r="AC83" s="154">
        <v>0</v>
      </c>
    </row>
    <row r="84" spans="1:29" ht="13">
      <c r="A84" s="160"/>
      <c r="B84" s="161" t="s">
        <v>850</v>
      </c>
      <c r="C84" s="161">
        <v>356</v>
      </c>
      <c r="D84" s="15">
        <v>0</v>
      </c>
      <c r="E84" s="15">
        <v>2273</v>
      </c>
      <c r="F84" s="15">
        <v>2460</v>
      </c>
      <c r="G84" s="15">
        <v>1178</v>
      </c>
      <c r="H84" s="15">
        <v>8185</v>
      </c>
      <c r="I84" s="161">
        <v>14452</v>
      </c>
      <c r="J84" s="161">
        <v>0</v>
      </c>
      <c r="K84" s="15">
        <v>54578</v>
      </c>
      <c r="L84" s="15">
        <v>52525</v>
      </c>
      <c r="M84" s="15">
        <v>40427</v>
      </c>
      <c r="N84" s="161">
        <v>147530</v>
      </c>
      <c r="O84" s="161">
        <v>0</v>
      </c>
      <c r="P84" s="15">
        <v>0</v>
      </c>
      <c r="Q84" s="161">
        <v>0</v>
      </c>
      <c r="R84" s="161">
        <v>0</v>
      </c>
      <c r="S84" s="161">
        <v>0</v>
      </c>
      <c r="T84" s="162">
        <v>0</v>
      </c>
      <c r="U84" s="162">
        <v>0</v>
      </c>
      <c r="V84" s="162">
        <v>0</v>
      </c>
      <c r="W84" s="163">
        <v>0</v>
      </c>
      <c r="X84" s="162">
        <v>0</v>
      </c>
      <c r="Y84" s="162">
        <v>0</v>
      </c>
      <c r="Z84" s="162">
        <v>0</v>
      </c>
      <c r="AA84" s="163">
        <v>0</v>
      </c>
      <c r="AB84" s="164">
        <v>0</v>
      </c>
      <c r="AC84" s="165">
        <v>0</v>
      </c>
    </row>
    <row r="85" spans="1:29" ht="13">
      <c r="A85" s="160"/>
      <c r="B85" s="166" t="s">
        <v>851</v>
      </c>
      <c r="C85" s="166">
        <v>2.543198658105517E-4</v>
      </c>
      <c r="D85" s="167">
        <v>0</v>
      </c>
      <c r="E85" s="167">
        <v>5.2281899031301282E-3</v>
      </c>
      <c r="F85" s="167">
        <v>8.4145140105078807E-3</v>
      </c>
      <c r="G85" s="167">
        <v>1.3023770038695412E-2</v>
      </c>
      <c r="H85" s="167">
        <v>2.1053660468890869E-2</v>
      </c>
      <c r="I85" s="166">
        <v>5.5453638156953136E-3</v>
      </c>
      <c r="J85" s="166">
        <v>0</v>
      </c>
      <c r="K85" s="167">
        <v>6.3505102818505813E-2</v>
      </c>
      <c r="L85" s="167">
        <v>8.5902925196992053E-2</v>
      </c>
      <c r="M85" s="167">
        <v>0.13781101820004021</v>
      </c>
      <c r="N85" s="166">
        <v>8.3623168033084228E-2</v>
      </c>
      <c r="O85" s="166">
        <v>0</v>
      </c>
      <c r="P85" s="167">
        <v>0</v>
      </c>
      <c r="Q85" s="166">
        <v>0</v>
      </c>
      <c r="R85" s="166">
        <v>0</v>
      </c>
      <c r="S85" s="166">
        <v>0</v>
      </c>
      <c r="T85" s="168">
        <v>0</v>
      </c>
      <c r="U85" s="168">
        <v>0</v>
      </c>
      <c r="V85" s="168">
        <v>0</v>
      </c>
      <c r="W85" s="169">
        <v>0</v>
      </c>
      <c r="X85" s="168">
        <v>0</v>
      </c>
      <c r="Y85" s="168">
        <v>0</v>
      </c>
      <c r="Z85" s="168">
        <v>0</v>
      </c>
      <c r="AA85" s="169">
        <v>0</v>
      </c>
      <c r="AB85" s="164">
        <v>0</v>
      </c>
      <c r="AC85" s="165">
        <v>0</v>
      </c>
    </row>
    <row r="86" spans="1:29" ht="13">
      <c r="A86" s="160"/>
      <c r="B86" s="161" t="s">
        <v>852</v>
      </c>
      <c r="C86" s="161">
        <v>1432247</v>
      </c>
      <c r="D86" s="15">
        <v>0</v>
      </c>
      <c r="E86" s="15">
        <v>523449</v>
      </c>
      <c r="F86" s="15">
        <v>291098</v>
      </c>
      <c r="G86" s="15">
        <v>80376</v>
      </c>
      <c r="H86" s="15">
        <v>389777.5</v>
      </c>
      <c r="I86" s="161">
        <v>2716947.5</v>
      </c>
      <c r="J86" s="161">
        <v>0</v>
      </c>
      <c r="K86" s="15">
        <v>837358</v>
      </c>
      <c r="L86" s="15">
        <v>597754</v>
      </c>
      <c r="M86" s="15">
        <v>293690</v>
      </c>
      <c r="N86" s="161">
        <v>1728802</v>
      </c>
      <c r="O86" s="161">
        <v>0</v>
      </c>
      <c r="P86" s="15">
        <v>0</v>
      </c>
      <c r="Q86" s="161">
        <v>0</v>
      </c>
      <c r="R86" s="161">
        <v>0</v>
      </c>
      <c r="S86" s="161">
        <v>0</v>
      </c>
      <c r="T86" s="162">
        <v>0</v>
      </c>
      <c r="U86" s="162">
        <v>0</v>
      </c>
      <c r="V86" s="162">
        <v>0</v>
      </c>
      <c r="W86" s="163">
        <v>0</v>
      </c>
      <c r="X86" s="162">
        <v>0</v>
      </c>
      <c r="Y86" s="162">
        <v>0</v>
      </c>
      <c r="Z86" s="162">
        <v>0</v>
      </c>
      <c r="AA86" s="163">
        <v>0</v>
      </c>
      <c r="AB86" s="164">
        <v>0</v>
      </c>
      <c r="AC86" s="165">
        <v>0</v>
      </c>
    </row>
    <row r="87" spans="1:29" ht="13">
      <c r="A87" s="160"/>
      <c r="B87" s="161" t="s">
        <v>853</v>
      </c>
      <c r="C87" s="161">
        <v>262</v>
      </c>
      <c r="D87" s="15">
        <v>0</v>
      </c>
      <c r="E87" s="15">
        <v>2290</v>
      </c>
      <c r="F87" s="15">
        <v>2674</v>
      </c>
      <c r="G87" s="15">
        <v>3015</v>
      </c>
      <c r="H87" s="15">
        <v>8111</v>
      </c>
      <c r="I87" s="161">
        <v>16352</v>
      </c>
      <c r="J87" s="161">
        <v>0</v>
      </c>
      <c r="K87" s="15">
        <v>59277</v>
      </c>
      <c r="L87" s="15">
        <v>50250</v>
      </c>
      <c r="M87" s="15">
        <v>63081</v>
      </c>
      <c r="N87" s="161">
        <v>172608</v>
      </c>
      <c r="O87" s="161">
        <v>0</v>
      </c>
      <c r="P87" s="15">
        <v>0</v>
      </c>
      <c r="Q87" s="161">
        <v>0</v>
      </c>
      <c r="R87" s="161">
        <v>0</v>
      </c>
      <c r="S87" s="161">
        <v>0</v>
      </c>
      <c r="T87" s="162">
        <v>0</v>
      </c>
      <c r="U87" s="162">
        <v>0</v>
      </c>
      <c r="V87" s="162">
        <v>0</v>
      </c>
      <c r="W87" s="163">
        <v>0</v>
      </c>
      <c r="X87" s="162">
        <v>0</v>
      </c>
      <c r="Y87" s="162">
        <v>0</v>
      </c>
      <c r="Z87" s="162">
        <v>0</v>
      </c>
      <c r="AA87" s="163">
        <v>0</v>
      </c>
      <c r="AB87" s="164">
        <v>0</v>
      </c>
      <c r="AC87" s="165">
        <v>0</v>
      </c>
    </row>
    <row r="88" spans="1:29" ht="13">
      <c r="A88" s="160"/>
      <c r="B88" s="170" t="s">
        <v>854</v>
      </c>
      <c r="C88" s="166">
        <v>1.829293410982882E-4</v>
      </c>
      <c r="D88" s="167">
        <v>0</v>
      </c>
      <c r="E88" s="167">
        <v>4.3748292574825815E-3</v>
      </c>
      <c r="F88" s="167">
        <v>9.1859098997588446E-3</v>
      </c>
      <c r="G88" s="167">
        <v>3.7511197372349953E-2</v>
      </c>
      <c r="H88" s="167">
        <v>2.0809307874364219E-2</v>
      </c>
      <c r="I88" s="166">
        <v>6.0185189445140178E-3</v>
      </c>
      <c r="J88" s="166">
        <v>0</v>
      </c>
      <c r="K88" s="167">
        <v>7.0790510152169084E-2</v>
      </c>
      <c r="L88" s="167">
        <v>8.4064682126761173E-2</v>
      </c>
      <c r="M88" s="167">
        <v>0.21478770131771596</v>
      </c>
      <c r="N88" s="166">
        <v>9.9842549927637747E-2</v>
      </c>
      <c r="O88" s="166">
        <v>0</v>
      </c>
      <c r="P88" s="167">
        <v>0</v>
      </c>
      <c r="Q88" s="166">
        <v>0</v>
      </c>
      <c r="R88" s="170">
        <v>0</v>
      </c>
      <c r="S88" s="170">
        <v>0</v>
      </c>
      <c r="T88" s="171">
        <v>0</v>
      </c>
      <c r="U88" s="171">
        <v>0</v>
      </c>
      <c r="V88" s="171">
        <v>0</v>
      </c>
      <c r="W88" s="172">
        <v>0</v>
      </c>
      <c r="X88" s="171">
        <v>0</v>
      </c>
      <c r="Y88" s="171">
        <v>0</v>
      </c>
      <c r="Z88" s="171">
        <v>0</v>
      </c>
      <c r="AA88" s="172">
        <v>0</v>
      </c>
      <c r="AB88" s="164">
        <v>0</v>
      </c>
      <c r="AC88" s="165">
        <v>0</v>
      </c>
    </row>
    <row r="89" spans="1:29" ht="13">
      <c r="A89" s="160"/>
      <c r="B89" s="174" t="s">
        <v>855</v>
      </c>
      <c r="C89" s="175">
        <v>-7.1390524712263499E-5</v>
      </c>
      <c r="D89" s="176">
        <v>0</v>
      </c>
      <c r="E89" s="176">
        <v>-8.5336064564754677E-4</v>
      </c>
      <c r="F89" s="176">
        <v>7.713958892509639E-4</v>
      </c>
      <c r="G89" s="176">
        <v>2.4487427333654541E-2</v>
      </c>
      <c r="H89" s="176">
        <v>-2.443525945266499E-4</v>
      </c>
      <c r="I89" s="175">
        <v>4.7315512881870424E-4</v>
      </c>
      <c r="J89" s="175">
        <v>0</v>
      </c>
      <c r="K89" s="176">
        <v>7.2854073336632713E-3</v>
      </c>
      <c r="L89" s="176">
        <v>-1.83824307023088E-3</v>
      </c>
      <c r="M89" s="176">
        <v>7.6976683117675748E-2</v>
      </c>
      <c r="N89" s="175">
        <v>1.621938189455352E-2</v>
      </c>
      <c r="O89" s="175">
        <v>0</v>
      </c>
      <c r="P89" s="176">
        <v>0</v>
      </c>
      <c r="Q89" s="175">
        <v>0</v>
      </c>
      <c r="R89" s="175">
        <v>0</v>
      </c>
      <c r="S89" s="175">
        <v>0</v>
      </c>
      <c r="T89" s="177">
        <v>0</v>
      </c>
      <c r="U89" s="177">
        <v>0</v>
      </c>
      <c r="V89" s="177">
        <v>0</v>
      </c>
      <c r="W89" s="178">
        <v>0</v>
      </c>
      <c r="X89" s="177">
        <v>0</v>
      </c>
      <c r="Y89" s="177">
        <v>0</v>
      </c>
      <c r="Z89" s="177">
        <v>0</v>
      </c>
      <c r="AA89" s="178">
        <v>0</v>
      </c>
      <c r="AB89" s="164">
        <v>0</v>
      </c>
      <c r="AC89" s="165">
        <v>0</v>
      </c>
    </row>
    <row r="90" spans="1:29" ht="13">
      <c r="A90" s="159" t="s">
        <v>405</v>
      </c>
      <c r="B90" s="143" t="s">
        <v>849</v>
      </c>
      <c r="C90" s="143">
        <v>1053744</v>
      </c>
      <c r="D90" s="155">
        <v>825585</v>
      </c>
      <c r="E90" s="155">
        <v>787365</v>
      </c>
      <c r="F90" s="155">
        <v>0</v>
      </c>
      <c r="G90" s="155">
        <v>167200</v>
      </c>
      <c r="H90" s="155">
        <v>0</v>
      </c>
      <c r="I90" s="143">
        <v>2833894</v>
      </c>
      <c r="J90" s="143">
        <v>0</v>
      </c>
      <c r="K90" s="155">
        <v>914726</v>
      </c>
      <c r="L90" s="155">
        <v>772750</v>
      </c>
      <c r="M90" s="155">
        <v>51522</v>
      </c>
      <c r="N90" s="143">
        <v>1738998</v>
      </c>
      <c r="O90" s="143">
        <v>0</v>
      </c>
      <c r="P90" s="155">
        <v>0</v>
      </c>
      <c r="Q90" s="143">
        <v>0</v>
      </c>
      <c r="R90" s="143">
        <v>0</v>
      </c>
      <c r="S90" s="143">
        <v>0</v>
      </c>
      <c r="T90" s="151">
        <v>0</v>
      </c>
      <c r="U90" s="151">
        <v>0</v>
      </c>
      <c r="V90" s="151">
        <v>0</v>
      </c>
      <c r="W90" s="152">
        <v>0</v>
      </c>
      <c r="X90" s="151">
        <v>0</v>
      </c>
      <c r="Y90" s="151">
        <v>0</v>
      </c>
      <c r="Z90" s="151">
        <v>0</v>
      </c>
      <c r="AA90" s="152">
        <v>0</v>
      </c>
      <c r="AB90" s="153">
        <v>0</v>
      </c>
      <c r="AC90" s="154">
        <v>0</v>
      </c>
    </row>
    <row r="91" spans="1:29" ht="13">
      <c r="A91" s="160"/>
      <c r="B91" s="161" t="s">
        <v>850</v>
      </c>
      <c r="C91" s="161">
        <v>11711</v>
      </c>
      <c r="D91" s="15">
        <v>11222</v>
      </c>
      <c r="E91" s="15">
        <v>9093</v>
      </c>
      <c r="F91" s="15">
        <v>0</v>
      </c>
      <c r="G91" s="15">
        <v>7294</v>
      </c>
      <c r="H91" s="15">
        <v>0</v>
      </c>
      <c r="I91" s="161">
        <v>39320</v>
      </c>
      <c r="J91" s="161">
        <v>0</v>
      </c>
      <c r="K91" s="15">
        <v>53763</v>
      </c>
      <c r="L91" s="15">
        <v>78560</v>
      </c>
      <c r="M91" s="15">
        <v>8307</v>
      </c>
      <c r="N91" s="161">
        <v>140630</v>
      </c>
      <c r="O91" s="161">
        <v>0</v>
      </c>
      <c r="P91" s="15">
        <v>0</v>
      </c>
      <c r="Q91" s="161">
        <v>0</v>
      </c>
      <c r="R91" s="161">
        <v>0</v>
      </c>
      <c r="S91" s="161">
        <v>0</v>
      </c>
      <c r="T91" s="162">
        <v>0</v>
      </c>
      <c r="U91" s="162">
        <v>0</v>
      </c>
      <c r="V91" s="162">
        <v>0</v>
      </c>
      <c r="W91" s="163">
        <v>0</v>
      </c>
      <c r="X91" s="162">
        <v>0</v>
      </c>
      <c r="Y91" s="162">
        <v>0</v>
      </c>
      <c r="Z91" s="162">
        <v>0</v>
      </c>
      <c r="AA91" s="163">
        <v>0</v>
      </c>
      <c r="AB91" s="164">
        <v>0</v>
      </c>
      <c r="AC91" s="165">
        <v>0</v>
      </c>
    </row>
    <row r="92" spans="1:29" ht="13">
      <c r="A92" s="160"/>
      <c r="B92" s="166" t="s">
        <v>851</v>
      </c>
      <c r="C92" s="166">
        <v>1.1113705036517409E-2</v>
      </c>
      <c r="D92" s="167">
        <v>1.3592785721639807E-2</v>
      </c>
      <c r="E92" s="167">
        <v>1.1548646434626889E-2</v>
      </c>
      <c r="F92" s="167">
        <v>0</v>
      </c>
      <c r="G92" s="167">
        <v>4.36244019138756E-2</v>
      </c>
      <c r="H92" s="167">
        <v>0</v>
      </c>
      <c r="I92" s="166">
        <v>1.3874901460675665E-2</v>
      </c>
      <c r="J92" s="166">
        <v>0</v>
      </c>
      <c r="K92" s="167">
        <v>5.8774977424933803E-2</v>
      </c>
      <c r="L92" s="167">
        <v>0.10166289226787448</v>
      </c>
      <c r="M92" s="167">
        <v>0.16123209502736696</v>
      </c>
      <c r="N92" s="166">
        <v>8.0868408129279049E-2</v>
      </c>
      <c r="O92" s="166">
        <v>0</v>
      </c>
      <c r="P92" s="167">
        <v>0</v>
      </c>
      <c r="Q92" s="166">
        <v>0</v>
      </c>
      <c r="R92" s="166">
        <v>0</v>
      </c>
      <c r="S92" s="166">
        <v>0</v>
      </c>
      <c r="T92" s="168">
        <v>0</v>
      </c>
      <c r="U92" s="168">
        <v>0</v>
      </c>
      <c r="V92" s="168">
        <v>0</v>
      </c>
      <c r="W92" s="169">
        <v>0</v>
      </c>
      <c r="X92" s="168">
        <v>0</v>
      </c>
      <c r="Y92" s="168">
        <v>0</v>
      </c>
      <c r="Z92" s="168">
        <v>0</v>
      </c>
      <c r="AA92" s="169">
        <v>0</v>
      </c>
      <c r="AB92" s="164">
        <v>0</v>
      </c>
      <c r="AC92" s="165">
        <v>0</v>
      </c>
    </row>
    <row r="93" spans="1:29" ht="13">
      <c r="A93" s="160"/>
      <c r="B93" s="161" t="s">
        <v>852</v>
      </c>
      <c r="C93" s="161">
        <v>1067679</v>
      </c>
      <c r="D93" s="15">
        <v>980786</v>
      </c>
      <c r="E93" s="15">
        <v>779427</v>
      </c>
      <c r="F93" s="15">
        <v>0</v>
      </c>
      <c r="G93" s="15">
        <v>163299</v>
      </c>
      <c r="H93" s="15">
        <v>0</v>
      </c>
      <c r="I93" s="161">
        <v>2991191</v>
      </c>
      <c r="J93" s="161">
        <v>0</v>
      </c>
      <c r="K93" s="15">
        <v>908111</v>
      </c>
      <c r="L93" s="15">
        <v>797708</v>
      </c>
      <c r="M93" s="15">
        <v>53108</v>
      </c>
      <c r="N93" s="161">
        <v>1758927</v>
      </c>
      <c r="O93" s="161">
        <v>0</v>
      </c>
      <c r="P93" s="15">
        <v>0</v>
      </c>
      <c r="Q93" s="161">
        <v>0</v>
      </c>
      <c r="R93" s="161">
        <v>0</v>
      </c>
      <c r="S93" s="161">
        <v>0</v>
      </c>
      <c r="T93" s="162">
        <v>0</v>
      </c>
      <c r="U93" s="162">
        <v>0</v>
      </c>
      <c r="V93" s="162">
        <v>0</v>
      </c>
      <c r="W93" s="163">
        <v>0</v>
      </c>
      <c r="X93" s="162">
        <v>0</v>
      </c>
      <c r="Y93" s="162">
        <v>0</v>
      </c>
      <c r="Z93" s="162">
        <v>0</v>
      </c>
      <c r="AA93" s="163">
        <v>0</v>
      </c>
      <c r="AB93" s="164">
        <v>0</v>
      </c>
      <c r="AC93" s="165">
        <v>0</v>
      </c>
    </row>
    <row r="94" spans="1:29" ht="13">
      <c r="A94" s="160"/>
      <c r="B94" s="161" t="s">
        <v>853</v>
      </c>
      <c r="C94" s="161">
        <v>12687</v>
      </c>
      <c r="D94" s="15">
        <v>15239</v>
      </c>
      <c r="E94" s="15">
        <v>10877</v>
      </c>
      <c r="F94" s="15">
        <v>0</v>
      </c>
      <c r="G94" s="15">
        <v>10044</v>
      </c>
      <c r="H94" s="15">
        <v>0</v>
      </c>
      <c r="I94" s="161">
        <v>48847</v>
      </c>
      <c r="J94" s="161">
        <v>0</v>
      </c>
      <c r="K94" s="15">
        <v>56496</v>
      </c>
      <c r="L94" s="15">
        <v>86782</v>
      </c>
      <c r="M94" s="15">
        <v>6012</v>
      </c>
      <c r="N94" s="161">
        <v>149290</v>
      </c>
      <c r="O94" s="161">
        <v>0</v>
      </c>
      <c r="P94" s="15">
        <v>0</v>
      </c>
      <c r="Q94" s="161">
        <v>0</v>
      </c>
      <c r="R94" s="161">
        <v>0</v>
      </c>
      <c r="S94" s="161">
        <v>0</v>
      </c>
      <c r="T94" s="162">
        <v>0</v>
      </c>
      <c r="U94" s="162">
        <v>0</v>
      </c>
      <c r="V94" s="162">
        <v>0</v>
      </c>
      <c r="W94" s="163">
        <v>0</v>
      </c>
      <c r="X94" s="162">
        <v>0</v>
      </c>
      <c r="Y94" s="162">
        <v>0</v>
      </c>
      <c r="Z94" s="162">
        <v>0</v>
      </c>
      <c r="AA94" s="163">
        <v>0</v>
      </c>
      <c r="AB94" s="164">
        <v>0</v>
      </c>
      <c r="AC94" s="165">
        <v>0</v>
      </c>
    </row>
    <row r="95" spans="1:29" ht="13">
      <c r="A95" s="160"/>
      <c r="B95" s="170" t="s">
        <v>854</v>
      </c>
      <c r="C95" s="166">
        <v>1.1882784994366284E-2</v>
      </c>
      <c r="D95" s="167">
        <v>1.553753826013014E-2</v>
      </c>
      <c r="E95" s="167">
        <v>1.3955123443247411E-2</v>
      </c>
      <c r="F95" s="167">
        <v>0</v>
      </c>
      <c r="G95" s="167">
        <v>6.1506806532801793E-2</v>
      </c>
      <c r="H95" s="167">
        <v>0</v>
      </c>
      <c r="I95" s="166">
        <v>1.6330284492030098E-2</v>
      </c>
      <c r="J95" s="166">
        <v>0</v>
      </c>
      <c r="K95" s="167">
        <v>6.2212659025163222E-2</v>
      </c>
      <c r="L95" s="167">
        <v>0.10878918100357525</v>
      </c>
      <c r="M95" s="167">
        <v>0.1132032838743692</v>
      </c>
      <c r="N95" s="166">
        <v>8.4875608822878951E-2</v>
      </c>
      <c r="O95" s="166">
        <v>0</v>
      </c>
      <c r="P95" s="167">
        <v>0</v>
      </c>
      <c r="Q95" s="166">
        <v>0</v>
      </c>
      <c r="R95" s="170">
        <v>0</v>
      </c>
      <c r="S95" s="170">
        <v>0</v>
      </c>
      <c r="T95" s="171">
        <v>0</v>
      </c>
      <c r="U95" s="171">
        <v>0</v>
      </c>
      <c r="V95" s="171">
        <v>0</v>
      </c>
      <c r="W95" s="172">
        <v>0</v>
      </c>
      <c r="X95" s="171">
        <v>0</v>
      </c>
      <c r="Y95" s="171">
        <v>0</v>
      </c>
      <c r="Z95" s="171">
        <v>0</v>
      </c>
      <c r="AA95" s="172">
        <v>0</v>
      </c>
      <c r="AB95" s="164">
        <v>0</v>
      </c>
      <c r="AC95" s="165">
        <v>0</v>
      </c>
    </row>
    <row r="96" spans="1:29" ht="13">
      <c r="A96" s="160"/>
      <c r="B96" s="174" t="s">
        <v>855</v>
      </c>
      <c r="C96" s="175">
        <v>7.6907995784887551E-4</v>
      </c>
      <c r="D96" s="176">
        <v>1.9447525384903332E-3</v>
      </c>
      <c r="E96" s="176">
        <v>2.4064770086205216E-3</v>
      </c>
      <c r="F96" s="176">
        <v>0</v>
      </c>
      <c r="G96" s="176">
        <v>1.7882404618926193E-2</v>
      </c>
      <c r="H96" s="176">
        <v>0</v>
      </c>
      <c r="I96" s="175">
        <v>2.4553830313544332E-3</v>
      </c>
      <c r="J96" s="175">
        <v>0</v>
      </c>
      <c r="K96" s="176">
        <v>3.4376816002294197E-3</v>
      </c>
      <c r="L96" s="176">
        <v>7.1262887357007726E-3</v>
      </c>
      <c r="M96" s="176">
        <v>-4.8028811152997758E-2</v>
      </c>
      <c r="N96" s="175">
        <v>4.0072006935999022E-3</v>
      </c>
      <c r="O96" s="175">
        <v>0</v>
      </c>
      <c r="P96" s="176">
        <v>0</v>
      </c>
      <c r="Q96" s="175">
        <v>0</v>
      </c>
      <c r="R96" s="175">
        <v>0</v>
      </c>
      <c r="S96" s="175">
        <v>0</v>
      </c>
      <c r="T96" s="177">
        <v>0</v>
      </c>
      <c r="U96" s="177">
        <v>0</v>
      </c>
      <c r="V96" s="177">
        <v>0</v>
      </c>
      <c r="W96" s="178">
        <v>0</v>
      </c>
      <c r="X96" s="177">
        <v>0</v>
      </c>
      <c r="Y96" s="177">
        <v>0</v>
      </c>
      <c r="Z96" s="177">
        <v>0</v>
      </c>
      <c r="AA96" s="178">
        <v>0</v>
      </c>
      <c r="AB96" s="164">
        <v>0</v>
      </c>
      <c r="AC96" s="165">
        <v>0</v>
      </c>
    </row>
    <row r="97" spans="1:29" ht="13">
      <c r="A97" s="159" t="s">
        <v>570</v>
      </c>
      <c r="B97" s="143" t="s">
        <v>849</v>
      </c>
      <c r="C97" s="143">
        <v>6997431</v>
      </c>
      <c r="D97" s="155">
        <v>1641097</v>
      </c>
      <c r="E97" s="155">
        <v>4121282</v>
      </c>
      <c r="F97" s="155">
        <v>408602</v>
      </c>
      <c r="G97" s="155">
        <v>200567</v>
      </c>
      <c r="H97" s="155">
        <v>0</v>
      </c>
      <c r="I97" s="143">
        <v>13368979</v>
      </c>
      <c r="J97" s="143">
        <v>802255</v>
      </c>
      <c r="K97" s="155">
        <v>10490298</v>
      </c>
      <c r="L97" s="155">
        <v>2363387</v>
      </c>
      <c r="M97" s="155">
        <v>478965</v>
      </c>
      <c r="N97" s="143">
        <v>14134905</v>
      </c>
      <c r="O97" s="143">
        <v>2020360</v>
      </c>
      <c r="P97" s="155">
        <v>2020360</v>
      </c>
      <c r="Q97" s="143">
        <v>0</v>
      </c>
      <c r="R97" s="143">
        <v>0</v>
      </c>
      <c r="S97" s="143">
        <v>0</v>
      </c>
      <c r="T97" s="151">
        <v>69273</v>
      </c>
      <c r="U97" s="151">
        <v>69273</v>
      </c>
      <c r="V97" s="151">
        <v>376544</v>
      </c>
      <c r="W97" s="152">
        <v>376544</v>
      </c>
      <c r="X97" s="151">
        <v>1470780</v>
      </c>
      <c r="Y97" s="151">
        <v>1470780</v>
      </c>
      <c r="Z97" s="151">
        <v>930074</v>
      </c>
      <c r="AA97" s="152">
        <v>930074</v>
      </c>
      <c r="AB97" s="153">
        <v>0</v>
      </c>
      <c r="AC97" s="154">
        <v>0</v>
      </c>
    </row>
    <row r="98" spans="1:29" ht="13">
      <c r="A98" s="160"/>
      <c r="B98" s="161" t="s">
        <v>850</v>
      </c>
      <c r="C98" s="161">
        <v>7056</v>
      </c>
      <c r="D98" s="15">
        <v>8855</v>
      </c>
      <c r="E98" s="15">
        <v>97645</v>
      </c>
      <c r="F98" s="15">
        <v>585</v>
      </c>
      <c r="G98" s="15">
        <v>0</v>
      </c>
      <c r="H98" s="15">
        <v>0</v>
      </c>
      <c r="I98" s="161">
        <v>114141</v>
      </c>
      <c r="J98" s="161">
        <v>216723</v>
      </c>
      <c r="K98" s="15">
        <v>1417591</v>
      </c>
      <c r="L98" s="15">
        <v>401633</v>
      </c>
      <c r="M98" s="15">
        <v>73264</v>
      </c>
      <c r="N98" s="161">
        <v>2109211</v>
      </c>
      <c r="O98" s="161">
        <v>309403</v>
      </c>
      <c r="P98" s="15">
        <v>309403</v>
      </c>
      <c r="Q98" s="161">
        <v>0</v>
      </c>
      <c r="R98" s="161">
        <v>0</v>
      </c>
      <c r="S98" s="161">
        <v>0</v>
      </c>
      <c r="T98" s="162">
        <v>0</v>
      </c>
      <c r="U98" s="162">
        <v>0</v>
      </c>
      <c r="V98" s="162">
        <v>64511</v>
      </c>
      <c r="W98" s="163">
        <v>64511</v>
      </c>
      <c r="X98" s="162">
        <v>246625</v>
      </c>
      <c r="Y98" s="162">
        <v>246625</v>
      </c>
      <c r="Z98" s="162">
        <v>127289</v>
      </c>
      <c r="AA98" s="163">
        <v>127289</v>
      </c>
      <c r="AB98" s="164">
        <v>0</v>
      </c>
      <c r="AC98" s="165">
        <v>0</v>
      </c>
    </row>
    <row r="99" spans="1:29" ht="13">
      <c r="A99" s="160"/>
      <c r="B99" s="166" t="s">
        <v>851</v>
      </c>
      <c r="C99" s="166">
        <v>1.0083700718163567E-3</v>
      </c>
      <c r="D99" s="167">
        <v>5.3957809928358901E-3</v>
      </c>
      <c r="E99" s="167">
        <v>2.369287032530169E-2</v>
      </c>
      <c r="F99" s="167">
        <v>1.4317110537882831E-3</v>
      </c>
      <c r="G99" s="167">
        <v>0</v>
      </c>
      <c r="H99" s="167">
        <v>0</v>
      </c>
      <c r="I99" s="166">
        <v>8.5377499657976873E-3</v>
      </c>
      <c r="J99" s="166">
        <v>0.27014228643012511</v>
      </c>
      <c r="K99" s="167">
        <v>0.13513353004843143</v>
      </c>
      <c r="L99" s="167">
        <v>0.16993958247210467</v>
      </c>
      <c r="M99" s="167">
        <v>0.15296316014740116</v>
      </c>
      <c r="N99" s="166">
        <v>0.14922003366842579</v>
      </c>
      <c r="O99" s="166">
        <v>0.15314250925577619</v>
      </c>
      <c r="P99" s="167">
        <v>0.15314250925577619</v>
      </c>
      <c r="Q99" s="166">
        <v>0</v>
      </c>
      <c r="R99" s="166">
        <v>0</v>
      </c>
      <c r="S99" s="166">
        <v>0</v>
      </c>
      <c r="T99" s="168">
        <v>0</v>
      </c>
      <c r="U99" s="168">
        <v>0</v>
      </c>
      <c r="V99" s="168">
        <v>0.1713239355825614</v>
      </c>
      <c r="W99" s="169">
        <v>0.1713239355825614</v>
      </c>
      <c r="X99" s="168">
        <v>0.16768313411931085</v>
      </c>
      <c r="Y99" s="168">
        <v>0.16768313411931085</v>
      </c>
      <c r="Z99" s="168">
        <v>0.13685900261699607</v>
      </c>
      <c r="AA99" s="169">
        <v>0.13685900261699607</v>
      </c>
      <c r="AB99" s="164">
        <v>0</v>
      </c>
      <c r="AC99" s="165">
        <v>0</v>
      </c>
    </row>
    <row r="100" spans="1:29" ht="13">
      <c r="A100" s="160"/>
      <c r="B100" s="161" t="s">
        <v>852</v>
      </c>
      <c r="C100" s="161">
        <v>7101501</v>
      </c>
      <c r="D100" s="15">
        <v>1632012</v>
      </c>
      <c r="E100" s="15">
        <v>4085298</v>
      </c>
      <c r="F100" s="15">
        <v>417548</v>
      </c>
      <c r="G100" s="15">
        <v>198841</v>
      </c>
      <c r="H100" s="15">
        <v>0</v>
      </c>
      <c r="I100" s="161">
        <v>13435200</v>
      </c>
      <c r="J100" s="161">
        <v>812229</v>
      </c>
      <c r="K100" s="15">
        <v>10288736</v>
      </c>
      <c r="L100" s="15">
        <v>2348778</v>
      </c>
      <c r="M100" s="15">
        <v>511528</v>
      </c>
      <c r="N100" s="161">
        <v>13961271</v>
      </c>
      <c r="O100" s="161">
        <v>2260080</v>
      </c>
      <c r="P100" s="15">
        <v>2260080</v>
      </c>
      <c r="Q100" s="161">
        <v>0</v>
      </c>
      <c r="R100" s="161">
        <v>0</v>
      </c>
      <c r="S100" s="161">
        <v>0</v>
      </c>
      <c r="T100" s="162">
        <v>73599</v>
      </c>
      <c r="U100" s="162">
        <v>73599</v>
      </c>
      <c r="V100" s="162">
        <v>1951373</v>
      </c>
      <c r="W100" s="163">
        <v>1951373</v>
      </c>
      <c r="X100" s="162">
        <v>201094</v>
      </c>
      <c r="Y100" s="162">
        <v>201094</v>
      </c>
      <c r="Z100" s="162">
        <v>107613</v>
      </c>
      <c r="AA100" s="163">
        <v>107613</v>
      </c>
      <c r="AB100" s="164">
        <v>0</v>
      </c>
      <c r="AC100" s="165">
        <v>0</v>
      </c>
    </row>
    <row r="101" spans="1:29" ht="13">
      <c r="A101" s="160"/>
      <c r="B101" s="161" t="s">
        <v>853</v>
      </c>
      <c r="C101" s="161">
        <v>7536</v>
      </c>
      <c r="D101" s="15">
        <v>10870</v>
      </c>
      <c r="E101" s="15">
        <v>95998</v>
      </c>
      <c r="F101" s="15">
        <v>894</v>
      </c>
      <c r="G101" s="15">
        <v>567</v>
      </c>
      <c r="H101" s="15">
        <v>0</v>
      </c>
      <c r="I101" s="161">
        <v>115865</v>
      </c>
      <c r="J101" s="161">
        <v>242137</v>
      </c>
      <c r="K101" s="15">
        <v>1521179</v>
      </c>
      <c r="L101" s="15">
        <v>461568</v>
      </c>
      <c r="M101" s="15">
        <v>74865</v>
      </c>
      <c r="N101" s="161">
        <v>2299749</v>
      </c>
      <c r="O101" s="161">
        <v>366895</v>
      </c>
      <c r="P101" s="15">
        <v>366895</v>
      </c>
      <c r="Q101" s="161">
        <v>0</v>
      </c>
      <c r="R101" s="161">
        <v>0</v>
      </c>
      <c r="S101" s="161">
        <v>0</v>
      </c>
      <c r="T101" s="162">
        <v>0</v>
      </c>
      <c r="U101" s="162">
        <v>0</v>
      </c>
      <c r="V101" s="162">
        <v>311996</v>
      </c>
      <c r="W101" s="163">
        <v>311996</v>
      </c>
      <c r="X101" s="162">
        <v>43599</v>
      </c>
      <c r="Y101" s="162">
        <v>43599</v>
      </c>
      <c r="Z101" s="162">
        <v>11300</v>
      </c>
      <c r="AA101" s="163">
        <v>11300</v>
      </c>
      <c r="AB101" s="164">
        <v>0</v>
      </c>
      <c r="AC101" s="165">
        <v>0</v>
      </c>
    </row>
    <row r="102" spans="1:29" ht="13">
      <c r="A102" s="160"/>
      <c r="B102" s="170" t="s">
        <v>854</v>
      </c>
      <c r="C102" s="166">
        <v>1.0611841074161645E-3</v>
      </c>
      <c r="D102" s="167">
        <v>6.6604902414933225E-3</v>
      </c>
      <c r="E102" s="167">
        <v>2.3498408194457296E-2</v>
      </c>
      <c r="F102" s="167">
        <v>2.1410712061846783E-3</v>
      </c>
      <c r="G102" s="167">
        <v>2.8515245849699005E-3</v>
      </c>
      <c r="H102" s="167">
        <v>0</v>
      </c>
      <c r="I102" s="166">
        <v>8.6239877337144222E-3</v>
      </c>
      <c r="J102" s="166">
        <v>0.29811420178299469</v>
      </c>
      <c r="K102" s="167">
        <v>0.14784896803650127</v>
      </c>
      <c r="L102" s="167">
        <v>0.19651410222677496</v>
      </c>
      <c r="M102" s="167">
        <v>0.14635562471653554</v>
      </c>
      <c r="N102" s="166">
        <v>0.16472346966117912</v>
      </c>
      <c r="O102" s="166">
        <v>0.16233717390534849</v>
      </c>
      <c r="P102" s="167">
        <v>0.16233717390534849</v>
      </c>
      <c r="Q102" s="166">
        <v>0</v>
      </c>
      <c r="R102" s="170">
        <v>0</v>
      </c>
      <c r="S102" s="170">
        <v>0</v>
      </c>
      <c r="T102" s="171">
        <v>0</v>
      </c>
      <c r="U102" s="171">
        <v>0</v>
      </c>
      <c r="V102" s="171">
        <v>0.15988537301684505</v>
      </c>
      <c r="W102" s="172">
        <v>0.15988537301684505</v>
      </c>
      <c r="X102" s="171">
        <v>0.21680905447203797</v>
      </c>
      <c r="Y102" s="171">
        <v>0.21680905447203797</v>
      </c>
      <c r="Z102" s="171">
        <v>0.10500590077407004</v>
      </c>
      <c r="AA102" s="172">
        <v>0.10500590077407004</v>
      </c>
      <c r="AB102" s="164">
        <v>0</v>
      </c>
      <c r="AC102" s="165">
        <v>0</v>
      </c>
    </row>
    <row r="103" spans="1:29" ht="13">
      <c r="A103" s="160"/>
      <c r="B103" s="174" t="s">
        <v>855</v>
      </c>
      <c r="C103" s="175">
        <v>5.281403559980781E-5</v>
      </c>
      <c r="D103" s="176">
        <v>1.2647092486574325E-3</v>
      </c>
      <c r="E103" s="176">
        <v>-1.9446213084439376E-4</v>
      </c>
      <c r="F103" s="176">
        <v>7.0936015239639522E-4</v>
      </c>
      <c r="G103" s="176">
        <v>2.8515245849699005E-3</v>
      </c>
      <c r="H103" s="176">
        <v>0</v>
      </c>
      <c r="I103" s="175">
        <v>8.6237767916734834E-5</v>
      </c>
      <c r="J103" s="175">
        <v>2.7971915352869581E-2</v>
      </c>
      <c r="K103" s="176">
        <v>1.2715437988069844E-2</v>
      </c>
      <c r="L103" s="176">
        <v>2.6574519754670289E-2</v>
      </c>
      <c r="M103" s="176">
        <v>-6.6075354308656187E-3</v>
      </c>
      <c r="N103" s="175">
        <v>1.5503435992753334E-2</v>
      </c>
      <c r="O103" s="175">
        <v>9.1946646495723039E-3</v>
      </c>
      <c r="P103" s="176">
        <v>9.1946646495723039E-3</v>
      </c>
      <c r="Q103" s="175">
        <v>0</v>
      </c>
      <c r="R103" s="175">
        <v>0</v>
      </c>
      <c r="S103" s="175">
        <v>0</v>
      </c>
      <c r="T103" s="177">
        <v>0</v>
      </c>
      <c r="U103" s="177">
        <v>0</v>
      </c>
      <c r="V103" s="177">
        <v>-1.1438562565716348E-2</v>
      </c>
      <c r="W103" s="178">
        <v>-1.1438562565716348E-2</v>
      </c>
      <c r="X103" s="177">
        <v>4.9125920352727115E-2</v>
      </c>
      <c r="Y103" s="177">
        <v>4.9125920352727115E-2</v>
      </c>
      <c r="Z103" s="177">
        <v>-3.1853101842926029E-2</v>
      </c>
      <c r="AA103" s="178">
        <v>-3.1853101842926029E-2</v>
      </c>
      <c r="AB103" s="164">
        <v>0</v>
      </c>
      <c r="AC103" s="165">
        <v>0</v>
      </c>
    </row>
    <row r="104" spans="1:29" ht="13">
      <c r="A104" s="159" t="s">
        <v>674</v>
      </c>
      <c r="B104" s="143" t="s">
        <v>849</v>
      </c>
      <c r="C104" s="143">
        <v>3229319</v>
      </c>
      <c r="D104" s="155">
        <v>186440.5</v>
      </c>
      <c r="E104" s="155">
        <v>1327865.7</v>
      </c>
      <c r="F104" s="155">
        <v>0</v>
      </c>
      <c r="G104" s="155">
        <v>141653</v>
      </c>
      <c r="H104" s="155">
        <v>46337</v>
      </c>
      <c r="I104" s="143">
        <v>4931615.2</v>
      </c>
      <c r="J104" s="143">
        <v>0</v>
      </c>
      <c r="K104" s="155">
        <v>1865790</v>
      </c>
      <c r="L104" s="155">
        <v>736738</v>
      </c>
      <c r="M104" s="155">
        <v>434992</v>
      </c>
      <c r="N104" s="143">
        <v>3037520</v>
      </c>
      <c r="O104" s="143">
        <v>2951385</v>
      </c>
      <c r="P104" s="155">
        <v>2951385</v>
      </c>
      <c r="Q104" s="143">
        <v>0</v>
      </c>
      <c r="R104" s="143">
        <v>0</v>
      </c>
      <c r="S104" s="143">
        <v>0</v>
      </c>
      <c r="T104" s="151">
        <v>0</v>
      </c>
      <c r="U104" s="151">
        <v>0</v>
      </c>
      <c r="V104" s="151">
        <v>1865790</v>
      </c>
      <c r="W104" s="152">
        <v>1865790</v>
      </c>
      <c r="X104" s="151">
        <v>789582</v>
      </c>
      <c r="Y104" s="151">
        <v>789582</v>
      </c>
      <c r="Z104" s="151">
        <v>382148</v>
      </c>
      <c r="AA104" s="152">
        <v>382148</v>
      </c>
      <c r="AB104" s="153">
        <v>0</v>
      </c>
      <c r="AC104" s="154">
        <v>0</v>
      </c>
    </row>
    <row r="105" spans="1:29" ht="13">
      <c r="A105" s="160"/>
      <c r="B105" s="161" t="s">
        <v>850</v>
      </c>
      <c r="C105" s="161">
        <v>25683</v>
      </c>
      <c r="D105" s="15">
        <v>0</v>
      </c>
      <c r="E105" s="15">
        <v>7818</v>
      </c>
      <c r="F105" s="15">
        <v>0</v>
      </c>
      <c r="G105" s="15">
        <v>135</v>
      </c>
      <c r="H105" s="15">
        <v>541</v>
      </c>
      <c r="I105" s="161">
        <v>34177</v>
      </c>
      <c r="J105" s="161">
        <v>0</v>
      </c>
      <c r="K105" s="15">
        <v>307146</v>
      </c>
      <c r="L105" s="15">
        <v>343586</v>
      </c>
      <c r="M105" s="15">
        <v>251756</v>
      </c>
      <c r="N105" s="161">
        <v>902488</v>
      </c>
      <c r="O105" s="161">
        <v>845453</v>
      </c>
      <c r="P105" s="15">
        <v>845453</v>
      </c>
      <c r="Q105" s="161">
        <v>0</v>
      </c>
      <c r="R105" s="161">
        <v>0</v>
      </c>
      <c r="S105" s="161">
        <v>0</v>
      </c>
      <c r="T105" s="162">
        <v>0</v>
      </c>
      <c r="U105" s="162">
        <v>0</v>
      </c>
      <c r="V105" s="162">
        <v>307146</v>
      </c>
      <c r="W105" s="163">
        <v>307146</v>
      </c>
      <c r="X105" s="162">
        <v>371470</v>
      </c>
      <c r="Y105" s="162">
        <v>371470</v>
      </c>
      <c r="Z105" s="162">
        <v>223872</v>
      </c>
      <c r="AA105" s="163">
        <v>223872</v>
      </c>
      <c r="AB105" s="164">
        <v>0</v>
      </c>
      <c r="AC105" s="165">
        <v>0</v>
      </c>
    </row>
    <row r="106" spans="1:29" ht="13">
      <c r="A106" s="160"/>
      <c r="B106" s="166" t="s">
        <v>851</v>
      </c>
      <c r="C106" s="166">
        <v>7.9530699816277046E-3</v>
      </c>
      <c r="D106" s="167">
        <v>0</v>
      </c>
      <c r="E106" s="167">
        <v>5.8876436073316751E-3</v>
      </c>
      <c r="F106" s="167">
        <v>0</v>
      </c>
      <c r="G106" s="167">
        <v>9.5303311613590953E-4</v>
      </c>
      <c r="H106" s="167">
        <v>1.1675335045428059E-2</v>
      </c>
      <c r="I106" s="166">
        <v>6.9301838472717817E-3</v>
      </c>
      <c r="J106" s="166">
        <v>0</v>
      </c>
      <c r="K106" s="167">
        <v>0.1646198125190938</v>
      </c>
      <c r="L106" s="167">
        <v>0.4663611758861359</v>
      </c>
      <c r="M106" s="167">
        <v>0.578760069150697</v>
      </c>
      <c r="N106" s="166">
        <v>0.29711343464405171</v>
      </c>
      <c r="O106" s="166">
        <v>0.28645974686460762</v>
      </c>
      <c r="P106" s="167">
        <v>0.28645974686460762</v>
      </c>
      <c r="Q106" s="166">
        <v>0</v>
      </c>
      <c r="R106" s="166">
        <v>0</v>
      </c>
      <c r="S106" s="166">
        <v>0</v>
      </c>
      <c r="T106" s="168">
        <v>0</v>
      </c>
      <c r="U106" s="168">
        <v>0</v>
      </c>
      <c r="V106" s="168">
        <v>0.1646198125190938</v>
      </c>
      <c r="W106" s="169">
        <v>0.1646198125190938</v>
      </c>
      <c r="X106" s="168">
        <v>0.47046411898954132</v>
      </c>
      <c r="Y106" s="168">
        <v>0.47046411898954132</v>
      </c>
      <c r="Z106" s="168">
        <v>0.58582538702282883</v>
      </c>
      <c r="AA106" s="169">
        <v>0.58582538702282883</v>
      </c>
      <c r="AB106" s="164">
        <v>0</v>
      </c>
      <c r="AC106" s="165">
        <v>0</v>
      </c>
    </row>
    <row r="107" spans="1:29" ht="13">
      <c r="A107" s="160"/>
      <c r="B107" s="161" t="s">
        <v>852</v>
      </c>
      <c r="C107" s="161">
        <v>3274644</v>
      </c>
      <c r="D107" s="15">
        <v>184143.5</v>
      </c>
      <c r="E107" s="15">
        <v>1314637.8999999999</v>
      </c>
      <c r="F107" s="15">
        <v>0</v>
      </c>
      <c r="G107" s="15">
        <v>139911</v>
      </c>
      <c r="H107" s="15">
        <v>45830</v>
      </c>
      <c r="I107" s="161">
        <v>4959166.4000000004</v>
      </c>
      <c r="J107" s="161">
        <v>0</v>
      </c>
      <c r="K107" s="15">
        <v>1819949</v>
      </c>
      <c r="L107" s="15">
        <v>718044</v>
      </c>
      <c r="M107" s="15">
        <v>429842</v>
      </c>
      <c r="N107" s="161">
        <v>2967835</v>
      </c>
      <c r="O107" s="161">
        <v>2929956</v>
      </c>
      <c r="P107" s="15">
        <v>2929956</v>
      </c>
      <c r="Q107" s="161">
        <v>0</v>
      </c>
      <c r="R107" s="161">
        <v>0</v>
      </c>
      <c r="S107" s="161">
        <v>0</v>
      </c>
      <c r="T107" s="162">
        <v>0</v>
      </c>
      <c r="U107" s="162">
        <v>0</v>
      </c>
      <c r="V107" s="162">
        <v>1819949</v>
      </c>
      <c r="W107" s="163">
        <v>1819949</v>
      </c>
      <c r="X107" s="162">
        <v>718044</v>
      </c>
      <c r="Y107" s="162">
        <v>718044</v>
      </c>
      <c r="Z107" s="162">
        <v>429842</v>
      </c>
      <c r="AA107" s="163">
        <v>429842</v>
      </c>
      <c r="AB107" s="164">
        <v>0</v>
      </c>
      <c r="AC107" s="165">
        <v>0</v>
      </c>
    </row>
    <row r="108" spans="1:29" ht="13">
      <c r="A108" s="160"/>
      <c r="B108" s="161" t="s">
        <v>853</v>
      </c>
      <c r="C108" s="161">
        <v>27065</v>
      </c>
      <c r="D108" s="15">
        <v>0</v>
      </c>
      <c r="E108" s="15">
        <v>8834</v>
      </c>
      <c r="F108" s="15">
        <v>0</v>
      </c>
      <c r="G108" s="15">
        <v>69</v>
      </c>
      <c r="H108" s="15">
        <v>210</v>
      </c>
      <c r="I108" s="161">
        <v>36178</v>
      </c>
      <c r="J108" s="161">
        <v>0</v>
      </c>
      <c r="K108" s="15">
        <v>337929</v>
      </c>
      <c r="L108" s="15">
        <v>336554</v>
      </c>
      <c r="M108" s="15">
        <v>242637</v>
      </c>
      <c r="N108" s="161">
        <v>917120</v>
      </c>
      <c r="O108" s="161">
        <v>890041</v>
      </c>
      <c r="P108" s="15">
        <v>890041</v>
      </c>
      <c r="Q108" s="161">
        <v>0</v>
      </c>
      <c r="R108" s="161">
        <v>0</v>
      </c>
      <c r="S108" s="161">
        <v>0</v>
      </c>
      <c r="T108" s="162">
        <v>0</v>
      </c>
      <c r="U108" s="162">
        <v>0</v>
      </c>
      <c r="V108" s="162">
        <v>337929</v>
      </c>
      <c r="W108" s="163">
        <v>337929</v>
      </c>
      <c r="X108" s="162">
        <v>336554</v>
      </c>
      <c r="Y108" s="162">
        <v>336554</v>
      </c>
      <c r="Z108" s="162">
        <v>242637</v>
      </c>
      <c r="AA108" s="163">
        <v>242637</v>
      </c>
      <c r="AB108" s="164">
        <v>0</v>
      </c>
      <c r="AC108" s="165">
        <v>0</v>
      </c>
    </row>
    <row r="109" spans="1:29" ht="13">
      <c r="A109" s="160"/>
      <c r="B109" s="170" t="s">
        <v>854</v>
      </c>
      <c r="C109" s="166">
        <v>8.2650205640674226E-3</v>
      </c>
      <c r="D109" s="167">
        <v>0</v>
      </c>
      <c r="E109" s="167">
        <v>6.7197210730042091E-3</v>
      </c>
      <c r="F109" s="167">
        <v>0</v>
      </c>
      <c r="G109" s="167">
        <v>4.9317065849004008E-4</v>
      </c>
      <c r="H109" s="167">
        <v>4.5821514291948503E-3</v>
      </c>
      <c r="I109" s="166">
        <v>7.2951776734089821E-3</v>
      </c>
      <c r="J109" s="166">
        <v>0</v>
      </c>
      <c r="K109" s="167">
        <v>0.18568047785954442</v>
      </c>
      <c r="L109" s="167">
        <v>0.46870943841881557</v>
      </c>
      <c r="M109" s="167">
        <v>0.56447950642329037</v>
      </c>
      <c r="N109" s="166">
        <v>0.30901987475718834</v>
      </c>
      <c r="O109" s="166">
        <v>0.30377282116181947</v>
      </c>
      <c r="P109" s="167">
        <v>0.30377282116181947</v>
      </c>
      <c r="Q109" s="166">
        <v>0</v>
      </c>
      <c r="R109" s="170">
        <v>0</v>
      </c>
      <c r="S109" s="170">
        <v>0</v>
      </c>
      <c r="T109" s="171">
        <v>0</v>
      </c>
      <c r="U109" s="171">
        <v>0</v>
      </c>
      <c r="V109" s="171">
        <v>0.18568047785954442</v>
      </c>
      <c r="W109" s="172">
        <v>0.18568047785954442</v>
      </c>
      <c r="X109" s="171">
        <v>0.46870943841881557</v>
      </c>
      <c r="Y109" s="171">
        <v>0.46870943841881557</v>
      </c>
      <c r="Z109" s="171">
        <v>0.56447950642329037</v>
      </c>
      <c r="AA109" s="172">
        <v>0.56447950642329037</v>
      </c>
      <c r="AB109" s="164">
        <v>0</v>
      </c>
      <c r="AC109" s="165">
        <v>0</v>
      </c>
    </row>
    <row r="110" spans="1:29" ht="13">
      <c r="A110" s="160"/>
      <c r="B110" s="174" t="s">
        <v>855</v>
      </c>
      <c r="C110" s="175">
        <v>3.1195058243971806E-4</v>
      </c>
      <c r="D110" s="176">
        <v>0</v>
      </c>
      <c r="E110" s="176">
        <v>8.3207746567253403E-4</v>
      </c>
      <c r="F110" s="176">
        <v>0</v>
      </c>
      <c r="G110" s="176">
        <v>-4.5986245764586945E-4</v>
      </c>
      <c r="H110" s="176">
        <v>-7.0931836162332089E-3</v>
      </c>
      <c r="I110" s="175">
        <v>3.649938261372004E-4</v>
      </c>
      <c r="J110" s="175">
        <v>0</v>
      </c>
      <c r="K110" s="176">
        <v>2.1060665340450618E-2</v>
      </c>
      <c r="L110" s="176">
        <v>2.348262532679668E-3</v>
      </c>
      <c r="M110" s="176">
        <v>-1.4280562727406632E-2</v>
      </c>
      <c r="N110" s="175">
        <v>1.1906440113136629E-2</v>
      </c>
      <c r="O110" s="175">
        <v>1.731307429721185E-2</v>
      </c>
      <c r="P110" s="176">
        <v>1.731307429721185E-2</v>
      </c>
      <c r="Q110" s="175">
        <v>0</v>
      </c>
      <c r="R110" s="175">
        <v>0</v>
      </c>
      <c r="S110" s="175">
        <v>0</v>
      </c>
      <c r="T110" s="177">
        <v>0</v>
      </c>
      <c r="U110" s="177">
        <v>0</v>
      </c>
      <c r="V110" s="177">
        <v>2.1060665340450618E-2</v>
      </c>
      <c r="W110" s="178">
        <v>2.1060665340450618E-2</v>
      </c>
      <c r="X110" s="177">
        <v>-1.7546805707257529E-3</v>
      </c>
      <c r="Y110" s="177">
        <v>-1.7546805707257529E-3</v>
      </c>
      <c r="Z110" s="177">
        <v>-2.1345880599538458E-2</v>
      </c>
      <c r="AA110" s="178">
        <v>-2.1345880599538458E-2</v>
      </c>
      <c r="AB110" s="164">
        <v>0</v>
      </c>
      <c r="AC110" s="165">
        <v>0</v>
      </c>
    </row>
    <row r="111" spans="1:29" ht="13">
      <c r="A111" s="159" t="s">
        <v>456</v>
      </c>
      <c r="B111" s="143" t="s">
        <v>849</v>
      </c>
      <c r="C111" s="143">
        <v>622200</v>
      </c>
      <c r="D111" s="155">
        <v>0</v>
      </c>
      <c r="E111" s="155">
        <v>254594</v>
      </c>
      <c r="F111" s="155">
        <v>0</v>
      </c>
      <c r="G111" s="155">
        <v>297013.5</v>
      </c>
      <c r="H111" s="155">
        <v>177470.1</v>
      </c>
      <c r="I111" s="143">
        <v>1351277.6</v>
      </c>
      <c r="J111" s="143">
        <v>87136</v>
      </c>
      <c r="K111" s="155">
        <v>0</v>
      </c>
      <c r="L111" s="155">
        <v>65524.100000000006</v>
      </c>
      <c r="M111" s="155">
        <v>216936.6</v>
      </c>
      <c r="N111" s="143">
        <v>369596.69999999995</v>
      </c>
      <c r="O111" s="143">
        <v>0</v>
      </c>
      <c r="P111" s="155">
        <v>0</v>
      </c>
      <c r="Q111" s="143">
        <v>0</v>
      </c>
      <c r="R111" s="143">
        <v>0</v>
      </c>
      <c r="S111" s="143">
        <v>0</v>
      </c>
      <c r="T111" s="151">
        <v>0</v>
      </c>
      <c r="U111" s="151">
        <v>0</v>
      </c>
      <c r="V111" s="151">
        <v>0</v>
      </c>
      <c r="W111" s="152">
        <v>0</v>
      </c>
      <c r="X111" s="151">
        <v>0</v>
      </c>
      <c r="Y111" s="151">
        <v>0</v>
      </c>
      <c r="Z111" s="151">
        <v>0</v>
      </c>
      <c r="AA111" s="152">
        <v>0</v>
      </c>
      <c r="AB111" s="153">
        <v>0</v>
      </c>
      <c r="AC111" s="154">
        <v>0</v>
      </c>
    </row>
    <row r="112" spans="1:29" ht="13">
      <c r="A112" s="160"/>
      <c r="B112" s="161" t="s">
        <v>850</v>
      </c>
      <c r="C112" s="161">
        <v>4945</v>
      </c>
      <c r="D112" s="15">
        <v>0</v>
      </c>
      <c r="E112" s="15">
        <v>13374</v>
      </c>
      <c r="F112" s="15">
        <v>0</v>
      </c>
      <c r="G112" s="15">
        <v>3389.5</v>
      </c>
      <c r="H112" s="15">
        <v>21563</v>
      </c>
      <c r="I112" s="161">
        <v>43271.5</v>
      </c>
      <c r="J112" s="161">
        <v>6042</v>
      </c>
      <c r="K112" s="15">
        <v>0</v>
      </c>
      <c r="L112" s="15">
        <v>7318</v>
      </c>
      <c r="M112" s="15">
        <v>15968</v>
      </c>
      <c r="N112" s="161">
        <v>29328</v>
      </c>
      <c r="O112" s="161">
        <v>0</v>
      </c>
      <c r="P112" s="15">
        <v>0</v>
      </c>
      <c r="Q112" s="161">
        <v>0</v>
      </c>
      <c r="R112" s="161">
        <v>0</v>
      </c>
      <c r="S112" s="161">
        <v>0</v>
      </c>
      <c r="T112" s="162">
        <v>0</v>
      </c>
      <c r="U112" s="162">
        <v>0</v>
      </c>
      <c r="V112" s="162">
        <v>0</v>
      </c>
      <c r="W112" s="163">
        <v>0</v>
      </c>
      <c r="X112" s="162">
        <v>0</v>
      </c>
      <c r="Y112" s="162">
        <v>0</v>
      </c>
      <c r="Z112" s="162">
        <v>0</v>
      </c>
      <c r="AA112" s="163">
        <v>0</v>
      </c>
      <c r="AB112" s="164">
        <v>0</v>
      </c>
      <c r="AC112" s="165">
        <v>0</v>
      </c>
    </row>
    <row r="113" spans="1:29" ht="13">
      <c r="A113" s="160"/>
      <c r="B113" s="166" t="s">
        <v>851</v>
      </c>
      <c r="C113" s="166">
        <v>7.9476052716168435E-3</v>
      </c>
      <c r="D113" s="167">
        <v>0</v>
      </c>
      <c r="E113" s="167">
        <v>5.2530695931561622E-2</v>
      </c>
      <c r="F113" s="167">
        <v>0</v>
      </c>
      <c r="G113" s="167">
        <v>1.1411939187949369E-2</v>
      </c>
      <c r="H113" s="167">
        <v>0.12150215726480122</v>
      </c>
      <c r="I113" s="166">
        <v>3.2022657668564915E-2</v>
      </c>
      <c r="J113" s="166">
        <v>6.9339882482556001E-2</v>
      </c>
      <c r="K113" s="167">
        <v>0</v>
      </c>
      <c r="L113" s="167">
        <v>0.11168409791206593</v>
      </c>
      <c r="M113" s="167">
        <v>7.3606758841062311E-2</v>
      </c>
      <c r="N113" s="166">
        <v>7.9351357844915829E-2</v>
      </c>
      <c r="O113" s="166">
        <v>0</v>
      </c>
      <c r="P113" s="167">
        <v>0</v>
      </c>
      <c r="Q113" s="166">
        <v>0</v>
      </c>
      <c r="R113" s="166">
        <v>0</v>
      </c>
      <c r="S113" s="166">
        <v>0</v>
      </c>
      <c r="T113" s="168">
        <v>0</v>
      </c>
      <c r="U113" s="168">
        <v>0</v>
      </c>
      <c r="V113" s="168">
        <v>0</v>
      </c>
      <c r="W113" s="169">
        <v>0</v>
      </c>
      <c r="X113" s="168">
        <v>0</v>
      </c>
      <c r="Y113" s="168">
        <v>0</v>
      </c>
      <c r="Z113" s="168">
        <v>0</v>
      </c>
      <c r="AA113" s="169">
        <v>0</v>
      </c>
      <c r="AB113" s="164">
        <v>0</v>
      </c>
      <c r="AC113" s="165">
        <v>0</v>
      </c>
    </row>
    <row r="114" spans="1:29" ht="13">
      <c r="A114" s="160"/>
      <c r="B114" s="161" t="s">
        <v>852</v>
      </c>
      <c r="C114" s="161">
        <v>607615.5</v>
      </c>
      <c r="D114" s="15">
        <v>0</v>
      </c>
      <c r="E114" s="15">
        <v>244557</v>
      </c>
      <c r="F114" s="15">
        <v>0</v>
      </c>
      <c r="G114" s="15">
        <v>285335.5</v>
      </c>
      <c r="H114" s="15">
        <v>177708</v>
      </c>
      <c r="I114" s="161">
        <v>1315216</v>
      </c>
      <c r="J114" s="161">
        <v>86472</v>
      </c>
      <c r="K114" s="15">
        <v>0</v>
      </c>
      <c r="L114" s="15">
        <v>65354.7</v>
      </c>
      <c r="M114" s="15">
        <v>212954.6</v>
      </c>
      <c r="N114" s="161">
        <v>364781.3</v>
      </c>
      <c r="O114" s="161">
        <v>0</v>
      </c>
      <c r="P114" s="15">
        <v>0</v>
      </c>
      <c r="Q114" s="161">
        <v>0</v>
      </c>
      <c r="R114" s="161">
        <v>0</v>
      </c>
      <c r="S114" s="161">
        <v>0</v>
      </c>
      <c r="T114" s="162">
        <v>0</v>
      </c>
      <c r="U114" s="162">
        <v>0</v>
      </c>
      <c r="V114" s="162">
        <v>0</v>
      </c>
      <c r="W114" s="163">
        <v>0</v>
      </c>
      <c r="X114" s="162">
        <v>0</v>
      </c>
      <c r="Y114" s="162">
        <v>0</v>
      </c>
      <c r="Z114" s="162">
        <v>0</v>
      </c>
      <c r="AA114" s="163">
        <v>0</v>
      </c>
      <c r="AB114" s="164">
        <v>0</v>
      </c>
      <c r="AC114" s="165">
        <v>0</v>
      </c>
    </row>
    <row r="115" spans="1:29" ht="13">
      <c r="A115" s="160"/>
      <c r="B115" s="161" t="s">
        <v>853</v>
      </c>
      <c r="C115" s="161">
        <v>5494</v>
      </c>
      <c r="D115" s="15">
        <v>0</v>
      </c>
      <c r="E115" s="15">
        <v>15505</v>
      </c>
      <c r="F115" s="15">
        <v>0</v>
      </c>
      <c r="G115" s="15">
        <v>4450</v>
      </c>
      <c r="H115" s="15">
        <v>26778</v>
      </c>
      <c r="I115" s="161">
        <v>52227</v>
      </c>
      <c r="J115" s="161">
        <v>10335</v>
      </c>
      <c r="K115" s="15">
        <v>0</v>
      </c>
      <c r="L115" s="15">
        <v>8314</v>
      </c>
      <c r="M115" s="15">
        <v>16752</v>
      </c>
      <c r="N115" s="161">
        <v>35401</v>
      </c>
      <c r="O115" s="161">
        <v>0</v>
      </c>
      <c r="P115" s="15">
        <v>0</v>
      </c>
      <c r="Q115" s="161">
        <v>0</v>
      </c>
      <c r="R115" s="161">
        <v>0</v>
      </c>
      <c r="S115" s="161">
        <v>0</v>
      </c>
      <c r="T115" s="162">
        <v>0</v>
      </c>
      <c r="U115" s="162">
        <v>0</v>
      </c>
      <c r="V115" s="162">
        <v>0</v>
      </c>
      <c r="W115" s="163">
        <v>0</v>
      </c>
      <c r="X115" s="162">
        <v>0</v>
      </c>
      <c r="Y115" s="162">
        <v>0</v>
      </c>
      <c r="Z115" s="162">
        <v>0</v>
      </c>
      <c r="AA115" s="163">
        <v>0</v>
      </c>
      <c r="AB115" s="164">
        <v>0</v>
      </c>
      <c r="AC115" s="165">
        <v>0</v>
      </c>
    </row>
    <row r="116" spans="1:29" ht="13">
      <c r="A116" s="160"/>
      <c r="B116" s="170" t="s">
        <v>854</v>
      </c>
      <c r="C116" s="166">
        <v>9.0419023214516423E-3</v>
      </c>
      <c r="D116" s="167">
        <v>0</v>
      </c>
      <c r="E116" s="167">
        <v>6.340035247406535E-2</v>
      </c>
      <c r="F116" s="167">
        <v>0</v>
      </c>
      <c r="G116" s="167">
        <v>1.5595675967413798E-2</v>
      </c>
      <c r="H116" s="167">
        <v>0.15068539401715172</v>
      </c>
      <c r="I116" s="166">
        <v>3.97098271310568E-2</v>
      </c>
      <c r="J116" s="166">
        <v>0.11951845684152096</v>
      </c>
      <c r="K116" s="167">
        <v>0</v>
      </c>
      <c r="L116" s="167">
        <v>0.12721349803457135</v>
      </c>
      <c r="M116" s="167">
        <v>7.8664654344165377E-2</v>
      </c>
      <c r="N116" s="166">
        <v>9.7047189644863932E-2</v>
      </c>
      <c r="O116" s="166">
        <v>0</v>
      </c>
      <c r="P116" s="167">
        <v>0</v>
      </c>
      <c r="Q116" s="166">
        <v>0</v>
      </c>
      <c r="R116" s="170">
        <v>0</v>
      </c>
      <c r="S116" s="170">
        <v>0</v>
      </c>
      <c r="T116" s="171">
        <v>0</v>
      </c>
      <c r="U116" s="171">
        <v>0</v>
      </c>
      <c r="V116" s="171">
        <v>0</v>
      </c>
      <c r="W116" s="172">
        <v>0</v>
      </c>
      <c r="X116" s="171">
        <v>0</v>
      </c>
      <c r="Y116" s="171">
        <v>0</v>
      </c>
      <c r="Z116" s="171">
        <v>0</v>
      </c>
      <c r="AA116" s="172">
        <v>0</v>
      </c>
      <c r="AB116" s="164">
        <v>0</v>
      </c>
      <c r="AC116" s="165">
        <v>0</v>
      </c>
    </row>
    <row r="117" spans="1:29" ht="13">
      <c r="A117" s="160"/>
      <c r="B117" s="174" t="s">
        <v>855</v>
      </c>
      <c r="C117" s="175">
        <v>1.0942970498347988E-3</v>
      </c>
      <c r="D117" s="176">
        <v>0</v>
      </c>
      <c r="E117" s="176">
        <v>1.0869656542503728E-2</v>
      </c>
      <c r="F117" s="176">
        <v>0</v>
      </c>
      <c r="G117" s="176">
        <v>4.1837367794644292E-3</v>
      </c>
      <c r="H117" s="176">
        <v>2.9183236752350503E-2</v>
      </c>
      <c r="I117" s="175">
        <v>7.6871694624918857E-3</v>
      </c>
      <c r="J117" s="175">
        <v>5.0178574358964959E-2</v>
      </c>
      <c r="K117" s="176">
        <v>0</v>
      </c>
      <c r="L117" s="176">
        <v>1.5529400122505421E-2</v>
      </c>
      <c r="M117" s="176">
        <v>5.0578955031030659E-3</v>
      </c>
      <c r="N117" s="175">
        <v>1.7695831799948103E-2</v>
      </c>
      <c r="O117" s="175">
        <v>0</v>
      </c>
      <c r="P117" s="176">
        <v>0</v>
      </c>
      <c r="Q117" s="175">
        <v>0</v>
      </c>
      <c r="R117" s="175">
        <v>0</v>
      </c>
      <c r="S117" s="175">
        <v>0</v>
      </c>
      <c r="T117" s="177">
        <v>0</v>
      </c>
      <c r="U117" s="177">
        <v>0</v>
      </c>
      <c r="V117" s="177">
        <v>0</v>
      </c>
      <c r="W117" s="178">
        <v>0</v>
      </c>
      <c r="X117" s="177">
        <v>0</v>
      </c>
      <c r="Y117" s="177">
        <v>0</v>
      </c>
      <c r="Z117" s="177">
        <v>0</v>
      </c>
      <c r="AA117" s="178">
        <v>0</v>
      </c>
      <c r="AB117" s="164">
        <v>0</v>
      </c>
      <c r="AC117" s="165">
        <v>0</v>
      </c>
    </row>
    <row r="118" spans="1:29" ht="13">
      <c r="A118" s="159" t="s">
        <v>856</v>
      </c>
      <c r="B118" s="143"/>
      <c r="C118" s="143">
        <v>23185996</v>
      </c>
      <c r="D118" s="155">
        <v>5255566.5</v>
      </c>
      <c r="E118" s="155">
        <v>14966791.439999999</v>
      </c>
      <c r="F118" s="155">
        <v>3563834.3600000003</v>
      </c>
      <c r="G118" s="155">
        <v>1760656.31</v>
      </c>
      <c r="H118" s="155">
        <v>2137439.46</v>
      </c>
      <c r="I118" s="143">
        <v>50870284.07</v>
      </c>
      <c r="J118" s="143">
        <v>24563154.240000002</v>
      </c>
      <c r="K118" s="155">
        <v>22247493.800000001</v>
      </c>
      <c r="L118" s="155">
        <v>9415142.0999999996</v>
      </c>
      <c r="M118" s="155">
        <v>4238032.5999999996</v>
      </c>
      <c r="N118" s="143">
        <v>60463822.740000002</v>
      </c>
      <c r="O118" s="143">
        <v>4971745</v>
      </c>
      <c r="P118" s="155">
        <v>4971745</v>
      </c>
      <c r="Q118" s="143">
        <v>2403184.4</v>
      </c>
      <c r="R118" s="143">
        <v>64278</v>
      </c>
      <c r="S118" s="143">
        <v>2467462.4</v>
      </c>
      <c r="T118" s="151">
        <v>69273</v>
      </c>
      <c r="U118" s="151">
        <v>69273</v>
      </c>
      <c r="V118" s="151">
        <v>2242334</v>
      </c>
      <c r="W118" s="152">
        <v>2242334</v>
      </c>
      <c r="X118" s="151">
        <v>2260362</v>
      </c>
      <c r="Y118" s="151">
        <v>2260362</v>
      </c>
      <c r="Z118" s="151">
        <v>1312222</v>
      </c>
      <c r="AA118" s="152">
        <v>1312222</v>
      </c>
      <c r="AB118" s="153">
        <v>0</v>
      </c>
      <c r="AC118" s="154">
        <v>0</v>
      </c>
    </row>
    <row r="119" spans="1:29" ht="13">
      <c r="A119" s="160" t="s">
        <v>857</v>
      </c>
      <c r="B119" s="161"/>
      <c r="C119" s="161">
        <v>113885</v>
      </c>
      <c r="D119" s="15">
        <v>77119</v>
      </c>
      <c r="E119" s="15">
        <v>353832</v>
      </c>
      <c r="F119" s="15">
        <v>101334.5</v>
      </c>
      <c r="G119" s="15">
        <v>22905.5</v>
      </c>
      <c r="H119" s="15">
        <v>105647</v>
      </c>
      <c r="I119" s="161">
        <v>774723</v>
      </c>
      <c r="J119" s="161">
        <v>1220407</v>
      </c>
      <c r="K119" s="15">
        <v>2257751</v>
      </c>
      <c r="L119" s="15">
        <v>1431756</v>
      </c>
      <c r="M119" s="15">
        <v>814222.5</v>
      </c>
      <c r="N119" s="161">
        <v>5724136.5</v>
      </c>
      <c r="O119" s="161">
        <v>1154856</v>
      </c>
      <c r="P119" s="15">
        <v>1154856</v>
      </c>
      <c r="Q119" s="161">
        <v>342225</v>
      </c>
      <c r="R119" s="161">
        <v>3637</v>
      </c>
      <c r="S119" s="161">
        <v>345862</v>
      </c>
      <c r="T119" s="162">
        <v>0</v>
      </c>
      <c r="U119" s="162">
        <v>0</v>
      </c>
      <c r="V119" s="162">
        <v>371657</v>
      </c>
      <c r="W119" s="163">
        <v>371657</v>
      </c>
      <c r="X119" s="162">
        <v>618095</v>
      </c>
      <c r="Y119" s="162">
        <v>618095</v>
      </c>
      <c r="Z119" s="162">
        <v>351161</v>
      </c>
      <c r="AA119" s="163">
        <v>351161</v>
      </c>
      <c r="AB119" s="153">
        <v>0</v>
      </c>
      <c r="AC119" s="154">
        <v>0</v>
      </c>
    </row>
    <row r="120" spans="1:29" ht="13">
      <c r="A120" s="160" t="s">
        <v>858</v>
      </c>
      <c r="B120" s="166"/>
      <c r="C120" s="166">
        <v>4.9118010716468685E-3</v>
      </c>
      <c r="D120" s="167">
        <v>1.4673774939390453E-2</v>
      </c>
      <c r="E120" s="167">
        <v>2.3641139212667483E-2</v>
      </c>
      <c r="F120" s="167">
        <v>2.8434121725006319E-2</v>
      </c>
      <c r="G120" s="167">
        <v>1.3009637298264078E-2</v>
      </c>
      <c r="H120" s="167">
        <v>4.9426896984488163E-2</v>
      </c>
      <c r="I120" s="166">
        <v>1.5229382225071581E-2</v>
      </c>
      <c r="J120" s="166">
        <v>4.9684457788919535E-2</v>
      </c>
      <c r="K120" s="167">
        <v>0.10148338596233253</v>
      </c>
      <c r="L120" s="167">
        <v>0.15206950514320969</v>
      </c>
      <c r="M120" s="167">
        <v>0.1921227552614862</v>
      </c>
      <c r="N120" s="166">
        <v>9.4670436644641434E-2</v>
      </c>
      <c r="O120" s="166">
        <v>0.23228383595699298</v>
      </c>
      <c r="P120" s="167">
        <v>0.23228383595699298</v>
      </c>
      <c r="Q120" s="166">
        <v>0.14240480256113514</v>
      </c>
      <c r="R120" s="166">
        <v>5.6582345437007998E-2</v>
      </c>
      <c r="S120" s="166">
        <v>0.14016910652822917</v>
      </c>
      <c r="T120" s="168">
        <v>0</v>
      </c>
      <c r="U120" s="168">
        <v>0</v>
      </c>
      <c r="V120" s="168">
        <v>0.16574560257303328</v>
      </c>
      <c r="W120" s="169">
        <v>0.16574560257303328</v>
      </c>
      <c r="X120" s="168">
        <v>0.27344956250370517</v>
      </c>
      <c r="Y120" s="168">
        <v>0.27344956250370517</v>
      </c>
      <c r="Z120" s="168">
        <v>0.26760792000134126</v>
      </c>
      <c r="AA120" s="169">
        <v>0.26760792000134126</v>
      </c>
      <c r="AB120" s="179">
        <v>0</v>
      </c>
      <c r="AC120" s="180">
        <v>0</v>
      </c>
    </row>
    <row r="121" spans="1:29" ht="13">
      <c r="A121" s="160" t="s">
        <v>859</v>
      </c>
      <c r="B121" s="161"/>
      <c r="C121" s="161">
        <v>23422561.5</v>
      </c>
      <c r="D121" s="15">
        <v>5353211.03</v>
      </c>
      <c r="E121" s="15">
        <v>15010824.399999999</v>
      </c>
      <c r="F121" s="15">
        <v>3563313</v>
      </c>
      <c r="G121" s="15">
        <v>1715316.5</v>
      </c>
      <c r="H121" s="15">
        <v>2129889.5</v>
      </c>
      <c r="I121" s="161">
        <v>51195115.93</v>
      </c>
      <c r="J121" s="161">
        <v>23308393</v>
      </c>
      <c r="K121" s="15">
        <v>21790707.600000001</v>
      </c>
      <c r="L121" s="15">
        <v>9345429.0999999996</v>
      </c>
      <c r="M121" s="15">
        <v>4222319.5999999996</v>
      </c>
      <c r="N121" s="161">
        <v>58666849.299999997</v>
      </c>
      <c r="O121" s="161">
        <v>5190036</v>
      </c>
      <c r="P121" s="15">
        <v>5190036</v>
      </c>
      <c r="Q121" s="161">
        <v>2475769.2000000002</v>
      </c>
      <c r="R121" s="161">
        <v>69733</v>
      </c>
      <c r="S121" s="161">
        <v>2545502.2000000002</v>
      </c>
      <c r="T121" s="162">
        <v>101036</v>
      </c>
      <c r="U121" s="162">
        <v>101036</v>
      </c>
      <c r="V121" s="162">
        <v>3771322</v>
      </c>
      <c r="W121" s="163">
        <v>3771322</v>
      </c>
      <c r="X121" s="162">
        <v>919138</v>
      </c>
      <c r="Y121" s="162">
        <v>919138</v>
      </c>
      <c r="Z121" s="162">
        <v>537455</v>
      </c>
      <c r="AA121" s="163">
        <v>537455</v>
      </c>
      <c r="AB121" s="153">
        <v>0</v>
      </c>
      <c r="AC121" s="154">
        <v>0</v>
      </c>
    </row>
    <row r="122" spans="1:29" ht="13">
      <c r="A122" s="160" t="s">
        <v>860</v>
      </c>
      <c r="B122" s="161"/>
      <c r="C122" s="161">
        <v>124192.5</v>
      </c>
      <c r="D122" s="15">
        <v>74941</v>
      </c>
      <c r="E122" s="15">
        <v>361113.5</v>
      </c>
      <c r="F122" s="15">
        <v>113112</v>
      </c>
      <c r="G122" s="15">
        <v>28596</v>
      </c>
      <c r="H122" s="15">
        <v>108717</v>
      </c>
      <c r="I122" s="161">
        <v>810672</v>
      </c>
      <c r="J122" s="161">
        <v>1288666</v>
      </c>
      <c r="K122" s="15">
        <v>2465788</v>
      </c>
      <c r="L122" s="15">
        <v>1535014.8</v>
      </c>
      <c r="M122" s="15">
        <v>845610.5</v>
      </c>
      <c r="N122" s="161">
        <v>6135079.2999999998</v>
      </c>
      <c r="O122" s="161">
        <v>1256936</v>
      </c>
      <c r="P122" s="15">
        <v>1256936</v>
      </c>
      <c r="Q122" s="161">
        <v>395014.5</v>
      </c>
      <c r="R122" s="161">
        <v>3726</v>
      </c>
      <c r="S122" s="161">
        <v>398740.5</v>
      </c>
      <c r="T122" s="162">
        <v>0</v>
      </c>
      <c r="U122" s="162">
        <v>0</v>
      </c>
      <c r="V122" s="162">
        <v>649925</v>
      </c>
      <c r="W122" s="163">
        <v>649925</v>
      </c>
      <c r="X122" s="162">
        <v>380153</v>
      </c>
      <c r="Y122" s="162">
        <v>380153</v>
      </c>
      <c r="Z122" s="162">
        <v>253937</v>
      </c>
      <c r="AA122" s="163">
        <v>253937</v>
      </c>
      <c r="AB122" s="153">
        <v>0</v>
      </c>
      <c r="AC122" s="154">
        <v>0</v>
      </c>
    </row>
    <row r="123" spans="1:29" ht="13">
      <c r="A123" s="160" t="s">
        <v>861</v>
      </c>
      <c r="B123" s="170"/>
      <c r="C123" s="166">
        <v>5.3022595329720876E-3</v>
      </c>
      <c r="D123" s="167">
        <v>1.3999261299437321E-2</v>
      </c>
      <c r="E123" s="167">
        <v>2.4056873252078018E-2</v>
      </c>
      <c r="F123" s="167">
        <v>3.1743492642942114E-2</v>
      </c>
      <c r="G123" s="167">
        <v>1.6670975881127478E-2</v>
      </c>
      <c r="H123" s="167">
        <v>5.104349310140268E-2</v>
      </c>
      <c r="I123" s="166">
        <v>1.5834948027238505E-2</v>
      </c>
      <c r="J123" s="166">
        <v>5.5287638234004378E-2</v>
      </c>
      <c r="K123" s="167">
        <v>0.11315777556484673</v>
      </c>
      <c r="L123" s="167">
        <v>0.16425300364217627</v>
      </c>
      <c r="M123" s="167">
        <v>0.20027155215820236</v>
      </c>
      <c r="N123" s="166">
        <v>0.10457488979214706</v>
      </c>
      <c r="O123" s="166">
        <v>0.2421825205066015</v>
      </c>
      <c r="P123" s="167">
        <v>0.2421825205066015</v>
      </c>
      <c r="Q123" s="166">
        <v>0.15955223128230206</v>
      </c>
      <c r="R123" s="170">
        <v>5.343237778383262E-2</v>
      </c>
      <c r="S123" s="170">
        <v>0.15664512095098562</v>
      </c>
      <c r="T123" s="171">
        <v>0</v>
      </c>
      <c r="U123" s="171">
        <v>0</v>
      </c>
      <c r="V123" s="171">
        <v>0.17233346821088202</v>
      </c>
      <c r="W123" s="172">
        <v>0.17233346821088202</v>
      </c>
      <c r="X123" s="171">
        <v>0.41359730530127142</v>
      </c>
      <c r="Y123" s="171">
        <v>0.41359730530127142</v>
      </c>
      <c r="Z123" s="171">
        <v>0.47248048673842463</v>
      </c>
      <c r="AA123" s="172">
        <v>0.47248048673842463</v>
      </c>
      <c r="AB123" s="153">
        <v>0</v>
      </c>
      <c r="AC123" s="154">
        <v>0</v>
      </c>
    </row>
    <row r="124" spans="1:29" ht="13">
      <c r="A124" s="160" t="s">
        <v>862</v>
      </c>
      <c r="B124" s="174"/>
      <c r="C124" s="175">
        <v>3.9045846132521912E-4</v>
      </c>
      <c r="D124" s="176">
        <v>-6.74513639953132E-4</v>
      </c>
      <c r="E124" s="176">
        <v>4.157340394105348E-4</v>
      </c>
      <c r="F124" s="176">
        <v>3.3093709179357958E-3</v>
      </c>
      <c r="G124" s="176">
        <v>3.6613385828634E-3</v>
      </c>
      <c r="H124" s="176">
        <v>1.6165961169145177E-3</v>
      </c>
      <c r="I124" s="175">
        <v>6.0556580216692378E-4</v>
      </c>
      <c r="J124" s="175">
        <v>5.6031804450848433E-3</v>
      </c>
      <c r="K124" s="176">
        <v>1.1674389602514199E-2</v>
      </c>
      <c r="L124" s="176">
        <v>1.2183498498966577E-2</v>
      </c>
      <c r="M124" s="176">
        <v>8.1487968967161595E-3</v>
      </c>
      <c r="N124" s="175">
        <v>9.9044531475056263E-3</v>
      </c>
      <c r="O124" s="175">
        <v>9.8986845496085163E-3</v>
      </c>
      <c r="P124" s="176">
        <v>9.8986845496085163E-3</v>
      </c>
      <c r="Q124" s="175">
        <v>1.7147428721166924E-2</v>
      </c>
      <c r="R124" s="175">
        <v>-3.1499676531753784E-3</v>
      </c>
      <c r="S124" s="175">
        <v>1.6476014422756452E-2</v>
      </c>
      <c r="T124" s="177">
        <v>0</v>
      </c>
      <c r="U124" s="177">
        <v>0</v>
      </c>
      <c r="V124" s="177">
        <v>6.5878656378487443E-3</v>
      </c>
      <c r="W124" s="178">
        <v>6.5878656378487443E-3</v>
      </c>
      <c r="X124" s="177">
        <v>0.14014774279756625</v>
      </c>
      <c r="Y124" s="177">
        <v>0.14014774279756625</v>
      </c>
      <c r="Z124" s="177">
        <v>0.20487256673708337</v>
      </c>
      <c r="AA124" s="178">
        <v>0.20487256673708337</v>
      </c>
      <c r="AB124" s="181">
        <v>0</v>
      </c>
      <c r="AC124" s="182">
        <v>0</v>
      </c>
    </row>
    <row r="125" spans="1:29" ht="13">
      <c r="A125" s="183"/>
      <c r="B125"/>
      <c r="C125"/>
      <c r="D125"/>
      <c r="E125"/>
      <c r="F125"/>
      <c r="G125"/>
      <c r="H125"/>
      <c r="I125"/>
      <c r="J125"/>
      <c r="K125"/>
      <c r="L125"/>
      <c r="M125"/>
      <c r="N125"/>
      <c r="O125"/>
      <c r="P125"/>
      <c r="Q125"/>
      <c r="R125"/>
      <c r="S125"/>
      <c r="T125"/>
      <c r="U125"/>
      <c r="V125"/>
      <c r="W125"/>
      <c r="X125"/>
      <c r="Y125"/>
      <c r="Z125"/>
      <c r="AA125"/>
    </row>
    <row r="126" spans="1:29">
      <c r="A126"/>
      <c r="B126"/>
      <c r="C126"/>
      <c r="D126"/>
      <c r="E126"/>
      <c r="F126"/>
      <c r="G126"/>
      <c r="H126"/>
      <c r="I126"/>
      <c r="J126"/>
      <c r="K126"/>
      <c r="L126"/>
      <c r="M126"/>
      <c r="N126"/>
      <c r="O126"/>
      <c r="P126"/>
      <c r="Q126"/>
      <c r="R126"/>
      <c r="S126"/>
      <c r="T126"/>
      <c r="U126"/>
      <c r="V126"/>
      <c r="W126"/>
      <c r="X126"/>
      <c r="Y126"/>
      <c r="Z126"/>
      <c r="AA126"/>
    </row>
    <row r="127" spans="1:29">
      <c r="A127"/>
      <c r="B127"/>
      <c r="C127"/>
      <c r="D127"/>
      <c r="E127"/>
      <c r="F127"/>
      <c r="G127"/>
      <c r="H127"/>
      <c r="I127"/>
      <c r="J127"/>
      <c r="K127"/>
      <c r="L127"/>
      <c r="M127"/>
      <c r="N127"/>
      <c r="O127"/>
      <c r="P127"/>
      <c r="Q127"/>
      <c r="R127"/>
      <c r="S127"/>
      <c r="T127"/>
      <c r="U127"/>
      <c r="V127"/>
      <c r="W127"/>
      <c r="X127"/>
      <c r="Y127"/>
      <c r="Z127"/>
      <c r="AA127"/>
    </row>
    <row r="128" spans="1:29">
      <c r="A128"/>
      <c r="B128"/>
      <c r="C128"/>
      <c r="D128"/>
      <c r="E128"/>
      <c r="F128"/>
      <c r="G128"/>
      <c r="H128"/>
      <c r="I128"/>
      <c r="J128"/>
      <c r="K128"/>
      <c r="L128"/>
      <c r="M128"/>
      <c r="N128"/>
      <c r="O128"/>
      <c r="P128"/>
      <c r="Q128"/>
      <c r="R128"/>
      <c r="S128"/>
      <c r="T128"/>
      <c r="U128"/>
      <c r="V128"/>
      <c r="W128"/>
      <c r="X128"/>
      <c r="Y128"/>
      <c r="Z128"/>
      <c r="AA128"/>
    </row>
    <row r="129" spans="1:27">
      <c r="A129"/>
      <c r="B129"/>
      <c r="C129"/>
      <c r="D129"/>
      <c r="E129"/>
      <c r="F129"/>
      <c r="G129"/>
      <c r="H129"/>
      <c r="I129"/>
      <c r="J129"/>
      <c r="K129"/>
      <c r="L129"/>
      <c r="M129"/>
      <c r="N129"/>
      <c r="O129"/>
      <c r="P129"/>
      <c r="Q129"/>
      <c r="R129"/>
      <c r="S129"/>
      <c r="T129"/>
      <c r="U129"/>
      <c r="V129"/>
      <c r="W129"/>
      <c r="X129"/>
      <c r="Y129"/>
      <c r="Z129"/>
      <c r="AA129"/>
    </row>
    <row r="130" spans="1:27">
      <c r="A130"/>
      <c r="B130"/>
      <c r="C130"/>
      <c r="D130"/>
      <c r="E130"/>
      <c r="F130"/>
      <c r="G130"/>
      <c r="H130"/>
      <c r="I130"/>
      <c r="J130"/>
      <c r="K130"/>
      <c r="L130"/>
      <c r="M130"/>
      <c r="N130"/>
      <c r="O130"/>
      <c r="P130"/>
      <c r="Q130"/>
      <c r="R130"/>
      <c r="S130"/>
      <c r="T130"/>
      <c r="U130"/>
      <c r="V130"/>
      <c r="W130"/>
      <c r="X130"/>
      <c r="Y130"/>
      <c r="Z130"/>
      <c r="AA130"/>
    </row>
    <row r="131" spans="1:27">
      <c r="A131"/>
      <c r="B131"/>
      <c r="C131"/>
      <c r="D131"/>
      <c r="E131"/>
      <c r="F131"/>
      <c r="G131"/>
      <c r="H131"/>
      <c r="I131"/>
      <c r="J131"/>
      <c r="K131"/>
      <c r="L131"/>
      <c r="M131"/>
      <c r="N131"/>
      <c r="O131"/>
      <c r="P131"/>
      <c r="Q131"/>
      <c r="R131"/>
      <c r="S131"/>
      <c r="T131"/>
      <c r="U131"/>
      <c r="V131"/>
      <c r="W131"/>
      <c r="X131"/>
      <c r="Y131"/>
      <c r="Z131"/>
      <c r="AA131"/>
    </row>
    <row r="132" spans="1:27">
      <c r="A132"/>
      <c r="B132"/>
      <c r="C132"/>
      <c r="D132"/>
      <c r="E132"/>
      <c r="F132"/>
      <c r="G132"/>
      <c r="H132"/>
      <c r="I132"/>
      <c r="J132"/>
      <c r="K132"/>
      <c r="L132"/>
      <c r="M132"/>
      <c r="N132"/>
      <c r="O132"/>
      <c r="P132"/>
      <c r="Q132"/>
      <c r="R132"/>
      <c r="S132"/>
      <c r="T132"/>
      <c r="X132"/>
    </row>
    <row r="133" spans="1:27">
      <c r="A133"/>
      <c r="B133"/>
      <c r="C133"/>
      <c r="D133"/>
      <c r="E133"/>
      <c r="F133"/>
      <c r="G133"/>
      <c r="H133"/>
      <c r="I133"/>
      <c r="J133"/>
      <c r="K133"/>
      <c r="L133"/>
      <c r="M133"/>
      <c r="N133"/>
      <c r="O133"/>
      <c r="P133"/>
      <c r="Q133"/>
      <c r="R133"/>
      <c r="S133"/>
      <c r="T133"/>
      <c r="X133"/>
    </row>
    <row r="134" spans="1:27">
      <c r="A134"/>
      <c r="B134"/>
      <c r="C134"/>
      <c r="D134"/>
      <c r="E134"/>
      <c r="F134"/>
      <c r="G134"/>
      <c r="H134"/>
      <c r="I134"/>
      <c r="J134"/>
      <c r="K134"/>
      <c r="L134"/>
      <c r="M134"/>
      <c r="N134"/>
      <c r="O134"/>
      <c r="P134"/>
      <c r="Q134"/>
      <c r="R134"/>
      <c r="S134"/>
      <c r="T134"/>
      <c r="X134"/>
    </row>
    <row r="135" spans="1:27">
      <c r="A135"/>
      <c r="B135"/>
      <c r="C135"/>
      <c r="D135"/>
      <c r="E135"/>
      <c r="F135"/>
      <c r="G135"/>
      <c r="H135"/>
      <c r="I135"/>
      <c r="J135"/>
      <c r="K135"/>
      <c r="L135"/>
      <c r="M135"/>
      <c r="N135"/>
      <c r="O135"/>
      <c r="P135"/>
      <c r="Q135"/>
      <c r="R135"/>
      <c r="S135"/>
      <c r="T135"/>
      <c r="X135"/>
    </row>
    <row r="136" spans="1:27">
      <c r="A136"/>
      <c r="B136"/>
      <c r="C136"/>
      <c r="D136"/>
      <c r="E136"/>
      <c r="F136"/>
      <c r="G136"/>
      <c r="H136"/>
      <c r="I136"/>
      <c r="J136"/>
      <c r="K136"/>
      <c r="L136"/>
      <c r="M136"/>
      <c r="N136"/>
      <c r="O136"/>
      <c r="P136"/>
      <c r="Q136"/>
      <c r="R136"/>
      <c r="S136"/>
      <c r="T136"/>
      <c r="X136"/>
    </row>
    <row r="137" spans="1:27">
      <c r="A137"/>
      <c r="B137"/>
      <c r="C137"/>
      <c r="D137"/>
      <c r="E137"/>
      <c r="F137"/>
      <c r="G137"/>
      <c r="H137"/>
      <c r="I137"/>
      <c r="J137"/>
      <c r="K137"/>
      <c r="L137"/>
      <c r="M137"/>
      <c r="N137"/>
      <c r="O137"/>
      <c r="P137"/>
      <c r="Q137"/>
      <c r="R137"/>
      <c r="S137"/>
      <c r="T137"/>
      <c r="X137"/>
    </row>
    <row r="138" spans="1:27">
      <c r="A138"/>
      <c r="B138"/>
      <c r="C138"/>
      <c r="D138"/>
      <c r="E138"/>
      <c r="F138"/>
      <c r="G138"/>
      <c r="H138"/>
      <c r="I138"/>
      <c r="J138"/>
      <c r="K138"/>
      <c r="L138"/>
      <c r="M138"/>
      <c r="N138"/>
      <c r="O138"/>
      <c r="P138"/>
      <c r="Q138"/>
      <c r="R138"/>
      <c r="S138"/>
      <c r="T138"/>
      <c r="X138"/>
    </row>
    <row r="139" spans="1:27">
      <c r="A139"/>
      <c r="B139"/>
      <c r="C139"/>
      <c r="D139"/>
      <c r="E139"/>
      <c r="F139"/>
      <c r="G139"/>
      <c r="H139"/>
      <c r="I139"/>
      <c r="J139"/>
      <c r="K139"/>
      <c r="L139"/>
      <c r="M139"/>
      <c r="N139"/>
      <c r="O139"/>
      <c r="P139"/>
      <c r="Q139"/>
      <c r="R139"/>
      <c r="S139"/>
      <c r="T139"/>
      <c r="X139"/>
    </row>
    <row r="140" spans="1:27">
      <c r="A140"/>
      <c r="B140"/>
      <c r="C140"/>
      <c r="D140"/>
      <c r="E140"/>
      <c r="F140"/>
      <c r="G140"/>
      <c r="H140"/>
      <c r="I140"/>
      <c r="J140"/>
      <c r="K140"/>
      <c r="L140"/>
      <c r="M140"/>
      <c r="N140"/>
      <c r="O140"/>
      <c r="P140"/>
      <c r="Q140"/>
      <c r="R140"/>
      <c r="S140"/>
      <c r="T140"/>
      <c r="X140"/>
    </row>
    <row r="141" spans="1:27">
      <c r="A141"/>
      <c r="B141"/>
      <c r="C141"/>
      <c r="D141"/>
      <c r="E141"/>
      <c r="F141"/>
      <c r="G141"/>
      <c r="H141"/>
      <c r="I141"/>
      <c r="J141"/>
      <c r="K141"/>
      <c r="L141"/>
      <c r="M141"/>
      <c r="N141"/>
      <c r="O141"/>
      <c r="P141"/>
      <c r="Q141"/>
      <c r="R141"/>
      <c r="S141"/>
      <c r="T141"/>
      <c r="X141"/>
    </row>
  </sheetData>
  <pageMargins left="0.7" right="0.7" top="0.75" bottom="0.75" header="0.3" footer="0.3"/>
  <pageSetup scale="77" pageOrder="overThenDown" orientation="landscape" r:id="rId2"/>
  <headerFooter>
    <oddHeader>&amp;L&amp;"Arial,Bold"SREB-State Data Exchange&amp;C&amp;"Arial,Bold"Preliminary Tables&amp;R&amp;"Arial,Bold"Part 4  -- High School Student Portion of FTE Enrollment</oddHeader>
    <oddFooter>&amp;L&amp;"Arial,Bold"For Agency Review Only&amp;R&amp;"Arial,Bold"October 2009</oddFooter>
  </headerFooter>
  <rowBreaks count="15" manualBreakCount="15">
    <brk id="11" min="2" max="23" man="1"/>
    <brk id="17" min="2" max="23" man="1"/>
    <brk id="23" min="2" max="23" man="1"/>
    <brk id="29" min="2" max="23" man="1"/>
    <brk id="35" min="2" max="23" man="1"/>
    <brk id="41" min="2" max="23" man="1"/>
    <brk id="47" min="2" max="23" man="1"/>
    <brk id="53" min="2" max="23" man="1"/>
    <brk id="59" min="2" max="23" man="1"/>
    <brk id="65" min="2" max="23" man="1"/>
    <brk id="71" min="2" max="23" man="1"/>
    <brk id="77" min="2" max="23" man="1"/>
    <brk id="83" min="2" max="23" man="1"/>
    <brk id="89" min="2" max="23" man="1"/>
    <brk id="95" min="2" max="23" man="1"/>
  </rowBreaks>
  <colBreaks count="1" manualBreakCount="1">
    <brk id="9" min="5" max="100" man="1"/>
  </col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indexed="12"/>
  </sheetPr>
  <dimension ref="A1:BA675"/>
  <sheetViews>
    <sheetView workbookViewId="0">
      <pane xSplit="5" ySplit="7" topLeftCell="G336" activePane="bottomRight" state="frozenSplit"/>
      <selection activeCell="A2" sqref="A2 A2"/>
      <selection pane="topRight" activeCell="A2" sqref="A2"/>
      <selection pane="bottomLeft" activeCell="A2" sqref="A2"/>
      <selection pane="bottomRight" activeCell="C351" sqref="C351"/>
    </sheetView>
  </sheetViews>
  <sheetFormatPr defaultColWidth="13.44140625" defaultRowHeight="13"/>
  <cols>
    <col min="1" max="1" width="9.44140625" style="461" customWidth="1"/>
    <col min="2" max="2" width="72.109375" style="461" customWidth="1"/>
    <col min="3" max="3" width="34.109375" style="461" customWidth="1"/>
    <col min="4" max="4" width="16.6640625" style="23" customWidth="1"/>
    <col min="5" max="5" width="16.6640625" style="494" customWidth="1"/>
    <col min="6" max="6" width="15.77734375" style="457" customWidth="1"/>
    <col min="7" max="7" width="13.109375" style="458" customWidth="1"/>
    <col min="8" max="8" width="16.109375" style="459" customWidth="1"/>
    <col min="9" max="9" width="18.44140625" style="460" customWidth="1"/>
    <col min="10" max="10" width="18.77734375" style="459" customWidth="1"/>
    <col min="11" max="11" width="18.44140625" style="460" customWidth="1"/>
    <col min="12" max="12" width="18.44140625" style="459" customWidth="1"/>
    <col min="13" max="13" width="18.109375" style="460" customWidth="1"/>
    <col min="14" max="14" width="18.77734375" style="459" customWidth="1"/>
    <col min="15" max="15" width="18.77734375" style="460" customWidth="1"/>
    <col min="16" max="16" width="17.33203125" style="459" customWidth="1"/>
    <col min="17" max="17" width="16.109375" style="459" customWidth="1"/>
    <col min="18" max="18" width="19.6640625" style="460" customWidth="1"/>
    <col min="19" max="19" width="13.33203125" style="460" customWidth="1"/>
    <col min="20" max="20" width="17" style="460" customWidth="1"/>
    <col min="21" max="21" width="16.6640625" style="460" customWidth="1"/>
    <col min="22" max="22" width="20" style="459" customWidth="1"/>
    <col min="23" max="23" width="18.109375" style="459" customWidth="1"/>
    <col min="24" max="24" width="19.109375" style="459" customWidth="1"/>
    <col min="25" max="25" width="18.109375" style="460" customWidth="1"/>
    <col min="26" max="26" width="17" style="459" customWidth="1"/>
    <col min="27" max="27" width="17.6640625" style="460" customWidth="1"/>
    <col min="28" max="28" width="20" style="459" customWidth="1"/>
    <col min="29" max="29" width="18.44140625" style="460" customWidth="1"/>
    <col min="30" max="30" width="22.6640625" style="459" customWidth="1"/>
    <col min="31" max="31" width="27.109375" style="460" customWidth="1"/>
    <col min="32" max="32" width="18.77734375" style="459" customWidth="1"/>
    <col min="33" max="33" width="18" style="459" customWidth="1"/>
    <col min="34" max="34" width="19.44140625" style="460" customWidth="1"/>
    <col min="35" max="35" width="16.109375" style="460" customWidth="1"/>
    <col min="36" max="36" width="18.44140625" style="460" customWidth="1"/>
    <col min="37" max="37" width="18" style="460" customWidth="1"/>
    <col min="38" max="39" width="18.77734375" style="459" customWidth="1"/>
    <col min="40" max="40" width="16.109375" style="459" customWidth="1"/>
    <col min="41" max="41" width="16.109375" style="460" customWidth="1"/>
    <col min="42" max="42" width="16.109375" style="459" customWidth="1"/>
    <col min="43" max="43" width="16.109375" style="460" customWidth="1"/>
    <col min="44" max="44" width="16.109375" style="459" customWidth="1"/>
    <col min="45" max="45" width="16.109375" style="460" customWidth="1"/>
    <col min="46" max="46" width="16.109375" style="459" customWidth="1"/>
    <col min="47" max="47" width="16.109375" style="460" customWidth="1"/>
    <col min="48" max="48" width="18.44140625" style="459" customWidth="1"/>
    <col min="49" max="49" width="16.109375" style="459" customWidth="1"/>
    <col min="50" max="50" width="18.44140625" style="460" customWidth="1"/>
    <col min="51" max="53" width="16.109375" style="461" customWidth="1"/>
    <col min="54" max="16384" width="13.44140625" style="461"/>
  </cols>
  <sheetData>
    <row r="1" spans="1:53" hidden="1">
      <c r="A1" s="462"/>
      <c r="B1" s="462"/>
      <c r="C1" s="462"/>
      <c r="D1" s="463"/>
      <c r="E1" s="464"/>
      <c r="F1" s="465"/>
      <c r="G1" s="466"/>
      <c r="H1" s="467"/>
      <c r="I1" s="468"/>
      <c r="J1" s="467"/>
      <c r="K1" s="468"/>
      <c r="L1" s="467"/>
      <c r="M1" s="468"/>
      <c r="N1" s="467"/>
      <c r="O1" s="468"/>
      <c r="P1" s="469">
        <f>SUM(H1,J1,L1,N1)</f>
        <v>0</v>
      </c>
      <c r="Q1" s="470">
        <f>+P1/30</f>
        <v>0</v>
      </c>
      <c r="R1" s="471">
        <f>SUM(I1,K1,M1,O1)</f>
        <v>0</v>
      </c>
      <c r="S1" s="472">
        <f>+R1/30</f>
        <v>0</v>
      </c>
      <c r="T1" s="467"/>
      <c r="U1" s="468"/>
      <c r="V1" s="469">
        <f>IF(ISBLANK(T1),0,P1)</f>
        <v>0</v>
      </c>
      <c r="W1" s="473">
        <f>IF(ISBLANK(U1),0,R1)</f>
        <v>0</v>
      </c>
      <c r="X1" s="474"/>
      <c r="Y1" s="468"/>
      <c r="Z1" s="467"/>
      <c r="AA1" s="468"/>
      <c r="AB1" s="467"/>
      <c r="AC1" s="468"/>
      <c r="AD1" s="467"/>
      <c r="AE1" s="468"/>
      <c r="AF1" s="469">
        <f>SUM(X1,Z1,AB1,AD1)</f>
        <v>0</v>
      </c>
      <c r="AG1" s="470">
        <f>+AF1/900</f>
        <v>0</v>
      </c>
      <c r="AH1" s="471">
        <f>SUM(Y1,AA1,AC1,AE1)</f>
        <v>0</v>
      </c>
      <c r="AI1" s="471">
        <f>+AH1/900</f>
        <v>0</v>
      </c>
      <c r="AJ1" s="467"/>
      <c r="AK1" s="468"/>
      <c r="AL1" s="469">
        <f>IF(ISBLANK(AJ1),0,AF1)</f>
        <v>0</v>
      </c>
      <c r="AM1" s="472">
        <f>IF(ISBLANK(AK1),0,AH1)</f>
        <v>0</v>
      </c>
      <c r="AN1" s="467"/>
      <c r="AO1" s="467"/>
      <c r="AP1" s="467"/>
      <c r="AQ1" s="467"/>
      <c r="AR1" s="467"/>
      <c r="AS1" s="467"/>
      <c r="AT1" s="467"/>
      <c r="AU1" s="467"/>
      <c r="AV1" s="469">
        <f>SUM(AN1,AP1,AR1,AT1)</f>
        <v>0</v>
      </c>
      <c r="AW1" s="475">
        <f>+AV1/24</f>
        <v>0</v>
      </c>
      <c r="AX1" s="471">
        <f>SUM(AO1,AQ1,AS1,AU1)</f>
        <v>0</v>
      </c>
      <c r="AY1" s="476">
        <f>+AX1/24</f>
        <v>0</v>
      </c>
      <c r="AZ1" s="477">
        <f>SUM(Q1,AG1,AW1)</f>
        <v>0</v>
      </c>
      <c r="BA1" s="471">
        <f>SUM(S1,AI1,AY1)</f>
        <v>0</v>
      </c>
    </row>
    <row r="2" spans="1:53" s="479" customFormat="1" ht="18.75" customHeight="1" thickBot="1">
      <c r="A2" s="478" t="s">
        <v>0</v>
      </c>
      <c r="B2" s="478"/>
      <c r="C2" s="478"/>
      <c r="D2" s="478"/>
      <c r="E2" s="478"/>
    </row>
    <row r="3" spans="1:53" s="494" customFormat="1" ht="23.25" customHeight="1" thickTop="1">
      <c r="A3" s="480" t="s">
        <v>877</v>
      </c>
      <c r="B3" s="481"/>
      <c r="C3" s="481"/>
      <c r="D3" s="481"/>
      <c r="E3" s="481"/>
      <c r="F3" s="482"/>
      <c r="G3" s="483"/>
      <c r="H3" s="484" t="s">
        <v>1</v>
      </c>
      <c r="I3" s="485"/>
      <c r="J3" s="486"/>
      <c r="K3" s="487"/>
      <c r="L3" s="486"/>
      <c r="M3" s="487"/>
      <c r="N3" s="486"/>
      <c r="O3" s="487"/>
      <c r="P3" s="485" t="s">
        <v>2</v>
      </c>
      <c r="Q3" s="485"/>
      <c r="R3" s="485"/>
      <c r="S3" s="485"/>
      <c r="T3" s="488"/>
      <c r="U3" s="489"/>
      <c r="V3" s="485" t="s">
        <v>2</v>
      </c>
      <c r="W3" s="490"/>
      <c r="X3" s="491" t="s">
        <v>3</v>
      </c>
      <c r="Y3" s="485"/>
      <c r="Z3" s="486"/>
      <c r="AA3" s="487"/>
      <c r="AB3" s="486"/>
      <c r="AC3" s="487"/>
      <c r="AD3" s="486"/>
      <c r="AE3" s="487"/>
      <c r="AF3" s="485" t="s">
        <v>2</v>
      </c>
      <c r="AG3" s="485"/>
      <c r="AH3" s="485"/>
      <c r="AI3" s="485"/>
      <c r="AJ3" s="488"/>
      <c r="AK3" s="489"/>
      <c r="AL3" s="485" t="s">
        <v>2</v>
      </c>
      <c r="AM3" s="490"/>
      <c r="AN3" s="491" t="s">
        <v>4</v>
      </c>
      <c r="AO3" s="485"/>
      <c r="AP3" s="486"/>
      <c r="AQ3" s="487"/>
      <c r="AR3" s="486"/>
      <c r="AS3" s="487"/>
      <c r="AT3" s="486"/>
      <c r="AU3" s="487"/>
      <c r="AV3" s="492" t="s">
        <v>2</v>
      </c>
      <c r="AW3" s="485"/>
      <c r="AX3" s="493"/>
      <c r="AY3" s="485"/>
      <c r="AZ3" s="615" t="s">
        <v>5</v>
      </c>
      <c r="BA3" s="616"/>
    </row>
    <row r="4" spans="1:53" s="494" customFormat="1" ht="82.5" customHeight="1" thickBot="1">
      <c r="A4" s="495" t="s">
        <v>6</v>
      </c>
      <c r="B4" s="496"/>
      <c r="C4" s="496"/>
      <c r="D4" s="496"/>
      <c r="E4" s="496"/>
      <c r="F4" s="497" t="s">
        <v>7</v>
      </c>
      <c r="G4" s="498"/>
      <c r="H4" s="497" t="s">
        <v>8</v>
      </c>
      <c r="I4" s="498"/>
      <c r="J4" s="497" t="s">
        <v>9</v>
      </c>
      <c r="K4" s="498"/>
      <c r="L4" s="497" t="s">
        <v>10</v>
      </c>
      <c r="M4" s="498"/>
      <c r="N4" s="497" t="s">
        <v>11</v>
      </c>
      <c r="O4" s="498"/>
      <c r="P4" s="499" t="s">
        <v>12</v>
      </c>
      <c r="Q4" s="499" t="s">
        <v>13</v>
      </c>
      <c r="R4" s="500" t="s">
        <v>12</v>
      </c>
      <c r="S4" s="501" t="s">
        <v>13</v>
      </c>
      <c r="T4" s="497" t="s">
        <v>14</v>
      </c>
      <c r="U4" s="502"/>
      <c r="V4" s="497" t="s">
        <v>15</v>
      </c>
      <c r="W4" s="502"/>
      <c r="X4" s="497" t="s">
        <v>8</v>
      </c>
      <c r="Y4" s="498"/>
      <c r="Z4" s="497" t="s">
        <v>9</v>
      </c>
      <c r="AA4" s="498"/>
      <c r="AB4" s="497" t="s">
        <v>10</v>
      </c>
      <c r="AC4" s="498"/>
      <c r="AD4" s="497" t="s">
        <v>11</v>
      </c>
      <c r="AE4" s="498"/>
      <c r="AF4" s="499" t="s">
        <v>12</v>
      </c>
      <c r="AG4" s="499" t="s">
        <v>13</v>
      </c>
      <c r="AH4" s="500" t="s">
        <v>12</v>
      </c>
      <c r="AI4" s="501" t="s">
        <v>13</v>
      </c>
      <c r="AJ4" s="497" t="s">
        <v>14</v>
      </c>
      <c r="AK4" s="502"/>
      <c r="AL4" s="497" t="s">
        <v>15</v>
      </c>
      <c r="AM4" s="502"/>
      <c r="AN4" s="497" t="s">
        <v>8</v>
      </c>
      <c r="AO4" s="498"/>
      <c r="AP4" s="497" t="s">
        <v>9</v>
      </c>
      <c r="AQ4" s="498"/>
      <c r="AR4" s="497" t="s">
        <v>10</v>
      </c>
      <c r="AS4" s="498"/>
      <c r="AT4" s="497" t="s">
        <v>11</v>
      </c>
      <c r="AU4" s="498"/>
      <c r="AV4" s="499" t="s">
        <v>12</v>
      </c>
      <c r="AW4" s="499" t="s">
        <v>13</v>
      </c>
      <c r="AX4" s="500" t="s">
        <v>12</v>
      </c>
      <c r="AY4" s="500" t="s">
        <v>13</v>
      </c>
      <c r="AZ4" s="503" t="s">
        <v>16</v>
      </c>
      <c r="BA4" s="504"/>
    </row>
    <row r="5" spans="1:53" s="23" customFormat="1" ht="25.5" customHeight="1" thickTop="1" thickBot="1">
      <c r="A5" s="547" t="s">
        <v>17</v>
      </c>
      <c r="B5" s="548" t="s">
        <v>18</v>
      </c>
      <c r="C5" s="548" t="s">
        <v>19</v>
      </c>
      <c r="D5" s="547" t="s">
        <v>20</v>
      </c>
      <c r="E5" s="549" t="s">
        <v>21</v>
      </c>
      <c r="F5" s="550">
        <v>2018</v>
      </c>
      <c r="G5" s="551">
        <v>2019</v>
      </c>
      <c r="H5" s="550">
        <v>2018</v>
      </c>
      <c r="I5" s="551">
        <v>2019</v>
      </c>
      <c r="J5" s="550">
        <v>2018</v>
      </c>
      <c r="K5" s="551">
        <v>2019</v>
      </c>
      <c r="L5" s="550">
        <v>2018</v>
      </c>
      <c r="M5" s="551">
        <v>2019</v>
      </c>
      <c r="N5" s="550">
        <v>2018</v>
      </c>
      <c r="O5" s="551">
        <v>2019</v>
      </c>
      <c r="P5" s="552">
        <v>2018</v>
      </c>
      <c r="Q5" s="553">
        <v>2018</v>
      </c>
      <c r="R5" s="554">
        <v>2019</v>
      </c>
      <c r="S5" s="555">
        <v>2019</v>
      </c>
      <c r="T5" s="550">
        <v>2018</v>
      </c>
      <c r="U5" s="551">
        <v>2019</v>
      </c>
      <c r="V5" s="552">
        <v>2018</v>
      </c>
      <c r="W5" s="556">
        <v>2019</v>
      </c>
      <c r="X5" s="550">
        <v>2018</v>
      </c>
      <c r="Y5" s="551">
        <v>2019</v>
      </c>
      <c r="Z5" s="550">
        <v>2018</v>
      </c>
      <c r="AA5" s="551">
        <v>2019</v>
      </c>
      <c r="AB5" s="550">
        <v>2018</v>
      </c>
      <c r="AC5" s="551">
        <v>2019</v>
      </c>
      <c r="AD5" s="550">
        <v>2018</v>
      </c>
      <c r="AE5" s="551">
        <v>2019</v>
      </c>
      <c r="AF5" s="552">
        <v>2018</v>
      </c>
      <c r="AG5" s="553">
        <v>2018</v>
      </c>
      <c r="AH5" s="554">
        <v>2019</v>
      </c>
      <c r="AI5" s="554">
        <v>2019</v>
      </c>
      <c r="AJ5" s="550">
        <v>2018</v>
      </c>
      <c r="AK5" s="551">
        <v>2019</v>
      </c>
      <c r="AL5" s="553">
        <v>2018</v>
      </c>
      <c r="AM5" s="555">
        <v>2019</v>
      </c>
      <c r="AN5" s="550">
        <v>2018</v>
      </c>
      <c r="AO5" s="551">
        <v>2019</v>
      </c>
      <c r="AP5" s="550">
        <v>2018</v>
      </c>
      <c r="AQ5" s="551">
        <v>2019</v>
      </c>
      <c r="AR5" s="550">
        <v>2018</v>
      </c>
      <c r="AS5" s="551">
        <v>2019</v>
      </c>
      <c r="AT5" s="550">
        <v>2018</v>
      </c>
      <c r="AU5" s="551">
        <v>2019</v>
      </c>
      <c r="AV5" s="552">
        <v>2018</v>
      </c>
      <c r="AW5" s="552">
        <v>2018</v>
      </c>
      <c r="AX5" s="554">
        <v>2019</v>
      </c>
      <c r="AY5" s="557">
        <v>2019</v>
      </c>
      <c r="AZ5" s="558">
        <v>2018</v>
      </c>
      <c r="BA5" s="554">
        <v>2019</v>
      </c>
    </row>
    <row r="6" spans="1:53" s="511" customFormat="1" ht="35.25" customHeight="1" thickTop="1">
      <c r="A6" s="505" t="s">
        <v>17</v>
      </c>
      <c r="B6" s="505" t="s">
        <v>18</v>
      </c>
      <c r="C6" s="505" t="s">
        <v>22</v>
      </c>
      <c r="D6" s="506" t="s">
        <v>23</v>
      </c>
      <c r="E6" s="507" t="s">
        <v>21</v>
      </c>
      <c r="F6" s="508" t="s">
        <v>24</v>
      </c>
      <c r="G6" s="508" t="s">
        <v>25</v>
      </c>
      <c r="H6" s="508" t="s">
        <v>26</v>
      </c>
      <c r="I6" s="508" t="s">
        <v>27</v>
      </c>
      <c r="J6" s="508" t="s">
        <v>28</v>
      </c>
      <c r="K6" s="508" t="s">
        <v>29</v>
      </c>
      <c r="L6" s="508" t="s">
        <v>30</v>
      </c>
      <c r="M6" s="508" t="s">
        <v>31</v>
      </c>
      <c r="N6" s="508" t="s">
        <v>32</v>
      </c>
      <c r="O6" s="508" t="s">
        <v>33</v>
      </c>
      <c r="P6" s="508" t="s">
        <v>34</v>
      </c>
      <c r="Q6" s="508" t="s">
        <v>35</v>
      </c>
      <c r="R6" s="508" t="s">
        <v>36</v>
      </c>
      <c r="S6" s="508" t="s">
        <v>37</v>
      </c>
      <c r="T6" s="508" t="s">
        <v>38</v>
      </c>
      <c r="U6" s="508" t="s">
        <v>39</v>
      </c>
      <c r="V6" s="508" t="s">
        <v>40</v>
      </c>
      <c r="W6" s="508" t="s">
        <v>41</v>
      </c>
      <c r="X6" s="508" t="s">
        <v>42</v>
      </c>
      <c r="Y6" s="508" t="s">
        <v>43</v>
      </c>
      <c r="Z6" s="508" t="s">
        <v>44</v>
      </c>
      <c r="AA6" s="508" t="s">
        <v>45</v>
      </c>
      <c r="AB6" s="508" t="s">
        <v>46</v>
      </c>
      <c r="AC6" s="508" t="s">
        <v>47</v>
      </c>
      <c r="AD6" s="508" t="s">
        <v>48</v>
      </c>
      <c r="AE6" s="508" t="s">
        <v>49</v>
      </c>
      <c r="AF6" s="505" t="s">
        <v>50</v>
      </c>
      <c r="AG6" s="505" t="s">
        <v>51</v>
      </c>
      <c r="AH6" s="508" t="s">
        <v>52</v>
      </c>
      <c r="AI6" s="508" t="s">
        <v>53</v>
      </c>
      <c r="AJ6" s="508" t="s">
        <v>54</v>
      </c>
      <c r="AK6" s="508" t="s">
        <v>55</v>
      </c>
      <c r="AL6" s="508" t="s">
        <v>56</v>
      </c>
      <c r="AM6" s="508" t="s">
        <v>57</v>
      </c>
      <c r="AN6" s="508" t="s">
        <v>58</v>
      </c>
      <c r="AO6" s="508" t="s">
        <v>59</v>
      </c>
      <c r="AP6" s="508" t="s">
        <v>60</v>
      </c>
      <c r="AQ6" s="509" t="s">
        <v>61</v>
      </c>
      <c r="AR6" s="508" t="s">
        <v>62</v>
      </c>
      <c r="AS6" s="509" t="s">
        <v>63</v>
      </c>
      <c r="AT6" s="508" t="s">
        <v>64</v>
      </c>
      <c r="AU6" s="509" t="s">
        <v>65</v>
      </c>
      <c r="AV6" s="508" t="s">
        <v>66</v>
      </c>
      <c r="AW6" s="508" t="s">
        <v>67</v>
      </c>
      <c r="AX6" s="508" t="s">
        <v>68</v>
      </c>
      <c r="AY6" s="508" t="s">
        <v>69</v>
      </c>
      <c r="AZ6" s="510" t="s">
        <v>70</v>
      </c>
      <c r="BA6" s="507" t="s">
        <v>71</v>
      </c>
    </row>
    <row r="7" spans="1:53" s="479" customFormat="1" ht="13.5" customHeight="1">
      <c r="A7" s="16" t="s">
        <v>72</v>
      </c>
      <c r="B7" s="17" t="s">
        <v>73</v>
      </c>
      <c r="C7" s="18"/>
      <c r="D7" s="19">
        <v>100858</v>
      </c>
      <c r="E7" s="19">
        <v>1</v>
      </c>
      <c r="F7" s="410"/>
      <c r="G7" s="411"/>
      <c r="H7" s="410"/>
      <c r="I7" s="411"/>
      <c r="J7" s="410">
        <v>316030</v>
      </c>
      <c r="K7" s="411">
        <v>323849</v>
      </c>
      <c r="L7" s="410">
        <v>63796</v>
      </c>
      <c r="M7" s="411">
        <v>60899</v>
      </c>
      <c r="N7" s="410">
        <v>346160</v>
      </c>
      <c r="O7" s="411">
        <v>349196</v>
      </c>
      <c r="P7" s="412">
        <f t="shared" ref="P7:P70" si="0">SUM(H7,J7,L7,N7)</f>
        <v>725986</v>
      </c>
      <c r="Q7" s="412">
        <f t="shared" ref="Q7:Q70" si="1">+P7/30</f>
        <v>24199.533333333333</v>
      </c>
      <c r="R7" s="413">
        <f t="shared" ref="R7:R70" si="2">SUM(I7,K7,M7,O7)</f>
        <v>733944</v>
      </c>
      <c r="S7" s="413">
        <f t="shared" ref="S7:S70" si="3">+R7/30</f>
        <v>24464.799999999999</v>
      </c>
      <c r="T7" s="410">
        <v>109</v>
      </c>
      <c r="U7" s="411">
        <v>1584</v>
      </c>
      <c r="V7" s="412">
        <f t="shared" ref="V7:V70" si="4">IF(ISBLANK(T7),0,P7)</f>
        <v>725986</v>
      </c>
      <c r="W7" s="413">
        <f t="shared" ref="W7:W70" si="5">IF(ISBLANK(U7),0,R7)</f>
        <v>733944</v>
      </c>
      <c r="X7" s="410"/>
      <c r="Y7" s="411"/>
      <c r="Z7" s="410"/>
      <c r="AA7" s="411"/>
      <c r="AB7" s="410"/>
      <c r="AC7" s="411"/>
      <c r="AD7" s="410"/>
      <c r="AE7" s="411"/>
      <c r="AF7" s="412">
        <f t="shared" ref="AF7:AF70" si="6">SUM(X7,Z7,AB7,AD7)</f>
        <v>0</v>
      </c>
      <c r="AG7" s="412">
        <f t="shared" ref="AG7:AG70" si="7">+AF7/900</f>
        <v>0</v>
      </c>
      <c r="AH7" s="413">
        <f t="shared" ref="AH7:AH70" si="8">SUM(Y7,AA7,AC7,AE7)</f>
        <v>0</v>
      </c>
      <c r="AI7" s="413">
        <f t="shared" ref="AI7:AI70" si="9">+AH7/900</f>
        <v>0</v>
      </c>
      <c r="AJ7" s="410"/>
      <c r="AK7" s="411"/>
      <c r="AL7" s="412">
        <f t="shared" ref="AL7:AL70" si="10">IF(ISBLANK(AJ7),0,AF7)</f>
        <v>0</v>
      </c>
      <c r="AM7" s="413">
        <f t="shared" ref="AM7:AM70" si="11">IF(ISBLANK(AK7),0,AH7)</f>
        <v>0</v>
      </c>
      <c r="AN7" s="410"/>
      <c r="AO7" s="411"/>
      <c r="AP7" s="410">
        <v>41468</v>
      </c>
      <c r="AQ7" s="411">
        <v>41979</v>
      </c>
      <c r="AR7" s="410">
        <v>22767</v>
      </c>
      <c r="AS7" s="411">
        <v>21839</v>
      </c>
      <c r="AT7" s="410">
        <v>44780</v>
      </c>
      <c r="AU7" s="411">
        <v>45709</v>
      </c>
      <c r="AV7" s="412">
        <f t="shared" ref="AV7:AV70" si="12">SUM(AN7,AP7,AR7,AT7)</f>
        <v>109015</v>
      </c>
      <c r="AW7" s="412">
        <f t="shared" ref="AW7:AW70" si="13">+AV7/24</f>
        <v>4542.291666666667</v>
      </c>
      <c r="AX7" s="413">
        <f t="shared" ref="AX7:AX70" si="14">SUM(AO7,AQ7,AS7,AU7)</f>
        <v>109527</v>
      </c>
      <c r="AY7" s="413">
        <f t="shared" ref="AY7:AY70" si="15">+AX7/24</f>
        <v>4563.625</v>
      </c>
      <c r="AZ7" s="412">
        <f t="shared" ref="AZ7:AZ70" si="16">SUM(Q7,AG7,AW7)</f>
        <v>28741.825000000001</v>
      </c>
      <c r="BA7" s="413">
        <f t="shared" ref="BA7:BA70" si="17">SUM(S7,AI7,AY7)</f>
        <v>29028.424999999999</v>
      </c>
    </row>
    <row r="8" spans="1:53">
      <c r="A8" s="16" t="s">
        <v>72</v>
      </c>
      <c r="B8" s="17" t="s">
        <v>75</v>
      </c>
      <c r="C8" s="18"/>
      <c r="D8" s="19">
        <v>100751</v>
      </c>
      <c r="E8" s="19">
        <v>1</v>
      </c>
      <c r="F8" s="410"/>
      <c r="G8" s="411"/>
      <c r="H8" s="410"/>
      <c r="I8" s="411"/>
      <c r="J8" s="410">
        <v>421165</v>
      </c>
      <c r="K8" s="411">
        <v>413606</v>
      </c>
      <c r="L8" s="410">
        <v>64931</v>
      </c>
      <c r="M8" s="411">
        <v>65592</v>
      </c>
      <c r="N8" s="410">
        <v>449053</v>
      </c>
      <c r="O8" s="411">
        <v>441293</v>
      </c>
      <c r="P8" s="412">
        <f t="shared" si="0"/>
        <v>935149</v>
      </c>
      <c r="Q8" s="412">
        <f t="shared" si="1"/>
        <v>31171.633333333335</v>
      </c>
      <c r="R8" s="413">
        <f t="shared" si="2"/>
        <v>920491</v>
      </c>
      <c r="S8" s="413">
        <f t="shared" si="3"/>
        <v>30683.033333333333</v>
      </c>
      <c r="T8" s="410">
        <v>6158</v>
      </c>
      <c r="U8" s="411">
        <v>7528</v>
      </c>
      <c r="V8" s="412">
        <f t="shared" si="4"/>
        <v>935149</v>
      </c>
      <c r="W8" s="413">
        <f t="shared" si="5"/>
        <v>920491</v>
      </c>
      <c r="X8" s="410"/>
      <c r="Y8" s="411"/>
      <c r="Z8" s="410"/>
      <c r="AA8" s="411"/>
      <c r="AB8" s="410"/>
      <c r="AC8" s="411"/>
      <c r="AD8" s="410"/>
      <c r="AE8" s="411"/>
      <c r="AF8" s="412">
        <f t="shared" si="6"/>
        <v>0</v>
      </c>
      <c r="AG8" s="412">
        <f t="shared" si="7"/>
        <v>0</v>
      </c>
      <c r="AH8" s="413">
        <f t="shared" si="8"/>
        <v>0</v>
      </c>
      <c r="AI8" s="413">
        <f t="shared" si="9"/>
        <v>0</v>
      </c>
      <c r="AJ8" s="410"/>
      <c r="AK8" s="411"/>
      <c r="AL8" s="412">
        <f t="shared" si="10"/>
        <v>0</v>
      </c>
      <c r="AM8" s="413">
        <f t="shared" si="11"/>
        <v>0</v>
      </c>
      <c r="AN8" s="410"/>
      <c r="AO8" s="411"/>
      <c r="AP8" s="410">
        <v>42310</v>
      </c>
      <c r="AQ8" s="411">
        <v>44652</v>
      </c>
      <c r="AR8" s="410">
        <v>11904</v>
      </c>
      <c r="AS8" s="411">
        <v>10963</v>
      </c>
      <c r="AT8" s="410">
        <v>45306</v>
      </c>
      <c r="AU8" s="411">
        <v>44079</v>
      </c>
      <c r="AV8" s="412">
        <f t="shared" si="12"/>
        <v>99520</v>
      </c>
      <c r="AW8" s="412">
        <f t="shared" si="13"/>
        <v>4146.666666666667</v>
      </c>
      <c r="AX8" s="413">
        <f t="shared" si="14"/>
        <v>99694</v>
      </c>
      <c r="AY8" s="413">
        <f t="shared" si="15"/>
        <v>4153.916666666667</v>
      </c>
      <c r="AZ8" s="412">
        <f t="shared" si="16"/>
        <v>35318.300000000003</v>
      </c>
      <c r="BA8" s="413">
        <f t="shared" si="17"/>
        <v>34836.949999999997</v>
      </c>
    </row>
    <row r="9" spans="1:53">
      <c r="A9" s="16" t="s">
        <v>72</v>
      </c>
      <c r="B9" s="17" t="s">
        <v>76</v>
      </c>
      <c r="C9" s="22"/>
      <c r="D9" s="19">
        <v>100663</v>
      </c>
      <c r="E9" s="19">
        <v>1</v>
      </c>
      <c r="F9" s="410"/>
      <c r="G9" s="411"/>
      <c r="H9" s="410"/>
      <c r="I9" s="411"/>
      <c r="J9" s="410">
        <v>133490</v>
      </c>
      <c r="K9" s="411">
        <v>134602</v>
      </c>
      <c r="L9" s="410">
        <v>33478</v>
      </c>
      <c r="M9" s="411">
        <v>34186</v>
      </c>
      <c r="N9" s="410">
        <v>148941</v>
      </c>
      <c r="O9" s="411">
        <v>150218</v>
      </c>
      <c r="P9" s="412">
        <f t="shared" si="0"/>
        <v>315909</v>
      </c>
      <c r="Q9" s="412">
        <f t="shared" si="1"/>
        <v>10530.3</v>
      </c>
      <c r="R9" s="413">
        <f t="shared" si="2"/>
        <v>319006</v>
      </c>
      <c r="S9" s="413">
        <f t="shared" si="3"/>
        <v>10633.533333333333</v>
      </c>
      <c r="T9" s="410">
        <v>2561</v>
      </c>
      <c r="U9" s="411">
        <v>2230</v>
      </c>
      <c r="V9" s="412">
        <f t="shared" si="4"/>
        <v>315909</v>
      </c>
      <c r="W9" s="413">
        <f t="shared" si="5"/>
        <v>319006</v>
      </c>
      <c r="X9" s="410"/>
      <c r="Y9" s="411"/>
      <c r="Z9" s="410"/>
      <c r="AA9" s="411"/>
      <c r="AB9" s="410"/>
      <c r="AC9" s="411"/>
      <c r="AD9" s="410"/>
      <c r="AE9" s="411"/>
      <c r="AF9" s="412">
        <f t="shared" si="6"/>
        <v>0</v>
      </c>
      <c r="AG9" s="412">
        <f t="shared" si="7"/>
        <v>0</v>
      </c>
      <c r="AH9" s="413">
        <f t="shared" si="8"/>
        <v>0</v>
      </c>
      <c r="AI9" s="413">
        <f t="shared" si="9"/>
        <v>0</v>
      </c>
      <c r="AJ9" s="410"/>
      <c r="AK9" s="411"/>
      <c r="AL9" s="412">
        <f t="shared" si="10"/>
        <v>0</v>
      </c>
      <c r="AM9" s="413">
        <f t="shared" si="11"/>
        <v>0</v>
      </c>
      <c r="AN9" s="410"/>
      <c r="AO9" s="411"/>
      <c r="AP9" s="410">
        <v>20252</v>
      </c>
      <c r="AQ9" s="411">
        <v>20948</v>
      </c>
      <c r="AR9" s="410">
        <v>13459</v>
      </c>
      <c r="AS9" s="411">
        <v>14069</v>
      </c>
      <c r="AT9" s="410">
        <v>21498</v>
      </c>
      <c r="AU9" s="411">
        <v>21528</v>
      </c>
      <c r="AV9" s="412">
        <f t="shared" si="12"/>
        <v>55209</v>
      </c>
      <c r="AW9" s="412">
        <f t="shared" si="13"/>
        <v>2300.375</v>
      </c>
      <c r="AX9" s="413">
        <f t="shared" si="14"/>
        <v>56545</v>
      </c>
      <c r="AY9" s="413">
        <f t="shared" si="15"/>
        <v>2356.0416666666665</v>
      </c>
      <c r="AZ9" s="412">
        <f t="shared" si="16"/>
        <v>12830.674999999999</v>
      </c>
      <c r="BA9" s="413">
        <f t="shared" si="17"/>
        <v>12989.574999999999</v>
      </c>
    </row>
    <row r="10" spans="1:53">
      <c r="A10" s="16" t="s">
        <v>72</v>
      </c>
      <c r="B10" s="17" t="s">
        <v>77</v>
      </c>
      <c r="C10" s="20" t="s">
        <v>915</v>
      </c>
      <c r="D10" s="19">
        <v>100706</v>
      </c>
      <c r="E10" s="19">
        <v>2</v>
      </c>
      <c r="F10" s="410"/>
      <c r="G10" s="411"/>
      <c r="H10" s="410"/>
      <c r="I10" s="411"/>
      <c r="J10" s="410">
        <v>86327</v>
      </c>
      <c r="K10" s="411">
        <v>94761</v>
      </c>
      <c r="L10" s="410">
        <v>14806</v>
      </c>
      <c r="M10" s="411">
        <v>15562</v>
      </c>
      <c r="N10" s="410">
        <v>101080</v>
      </c>
      <c r="O10" s="411">
        <v>106168</v>
      </c>
      <c r="P10" s="412">
        <f t="shared" si="0"/>
        <v>202213</v>
      </c>
      <c r="Q10" s="412">
        <f t="shared" si="1"/>
        <v>6740.4333333333334</v>
      </c>
      <c r="R10" s="413">
        <f t="shared" si="2"/>
        <v>216491</v>
      </c>
      <c r="S10" s="413">
        <f t="shared" si="3"/>
        <v>7216.3666666666668</v>
      </c>
      <c r="T10" s="410">
        <v>1284</v>
      </c>
      <c r="U10" s="411">
        <v>1631</v>
      </c>
      <c r="V10" s="412">
        <f t="shared" si="4"/>
        <v>202213</v>
      </c>
      <c r="W10" s="413">
        <f t="shared" si="5"/>
        <v>216491</v>
      </c>
      <c r="X10" s="410"/>
      <c r="Y10" s="411"/>
      <c r="Z10" s="410"/>
      <c r="AA10" s="411"/>
      <c r="AB10" s="410"/>
      <c r="AC10" s="411"/>
      <c r="AD10" s="410"/>
      <c r="AE10" s="411"/>
      <c r="AF10" s="412">
        <f t="shared" si="6"/>
        <v>0</v>
      </c>
      <c r="AG10" s="412">
        <f t="shared" si="7"/>
        <v>0</v>
      </c>
      <c r="AH10" s="413">
        <f t="shared" si="8"/>
        <v>0</v>
      </c>
      <c r="AI10" s="413">
        <f t="shared" si="9"/>
        <v>0</v>
      </c>
      <c r="AJ10" s="410"/>
      <c r="AK10" s="411"/>
      <c r="AL10" s="412">
        <f t="shared" si="10"/>
        <v>0</v>
      </c>
      <c r="AM10" s="413">
        <f t="shared" si="11"/>
        <v>0</v>
      </c>
      <c r="AN10" s="410"/>
      <c r="AO10" s="411"/>
      <c r="AP10" s="410">
        <v>12186</v>
      </c>
      <c r="AQ10" s="411">
        <v>12417</v>
      </c>
      <c r="AR10" s="410">
        <v>5677</v>
      </c>
      <c r="AS10" s="411">
        <v>6042</v>
      </c>
      <c r="AT10" s="410">
        <v>13764</v>
      </c>
      <c r="AU10" s="411">
        <v>12801</v>
      </c>
      <c r="AV10" s="412">
        <f t="shared" si="12"/>
        <v>31627</v>
      </c>
      <c r="AW10" s="412">
        <f t="shared" si="13"/>
        <v>1317.7916666666667</v>
      </c>
      <c r="AX10" s="413">
        <f t="shared" si="14"/>
        <v>31260</v>
      </c>
      <c r="AY10" s="413">
        <f t="shared" si="15"/>
        <v>1302.5</v>
      </c>
      <c r="AZ10" s="412">
        <f t="shared" si="16"/>
        <v>8058.2250000000004</v>
      </c>
      <c r="BA10" s="413">
        <f t="shared" si="17"/>
        <v>8518.8666666666668</v>
      </c>
    </row>
    <row r="11" spans="1:53">
      <c r="A11" s="16" t="s">
        <v>72</v>
      </c>
      <c r="B11" s="17" t="s">
        <v>81</v>
      </c>
      <c r="C11" s="41"/>
      <c r="D11" s="19">
        <v>102094</v>
      </c>
      <c r="E11" s="19">
        <v>2</v>
      </c>
      <c r="F11" s="410"/>
      <c r="G11" s="411"/>
      <c r="H11" s="410"/>
      <c r="I11" s="411"/>
      <c r="J11" s="410">
        <v>116965</v>
      </c>
      <c r="K11" s="411">
        <v>111754</v>
      </c>
      <c r="L11" s="410">
        <v>22860</v>
      </c>
      <c r="M11" s="411">
        <v>21011</v>
      </c>
      <c r="N11" s="410">
        <v>124921</v>
      </c>
      <c r="O11" s="411">
        <v>115544</v>
      </c>
      <c r="P11" s="412">
        <f t="shared" si="0"/>
        <v>264746</v>
      </c>
      <c r="Q11" s="412">
        <f t="shared" si="1"/>
        <v>8824.8666666666668</v>
      </c>
      <c r="R11" s="413">
        <f t="shared" si="2"/>
        <v>248309</v>
      </c>
      <c r="S11" s="413">
        <f t="shared" si="3"/>
        <v>8276.9666666666672</v>
      </c>
      <c r="T11" s="410">
        <v>398</v>
      </c>
      <c r="U11" s="411">
        <v>434</v>
      </c>
      <c r="V11" s="412">
        <f t="shared" si="4"/>
        <v>264746</v>
      </c>
      <c r="W11" s="413">
        <f t="shared" si="5"/>
        <v>248309</v>
      </c>
      <c r="X11" s="410"/>
      <c r="Y11" s="411"/>
      <c r="Z11" s="410"/>
      <c r="AA11" s="411"/>
      <c r="AB11" s="410"/>
      <c r="AC11" s="411"/>
      <c r="AD11" s="410"/>
      <c r="AE11" s="411"/>
      <c r="AF11" s="412">
        <f t="shared" si="6"/>
        <v>0</v>
      </c>
      <c r="AG11" s="412">
        <f t="shared" si="7"/>
        <v>0</v>
      </c>
      <c r="AH11" s="413">
        <f t="shared" si="8"/>
        <v>0</v>
      </c>
      <c r="AI11" s="413">
        <f t="shared" si="9"/>
        <v>0</v>
      </c>
      <c r="AJ11" s="410"/>
      <c r="AK11" s="411"/>
      <c r="AL11" s="412">
        <f t="shared" si="10"/>
        <v>0</v>
      </c>
      <c r="AM11" s="413">
        <f t="shared" si="11"/>
        <v>0</v>
      </c>
      <c r="AN11" s="410"/>
      <c r="AO11" s="411"/>
      <c r="AP11" s="410">
        <v>6376</v>
      </c>
      <c r="AQ11" s="411">
        <v>6374</v>
      </c>
      <c r="AR11" s="410">
        <v>3586</v>
      </c>
      <c r="AS11" s="411">
        <v>3855</v>
      </c>
      <c r="AT11" s="410">
        <v>6458</v>
      </c>
      <c r="AU11" s="411">
        <v>7125</v>
      </c>
      <c r="AV11" s="412">
        <f t="shared" si="12"/>
        <v>16420</v>
      </c>
      <c r="AW11" s="412">
        <f t="shared" si="13"/>
        <v>684.16666666666663</v>
      </c>
      <c r="AX11" s="413">
        <f t="shared" si="14"/>
        <v>17354</v>
      </c>
      <c r="AY11" s="413">
        <f t="shared" si="15"/>
        <v>723.08333333333337</v>
      </c>
      <c r="AZ11" s="412">
        <f t="shared" si="16"/>
        <v>9509.0333333333328</v>
      </c>
      <c r="BA11" s="413">
        <f t="shared" si="17"/>
        <v>9000.0500000000011</v>
      </c>
    </row>
    <row r="12" spans="1:53">
      <c r="A12" s="16" t="s">
        <v>72</v>
      </c>
      <c r="B12" s="17" t="s">
        <v>78</v>
      </c>
      <c r="C12" s="18"/>
      <c r="D12" s="19">
        <v>100654</v>
      </c>
      <c r="E12" s="19">
        <v>3</v>
      </c>
      <c r="F12" s="410"/>
      <c r="G12" s="411"/>
      <c r="H12" s="410"/>
      <c r="I12" s="411"/>
      <c r="J12" s="410">
        <v>65976</v>
      </c>
      <c r="K12" s="411">
        <v>68607</v>
      </c>
      <c r="L12" s="410">
        <v>6456</v>
      </c>
      <c r="M12" s="411">
        <v>7195</v>
      </c>
      <c r="N12" s="410">
        <v>79086</v>
      </c>
      <c r="O12" s="411">
        <v>88642</v>
      </c>
      <c r="P12" s="412">
        <f t="shared" si="0"/>
        <v>151518</v>
      </c>
      <c r="Q12" s="412">
        <f t="shared" si="1"/>
        <v>5050.6000000000004</v>
      </c>
      <c r="R12" s="413">
        <f t="shared" si="2"/>
        <v>164444</v>
      </c>
      <c r="S12" s="413">
        <f t="shared" si="3"/>
        <v>5481.4666666666662</v>
      </c>
      <c r="T12" s="410">
        <v>0</v>
      </c>
      <c r="U12" s="411">
        <v>0</v>
      </c>
      <c r="V12" s="412">
        <f t="shared" si="4"/>
        <v>151518</v>
      </c>
      <c r="W12" s="413">
        <f t="shared" si="5"/>
        <v>164444</v>
      </c>
      <c r="X12" s="410"/>
      <c r="Y12" s="411"/>
      <c r="Z12" s="410"/>
      <c r="AA12" s="411"/>
      <c r="AB12" s="410"/>
      <c r="AC12" s="411"/>
      <c r="AD12" s="410"/>
      <c r="AE12" s="411"/>
      <c r="AF12" s="412">
        <f t="shared" si="6"/>
        <v>0</v>
      </c>
      <c r="AG12" s="412">
        <f t="shared" si="7"/>
        <v>0</v>
      </c>
      <c r="AH12" s="413">
        <f t="shared" si="8"/>
        <v>0</v>
      </c>
      <c r="AI12" s="413">
        <f t="shared" si="9"/>
        <v>0</v>
      </c>
      <c r="AJ12" s="410"/>
      <c r="AK12" s="411"/>
      <c r="AL12" s="412">
        <f t="shared" si="10"/>
        <v>0</v>
      </c>
      <c r="AM12" s="413">
        <f t="shared" si="11"/>
        <v>0</v>
      </c>
      <c r="AN12" s="410"/>
      <c r="AO12" s="411"/>
      <c r="AP12" s="410">
        <v>7267</v>
      </c>
      <c r="AQ12" s="411">
        <v>7667</v>
      </c>
      <c r="AR12" s="410">
        <v>3237</v>
      </c>
      <c r="AS12" s="411">
        <v>3176</v>
      </c>
      <c r="AT12" s="410">
        <v>7882</v>
      </c>
      <c r="AU12" s="411">
        <v>8546</v>
      </c>
      <c r="AV12" s="412">
        <f t="shared" si="12"/>
        <v>18386</v>
      </c>
      <c r="AW12" s="412">
        <f t="shared" si="13"/>
        <v>766.08333333333337</v>
      </c>
      <c r="AX12" s="413">
        <f t="shared" si="14"/>
        <v>19389</v>
      </c>
      <c r="AY12" s="413">
        <f t="shared" si="15"/>
        <v>807.875</v>
      </c>
      <c r="AZ12" s="412">
        <f t="shared" si="16"/>
        <v>5816.6833333333334</v>
      </c>
      <c r="BA12" s="413">
        <f t="shared" si="17"/>
        <v>6289.3416666666662</v>
      </c>
    </row>
    <row r="13" spans="1:53">
      <c r="A13" s="16" t="s">
        <v>72</v>
      </c>
      <c r="B13" s="17" t="s">
        <v>79</v>
      </c>
      <c r="C13" s="18"/>
      <c r="D13" s="19">
        <v>101480</v>
      </c>
      <c r="E13" s="19">
        <v>3</v>
      </c>
      <c r="F13" s="410"/>
      <c r="G13" s="411"/>
      <c r="H13" s="410"/>
      <c r="I13" s="411"/>
      <c r="J13" s="410">
        <v>80884</v>
      </c>
      <c r="K13" s="411">
        <v>80815</v>
      </c>
      <c r="L13" s="410">
        <v>18071</v>
      </c>
      <c r="M13" s="411">
        <v>21281</v>
      </c>
      <c r="N13" s="410">
        <v>88974</v>
      </c>
      <c r="O13" s="411">
        <v>96239</v>
      </c>
      <c r="P13" s="412">
        <f t="shared" si="0"/>
        <v>187929</v>
      </c>
      <c r="Q13" s="412">
        <f t="shared" si="1"/>
        <v>6264.3</v>
      </c>
      <c r="R13" s="413">
        <f t="shared" si="2"/>
        <v>198335</v>
      </c>
      <c r="S13" s="413">
        <f t="shared" si="3"/>
        <v>6611.166666666667</v>
      </c>
      <c r="T13" s="410">
        <v>5387</v>
      </c>
      <c r="U13" s="411">
        <v>5627</v>
      </c>
      <c r="V13" s="412">
        <f t="shared" si="4"/>
        <v>187929</v>
      </c>
      <c r="W13" s="413">
        <f t="shared" si="5"/>
        <v>198335</v>
      </c>
      <c r="X13" s="410"/>
      <c r="Y13" s="411"/>
      <c r="Z13" s="410"/>
      <c r="AA13" s="411"/>
      <c r="AB13" s="410"/>
      <c r="AC13" s="411"/>
      <c r="AD13" s="410"/>
      <c r="AE13" s="411"/>
      <c r="AF13" s="412">
        <f t="shared" si="6"/>
        <v>0</v>
      </c>
      <c r="AG13" s="412">
        <f t="shared" si="7"/>
        <v>0</v>
      </c>
      <c r="AH13" s="413">
        <f t="shared" si="8"/>
        <v>0</v>
      </c>
      <c r="AI13" s="413">
        <f t="shared" si="9"/>
        <v>0</v>
      </c>
      <c r="AJ13" s="410"/>
      <c r="AK13" s="411"/>
      <c r="AL13" s="412">
        <f t="shared" si="10"/>
        <v>0</v>
      </c>
      <c r="AM13" s="413">
        <f t="shared" si="11"/>
        <v>0</v>
      </c>
      <c r="AN13" s="410"/>
      <c r="AO13" s="411"/>
      <c r="AP13" s="410">
        <v>6399</v>
      </c>
      <c r="AQ13" s="411">
        <v>6990</v>
      </c>
      <c r="AR13" s="410">
        <v>4225</v>
      </c>
      <c r="AS13" s="411">
        <v>4955</v>
      </c>
      <c r="AT13" s="410">
        <v>7394</v>
      </c>
      <c r="AU13" s="411">
        <v>8263</v>
      </c>
      <c r="AV13" s="412">
        <f t="shared" si="12"/>
        <v>18018</v>
      </c>
      <c r="AW13" s="412">
        <f t="shared" si="13"/>
        <v>750.75</v>
      </c>
      <c r="AX13" s="413">
        <f t="shared" si="14"/>
        <v>20208</v>
      </c>
      <c r="AY13" s="413">
        <f t="shared" si="15"/>
        <v>842</v>
      </c>
      <c r="AZ13" s="412">
        <f t="shared" si="16"/>
        <v>7015.05</v>
      </c>
      <c r="BA13" s="413">
        <f t="shared" si="17"/>
        <v>7453.166666666667</v>
      </c>
    </row>
    <row r="14" spans="1:53">
      <c r="A14" s="16" t="s">
        <v>72</v>
      </c>
      <c r="B14" s="17" t="s">
        <v>80</v>
      </c>
      <c r="C14" s="18"/>
      <c r="D14" s="19">
        <v>102368</v>
      </c>
      <c r="E14" s="19">
        <v>3</v>
      </c>
      <c r="F14" s="410"/>
      <c r="G14" s="411"/>
      <c r="H14" s="410"/>
      <c r="I14" s="411"/>
      <c r="J14" s="410">
        <v>125685</v>
      </c>
      <c r="K14" s="411">
        <v>119446</v>
      </c>
      <c r="L14" s="410">
        <v>20453</v>
      </c>
      <c r="M14" s="411">
        <v>21272</v>
      </c>
      <c r="N14" s="410">
        <v>133323</v>
      </c>
      <c r="O14" s="411">
        <v>147936</v>
      </c>
      <c r="P14" s="412">
        <f t="shared" si="0"/>
        <v>279461</v>
      </c>
      <c r="Q14" s="412">
        <f t="shared" si="1"/>
        <v>9315.3666666666668</v>
      </c>
      <c r="R14" s="413">
        <f t="shared" si="2"/>
        <v>288654</v>
      </c>
      <c r="S14" s="413">
        <f t="shared" si="3"/>
        <v>9621.7999999999993</v>
      </c>
      <c r="T14" s="410">
        <v>1836</v>
      </c>
      <c r="U14" s="411">
        <v>2308</v>
      </c>
      <c r="V14" s="412">
        <f t="shared" si="4"/>
        <v>279461</v>
      </c>
      <c r="W14" s="413">
        <f t="shared" si="5"/>
        <v>288654</v>
      </c>
      <c r="X14" s="410"/>
      <c r="Y14" s="411"/>
      <c r="Z14" s="410"/>
      <c r="AA14" s="411"/>
      <c r="AB14" s="410"/>
      <c r="AC14" s="411"/>
      <c r="AD14" s="410"/>
      <c r="AE14" s="411"/>
      <c r="AF14" s="412">
        <f t="shared" si="6"/>
        <v>0</v>
      </c>
      <c r="AG14" s="412">
        <f t="shared" si="7"/>
        <v>0</v>
      </c>
      <c r="AH14" s="413">
        <f t="shared" si="8"/>
        <v>0</v>
      </c>
      <c r="AI14" s="413">
        <f t="shared" si="9"/>
        <v>0</v>
      </c>
      <c r="AJ14" s="410"/>
      <c r="AK14" s="411"/>
      <c r="AL14" s="412">
        <f t="shared" si="10"/>
        <v>0</v>
      </c>
      <c r="AM14" s="413">
        <f t="shared" si="11"/>
        <v>0</v>
      </c>
      <c r="AN14" s="410"/>
      <c r="AO14" s="411"/>
      <c r="AP14" s="410">
        <v>13479</v>
      </c>
      <c r="AQ14" s="411">
        <v>12883</v>
      </c>
      <c r="AR14" s="410">
        <v>5488</v>
      </c>
      <c r="AS14" s="411">
        <v>4957</v>
      </c>
      <c r="AT14" s="410">
        <v>13875</v>
      </c>
      <c r="AU14" s="411">
        <v>19971</v>
      </c>
      <c r="AV14" s="412">
        <f t="shared" si="12"/>
        <v>32842</v>
      </c>
      <c r="AW14" s="412">
        <f t="shared" si="13"/>
        <v>1368.4166666666667</v>
      </c>
      <c r="AX14" s="413">
        <f t="shared" si="14"/>
        <v>37811</v>
      </c>
      <c r="AY14" s="413">
        <f t="shared" si="15"/>
        <v>1575.4583333333333</v>
      </c>
      <c r="AZ14" s="412">
        <f t="shared" si="16"/>
        <v>10683.783333333333</v>
      </c>
      <c r="BA14" s="413">
        <f t="shared" si="17"/>
        <v>11197.258333333333</v>
      </c>
    </row>
    <row r="15" spans="1:53">
      <c r="A15" s="16" t="s">
        <v>72</v>
      </c>
      <c r="B15" s="17" t="s">
        <v>84</v>
      </c>
      <c r="C15" s="22"/>
      <c r="D15" s="19">
        <v>101879</v>
      </c>
      <c r="E15" s="19">
        <v>3</v>
      </c>
      <c r="F15" s="410"/>
      <c r="G15" s="411"/>
      <c r="H15" s="410"/>
      <c r="I15" s="411"/>
      <c r="J15" s="410">
        <v>70298</v>
      </c>
      <c r="K15" s="411">
        <v>71601</v>
      </c>
      <c r="L15" s="410">
        <v>12976</v>
      </c>
      <c r="M15" s="411">
        <v>12740</v>
      </c>
      <c r="N15" s="410">
        <v>78059</v>
      </c>
      <c r="O15" s="411">
        <v>77767</v>
      </c>
      <c r="P15" s="412">
        <f t="shared" si="0"/>
        <v>161333</v>
      </c>
      <c r="Q15" s="412">
        <f t="shared" si="1"/>
        <v>5377.7666666666664</v>
      </c>
      <c r="R15" s="413">
        <f t="shared" si="2"/>
        <v>162108</v>
      </c>
      <c r="S15" s="413">
        <f t="shared" si="3"/>
        <v>5403.6</v>
      </c>
      <c r="T15" s="410">
        <v>1075</v>
      </c>
      <c r="U15" s="411">
        <v>1291</v>
      </c>
      <c r="V15" s="412">
        <f t="shared" si="4"/>
        <v>161333</v>
      </c>
      <c r="W15" s="413">
        <f t="shared" si="5"/>
        <v>162108</v>
      </c>
      <c r="X15" s="410"/>
      <c r="Y15" s="411"/>
      <c r="Z15" s="410"/>
      <c r="AA15" s="411"/>
      <c r="AB15" s="410"/>
      <c r="AC15" s="411"/>
      <c r="AD15" s="410"/>
      <c r="AE15" s="411"/>
      <c r="AF15" s="412">
        <f t="shared" si="6"/>
        <v>0</v>
      </c>
      <c r="AG15" s="412">
        <f t="shared" si="7"/>
        <v>0</v>
      </c>
      <c r="AH15" s="413">
        <f t="shared" si="8"/>
        <v>0</v>
      </c>
      <c r="AI15" s="413">
        <f t="shared" si="9"/>
        <v>0</v>
      </c>
      <c r="AJ15" s="410"/>
      <c r="AK15" s="411"/>
      <c r="AL15" s="412">
        <f t="shared" si="10"/>
        <v>0</v>
      </c>
      <c r="AM15" s="413">
        <f t="shared" si="11"/>
        <v>0</v>
      </c>
      <c r="AN15" s="410"/>
      <c r="AO15" s="411"/>
      <c r="AP15" s="410">
        <v>7362</v>
      </c>
      <c r="AQ15" s="411">
        <v>8714</v>
      </c>
      <c r="AR15" s="410">
        <v>4239</v>
      </c>
      <c r="AS15" s="411">
        <v>4550</v>
      </c>
      <c r="AT15" s="410">
        <v>8225</v>
      </c>
      <c r="AU15" s="411">
        <v>9780</v>
      </c>
      <c r="AV15" s="412">
        <f t="shared" si="12"/>
        <v>19826</v>
      </c>
      <c r="AW15" s="412">
        <f t="shared" si="13"/>
        <v>826.08333333333337</v>
      </c>
      <c r="AX15" s="413">
        <f t="shared" si="14"/>
        <v>23044</v>
      </c>
      <c r="AY15" s="413">
        <f t="shared" si="15"/>
        <v>960.16666666666663</v>
      </c>
      <c r="AZ15" s="412">
        <f t="shared" si="16"/>
        <v>6203.8499999999995</v>
      </c>
      <c r="BA15" s="413">
        <f t="shared" si="17"/>
        <v>6363.7666666666673</v>
      </c>
    </row>
    <row r="16" spans="1:53">
      <c r="A16" s="16" t="s">
        <v>72</v>
      </c>
      <c r="B16" s="17" t="s">
        <v>82</v>
      </c>
      <c r="C16" s="18"/>
      <c r="D16" s="19">
        <v>100724</v>
      </c>
      <c r="E16" s="19">
        <v>4</v>
      </c>
      <c r="F16" s="410"/>
      <c r="G16" s="411"/>
      <c r="H16" s="410"/>
      <c r="I16" s="411"/>
      <c r="J16" s="410">
        <v>53283</v>
      </c>
      <c r="K16" s="411">
        <v>49742</v>
      </c>
      <c r="L16" s="410">
        <v>8799</v>
      </c>
      <c r="M16" s="411">
        <v>7390</v>
      </c>
      <c r="N16" s="410">
        <v>59153</v>
      </c>
      <c r="O16" s="411">
        <v>55146</v>
      </c>
      <c r="P16" s="412">
        <f t="shared" si="0"/>
        <v>121235</v>
      </c>
      <c r="Q16" s="412">
        <f t="shared" si="1"/>
        <v>4041.1666666666665</v>
      </c>
      <c r="R16" s="413">
        <f t="shared" si="2"/>
        <v>112278</v>
      </c>
      <c r="S16" s="413">
        <f t="shared" si="3"/>
        <v>3742.6</v>
      </c>
      <c r="T16" s="410">
        <v>79</v>
      </c>
      <c r="U16" s="411">
        <v>21</v>
      </c>
      <c r="V16" s="412">
        <f t="shared" si="4"/>
        <v>121235</v>
      </c>
      <c r="W16" s="413">
        <f t="shared" si="5"/>
        <v>112278</v>
      </c>
      <c r="X16" s="410"/>
      <c r="Y16" s="411"/>
      <c r="Z16" s="410"/>
      <c r="AA16" s="411"/>
      <c r="AB16" s="410"/>
      <c r="AC16" s="411"/>
      <c r="AD16" s="410"/>
      <c r="AE16" s="411"/>
      <c r="AF16" s="412">
        <f t="shared" si="6"/>
        <v>0</v>
      </c>
      <c r="AG16" s="412">
        <f t="shared" si="7"/>
        <v>0</v>
      </c>
      <c r="AH16" s="413">
        <f t="shared" si="8"/>
        <v>0</v>
      </c>
      <c r="AI16" s="413">
        <f t="shared" si="9"/>
        <v>0</v>
      </c>
      <c r="AJ16" s="410"/>
      <c r="AK16" s="411"/>
      <c r="AL16" s="412">
        <f t="shared" si="10"/>
        <v>0</v>
      </c>
      <c r="AM16" s="413">
        <f t="shared" si="11"/>
        <v>0</v>
      </c>
      <c r="AN16" s="410"/>
      <c r="AO16" s="411"/>
      <c r="AP16" s="410">
        <v>5252</v>
      </c>
      <c r="AQ16" s="411">
        <v>4751</v>
      </c>
      <c r="AR16" s="410">
        <v>2307</v>
      </c>
      <c r="AS16" s="411">
        <v>2031</v>
      </c>
      <c r="AT16" s="410">
        <v>5528</v>
      </c>
      <c r="AU16" s="411">
        <v>5253</v>
      </c>
      <c r="AV16" s="412">
        <f t="shared" si="12"/>
        <v>13087</v>
      </c>
      <c r="AW16" s="412">
        <f t="shared" si="13"/>
        <v>545.29166666666663</v>
      </c>
      <c r="AX16" s="413">
        <f t="shared" si="14"/>
        <v>12035</v>
      </c>
      <c r="AY16" s="413">
        <f t="shared" si="15"/>
        <v>501.45833333333331</v>
      </c>
      <c r="AZ16" s="412">
        <f t="shared" si="16"/>
        <v>4586.458333333333</v>
      </c>
      <c r="BA16" s="413">
        <f t="shared" si="17"/>
        <v>4244.0583333333334</v>
      </c>
    </row>
    <row r="17" spans="1:53">
      <c r="A17" s="16" t="s">
        <v>72</v>
      </c>
      <c r="B17" s="17" t="s">
        <v>83</v>
      </c>
      <c r="C17" s="20" t="s">
        <v>915</v>
      </c>
      <c r="D17" s="19">
        <v>100830</v>
      </c>
      <c r="E17" s="19">
        <v>4</v>
      </c>
      <c r="F17" s="410"/>
      <c r="G17" s="411"/>
      <c r="H17" s="410"/>
      <c r="I17" s="411"/>
      <c r="J17" s="410">
        <v>47951</v>
      </c>
      <c r="K17" s="411">
        <v>50061</v>
      </c>
      <c r="L17" s="410">
        <v>12898</v>
      </c>
      <c r="M17" s="411">
        <v>12963</v>
      </c>
      <c r="N17" s="410">
        <v>55346</v>
      </c>
      <c r="O17" s="411">
        <v>54646</v>
      </c>
      <c r="P17" s="412">
        <f t="shared" si="0"/>
        <v>116195</v>
      </c>
      <c r="Q17" s="412">
        <f t="shared" si="1"/>
        <v>3873.1666666666665</v>
      </c>
      <c r="R17" s="413">
        <f t="shared" si="2"/>
        <v>117670</v>
      </c>
      <c r="S17" s="413">
        <f t="shared" si="3"/>
        <v>3922.3333333333335</v>
      </c>
      <c r="T17" s="410">
        <v>392</v>
      </c>
      <c r="U17" s="411">
        <v>337</v>
      </c>
      <c r="V17" s="412">
        <f t="shared" si="4"/>
        <v>116195</v>
      </c>
      <c r="W17" s="413">
        <f t="shared" si="5"/>
        <v>117670</v>
      </c>
      <c r="X17" s="410"/>
      <c r="Y17" s="411"/>
      <c r="Z17" s="410"/>
      <c r="AA17" s="411"/>
      <c r="AB17" s="410"/>
      <c r="AC17" s="411"/>
      <c r="AD17" s="410"/>
      <c r="AE17" s="411"/>
      <c r="AF17" s="412">
        <f t="shared" si="6"/>
        <v>0</v>
      </c>
      <c r="AG17" s="412">
        <f t="shared" si="7"/>
        <v>0</v>
      </c>
      <c r="AH17" s="413">
        <f t="shared" si="8"/>
        <v>0</v>
      </c>
      <c r="AI17" s="413">
        <f t="shared" si="9"/>
        <v>0</v>
      </c>
      <c r="AJ17" s="410"/>
      <c r="AK17" s="411"/>
      <c r="AL17" s="412">
        <f t="shared" si="10"/>
        <v>0</v>
      </c>
      <c r="AM17" s="413">
        <f t="shared" si="11"/>
        <v>0</v>
      </c>
      <c r="AN17" s="410"/>
      <c r="AO17" s="411"/>
      <c r="AP17" s="410">
        <v>3934</v>
      </c>
      <c r="AQ17" s="411">
        <v>3982</v>
      </c>
      <c r="AR17" s="410">
        <v>1975</v>
      </c>
      <c r="AS17" s="411">
        <v>2353</v>
      </c>
      <c r="AT17" s="410">
        <v>4052</v>
      </c>
      <c r="AU17" s="411">
        <v>4661</v>
      </c>
      <c r="AV17" s="412">
        <f t="shared" si="12"/>
        <v>9961</v>
      </c>
      <c r="AW17" s="412">
        <f t="shared" si="13"/>
        <v>415.04166666666669</v>
      </c>
      <c r="AX17" s="413">
        <f t="shared" si="14"/>
        <v>10996</v>
      </c>
      <c r="AY17" s="413">
        <f t="shared" si="15"/>
        <v>458.16666666666669</v>
      </c>
      <c r="AZ17" s="412">
        <f t="shared" si="16"/>
        <v>4288.208333333333</v>
      </c>
      <c r="BA17" s="413">
        <f t="shared" si="17"/>
        <v>4380.5</v>
      </c>
    </row>
    <row r="18" spans="1:53">
      <c r="A18" s="16" t="s">
        <v>72</v>
      </c>
      <c r="B18" s="17" t="s">
        <v>85</v>
      </c>
      <c r="C18" s="18"/>
      <c r="D18" s="19">
        <v>101709</v>
      </c>
      <c r="E18" s="19">
        <v>5</v>
      </c>
      <c r="F18" s="410"/>
      <c r="G18" s="411"/>
      <c r="H18" s="410"/>
      <c r="I18" s="411"/>
      <c r="J18" s="410">
        <v>28796</v>
      </c>
      <c r="K18" s="411">
        <v>27607</v>
      </c>
      <c r="L18" s="410">
        <v>4263</v>
      </c>
      <c r="M18" s="411">
        <v>3882</v>
      </c>
      <c r="N18" s="410">
        <v>31207</v>
      </c>
      <c r="O18" s="411">
        <v>30446</v>
      </c>
      <c r="P18" s="412">
        <f t="shared" si="0"/>
        <v>64266</v>
      </c>
      <c r="Q18" s="412">
        <f t="shared" si="1"/>
        <v>2142.1999999999998</v>
      </c>
      <c r="R18" s="413">
        <f t="shared" si="2"/>
        <v>61935</v>
      </c>
      <c r="S18" s="413">
        <f t="shared" si="3"/>
        <v>2064.5</v>
      </c>
      <c r="T18" s="410">
        <v>186</v>
      </c>
      <c r="U18" s="411">
        <v>207</v>
      </c>
      <c r="V18" s="412">
        <f t="shared" si="4"/>
        <v>64266</v>
      </c>
      <c r="W18" s="413">
        <f t="shared" si="5"/>
        <v>61935</v>
      </c>
      <c r="X18" s="410"/>
      <c r="Y18" s="411"/>
      <c r="Z18" s="410"/>
      <c r="AA18" s="411"/>
      <c r="AB18" s="410"/>
      <c r="AC18" s="411"/>
      <c r="AD18" s="410"/>
      <c r="AE18" s="411"/>
      <c r="AF18" s="412">
        <f t="shared" si="6"/>
        <v>0</v>
      </c>
      <c r="AG18" s="412">
        <f t="shared" si="7"/>
        <v>0</v>
      </c>
      <c r="AH18" s="413">
        <f t="shared" si="8"/>
        <v>0</v>
      </c>
      <c r="AI18" s="413">
        <f t="shared" si="9"/>
        <v>0</v>
      </c>
      <c r="AJ18" s="410"/>
      <c r="AK18" s="411"/>
      <c r="AL18" s="412">
        <f t="shared" si="10"/>
        <v>0</v>
      </c>
      <c r="AM18" s="413">
        <f t="shared" si="11"/>
        <v>0</v>
      </c>
      <c r="AN18" s="410"/>
      <c r="AO18" s="411"/>
      <c r="AP18" s="410">
        <v>2527</v>
      </c>
      <c r="AQ18" s="411">
        <v>2332</v>
      </c>
      <c r="AR18" s="410">
        <v>1528</v>
      </c>
      <c r="AS18" s="411">
        <v>1293</v>
      </c>
      <c r="AT18" s="410">
        <v>2520</v>
      </c>
      <c r="AU18" s="411">
        <v>2341</v>
      </c>
      <c r="AV18" s="412">
        <f t="shared" si="12"/>
        <v>6575</v>
      </c>
      <c r="AW18" s="412">
        <f t="shared" si="13"/>
        <v>273.95833333333331</v>
      </c>
      <c r="AX18" s="413">
        <f t="shared" si="14"/>
        <v>5966</v>
      </c>
      <c r="AY18" s="413">
        <f t="shared" si="15"/>
        <v>248.58333333333334</v>
      </c>
      <c r="AZ18" s="412">
        <f t="shared" si="16"/>
        <v>2416.1583333333333</v>
      </c>
      <c r="BA18" s="413">
        <f t="shared" si="17"/>
        <v>2313.0833333333335</v>
      </c>
    </row>
    <row r="19" spans="1:53">
      <c r="A19" s="16" t="s">
        <v>72</v>
      </c>
      <c r="B19" s="17" t="s">
        <v>86</v>
      </c>
      <c r="C19" s="20" t="s">
        <v>916</v>
      </c>
      <c r="D19" s="19">
        <v>101587</v>
      </c>
      <c r="E19" s="19">
        <v>5</v>
      </c>
      <c r="F19" s="410"/>
      <c r="G19" s="411"/>
      <c r="H19" s="410"/>
      <c r="I19" s="411"/>
      <c r="J19" s="410">
        <v>26568</v>
      </c>
      <c r="K19" s="411">
        <v>27203</v>
      </c>
      <c r="L19" s="410">
        <v>4740</v>
      </c>
      <c r="M19" s="411">
        <v>6972</v>
      </c>
      <c r="N19" s="410">
        <v>29338</v>
      </c>
      <c r="O19" s="411">
        <v>29281</v>
      </c>
      <c r="P19" s="412">
        <f t="shared" si="0"/>
        <v>60646</v>
      </c>
      <c r="Q19" s="412">
        <f t="shared" si="1"/>
        <v>2021.5333333333333</v>
      </c>
      <c r="R19" s="413">
        <f t="shared" si="2"/>
        <v>63456</v>
      </c>
      <c r="S19" s="413">
        <f t="shared" si="3"/>
        <v>2115.1999999999998</v>
      </c>
      <c r="T19" s="410">
        <v>400</v>
      </c>
      <c r="U19" s="411">
        <v>243</v>
      </c>
      <c r="V19" s="412">
        <f t="shared" si="4"/>
        <v>60646</v>
      </c>
      <c r="W19" s="413">
        <f t="shared" si="5"/>
        <v>63456</v>
      </c>
      <c r="X19" s="410"/>
      <c r="Y19" s="411"/>
      <c r="Z19" s="410"/>
      <c r="AA19" s="411"/>
      <c r="AB19" s="410"/>
      <c r="AC19" s="411"/>
      <c r="AD19" s="410"/>
      <c r="AE19" s="411"/>
      <c r="AF19" s="412">
        <f t="shared" si="6"/>
        <v>0</v>
      </c>
      <c r="AG19" s="412">
        <f t="shared" si="7"/>
        <v>0</v>
      </c>
      <c r="AH19" s="413">
        <f t="shared" si="8"/>
        <v>0</v>
      </c>
      <c r="AI19" s="413">
        <f t="shared" si="9"/>
        <v>0</v>
      </c>
      <c r="AJ19" s="410"/>
      <c r="AK19" s="411"/>
      <c r="AL19" s="412">
        <f t="shared" si="10"/>
        <v>0</v>
      </c>
      <c r="AM19" s="413">
        <f t="shared" si="11"/>
        <v>0</v>
      </c>
      <c r="AN19" s="410"/>
      <c r="AO19" s="411"/>
      <c r="AP19" s="410">
        <v>17109</v>
      </c>
      <c r="AQ19" s="411">
        <v>21213</v>
      </c>
      <c r="AR19" s="410">
        <v>17708</v>
      </c>
      <c r="AS19" s="411">
        <v>21781</v>
      </c>
      <c r="AT19" s="410">
        <v>19239</v>
      </c>
      <c r="AU19" s="411">
        <v>22176</v>
      </c>
      <c r="AV19" s="412">
        <f t="shared" si="12"/>
        <v>54056</v>
      </c>
      <c r="AW19" s="412">
        <f t="shared" si="13"/>
        <v>2252.3333333333335</v>
      </c>
      <c r="AX19" s="413">
        <f t="shared" si="14"/>
        <v>65170</v>
      </c>
      <c r="AY19" s="413">
        <f t="shared" si="15"/>
        <v>2715.4166666666665</v>
      </c>
      <c r="AZ19" s="412">
        <f t="shared" si="16"/>
        <v>4273.8666666666668</v>
      </c>
      <c r="BA19" s="413">
        <f t="shared" si="17"/>
        <v>4830.6166666666668</v>
      </c>
    </row>
    <row r="20" spans="1:53">
      <c r="A20" s="16" t="s">
        <v>72</v>
      </c>
      <c r="B20" s="17" t="s">
        <v>87</v>
      </c>
      <c r="C20" s="20" t="s">
        <v>917</v>
      </c>
      <c r="D20" s="16" t="s">
        <v>88</v>
      </c>
      <c r="E20" s="19">
        <v>6</v>
      </c>
      <c r="F20" s="410"/>
      <c r="G20" s="411"/>
      <c r="H20" s="410"/>
      <c r="I20" s="411"/>
      <c r="J20" s="410">
        <v>25556</v>
      </c>
      <c r="K20" s="411">
        <v>25034</v>
      </c>
      <c r="L20" s="410">
        <v>12628</v>
      </c>
      <c r="M20" s="411">
        <v>12332</v>
      </c>
      <c r="N20" s="410">
        <v>27302</v>
      </c>
      <c r="O20" s="411">
        <v>26727</v>
      </c>
      <c r="P20" s="412">
        <f t="shared" si="0"/>
        <v>65486</v>
      </c>
      <c r="Q20" s="412">
        <f t="shared" si="1"/>
        <v>2182.8666666666668</v>
      </c>
      <c r="R20" s="413">
        <f t="shared" si="2"/>
        <v>64093</v>
      </c>
      <c r="S20" s="413">
        <f t="shared" si="3"/>
        <v>2136.4333333333334</v>
      </c>
      <c r="T20" s="410">
        <v>0</v>
      </c>
      <c r="U20" s="411">
        <v>0</v>
      </c>
      <c r="V20" s="412">
        <f t="shared" si="4"/>
        <v>65486</v>
      </c>
      <c r="W20" s="413">
        <f t="shared" si="5"/>
        <v>64093</v>
      </c>
      <c r="X20" s="410"/>
      <c r="Y20" s="411"/>
      <c r="Z20" s="410"/>
      <c r="AA20" s="411"/>
      <c r="AB20" s="410"/>
      <c r="AC20" s="411"/>
      <c r="AD20" s="410"/>
      <c r="AE20" s="411"/>
      <c r="AF20" s="412">
        <f t="shared" si="6"/>
        <v>0</v>
      </c>
      <c r="AG20" s="412">
        <f t="shared" si="7"/>
        <v>0</v>
      </c>
      <c r="AH20" s="413">
        <f t="shared" si="8"/>
        <v>0</v>
      </c>
      <c r="AI20" s="413">
        <f t="shared" si="9"/>
        <v>0</v>
      </c>
      <c r="AJ20" s="410"/>
      <c r="AK20" s="411"/>
      <c r="AL20" s="412">
        <f t="shared" si="10"/>
        <v>0</v>
      </c>
      <c r="AM20" s="413">
        <f t="shared" si="11"/>
        <v>0</v>
      </c>
      <c r="AN20" s="410"/>
      <c r="AO20" s="411"/>
      <c r="AP20" s="410">
        <v>807</v>
      </c>
      <c r="AQ20" s="411">
        <v>897</v>
      </c>
      <c r="AR20" s="410">
        <v>615</v>
      </c>
      <c r="AS20" s="411">
        <v>447</v>
      </c>
      <c r="AT20" s="410">
        <v>954</v>
      </c>
      <c r="AU20" s="411">
        <v>1071</v>
      </c>
      <c r="AV20" s="412">
        <f t="shared" si="12"/>
        <v>2376</v>
      </c>
      <c r="AW20" s="412">
        <f t="shared" si="13"/>
        <v>99</v>
      </c>
      <c r="AX20" s="413">
        <f t="shared" si="14"/>
        <v>2415</v>
      </c>
      <c r="AY20" s="413">
        <f t="shared" si="15"/>
        <v>100.625</v>
      </c>
      <c r="AZ20" s="412">
        <f t="shared" si="16"/>
        <v>2281.8666666666668</v>
      </c>
      <c r="BA20" s="413">
        <f t="shared" si="17"/>
        <v>2237.0583333333334</v>
      </c>
    </row>
    <row r="21" spans="1:53">
      <c r="A21" s="16" t="s">
        <v>72</v>
      </c>
      <c r="B21" s="31" t="s">
        <v>89</v>
      </c>
      <c r="C21" s="18"/>
      <c r="D21" s="19">
        <v>101505</v>
      </c>
      <c r="E21" s="19">
        <v>8</v>
      </c>
      <c r="F21" s="410"/>
      <c r="G21" s="411"/>
      <c r="H21" s="410"/>
      <c r="I21" s="411"/>
      <c r="J21" s="410">
        <v>63152</v>
      </c>
      <c r="K21" s="411">
        <v>64020</v>
      </c>
      <c r="L21" s="410">
        <v>34390</v>
      </c>
      <c r="M21" s="411">
        <v>32543</v>
      </c>
      <c r="N21" s="410">
        <v>73411</v>
      </c>
      <c r="O21" s="411">
        <v>69773</v>
      </c>
      <c r="P21" s="412">
        <f t="shared" si="0"/>
        <v>170953</v>
      </c>
      <c r="Q21" s="412">
        <f t="shared" si="1"/>
        <v>5698.4333333333334</v>
      </c>
      <c r="R21" s="413">
        <f t="shared" si="2"/>
        <v>166336</v>
      </c>
      <c r="S21" s="413">
        <f t="shared" si="3"/>
        <v>5544.5333333333338</v>
      </c>
      <c r="T21" s="410">
        <v>14148</v>
      </c>
      <c r="U21" s="411">
        <v>15108</v>
      </c>
      <c r="V21" s="412">
        <f t="shared" si="4"/>
        <v>170953</v>
      </c>
      <c r="W21" s="413">
        <f t="shared" si="5"/>
        <v>166336</v>
      </c>
      <c r="X21" s="410"/>
      <c r="Y21" s="411"/>
      <c r="Z21" s="410"/>
      <c r="AA21" s="411"/>
      <c r="AB21" s="410"/>
      <c r="AC21" s="411"/>
      <c r="AD21" s="410"/>
      <c r="AE21" s="411"/>
      <c r="AF21" s="412">
        <f t="shared" si="6"/>
        <v>0</v>
      </c>
      <c r="AG21" s="412">
        <f t="shared" si="7"/>
        <v>0</v>
      </c>
      <c r="AH21" s="413">
        <f t="shared" si="8"/>
        <v>0</v>
      </c>
      <c r="AI21" s="413">
        <f t="shared" si="9"/>
        <v>0</v>
      </c>
      <c r="AJ21" s="410"/>
      <c r="AK21" s="411"/>
      <c r="AL21" s="412">
        <f t="shared" si="10"/>
        <v>0</v>
      </c>
      <c r="AM21" s="413">
        <f t="shared" si="11"/>
        <v>0</v>
      </c>
      <c r="AN21" s="410"/>
      <c r="AO21" s="411"/>
      <c r="AP21" s="410"/>
      <c r="AQ21" s="411"/>
      <c r="AR21" s="410"/>
      <c r="AS21" s="411"/>
      <c r="AT21" s="410"/>
      <c r="AU21" s="411"/>
      <c r="AV21" s="412">
        <f t="shared" si="12"/>
        <v>0</v>
      </c>
      <c r="AW21" s="412">
        <f t="shared" si="13"/>
        <v>0</v>
      </c>
      <c r="AX21" s="413">
        <f t="shared" si="14"/>
        <v>0</v>
      </c>
      <c r="AY21" s="413">
        <f t="shared" si="15"/>
        <v>0</v>
      </c>
      <c r="AZ21" s="412">
        <f t="shared" si="16"/>
        <v>5698.4333333333334</v>
      </c>
      <c r="BA21" s="413">
        <f t="shared" si="17"/>
        <v>5544.5333333333338</v>
      </c>
    </row>
    <row r="22" spans="1:53">
      <c r="A22" s="16" t="s">
        <v>72</v>
      </c>
      <c r="B22" s="31" t="s">
        <v>878</v>
      </c>
      <c r="C22" s="18"/>
      <c r="D22" s="19">
        <v>101514</v>
      </c>
      <c r="E22" s="19">
        <v>8</v>
      </c>
      <c r="F22" s="410"/>
      <c r="G22" s="411"/>
      <c r="H22" s="410"/>
      <c r="I22" s="411"/>
      <c r="J22" s="410">
        <v>76211</v>
      </c>
      <c r="K22" s="411">
        <v>77456</v>
      </c>
      <c r="L22" s="410">
        <v>35383</v>
      </c>
      <c r="M22" s="411">
        <v>36047</v>
      </c>
      <c r="N22" s="410">
        <v>84211</v>
      </c>
      <c r="O22" s="411">
        <v>81361</v>
      </c>
      <c r="P22" s="412">
        <f t="shared" si="0"/>
        <v>195805</v>
      </c>
      <c r="Q22" s="412">
        <f t="shared" si="1"/>
        <v>6526.833333333333</v>
      </c>
      <c r="R22" s="413">
        <f t="shared" si="2"/>
        <v>194864</v>
      </c>
      <c r="S22" s="413">
        <f t="shared" si="3"/>
        <v>6495.4666666666662</v>
      </c>
      <c r="T22" s="410">
        <v>10393</v>
      </c>
      <c r="U22" s="411">
        <v>12880</v>
      </c>
      <c r="V22" s="412">
        <f t="shared" si="4"/>
        <v>195805</v>
      </c>
      <c r="W22" s="413">
        <f t="shared" si="5"/>
        <v>194864</v>
      </c>
      <c r="X22" s="410"/>
      <c r="Y22" s="411"/>
      <c r="Z22" s="410"/>
      <c r="AA22" s="411"/>
      <c r="AB22" s="410"/>
      <c r="AC22" s="411"/>
      <c r="AD22" s="410"/>
      <c r="AE22" s="411"/>
      <c r="AF22" s="412">
        <f t="shared" si="6"/>
        <v>0</v>
      </c>
      <c r="AG22" s="412">
        <f t="shared" si="7"/>
        <v>0</v>
      </c>
      <c r="AH22" s="413">
        <f t="shared" si="8"/>
        <v>0</v>
      </c>
      <c r="AI22" s="413">
        <f t="shared" si="9"/>
        <v>0</v>
      </c>
      <c r="AJ22" s="410"/>
      <c r="AK22" s="411"/>
      <c r="AL22" s="412">
        <f t="shared" si="10"/>
        <v>0</v>
      </c>
      <c r="AM22" s="413">
        <f t="shared" si="11"/>
        <v>0</v>
      </c>
      <c r="AN22" s="410"/>
      <c r="AO22" s="411"/>
      <c r="AP22" s="410"/>
      <c r="AQ22" s="411"/>
      <c r="AR22" s="410"/>
      <c r="AS22" s="411"/>
      <c r="AT22" s="410"/>
      <c r="AU22" s="411"/>
      <c r="AV22" s="412">
        <f t="shared" si="12"/>
        <v>0</v>
      </c>
      <c r="AW22" s="412">
        <f t="shared" si="13"/>
        <v>0</v>
      </c>
      <c r="AX22" s="413">
        <f t="shared" si="14"/>
        <v>0</v>
      </c>
      <c r="AY22" s="413">
        <f t="shared" si="15"/>
        <v>0</v>
      </c>
      <c r="AZ22" s="412">
        <f t="shared" si="16"/>
        <v>6526.833333333333</v>
      </c>
      <c r="BA22" s="413">
        <f t="shared" si="17"/>
        <v>6495.4666666666662</v>
      </c>
    </row>
    <row r="23" spans="1:53">
      <c r="A23" s="16" t="s">
        <v>72</v>
      </c>
      <c r="B23" s="17" t="s">
        <v>90</v>
      </c>
      <c r="C23" s="414"/>
      <c r="D23" s="19">
        <v>102429</v>
      </c>
      <c r="E23" s="19">
        <v>9</v>
      </c>
      <c r="F23" s="410"/>
      <c r="G23" s="411"/>
      <c r="H23" s="410"/>
      <c r="I23" s="411"/>
      <c r="J23" s="410">
        <v>32523</v>
      </c>
      <c r="K23" s="411">
        <v>29948</v>
      </c>
      <c r="L23" s="410">
        <v>17481</v>
      </c>
      <c r="M23" s="411">
        <v>17113</v>
      </c>
      <c r="N23" s="410">
        <v>34078</v>
      </c>
      <c r="O23" s="411">
        <v>33374</v>
      </c>
      <c r="P23" s="412">
        <f t="shared" si="0"/>
        <v>84082</v>
      </c>
      <c r="Q23" s="412">
        <f t="shared" si="1"/>
        <v>2802.7333333333331</v>
      </c>
      <c r="R23" s="413">
        <f t="shared" si="2"/>
        <v>80435</v>
      </c>
      <c r="S23" s="413">
        <f t="shared" si="3"/>
        <v>2681.1666666666665</v>
      </c>
      <c r="T23" s="410">
        <v>8513</v>
      </c>
      <c r="U23" s="411">
        <v>9813</v>
      </c>
      <c r="V23" s="412">
        <f t="shared" si="4"/>
        <v>84082</v>
      </c>
      <c r="W23" s="413">
        <f t="shared" si="5"/>
        <v>80435</v>
      </c>
      <c r="X23" s="410"/>
      <c r="Y23" s="411"/>
      <c r="Z23" s="410"/>
      <c r="AA23" s="411"/>
      <c r="AB23" s="410"/>
      <c r="AC23" s="411"/>
      <c r="AD23" s="410"/>
      <c r="AE23" s="411"/>
      <c r="AF23" s="412">
        <f t="shared" si="6"/>
        <v>0</v>
      </c>
      <c r="AG23" s="412">
        <f t="shared" si="7"/>
        <v>0</v>
      </c>
      <c r="AH23" s="413">
        <f t="shared" si="8"/>
        <v>0</v>
      </c>
      <c r="AI23" s="413">
        <f t="shared" si="9"/>
        <v>0</v>
      </c>
      <c r="AJ23" s="410"/>
      <c r="AK23" s="411"/>
      <c r="AL23" s="412">
        <f t="shared" si="10"/>
        <v>0</v>
      </c>
      <c r="AM23" s="413">
        <f t="shared" si="11"/>
        <v>0</v>
      </c>
      <c r="AN23" s="410"/>
      <c r="AO23" s="411"/>
      <c r="AP23" s="410"/>
      <c r="AQ23" s="411"/>
      <c r="AR23" s="410"/>
      <c r="AS23" s="411"/>
      <c r="AT23" s="410"/>
      <c r="AU23" s="411"/>
      <c r="AV23" s="412">
        <f t="shared" si="12"/>
        <v>0</v>
      </c>
      <c r="AW23" s="412">
        <f t="shared" si="13"/>
        <v>0</v>
      </c>
      <c r="AX23" s="413">
        <f t="shared" si="14"/>
        <v>0</v>
      </c>
      <c r="AY23" s="413">
        <f t="shared" si="15"/>
        <v>0</v>
      </c>
      <c r="AZ23" s="412">
        <f t="shared" si="16"/>
        <v>2802.7333333333331</v>
      </c>
      <c r="BA23" s="413">
        <f t="shared" si="17"/>
        <v>2681.1666666666665</v>
      </c>
    </row>
    <row r="24" spans="1:53">
      <c r="A24" s="16" t="s">
        <v>72</v>
      </c>
      <c r="B24" s="512" t="s">
        <v>91</v>
      </c>
      <c r="C24" s="414"/>
      <c r="D24" s="19">
        <v>102030</v>
      </c>
      <c r="E24" s="19">
        <v>9</v>
      </c>
      <c r="F24" s="410"/>
      <c r="G24" s="411"/>
      <c r="H24" s="410"/>
      <c r="I24" s="411"/>
      <c r="J24" s="410">
        <v>27114</v>
      </c>
      <c r="K24" s="411">
        <v>26212</v>
      </c>
      <c r="L24" s="410">
        <v>11456</v>
      </c>
      <c r="M24" s="411">
        <v>11356</v>
      </c>
      <c r="N24" s="410">
        <v>28593</v>
      </c>
      <c r="O24" s="411">
        <v>27590</v>
      </c>
      <c r="P24" s="412">
        <f t="shared" si="0"/>
        <v>67163</v>
      </c>
      <c r="Q24" s="412">
        <f t="shared" si="1"/>
        <v>2238.7666666666669</v>
      </c>
      <c r="R24" s="413">
        <f t="shared" si="2"/>
        <v>65158</v>
      </c>
      <c r="S24" s="413">
        <f t="shared" si="3"/>
        <v>2171.9333333333334</v>
      </c>
      <c r="T24" s="410">
        <v>3240</v>
      </c>
      <c r="U24" s="411">
        <v>3584</v>
      </c>
      <c r="V24" s="412">
        <f t="shared" si="4"/>
        <v>67163</v>
      </c>
      <c r="W24" s="413">
        <f t="shared" si="5"/>
        <v>65158</v>
      </c>
      <c r="X24" s="410"/>
      <c r="Y24" s="411"/>
      <c r="Z24" s="410"/>
      <c r="AA24" s="411"/>
      <c r="AB24" s="410"/>
      <c r="AC24" s="411"/>
      <c r="AD24" s="410"/>
      <c r="AE24" s="411"/>
      <c r="AF24" s="412">
        <f t="shared" si="6"/>
        <v>0</v>
      </c>
      <c r="AG24" s="412">
        <f t="shared" si="7"/>
        <v>0</v>
      </c>
      <c r="AH24" s="413">
        <f t="shared" si="8"/>
        <v>0</v>
      </c>
      <c r="AI24" s="413">
        <f t="shared" si="9"/>
        <v>0</v>
      </c>
      <c r="AJ24" s="410"/>
      <c r="AK24" s="411"/>
      <c r="AL24" s="412">
        <f t="shared" si="10"/>
        <v>0</v>
      </c>
      <c r="AM24" s="413">
        <f t="shared" si="11"/>
        <v>0</v>
      </c>
      <c r="AN24" s="410"/>
      <c r="AO24" s="411"/>
      <c r="AP24" s="410"/>
      <c r="AQ24" s="411"/>
      <c r="AR24" s="410"/>
      <c r="AS24" s="411"/>
      <c r="AT24" s="410"/>
      <c r="AU24" s="411"/>
      <c r="AV24" s="412">
        <f t="shared" si="12"/>
        <v>0</v>
      </c>
      <c r="AW24" s="412">
        <f t="shared" si="13"/>
        <v>0</v>
      </c>
      <c r="AX24" s="413">
        <f t="shared" si="14"/>
        <v>0</v>
      </c>
      <c r="AY24" s="413">
        <f t="shared" si="15"/>
        <v>0</v>
      </c>
      <c r="AZ24" s="412">
        <f t="shared" si="16"/>
        <v>2238.7666666666669</v>
      </c>
      <c r="BA24" s="413">
        <f t="shared" si="17"/>
        <v>2171.9333333333334</v>
      </c>
    </row>
    <row r="25" spans="1:53">
      <c r="A25" s="16" t="s">
        <v>72</v>
      </c>
      <c r="B25" s="512" t="s">
        <v>918</v>
      </c>
      <c r="C25" s="414" t="s">
        <v>919</v>
      </c>
      <c r="D25" s="19">
        <v>101161</v>
      </c>
      <c r="E25" s="19">
        <v>9</v>
      </c>
      <c r="F25" s="410"/>
      <c r="G25" s="411"/>
      <c r="H25" s="410"/>
      <c r="I25" s="411"/>
      <c r="J25" s="410">
        <v>65685</v>
      </c>
      <c r="K25" s="411">
        <v>65242</v>
      </c>
      <c r="L25" s="410">
        <v>30135</v>
      </c>
      <c r="M25" s="411">
        <v>29445</v>
      </c>
      <c r="N25" s="410">
        <v>72862</v>
      </c>
      <c r="O25" s="411">
        <v>74144</v>
      </c>
      <c r="P25" s="412">
        <f t="shared" si="0"/>
        <v>168682</v>
      </c>
      <c r="Q25" s="412">
        <f t="shared" si="1"/>
        <v>5622.7333333333336</v>
      </c>
      <c r="R25" s="413">
        <f t="shared" si="2"/>
        <v>168831</v>
      </c>
      <c r="S25" s="413">
        <f t="shared" si="3"/>
        <v>5627.7</v>
      </c>
      <c r="T25" s="410">
        <v>14679</v>
      </c>
      <c r="U25" s="411">
        <v>17228</v>
      </c>
      <c r="V25" s="412">
        <f t="shared" si="4"/>
        <v>168682</v>
      </c>
      <c r="W25" s="413">
        <f t="shared" si="5"/>
        <v>168831</v>
      </c>
      <c r="X25" s="410"/>
      <c r="Y25" s="411"/>
      <c r="Z25" s="410"/>
      <c r="AA25" s="411"/>
      <c r="AB25" s="410"/>
      <c r="AC25" s="411"/>
      <c r="AD25" s="410"/>
      <c r="AE25" s="411"/>
      <c r="AF25" s="412">
        <f t="shared" si="6"/>
        <v>0</v>
      </c>
      <c r="AG25" s="412">
        <f t="shared" si="7"/>
        <v>0</v>
      </c>
      <c r="AH25" s="413">
        <f t="shared" si="8"/>
        <v>0</v>
      </c>
      <c r="AI25" s="413">
        <f t="shared" si="9"/>
        <v>0</v>
      </c>
      <c r="AJ25" s="410"/>
      <c r="AK25" s="411"/>
      <c r="AL25" s="412">
        <f t="shared" si="10"/>
        <v>0</v>
      </c>
      <c r="AM25" s="413">
        <f t="shared" si="11"/>
        <v>0</v>
      </c>
      <c r="AN25" s="410"/>
      <c r="AO25" s="411"/>
      <c r="AP25" s="410"/>
      <c r="AQ25" s="411"/>
      <c r="AR25" s="410"/>
      <c r="AS25" s="411"/>
      <c r="AT25" s="410"/>
      <c r="AU25" s="411"/>
      <c r="AV25" s="412">
        <f t="shared" si="12"/>
        <v>0</v>
      </c>
      <c r="AW25" s="412">
        <f t="shared" si="13"/>
        <v>0</v>
      </c>
      <c r="AX25" s="413">
        <f t="shared" si="14"/>
        <v>0</v>
      </c>
      <c r="AY25" s="413">
        <f t="shared" si="15"/>
        <v>0</v>
      </c>
      <c r="AZ25" s="412">
        <f t="shared" si="16"/>
        <v>5622.7333333333336</v>
      </c>
      <c r="BA25" s="413">
        <f t="shared" si="17"/>
        <v>5627.7</v>
      </c>
    </row>
    <row r="26" spans="1:53">
      <c r="A26" s="16" t="s">
        <v>72</v>
      </c>
      <c r="B26" s="17" t="s">
        <v>92</v>
      </c>
      <c r="C26" s="414"/>
      <c r="D26" s="19">
        <v>101240</v>
      </c>
      <c r="E26" s="19">
        <v>9</v>
      </c>
      <c r="F26" s="410"/>
      <c r="G26" s="411"/>
      <c r="H26" s="410"/>
      <c r="I26" s="411"/>
      <c r="J26" s="410">
        <v>42746</v>
      </c>
      <c r="K26" s="411">
        <v>41847</v>
      </c>
      <c r="L26" s="410">
        <v>20793</v>
      </c>
      <c r="M26" s="411">
        <v>21713</v>
      </c>
      <c r="N26" s="410">
        <v>46681</v>
      </c>
      <c r="O26" s="411">
        <v>45523</v>
      </c>
      <c r="P26" s="412">
        <f t="shared" si="0"/>
        <v>110220</v>
      </c>
      <c r="Q26" s="412">
        <f t="shared" si="1"/>
        <v>3674</v>
      </c>
      <c r="R26" s="413">
        <f t="shared" si="2"/>
        <v>109083</v>
      </c>
      <c r="S26" s="413">
        <f t="shared" si="3"/>
        <v>3636.1</v>
      </c>
      <c r="T26" s="410">
        <v>5231</v>
      </c>
      <c r="U26" s="411">
        <v>5709</v>
      </c>
      <c r="V26" s="412">
        <f t="shared" si="4"/>
        <v>110220</v>
      </c>
      <c r="W26" s="413">
        <f t="shared" si="5"/>
        <v>109083</v>
      </c>
      <c r="X26" s="410"/>
      <c r="Y26" s="411"/>
      <c r="Z26" s="410"/>
      <c r="AA26" s="411"/>
      <c r="AB26" s="410"/>
      <c r="AC26" s="411"/>
      <c r="AD26" s="410"/>
      <c r="AE26" s="411"/>
      <c r="AF26" s="412">
        <f t="shared" si="6"/>
        <v>0</v>
      </c>
      <c r="AG26" s="412">
        <f t="shared" si="7"/>
        <v>0</v>
      </c>
      <c r="AH26" s="413">
        <f t="shared" si="8"/>
        <v>0</v>
      </c>
      <c r="AI26" s="413">
        <f t="shared" si="9"/>
        <v>0</v>
      </c>
      <c r="AJ26" s="410"/>
      <c r="AK26" s="411"/>
      <c r="AL26" s="412">
        <f t="shared" si="10"/>
        <v>0</v>
      </c>
      <c r="AM26" s="413">
        <f t="shared" si="11"/>
        <v>0</v>
      </c>
      <c r="AN26" s="410"/>
      <c r="AO26" s="411"/>
      <c r="AP26" s="410"/>
      <c r="AQ26" s="411"/>
      <c r="AR26" s="410"/>
      <c r="AS26" s="411"/>
      <c r="AT26" s="410"/>
      <c r="AU26" s="411"/>
      <c r="AV26" s="412">
        <f t="shared" si="12"/>
        <v>0</v>
      </c>
      <c r="AW26" s="412">
        <f t="shared" si="13"/>
        <v>0</v>
      </c>
      <c r="AX26" s="413">
        <f t="shared" si="14"/>
        <v>0</v>
      </c>
      <c r="AY26" s="413">
        <f t="shared" si="15"/>
        <v>0</v>
      </c>
      <c r="AZ26" s="412">
        <f t="shared" si="16"/>
        <v>3674</v>
      </c>
      <c r="BA26" s="413">
        <f t="shared" si="17"/>
        <v>3636.1</v>
      </c>
    </row>
    <row r="27" spans="1:53">
      <c r="A27" s="16" t="s">
        <v>72</v>
      </c>
      <c r="B27" s="31" t="s">
        <v>879</v>
      </c>
      <c r="C27" s="18"/>
      <c r="D27" s="19">
        <v>101286</v>
      </c>
      <c r="E27" s="19">
        <v>9</v>
      </c>
      <c r="F27" s="410"/>
      <c r="G27" s="411"/>
      <c r="H27" s="410"/>
      <c r="I27" s="411"/>
      <c r="J27" s="410">
        <v>38196</v>
      </c>
      <c r="K27" s="411">
        <v>37419</v>
      </c>
      <c r="L27" s="410">
        <v>19930</v>
      </c>
      <c r="M27" s="411">
        <v>18911</v>
      </c>
      <c r="N27" s="410">
        <v>41781</v>
      </c>
      <c r="O27" s="411">
        <v>40500</v>
      </c>
      <c r="P27" s="412">
        <f t="shared" si="0"/>
        <v>99907</v>
      </c>
      <c r="Q27" s="412">
        <f t="shared" si="1"/>
        <v>3330.2333333333331</v>
      </c>
      <c r="R27" s="413">
        <f t="shared" si="2"/>
        <v>96830</v>
      </c>
      <c r="S27" s="413">
        <f t="shared" si="3"/>
        <v>3227.6666666666665</v>
      </c>
      <c r="T27" s="410">
        <v>7671</v>
      </c>
      <c r="U27" s="411">
        <v>7135</v>
      </c>
      <c r="V27" s="412">
        <f t="shared" si="4"/>
        <v>99907</v>
      </c>
      <c r="W27" s="413">
        <f t="shared" si="5"/>
        <v>96830</v>
      </c>
      <c r="X27" s="410"/>
      <c r="Y27" s="411"/>
      <c r="Z27" s="410"/>
      <c r="AA27" s="411"/>
      <c r="AB27" s="410"/>
      <c r="AC27" s="411"/>
      <c r="AD27" s="410"/>
      <c r="AE27" s="411"/>
      <c r="AF27" s="412">
        <f t="shared" si="6"/>
        <v>0</v>
      </c>
      <c r="AG27" s="412">
        <f t="shared" si="7"/>
        <v>0</v>
      </c>
      <c r="AH27" s="413">
        <f t="shared" si="8"/>
        <v>0</v>
      </c>
      <c r="AI27" s="413">
        <f t="shared" si="9"/>
        <v>0</v>
      </c>
      <c r="AJ27" s="410"/>
      <c r="AK27" s="411"/>
      <c r="AL27" s="412">
        <f t="shared" si="10"/>
        <v>0</v>
      </c>
      <c r="AM27" s="413">
        <f t="shared" si="11"/>
        <v>0</v>
      </c>
      <c r="AN27" s="410"/>
      <c r="AO27" s="411"/>
      <c r="AP27" s="410"/>
      <c r="AQ27" s="411"/>
      <c r="AR27" s="410"/>
      <c r="AS27" s="411"/>
      <c r="AT27" s="410"/>
      <c r="AU27" s="411"/>
      <c r="AV27" s="412">
        <f t="shared" si="12"/>
        <v>0</v>
      </c>
      <c r="AW27" s="412">
        <f t="shared" si="13"/>
        <v>0</v>
      </c>
      <c r="AX27" s="413">
        <f t="shared" si="14"/>
        <v>0</v>
      </c>
      <c r="AY27" s="413">
        <f t="shared" si="15"/>
        <v>0</v>
      </c>
      <c r="AZ27" s="412">
        <f t="shared" si="16"/>
        <v>3330.2333333333331</v>
      </c>
      <c r="BA27" s="413">
        <f t="shared" si="17"/>
        <v>3227.6666666666665</v>
      </c>
    </row>
    <row r="28" spans="1:53">
      <c r="A28" s="16" t="s">
        <v>72</v>
      </c>
      <c r="B28" s="31" t="s">
        <v>880</v>
      </c>
      <c r="C28" s="22"/>
      <c r="D28" s="19">
        <v>101295</v>
      </c>
      <c r="E28" s="19">
        <v>9</v>
      </c>
      <c r="F28" s="410"/>
      <c r="G28" s="411"/>
      <c r="H28" s="410"/>
      <c r="I28" s="411"/>
      <c r="J28" s="410">
        <v>49005</v>
      </c>
      <c r="K28" s="411">
        <v>49387</v>
      </c>
      <c r="L28" s="410">
        <v>22551</v>
      </c>
      <c r="M28" s="411">
        <v>22665</v>
      </c>
      <c r="N28" s="410">
        <v>53788</v>
      </c>
      <c r="O28" s="411">
        <v>52910</v>
      </c>
      <c r="P28" s="412">
        <f t="shared" si="0"/>
        <v>125344</v>
      </c>
      <c r="Q28" s="412">
        <f t="shared" si="1"/>
        <v>4178.1333333333332</v>
      </c>
      <c r="R28" s="413">
        <f t="shared" si="2"/>
        <v>124962</v>
      </c>
      <c r="S28" s="413">
        <f t="shared" si="3"/>
        <v>4165.3999999999996</v>
      </c>
      <c r="T28" s="410">
        <v>6943</v>
      </c>
      <c r="U28" s="411">
        <v>7814</v>
      </c>
      <c r="V28" s="412">
        <f t="shared" si="4"/>
        <v>125344</v>
      </c>
      <c r="W28" s="413">
        <f t="shared" si="5"/>
        <v>124962</v>
      </c>
      <c r="X28" s="410"/>
      <c r="Y28" s="411"/>
      <c r="Z28" s="410"/>
      <c r="AA28" s="411"/>
      <c r="AB28" s="410"/>
      <c r="AC28" s="411"/>
      <c r="AD28" s="410"/>
      <c r="AE28" s="411"/>
      <c r="AF28" s="412">
        <f t="shared" si="6"/>
        <v>0</v>
      </c>
      <c r="AG28" s="412">
        <f t="shared" si="7"/>
        <v>0</v>
      </c>
      <c r="AH28" s="413">
        <f t="shared" si="8"/>
        <v>0</v>
      </c>
      <c r="AI28" s="413">
        <f t="shared" si="9"/>
        <v>0</v>
      </c>
      <c r="AJ28" s="410"/>
      <c r="AK28" s="411"/>
      <c r="AL28" s="412">
        <f t="shared" si="10"/>
        <v>0</v>
      </c>
      <c r="AM28" s="413">
        <f t="shared" si="11"/>
        <v>0</v>
      </c>
      <c r="AN28" s="410"/>
      <c r="AO28" s="411"/>
      <c r="AP28" s="410"/>
      <c r="AQ28" s="411"/>
      <c r="AR28" s="410"/>
      <c r="AS28" s="411"/>
      <c r="AT28" s="410"/>
      <c r="AU28" s="411"/>
      <c r="AV28" s="412">
        <f t="shared" si="12"/>
        <v>0</v>
      </c>
      <c r="AW28" s="412">
        <f t="shared" si="13"/>
        <v>0</v>
      </c>
      <c r="AX28" s="413">
        <f t="shared" si="14"/>
        <v>0</v>
      </c>
      <c r="AY28" s="413">
        <f t="shared" si="15"/>
        <v>0</v>
      </c>
      <c r="AZ28" s="412">
        <f t="shared" si="16"/>
        <v>4178.1333333333332</v>
      </c>
      <c r="BA28" s="413">
        <f t="shared" si="17"/>
        <v>4165.3999999999996</v>
      </c>
    </row>
    <row r="29" spans="1:53">
      <c r="A29" s="16" t="s">
        <v>72</v>
      </c>
      <c r="B29" s="17" t="s">
        <v>93</v>
      </c>
      <c r="C29" s="18"/>
      <c r="D29" s="19">
        <v>101569</v>
      </c>
      <c r="E29" s="19">
        <v>9</v>
      </c>
      <c r="F29" s="410"/>
      <c r="G29" s="411"/>
      <c r="H29" s="410"/>
      <c r="I29" s="411"/>
      <c r="J29" s="410">
        <v>28654</v>
      </c>
      <c r="K29" s="411">
        <v>29490</v>
      </c>
      <c r="L29" s="410">
        <v>13844</v>
      </c>
      <c r="M29" s="411">
        <v>12649</v>
      </c>
      <c r="N29" s="410">
        <v>33699</v>
      </c>
      <c r="O29" s="411">
        <v>34177</v>
      </c>
      <c r="P29" s="412">
        <f t="shared" si="0"/>
        <v>76197</v>
      </c>
      <c r="Q29" s="412">
        <f t="shared" si="1"/>
        <v>2539.9</v>
      </c>
      <c r="R29" s="413">
        <f t="shared" si="2"/>
        <v>76316</v>
      </c>
      <c r="S29" s="413">
        <f t="shared" si="3"/>
        <v>2543.8666666666668</v>
      </c>
      <c r="T29" s="410">
        <v>1723</v>
      </c>
      <c r="U29" s="411">
        <v>2322</v>
      </c>
      <c r="V29" s="412">
        <f t="shared" si="4"/>
        <v>76197</v>
      </c>
      <c r="W29" s="413">
        <f t="shared" si="5"/>
        <v>76316</v>
      </c>
      <c r="X29" s="410"/>
      <c r="Y29" s="411"/>
      <c r="Z29" s="410"/>
      <c r="AA29" s="411"/>
      <c r="AB29" s="410"/>
      <c r="AC29" s="411"/>
      <c r="AD29" s="410"/>
      <c r="AE29" s="411"/>
      <c r="AF29" s="412">
        <f t="shared" si="6"/>
        <v>0</v>
      </c>
      <c r="AG29" s="412">
        <f t="shared" si="7"/>
        <v>0</v>
      </c>
      <c r="AH29" s="413">
        <f t="shared" si="8"/>
        <v>0</v>
      </c>
      <c r="AI29" s="413">
        <f t="shared" si="9"/>
        <v>0</v>
      </c>
      <c r="AJ29" s="410"/>
      <c r="AK29" s="411"/>
      <c r="AL29" s="412">
        <f t="shared" si="10"/>
        <v>0</v>
      </c>
      <c r="AM29" s="413">
        <f t="shared" si="11"/>
        <v>0</v>
      </c>
      <c r="AN29" s="410"/>
      <c r="AO29" s="411"/>
      <c r="AP29" s="410"/>
      <c r="AQ29" s="411"/>
      <c r="AR29" s="410"/>
      <c r="AS29" s="411"/>
      <c r="AT29" s="410"/>
      <c r="AU29" s="411"/>
      <c r="AV29" s="412">
        <f t="shared" si="12"/>
        <v>0</v>
      </c>
      <c r="AW29" s="412">
        <f t="shared" si="13"/>
        <v>0</v>
      </c>
      <c r="AX29" s="413">
        <f t="shared" si="14"/>
        <v>0</v>
      </c>
      <c r="AY29" s="413">
        <f t="shared" si="15"/>
        <v>0</v>
      </c>
      <c r="AZ29" s="412">
        <f t="shared" si="16"/>
        <v>2539.9</v>
      </c>
      <c r="BA29" s="413">
        <f t="shared" si="17"/>
        <v>2543.8666666666668</v>
      </c>
    </row>
    <row r="30" spans="1:53">
      <c r="A30" s="16" t="s">
        <v>72</v>
      </c>
      <c r="B30" s="17" t="s">
        <v>94</v>
      </c>
      <c r="C30" s="18"/>
      <c r="D30" s="19">
        <v>101736</v>
      </c>
      <c r="E30" s="19">
        <v>9</v>
      </c>
      <c r="F30" s="410"/>
      <c r="G30" s="411"/>
      <c r="H30" s="410"/>
      <c r="I30" s="411"/>
      <c r="J30" s="410">
        <v>25535</v>
      </c>
      <c r="K30" s="411">
        <v>25950</v>
      </c>
      <c r="L30" s="410">
        <v>10893</v>
      </c>
      <c r="M30" s="411">
        <v>10366</v>
      </c>
      <c r="N30" s="410">
        <v>30277</v>
      </c>
      <c r="O30" s="411">
        <v>30047</v>
      </c>
      <c r="P30" s="412">
        <f t="shared" si="0"/>
        <v>66705</v>
      </c>
      <c r="Q30" s="412">
        <f t="shared" si="1"/>
        <v>2223.5</v>
      </c>
      <c r="R30" s="413">
        <f t="shared" si="2"/>
        <v>66363</v>
      </c>
      <c r="S30" s="413">
        <f t="shared" si="3"/>
        <v>2212.1</v>
      </c>
      <c r="T30" s="410">
        <v>7339</v>
      </c>
      <c r="U30" s="411">
        <v>8135</v>
      </c>
      <c r="V30" s="412">
        <f t="shared" si="4"/>
        <v>66705</v>
      </c>
      <c r="W30" s="413">
        <f t="shared" si="5"/>
        <v>66363</v>
      </c>
      <c r="X30" s="410"/>
      <c r="Y30" s="411"/>
      <c r="Z30" s="410"/>
      <c r="AA30" s="411"/>
      <c r="AB30" s="410"/>
      <c r="AC30" s="411"/>
      <c r="AD30" s="410"/>
      <c r="AE30" s="411"/>
      <c r="AF30" s="412">
        <f t="shared" si="6"/>
        <v>0</v>
      </c>
      <c r="AG30" s="412">
        <f t="shared" si="7"/>
        <v>0</v>
      </c>
      <c r="AH30" s="413">
        <f t="shared" si="8"/>
        <v>0</v>
      </c>
      <c r="AI30" s="413">
        <f t="shared" si="9"/>
        <v>0</v>
      </c>
      <c r="AJ30" s="410"/>
      <c r="AK30" s="411"/>
      <c r="AL30" s="412">
        <f t="shared" si="10"/>
        <v>0</v>
      </c>
      <c r="AM30" s="413">
        <f t="shared" si="11"/>
        <v>0</v>
      </c>
      <c r="AN30" s="410"/>
      <c r="AO30" s="411"/>
      <c r="AP30" s="410"/>
      <c r="AQ30" s="411"/>
      <c r="AR30" s="410"/>
      <c r="AS30" s="411"/>
      <c r="AT30" s="410"/>
      <c r="AU30" s="411"/>
      <c r="AV30" s="412">
        <f t="shared" si="12"/>
        <v>0</v>
      </c>
      <c r="AW30" s="412">
        <f t="shared" si="13"/>
        <v>0</v>
      </c>
      <c r="AX30" s="413">
        <f t="shared" si="14"/>
        <v>0</v>
      </c>
      <c r="AY30" s="413">
        <f t="shared" si="15"/>
        <v>0</v>
      </c>
      <c r="AZ30" s="412">
        <f t="shared" si="16"/>
        <v>2223.5</v>
      </c>
      <c r="BA30" s="413">
        <f t="shared" si="17"/>
        <v>2212.1</v>
      </c>
    </row>
    <row r="31" spans="1:53">
      <c r="A31" s="16" t="s">
        <v>72</v>
      </c>
      <c r="B31" s="17" t="s">
        <v>95</v>
      </c>
      <c r="C31" s="18"/>
      <c r="D31" s="19">
        <v>102067</v>
      </c>
      <c r="E31" s="19">
        <v>9</v>
      </c>
      <c r="F31" s="410"/>
      <c r="G31" s="411"/>
      <c r="H31" s="410"/>
      <c r="I31" s="411"/>
      <c r="J31" s="410">
        <v>39968</v>
      </c>
      <c r="K31" s="411">
        <v>38313</v>
      </c>
      <c r="L31" s="410">
        <v>22218</v>
      </c>
      <c r="M31" s="411">
        <v>21306</v>
      </c>
      <c r="N31" s="410">
        <v>42377</v>
      </c>
      <c r="O31" s="411">
        <v>42594</v>
      </c>
      <c r="P31" s="412">
        <f t="shared" si="0"/>
        <v>104563</v>
      </c>
      <c r="Q31" s="412">
        <f t="shared" si="1"/>
        <v>3485.4333333333334</v>
      </c>
      <c r="R31" s="413">
        <f t="shared" si="2"/>
        <v>102213</v>
      </c>
      <c r="S31" s="413">
        <f t="shared" si="3"/>
        <v>3407.1</v>
      </c>
      <c r="T31" s="410">
        <v>2870</v>
      </c>
      <c r="U31" s="411">
        <v>3271</v>
      </c>
      <c r="V31" s="412">
        <f t="shared" si="4"/>
        <v>104563</v>
      </c>
      <c r="W31" s="413">
        <f t="shared" si="5"/>
        <v>102213</v>
      </c>
      <c r="X31" s="410"/>
      <c r="Y31" s="411"/>
      <c r="Z31" s="410"/>
      <c r="AA31" s="411"/>
      <c r="AB31" s="410"/>
      <c r="AC31" s="411"/>
      <c r="AD31" s="410"/>
      <c r="AE31" s="411"/>
      <c r="AF31" s="412">
        <f t="shared" si="6"/>
        <v>0</v>
      </c>
      <c r="AG31" s="412">
        <f t="shared" si="7"/>
        <v>0</v>
      </c>
      <c r="AH31" s="413">
        <f t="shared" si="8"/>
        <v>0</v>
      </c>
      <c r="AI31" s="413">
        <f t="shared" si="9"/>
        <v>0</v>
      </c>
      <c r="AJ31" s="410"/>
      <c r="AK31" s="411"/>
      <c r="AL31" s="412">
        <f t="shared" si="10"/>
        <v>0</v>
      </c>
      <c r="AM31" s="413">
        <f t="shared" si="11"/>
        <v>0</v>
      </c>
      <c r="AN31" s="410"/>
      <c r="AO31" s="411"/>
      <c r="AP31" s="410"/>
      <c r="AQ31" s="411"/>
      <c r="AR31" s="410"/>
      <c r="AS31" s="411"/>
      <c r="AT31" s="410"/>
      <c r="AU31" s="411"/>
      <c r="AV31" s="412">
        <f t="shared" si="12"/>
        <v>0</v>
      </c>
      <c r="AW31" s="412">
        <f t="shared" si="13"/>
        <v>0</v>
      </c>
      <c r="AX31" s="413">
        <f t="shared" si="14"/>
        <v>0</v>
      </c>
      <c r="AY31" s="413">
        <f t="shared" si="15"/>
        <v>0</v>
      </c>
      <c r="AZ31" s="412">
        <f t="shared" si="16"/>
        <v>3485.4333333333334</v>
      </c>
      <c r="BA31" s="413">
        <f t="shared" si="17"/>
        <v>3407.1</v>
      </c>
    </row>
    <row r="32" spans="1:53">
      <c r="A32" s="16" t="s">
        <v>72</v>
      </c>
      <c r="B32" s="17" t="s">
        <v>96</v>
      </c>
      <c r="C32" s="18"/>
      <c r="D32" s="19">
        <v>251260</v>
      </c>
      <c r="E32" s="19">
        <v>9</v>
      </c>
      <c r="F32" s="410"/>
      <c r="G32" s="411"/>
      <c r="H32" s="410"/>
      <c r="I32" s="411"/>
      <c r="J32" s="410">
        <v>45045</v>
      </c>
      <c r="K32" s="411">
        <v>43553</v>
      </c>
      <c r="L32" s="410">
        <v>21090</v>
      </c>
      <c r="M32" s="411">
        <v>20132</v>
      </c>
      <c r="N32" s="410">
        <v>47848</v>
      </c>
      <c r="O32" s="411">
        <v>48947</v>
      </c>
      <c r="P32" s="412">
        <f t="shared" si="0"/>
        <v>113983</v>
      </c>
      <c r="Q32" s="412">
        <f t="shared" si="1"/>
        <v>3799.4333333333334</v>
      </c>
      <c r="R32" s="413">
        <f t="shared" si="2"/>
        <v>112632</v>
      </c>
      <c r="S32" s="413">
        <f t="shared" si="3"/>
        <v>3754.4</v>
      </c>
      <c r="T32" s="410">
        <v>3213</v>
      </c>
      <c r="U32" s="411">
        <v>3798</v>
      </c>
      <c r="V32" s="412">
        <f t="shared" si="4"/>
        <v>113983</v>
      </c>
      <c r="W32" s="413">
        <f t="shared" si="5"/>
        <v>112632</v>
      </c>
      <c r="X32" s="410"/>
      <c r="Y32" s="411"/>
      <c r="Z32" s="410"/>
      <c r="AA32" s="411"/>
      <c r="AB32" s="410"/>
      <c r="AC32" s="411"/>
      <c r="AD32" s="410"/>
      <c r="AE32" s="411"/>
      <c r="AF32" s="412">
        <f t="shared" si="6"/>
        <v>0</v>
      </c>
      <c r="AG32" s="412">
        <f t="shared" si="7"/>
        <v>0</v>
      </c>
      <c r="AH32" s="413">
        <f t="shared" si="8"/>
        <v>0</v>
      </c>
      <c r="AI32" s="413">
        <f t="shared" si="9"/>
        <v>0</v>
      </c>
      <c r="AJ32" s="410"/>
      <c r="AK32" s="411"/>
      <c r="AL32" s="412">
        <f t="shared" si="10"/>
        <v>0</v>
      </c>
      <c r="AM32" s="413">
        <f t="shared" si="11"/>
        <v>0</v>
      </c>
      <c r="AN32" s="410"/>
      <c r="AO32" s="411"/>
      <c r="AP32" s="410"/>
      <c r="AQ32" s="411"/>
      <c r="AR32" s="410"/>
      <c r="AS32" s="411"/>
      <c r="AT32" s="410"/>
      <c r="AU32" s="411"/>
      <c r="AV32" s="412">
        <f t="shared" si="12"/>
        <v>0</v>
      </c>
      <c r="AW32" s="412">
        <f t="shared" si="13"/>
        <v>0</v>
      </c>
      <c r="AX32" s="413">
        <f t="shared" si="14"/>
        <v>0</v>
      </c>
      <c r="AY32" s="413">
        <f t="shared" si="15"/>
        <v>0</v>
      </c>
      <c r="AZ32" s="412">
        <f t="shared" si="16"/>
        <v>3799.4333333333334</v>
      </c>
      <c r="BA32" s="413">
        <f t="shared" si="17"/>
        <v>3754.4</v>
      </c>
    </row>
    <row r="33" spans="1:53">
      <c r="A33" s="16" t="s">
        <v>72</v>
      </c>
      <c r="B33" s="17" t="s">
        <v>97</v>
      </c>
      <c r="C33" s="414"/>
      <c r="D33" s="19">
        <v>100760</v>
      </c>
      <c r="E33" s="19">
        <v>10</v>
      </c>
      <c r="F33" s="410"/>
      <c r="G33" s="411"/>
      <c r="H33" s="410"/>
      <c r="I33" s="411"/>
      <c r="J33" s="410">
        <v>15067</v>
      </c>
      <c r="K33" s="411">
        <v>13646</v>
      </c>
      <c r="L33" s="410">
        <v>5661</v>
      </c>
      <c r="M33" s="411">
        <v>4986</v>
      </c>
      <c r="N33" s="410">
        <v>15653</v>
      </c>
      <c r="O33" s="411">
        <v>16077</v>
      </c>
      <c r="P33" s="412">
        <f t="shared" si="0"/>
        <v>36381</v>
      </c>
      <c r="Q33" s="412">
        <f t="shared" si="1"/>
        <v>1212.7</v>
      </c>
      <c r="R33" s="413">
        <f t="shared" si="2"/>
        <v>34709</v>
      </c>
      <c r="S33" s="413">
        <f t="shared" si="3"/>
        <v>1156.9666666666667</v>
      </c>
      <c r="T33" s="410">
        <v>4028</v>
      </c>
      <c r="U33" s="411">
        <v>4651</v>
      </c>
      <c r="V33" s="412">
        <f t="shared" si="4"/>
        <v>36381</v>
      </c>
      <c r="W33" s="413">
        <f t="shared" si="5"/>
        <v>34709</v>
      </c>
      <c r="X33" s="410"/>
      <c r="Y33" s="411"/>
      <c r="Z33" s="410"/>
      <c r="AA33" s="411"/>
      <c r="AB33" s="410"/>
      <c r="AC33" s="411"/>
      <c r="AD33" s="410"/>
      <c r="AE33" s="411"/>
      <c r="AF33" s="412">
        <f t="shared" si="6"/>
        <v>0</v>
      </c>
      <c r="AG33" s="412">
        <f t="shared" si="7"/>
        <v>0</v>
      </c>
      <c r="AH33" s="413">
        <f t="shared" si="8"/>
        <v>0</v>
      </c>
      <c r="AI33" s="413">
        <f t="shared" si="9"/>
        <v>0</v>
      </c>
      <c r="AJ33" s="410"/>
      <c r="AK33" s="411"/>
      <c r="AL33" s="412">
        <f t="shared" si="10"/>
        <v>0</v>
      </c>
      <c r="AM33" s="413">
        <f t="shared" si="11"/>
        <v>0</v>
      </c>
      <c r="AN33" s="410"/>
      <c r="AO33" s="411"/>
      <c r="AP33" s="410"/>
      <c r="AQ33" s="411"/>
      <c r="AR33" s="410"/>
      <c r="AS33" s="411"/>
      <c r="AT33" s="410"/>
      <c r="AU33" s="411"/>
      <c r="AV33" s="412">
        <f t="shared" si="12"/>
        <v>0</v>
      </c>
      <c r="AW33" s="412">
        <f t="shared" si="13"/>
        <v>0</v>
      </c>
      <c r="AX33" s="413">
        <f t="shared" si="14"/>
        <v>0</v>
      </c>
      <c r="AY33" s="413">
        <f t="shared" si="15"/>
        <v>0</v>
      </c>
      <c r="AZ33" s="412">
        <f t="shared" si="16"/>
        <v>1212.7</v>
      </c>
      <c r="BA33" s="413">
        <f t="shared" si="17"/>
        <v>1156.9666666666667</v>
      </c>
    </row>
    <row r="34" spans="1:53">
      <c r="A34" s="16" t="s">
        <v>72</v>
      </c>
      <c r="B34" s="31" t="s">
        <v>881</v>
      </c>
      <c r="C34" s="18"/>
      <c r="D34" s="19">
        <v>101028</v>
      </c>
      <c r="E34" s="19">
        <v>10</v>
      </c>
      <c r="F34" s="410"/>
      <c r="G34" s="411"/>
      <c r="H34" s="410"/>
      <c r="I34" s="411"/>
      <c r="J34" s="410">
        <v>14253</v>
      </c>
      <c r="K34" s="411">
        <v>15474</v>
      </c>
      <c r="L34" s="410">
        <v>7155</v>
      </c>
      <c r="M34" s="411">
        <v>7335</v>
      </c>
      <c r="N34" s="410">
        <v>16533</v>
      </c>
      <c r="O34" s="411">
        <v>16229</v>
      </c>
      <c r="P34" s="412">
        <f t="shared" si="0"/>
        <v>37941</v>
      </c>
      <c r="Q34" s="412">
        <f t="shared" si="1"/>
        <v>1264.7</v>
      </c>
      <c r="R34" s="413">
        <f t="shared" si="2"/>
        <v>39038</v>
      </c>
      <c r="S34" s="413">
        <f t="shared" si="3"/>
        <v>1301.2666666666667</v>
      </c>
      <c r="T34" s="410">
        <v>1530</v>
      </c>
      <c r="U34" s="411">
        <v>2094</v>
      </c>
      <c r="V34" s="412">
        <f t="shared" si="4"/>
        <v>37941</v>
      </c>
      <c r="W34" s="413">
        <f t="shared" si="5"/>
        <v>39038</v>
      </c>
      <c r="X34" s="410"/>
      <c r="Y34" s="411"/>
      <c r="Z34" s="410"/>
      <c r="AA34" s="411"/>
      <c r="AB34" s="410"/>
      <c r="AC34" s="411"/>
      <c r="AD34" s="410"/>
      <c r="AE34" s="411"/>
      <c r="AF34" s="412">
        <f t="shared" si="6"/>
        <v>0</v>
      </c>
      <c r="AG34" s="412">
        <f t="shared" si="7"/>
        <v>0</v>
      </c>
      <c r="AH34" s="413">
        <f t="shared" si="8"/>
        <v>0</v>
      </c>
      <c r="AI34" s="413">
        <f t="shared" si="9"/>
        <v>0</v>
      </c>
      <c r="AJ34" s="410"/>
      <c r="AK34" s="411"/>
      <c r="AL34" s="412">
        <f t="shared" si="10"/>
        <v>0</v>
      </c>
      <c r="AM34" s="413">
        <f t="shared" si="11"/>
        <v>0</v>
      </c>
      <c r="AN34" s="410"/>
      <c r="AO34" s="411"/>
      <c r="AP34" s="410"/>
      <c r="AQ34" s="411"/>
      <c r="AR34" s="410"/>
      <c r="AS34" s="411"/>
      <c r="AT34" s="410"/>
      <c r="AU34" s="411"/>
      <c r="AV34" s="412">
        <f t="shared" si="12"/>
        <v>0</v>
      </c>
      <c r="AW34" s="412">
        <f t="shared" si="13"/>
        <v>0</v>
      </c>
      <c r="AX34" s="413">
        <f t="shared" si="14"/>
        <v>0</v>
      </c>
      <c r="AY34" s="413">
        <f t="shared" si="15"/>
        <v>0</v>
      </c>
      <c r="AZ34" s="412">
        <f t="shared" si="16"/>
        <v>1264.7</v>
      </c>
      <c r="BA34" s="413">
        <f t="shared" si="17"/>
        <v>1301.2666666666667</v>
      </c>
    </row>
    <row r="35" spans="1:53">
      <c r="A35" s="16" t="s">
        <v>72</v>
      </c>
      <c r="B35" s="513" t="s">
        <v>882</v>
      </c>
      <c r="C35" s="22"/>
      <c r="D35" s="19">
        <v>101143</v>
      </c>
      <c r="E35" s="19">
        <v>10</v>
      </c>
      <c r="F35" s="410"/>
      <c r="G35" s="411"/>
      <c r="H35" s="410"/>
      <c r="I35" s="411"/>
      <c r="J35" s="410">
        <v>14988</v>
      </c>
      <c r="K35" s="411">
        <v>16053</v>
      </c>
      <c r="L35" s="410">
        <v>6342</v>
      </c>
      <c r="M35" s="411">
        <v>6648</v>
      </c>
      <c r="N35" s="410">
        <v>17530</v>
      </c>
      <c r="O35" s="411">
        <v>18814</v>
      </c>
      <c r="P35" s="412">
        <f t="shared" si="0"/>
        <v>38860</v>
      </c>
      <c r="Q35" s="412">
        <f t="shared" si="1"/>
        <v>1295.3333333333333</v>
      </c>
      <c r="R35" s="413">
        <f t="shared" si="2"/>
        <v>41515</v>
      </c>
      <c r="S35" s="413">
        <f t="shared" si="3"/>
        <v>1383.8333333333333</v>
      </c>
      <c r="T35" s="410">
        <v>4434</v>
      </c>
      <c r="U35" s="411">
        <v>5421</v>
      </c>
      <c r="V35" s="412">
        <f t="shared" si="4"/>
        <v>38860</v>
      </c>
      <c r="W35" s="413">
        <f t="shared" si="5"/>
        <v>41515</v>
      </c>
      <c r="X35" s="410"/>
      <c r="Y35" s="411"/>
      <c r="Z35" s="410"/>
      <c r="AA35" s="411"/>
      <c r="AB35" s="410"/>
      <c r="AC35" s="411"/>
      <c r="AD35" s="410"/>
      <c r="AE35" s="411"/>
      <c r="AF35" s="412">
        <f t="shared" si="6"/>
        <v>0</v>
      </c>
      <c r="AG35" s="412">
        <f t="shared" si="7"/>
        <v>0</v>
      </c>
      <c r="AH35" s="413">
        <f t="shared" si="8"/>
        <v>0</v>
      </c>
      <c r="AI35" s="413">
        <f t="shared" si="9"/>
        <v>0</v>
      </c>
      <c r="AJ35" s="410"/>
      <c r="AK35" s="411"/>
      <c r="AL35" s="412">
        <f t="shared" si="10"/>
        <v>0</v>
      </c>
      <c r="AM35" s="413">
        <f t="shared" si="11"/>
        <v>0</v>
      </c>
      <c r="AN35" s="410"/>
      <c r="AO35" s="411"/>
      <c r="AP35" s="410"/>
      <c r="AQ35" s="411"/>
      <c r="AR35" s="410"/>
      <c r="AS35" s="411"/>
      <c r="AT35" s="410"/>
      <c r="AU35" s="411"/>
      <c r="AV35" s="412">
        <f t="shared" si="12"/>
        <v>0</v>
      </c>
      <c r="AW35" s="412">
        <f t="shared" si="13"/>
        <v>0</v>
      </c>
      <c r="AX35" s="413">
        <f t="shared" si="14"/>
        <v>0</v>
      </c>
      <c r="AY35" s="413">
        <f t="shared" si="15"/>
        <v>0</v>
      </c>
      <c r="AZ35" s="412">
        <f t="shared" si="16"/>
        <v>1295.3333333333333</v>
      </c>
      <c r="BA35" s="413">
        <f t="shared" si="17"/>
        <v>1383.8333333333333</v>
      </c>
    </row>
    <row r="36" spans="1:53">
      <c r="A36" s="16" t="s">
        <v>72</v>
      </c>
      <c r="B36" s="17" t="s">
        <v>98</v>
      </c>
      <c r="C36" s="18"/>
      <c r="D36" s="19">
        <v>101301</v>
      </c>
      <c r="E36" s="19">
        <v>10</v>
      </c>
      <c r="F36" s="410"/>
      <c r="G36" s="411"/>
      <c r="H36" s="410"/>
      <c r="I36" s="411"/>
      <c r="J36" s="410">
        <v>13944</v>
      </c>
      <c r="K36" s="411">
        <v>13356</v>
      </c>
      <c r="L36" s="410">
        <v>10785</v>
      </c>
      <c r="M36" s="411">
        <v>9188</v>
      </c>
      <c r="N36" s="410">
        <v>14675</v>
      </c>
      <c r="O36" s="411">
        <v>14072</v>
      </c>
      <c r="P36" s="412">
        <f t="shared" si="0"/>
        <v>39404</v>
      </c>
      <c r="Q36" s="412">
        <f t="shared" si="1"/>
        <v>1313.4666666666667</v>
      </c>
      <c r="R36" s="413">
        <f t="shared" si="2"/>
        <v>36616</v>
      </c>
      <c r="S36" s="413">
        <f t="shared" si="3"/>
        <v>1220.5333333333333</v>
      </c>
      <c r="T36" s="410">
        <v>4889</v>
      </c>
      <c r="U36" s="411">
        <v>5360</v>
      </c>
      <c r="V36" s="412">
        <f t="shared" si="4"/>
        <v>39404</v>
      </c>
      <c r="W36" s="413">
        <f t="shared" si="5"/>
        <v>36616</v>
      </c>
      <c r="X36" s="410"/>
      <c r="Y36" s="411"/>
      <c r="Z36" s="410"/>
      <c r="AA36" s="411"/>
      <c r="AB36" s="410"/>
      <c r="AC36" s="411"/>
      <c r="AD36" s="410"/>
      <c r="AE36" s="411"/>
      <c r="AF36" s="412">
        <f t="shared" si="6"/>
        <v>0</v>
      </c>
      <c r="AG36" s="412">
        <f t="shared" si="7"/>
        <v>0</v>
      </c>
      <c r="AH36" s="413">
        <f t="shared" si="8"/>
        <v>0</v>
      </c>
      <c r="AI36" s="413">
        <f t="shared" si="9"/>
        <v>0</v>
      </c>
      <c r="AJ36" s="410"/>
      <c r="AK36" s="411"/>
      <c r="AL36" s="412">
        <f t="shared" si="10"/>
        <v>0</v>
      </c>
      <c r="AM36" s="413">
        <f t="shared" si="11"/>
        <v>0</v>
      </c>
      <c r="AN36" s="410"/>
      <c r="AO36" s="411"/>
      <c r="AP36" s="410"/>
      <c r="AQ36" s="411"/>
      <c r="AR36" s="410"/>
      <c r="AS36" s="411"/>
      <c r="AT36" s="410"/>
      <c r="AU36" s="411"/>
      <c r="AV36" s="412">
        <f t="shared" si="12"/>
        <v>0</v>
      </c>
      <c r="AW36" s="412">
        <f t="shared" si="13"/>
        <v>0</v>
      </c>
      <c r="AX36" s="413">
        <f t="shared" si="14"/>
        <v>0</v>
      </c>
      <c r="AY36" s="413">
        <f t="shared" si="15"/>
        <v>0</v>
      </c>
      <c r="AZ36" s="412">
        <f t="shared" si="16"/>
        <v>1313.4666666666667</v>
      </c>
      <c r="BA36" s="413">
        <f t="shared" si="17"/>
        <v>1220.5333333333333</v>
      </c>
    </row>
    <row r="37" spans="1:53">
      <c r="A37" s="16" t="s">
        <v>72</v>
      </c>
      <c r="B37" s="17" t="s">
        <v>99</v>
      </c>
      <c r="C37" s="18"/>
      <c r="D37" s="19">
        <v>101602</v>
      </c>
      <c r="E37" s="19">
        <v>10</v>
      </c>
      <c r="F37" s="410"/>
      <c r="G37" s="411"/>
      <c r="H37" s="410"/>
      <c r="I37" s="411"/>
      <c r="J37" s="410">
        <v>15388</v>
      </c>
      <c r="K37" s="411">
        <v>14183</v>
      </c>
      <c r="L37" s="410">
        <v>9134</v>
      </c>
      <c r="M37" s="411">
        <v>7765</v>
      </c>
      <c r="N37" s="410">
        <v>16884</v>
      </c>
      <c r="O37" s="411">
        <v>16847</v>
      </c>
      <c r="P37" s="412">
        <f t="shared" si="0"/>
        <v>41406</v>
      </c>
      <c r="Q37" s="412">
        <f t="shared" si="1"/>
        <v>1380.2</v>
      </c>
      <c r="R37" s="413">
        <f t="shared" si="2"/>
        <v>38795</v>
      </c>
      <c r="S37" s="413">
        <f t="shared" si="3"/>
        <v>1293.1666666666667</v>
      </c>
      <c r="T37" s="410">
        <v>4675</v>
      </c>
      <c r="U37" s="411">
        <v>4880</v>
      </c>
      <c r="V37" s="412">
        <f t="shared" si="4"/>
        <v>41406</v>
      </c>
      <c r="W37" s="413">
        <f t="shared" si="5"/>
        <v>38795</v>
      </c>
      <c r="X37" s="410"/>
      <c r="Y37" s="411"/>
      <c r="Z37" s="410"/>
      <c r="AA37" s="411"/>
      <c r="AB37" s="410"/>
      <c r="AC37" s="411"/>
      <c r="AD37" s="410"/>
      <c r="AE37" s="411"/>
      <c r="AF37" s="412">
        <f t="shared" si="6"/>
        <v>0</v>
      </c>
      <c r="AG37" s="412">
        <f t="shared" si="7"/>
        <v>0</v>
      </c>
      <c r="AH37" s="413">
        <f t="shared" si="8"/>
        <v>0</v>
      </c>
      <c r="AI37" s="413">
        <f t="shared" si="9"/>
        <v>0</v>
      </c>
      <c r="AJ37" s="410"/>
      <c r="AK37" s="411"/>
      <c r="AL37" s="412">
        <f t="shared" si="10"/>
        <v>0</v>
      </c>
      <c r="AM37" s="413">
        <f t="shared" si="11"/>
        <v>0</v>
      </c>
      <c r="AN37" s="410"/>
      <c r="AO37" s="411"/>
      <c r="AP37" s="410"/>
      <c r="AQ37" s="411"/>
      <c r="AR37" s="410"/>
      <c r="AS37" s="411"/>
      <c r="AT37" s="410"/>
      <c r="AU37" s="411"/>
      <c r="AV37" s="412">
        <f t="shared" si="12"/>
        <v>0</v>
      </c>
      <c r="AW37" s="412">
        <f t="shared" si="13"/>
        <v>0</v>
      </c>
      <c r="AX37" s="413">
        <f t="shared" si="14"/>
        <v>0</v>
      </c>
      <c r="AY37" s="413">
        <f t="shared" si="15"/>
        <v>0</v>
      </c>
      <c r="AZ37" s="412">
        <f t="shared" si="16"/>
        <v>1380.2</v>
      </c>
      <c r="BA37" s="413">
        <f t="shared" si="17"/>
        <v>1293.1666666666667</v>
      </c>
    </row>
    <row r="38" spans="1:53">
      <c r="A38" s="16" t="s">
        <v>72</v>
      </c>
      <c r="B38" s="514" t="s">
        <v>883</v>
      </c>
      <c r="C38" s="559" t="s">
        <v>920</v>
      </c>
      <c r="D38" s="19">
        <v>101897</v>
      </c>
      <c r="E38" s="19">
        <v>10</v>
      </c>
      <c r="F38" s="410"/>
      <c r="G38" s="411"/>
      <c r="H38" s="410"/>
      <c r="I38" s="411"/>
      <c r="J38" s="410">
        <v>23207</v>
      </c>
      <c r="K38" s="411">
        <v>23208</v>
      </c>
      <c r="L38" s="410">
        <v>11671</v>
      </c>
      <c r="M38" s="411">
        <v>11392</v>
      </c>
      <c r="N38" s="410">
        <v>25933</v>
      </c>
      <c r="O38" s="411">
        <v>26864</v>
      </c>
      <c r="P38" s="412">
        <f t="shared" si="0"/>
        <v>60811</v>
      </c>
      <c r="Q38" s="412">
        <f t="shared" si="1"/>
        <v>2027.0333333333333</v>
      </c>
      <c r="R38" s="413">
        <f t="shared" si="2"/>
        <v>61464</v>
      </c>
      <c r="S38" s="413">
        <f t="shared" si="3"/>
        <v>2048.8000000000002</v>
      </c>
      <c r="T38" s="410">
        <v>9584</v>
      </c>
      <c r="U38" s="411">
        <v>11057</v>
      </c>
      <c r="V38" s="412">
        <f t="shared" si="4"/>
        <v>60811</v>
      </c>
      <c r="W38" s="413">
        <f t="shared" si="5"/>
        <v>61464</v>
      </c>
      <c r="X38" s="410"/>
      <c r="Y38" s="411"/>
      <c r="Z38" s="410"/>
      <c r="AA38" s="411"/>
      <c r="AB38" s="410"/>
      <c r="AC38" s="411"/>
      <c r="AD38" s="410"/>
      <c r="AE38" s="411"/>
      <c r="AF38" s="412">
        <f t="shared" si="6"/>
        <v>0</v>
      </c>
      <c r="AG38" s="412">
        <f t="shared" si="7"/>
        <v>0</v>
      </c>
      <c r="AH38" s="413">
        <f t="shared" si="8"/>
        <v>0</v>
      </c>
      <c r="AI38" s="413">
        <f t="shared" si="9"/>
        <v>0</v>
      </c>
      <c r="AJ38" s="410"/>
      <c r="AK38" s="411"/>
      <c r="AL38" s="412">
        <f t="shared" si="10"/>
        <v>0</v>
      </c>
      <c r="AM38" s="413">
        <f t="shared" si="11"/>
        <v>0</v>
      </c>
      <c r="AN38" s="410"/>
      <c r="AO38" s="411"/>
      <c r="AP38" s="410"/>
      <c r="AQ38" s="411"/>
      <c r="AR38" s="410"/>
      <c r="AS38" s="411"/>
      <c r="AT38" s="410"/>
      <c r="AU38" s="411"/>
      <c r="AV38" s="412">
        <f t="shared" si="12"/>
        <v>0</v>
      </c>
      <c r="AW38" s="412">
        <f t="shared" si="13"/>
        <v>0</v>
      </c>
      <c r="AX38" s="413">
        <f t="shared" si="14"/>
        <v>0</v>
      </c>
      <c r="AY38" s="413">
        <f t="shared" si="15"/>
        <v>0</v>
      </c>
      <c r="AZ38" s="412">
        <f t="shared" si="16"/>
        <v>2027.0333333333333</v>
      </c>
      <c r="BA38" s="413">
        <f t="shared" si="17"/>
        <v>2048.8000000000002</v>
      </c>
    </row>
    <row r="39" spans="1:53">
      <c r="A39" s="16" t="s">
        <v>72</v>
      </c>
      <c r="B39" s="17" t="s">
        <v>100</v>
      </c>
      <c r="C39" s="559" t="s">
        <v>920</v>
      </c>
      <c r="D39" s="19">
        <v>102076</v>
      </c>
      <c r="E39" s="19">
        <v>10</v>
      </c>
      <c r="F39" s="410"/>
      <c r="G39" s="411"/>
      <c r="H39" s="410"/>
      <c r="I39" s="411"/>
      <c r="J39" s="410">
        <v>22539</v>
      </c>
      <c r="K39" s="411">
        <v>22540</v>
      </c>
      <c r="L39" s="410">
        <v>12939</v>
      </c>
      <c r="M39" s="411">
        <v>13492</v>
      </c>
      <c r="N39" s="410">
        <v>24880</v>
      </c>
      <c r="O39" s="411">
        <v>24145</v>
      </c>
      <c r="P39" s="412">
        <f t="shared" si="0"/>
        <v>60358</v>
      </c>
      <c r="Q39" s="412">
        <f t="shared" si="1"/>
        <v>2011.9333333333334</v>
      </c>
      <c r="R39" s="413">
        <f t="shared" si="2"/>
        <v>60177</v>
      </c>
      <c r="S39" s="413">
        <f t="shared" si="3"/>
        <v>2005.9</v>
      </c>
      <c r="T39" s="410">
        <v>2203</v>
      </c>
      <c r="U39" s="411">
        <v>2600</v>
      </c>
      <c r="V39" s="412">
        <f t="shared" si="4"/>
        <v>60358</v>
      </c>
      <c r="W39" s="413">
        <f t="shared" si="5"/>
        <v>60177</v>
      </c>
      <c r="X39" s="410"/>
      <c r="Y39" s="411"/>
      <c r="Z39" s="410"/>
      <c r="AA39" s="411"/>
      <c r="AB39" s="410"/>
      <c r="AC39" s="411"/>
      <c r="AD39" s="410"/>
      <c r="AE39" s="411"/>
      <c r="AF39" s="412">
        <f t="shared" si="6"/>
        <v>0</v>
      </c>
      <c r="AG39" s="412">
        <f t="shared" si="7"/>
        <v>0</v>
      </c>
      <c r="AH39" s="413">
        <f t="shared" si="8"/>
        <v>0</v>
      </c>
      <c r="AI39" s="413">
        <f t="shared" si="9"/>
        <v>0</v>
      </c>
      <c r="AJ39" s="410"/>
      <c r="AK39" s="411"/>
      <c r="AL39" s="412">
        <f t="shared" si="10"/>
        <v>0</v>
      </c>
      <c r="AM39" s="413">
        <f t="shared" si="11"/>
        <v>0</v>
      </c>
      <c r="AN39" s="410"/>
      <c r="AO39" s="411"/>
      <c r="AP39" s="410"/>
      <c r="AQ39" s="411"/>
      <c r="AR39" s="410"/>
      <c r="AS39" s="411"/>
      <c r="AT39" s="410"/>
      <c r="AU39" s="411"/>
      <c r="AV39" s="412">
        <f t="shared" si="12"/>
        <v>0</v>
      </c>
      <c r="AW39" s="412">
        <f t="shared" si="13"/>
        <v>0</v>
      </c>
      <c r="AX39" s="413">
        <f t="shared" si="14"/>
        <v>0</v>
      </c>
      <c r="AY39" s="413">
        <f t="shared" si="15"/>
        <v>0</v>
      </c>
      <c r="AZ39" s="412">
        <f t="shared" si="16"/>
        <v>2011.9333333333334</v>
      </c>
      <c r="BA39" s="413">
        <f t="shared" si="17"/>
        <v>2005.9</v>
      </c>
    </row>
    <row r="40" spans="1:53">
      <c r="A40" s="16" t="s">
        <v>72</v>
      </c>
      <c r="B40" s="31" t="s">
        <v>884</v>
      </c>
      <c r="C40" s="414"/>
      <c r="D40" s="19">
        <v>102313</v>
      </c>
      <c r="E40" s="19">
        <v>12</v>
      </c>
      <c r="F40" s="410"/>
      <c r="G40" s="411"/>
      <c r="H40" s="410"/>
      <c r="I40" s="411"/>
      <c r="J40" s="410">
        <v>16098</v>
      </c>
      <c r="K40" s="411">
        <v>16722</v>
      </c>
      <c r="L40" s="410">
        <v>8632</v>
      </c>
      <c r="M40" s="411">
        <v>8588</v>
      </c>
      <c r="N40" s="410">
        <v>17221</v>
      </c>
      <c r="O40" s="411">
        <v>19027</v>
      </c>
      <c r="P40" s="412">
        <f t="shared" si="0"/>
        <v>41951</v>
      </c>
      <c r="Q40" s="412">
        <f t="shared" si="1"/>
        <v>1398.3666666666666</v>
      </c>
      <c r="R40" s="413">
        <f t="shared" si="2"/>
        <v>44337</v>
      </c>
      <c r="S40" s="413">
        <f t="shared" si="3"/>
        <v>1477.9</v>
      </c>
      <c r="T40" s="410">
        <v>2007</v>
      </c>
      <c r="U40" s="411">
        <v>1993</v>
      </c>
      <c r="V40" s="412">
        <f t="shared" si="4"/>
        <v>41951</v>
      </c>
      <c r="W40" s="413">
        <f t="shared" si="5"/>
        <v>44337</v>
      </c>
      <c r="X40" s="410"/>
      <c r="Y40" s="411"/>
      <c r="Z40" s="410"/>
      <c r="AA40" s="411"/>
      <c r="AB40" s="410"/>
      <c r="AC40" s="411"/>
      <c r="AD40" s="410"/>
      <c r="AE40" s="411"/>
      <c r="AF40" s="412">
        <f t="shared" si="6"/>
        <v>0</v>
      </c>
      <c r="AG40" s="412">
        <f t="shared" si="7"/>
        <v>0</v>
      </c>
      <c r="AH40" s="413">
        <f t="shared" si="8"/>
        <v>0</v>
      </c>
      <c r="AI40" s="413">
        <f t="shared" si="9"/>
        <v>0</v>
      </c>
      <c r="AJ40" s="410"/>
      <c r="AK40" s="411"/>
      <c r="AL40" s="412">
        <f t="shared" si="10"/>
        <v>0</v>
      </c>
      <c r="AM40" s="413">
        <f t="shared" si="11"/>
        <v>0</v>
      </c>
      <c r="AN40" s="410"/>
      <c r="AO40" s="411"/>
      <c r="AP40" s="410"/>
      <c r="AQ40" s="411"/>
      <c r="AR40" s="410"/>
      <c r="AS40" s="411"/>
      <c r="AT40" s="410"/>
      <c r="AU40" s="411"/>
      <c r="AV40" s="412">
        <f t="shared" si="12"/>
        <v>0</v>
      </c>
      <c r="AW40" s="412">
        <f t="shared" si="13"/>
        <v>0</v>
      </c>
      <c r="AX40" s="413">
        <f t="shared" si="14"/>
        <v>0</v>
      </c>
      <c r="AY40" s="413">
        <f t="shared" si="15"/>
        <v>0</v>
      </c>
      <c r="AZ40" s="412">
        <f t="shared" si="16"/>
        <v>1398.3666666666666</v>
      </c>
      <c r="BA40" s="413">
        <f t="shared" si="17"/>
        <v>1477.9</v>
      </c>
    </row>
    <row r="41" spans="1:53">
      <c r="A41" s="16" t="s">
        <v>72</v>
      </c>
      <c r="B41" s="31" t="s">
        <v>885</v>
      </c>
      <c r="C41" s="18"/>
      <c r="D41" s="19">
        <v>101462</v>
      </c>
      <c r="E41" s="19">
        <v>13</v>
      </c>
      <c r="F41" s="410"/>
      <c r="G41" s="411"/>
      <c r="H41" s="410"/>
      <c r="I41" s="411"/>
      <c r="J41" s="410">
        <v>6616</v>
      </c>
      <c r="K41" s="411">
        <v>6332</v>
      </c>
      <c r="L41" s="410">
        <v>3331</v>
      </c>
      <c r="M41" s="411">
        <v>2997</v>
      </c>
      <c r="N41" s="410">
        <v>7303</v>
      </c>
      <c r="O41" s="411">
        <v>6673</v>
      </c>
      <c r="P41" s="412">
        <f t="shared" si="0"/>
        <v>17250</v>
      </c>
      <c r="Q41" s="412">
        <f t="shared" si="1"/>
        <v>575</v>
      </c>
      <c r="R41" s="413">
        <f t="shared" si="2"/>
        <v>16002</v>
      </c>
      <c r="S41" s="413">
        <f t="shared" si="3"/>
        <v>533.4</v>
      </c>
      <c r="T41" s="410">
        <v>1202</v>
      </c>
      <c r="U41" s="411">
        <v>1060</v>
      </c>
      <c r="V41" s="412">
        <f t="shared" si="4"/>
        <v>17250</v>
      </c>
      <c r="W41" s="413">
        <f t="shared" si="5"/>
        <v>16002</v>
      </c>
      <c r="X41" s="410"/>
      <c r="Y41" s="411"/>
      <c r="Z41" s="410"/>
      <c r="AA41" s="411"/>
      <c r="AB41" s="410"/>
      <c r="AC41" s="411"/>
      <c r="AD41" s="410"/>
      <c r="AE41" s="411"/>
      <c r="AF41" s="412">
        <f t="shared" si="6"/>
        <v>0</v>
      </c>
      <c r="AG41" s="412">
        <f t="shared" si="7"/>
        <v>0</v>
      </c>
      <c r="AH41" s="413">
        <f t="shared" si="8"/>
        <v>0</v>
      </c>
      <c r="AI41" s="413">
        <f t="shared" si="9"/>
        <v>0</v>
      </c>
      <c r="AJ41" s="410"/>
      <c r="AK41" s="411"/>
      <c r="AL41" s="412">
        <f t="shared" si="10"/>
        <v>0</v>
      </c>
      <c r="AM41" s="413">
        <f t="shared" si="11"/>
        <v>0</v>
      </c>
      <c r="AN41" s="410"/>
      <c r="AO41" s="411"/>
      <c r="AP41" s="410"/>
      <c r="AQ41" s="411"/>
      <c r="AR41" s="410"/>
      <c r="AS41" s="411"/>
      <c r="AT41" s="410"/>
      <c r="AU41" s="411"/>
      <c r="AV41" s="412">
        <f t="shared" si="12"/>
        <v>0</v>
      </c>
      <c r="AW41" s="412">
        <f t="shared" si="13"/>
        <v>0</v>
      </c>
      <c r="AX41" s="413">
        <f t="shared" si="14"/>
        <v>0</v>
      </c>
      <c r="AY41" s="413">
        <f t="shared" si="15"/>
        <v>0</v>
      </c>
      <c r="AZ41" s="412">
        <f t="shared" si="16"/>
        <v>575</v>
      </c>
      <c r="BA41" s="413">
        <f t="shared" si="17"/>
        <v>533.4</v>
      </c>
    </row>
    <row r="42" spans="1:53">
      <c r="A42" s="16" t="s">
        <v>72</v>
      </c>
      <c r="B42" s="17" t="s">
        <v>101</v>
      </c>
      <c r="C42" s="18"/>
      <c r="D42" s="19">
        <v>101471</v>
      </c>
      <c r="E42" s="19">
        <v>13</v>
      </c>
      <c r="F42" s="410"/>
      <c r="G42" s="411"/>
      <c r="H42" s="410"/>
      <c r="I42" s="411"/>
      <c r="J42" s="410">
        <v>5139</v>
      </c>
      <c r="K42" s="411">
        <v>6409</v>
      </c>
      <c r="L42" s="410">
        <v>4200</v>
      </c>
      <c r="M42" s="411">
        <v>5608</v>
      </c>
      <c r="N42" s="410">
        <v>5655</v>
      </c>
      <c r="O42" s="411">
        <v>6336</v>
      </c>
      <c r="P42" s="412">
        <f t="shared" si="0"/>
        <v>14994</v>
      </c>
      <c r="Q42" s="412">
        <f t="shared" si="1"/>
        <v>499.8</v>
      </c>
      <c r="R42" s="413">
        <f t="shared" si="2"/>
        <v>18353</v>
      </c>
      <c r="S42" s="413">
        <f t="shared" si="3"/>
        <v>611.76666666666665</v>
      </c>
      <c r="T42" s="410">
        <v>0</v>
      </c>
      <c r="U42" s="411">
        <v>0</v>
      </c>
      <c r="V42" s="412">
        <f t="shared" si="4"/>
        <v>14994</v>
      </c>
      <c r="W42" s="413">
        <f t="shared" si="5"/>
        <v>18353</v>
      </c>
      <c r="X42" s="410"/>
      <c r="Y42" s="411"/>
      <c r="Z42" s="410"/>
      <c r="AA42" s="411"/>
      <c r="AB42" s="410"/>
      <c r="AC42" s="411"/>
      <c r="AD42" s="410"/>
      <c r="AE42" s="411"/>
      <c r="AF42" s="412">
        <f t="shared" si="6"/>
        <v>0</v>
      </c>
      <c r="AG42" s="412">
        <f t="shared" si="7"/>
        <v>0</v>
      </c>
      <c r="AH42" s="413">
        <f t="shared" si="8"/>
        <v>0</v>
      </c>
      <c r="AI42" s="413">
        <f t="shared" si="9"/>
        <v>0</v>
      </c>
      <c r="AJ42" s="410"/>
      <c r="AK42" s="411"/>
      <c r="AL42" s="412">
        <f t="shared" si="10"/>
        <v>0</v>
      </c>
      <c r="AM42" s="413">
        <f t="shared" si="11"/>
        <v>0</v>
      </c>
      <c r="AN42" s="410"/>
      <c r="AO42" s="411"/>
      <c r="AP42" s="410"/>
      <c r="AQ42" s="411"/>
      <c r="AR42" s="410"/>
      <c r="AS42" s="411"/>
      <c r="AT42" s="410"/>
      <c r="AU42" s="411"/>
      <c r="AV42" s="412">
        <f t="shared" si="12"/>
        <v>0</v>
      </c>
      <c r="AW42" s="412">
        <f t="shared" si="13"/>
        <v>0</v>
      </c>
      <c r="AX42" s="413">
        <f t="shared" si="14"/>
        <v>0</v>
      </c>
      <c r="AY42" s="413">
        <f t="shared" si="15"/>
        <v>0</v>
      </c>
      <c r="AZ42" s="412">
        <f t="shared" si="16"/>
        <v>499.8</v>
      </c>
      <c r="BA42" s="413">
        <f t="shared" si="17"/>
        <v>611.76666666666665</v>
      </c>
    </row>
    <row r="43" spans="1:53">
      <c r="A43" s="16" t="s">
        <v>72</v>
      </c>
      <c r="B43" s="17" t="s">
        <v>102</v>
      </c>
      <c r="C43" s="18"/>
      <c r="D43" s="19">
        <v>101994</v>
      </c>
      <c r="E43" s="19">
        <v>13</v>
      </c>
      <c r="F43" s="410"/>
      <c r="G43" s="411"/>
      <c r="H43" s="410"/>
      <c r="I43" s="411"/>
      <c r="J43" s="410">
        <v>3007</v>
      </c>
      <c r="K43" s="411">
        <v>3900</v>
      </c>
      <c r="L43" s="410">
        <v>2083</v>
      </c>
      <c r="M43" s="411">
        <v>2531</v>
      </c>
      <c r="N43" s="410">
        <v>3627</v>
      </c>
      <c r="O43" s="411">
        <v>4329</v>
      </c>
      <c r="P43" s="412">
        <f t="shared" si="0"/>
        <v>8717</v>
      </c>
      <c r="Q43" s="412">
        <f t="shared" si="1"/>
        <v>290.56666666666666</v>
      </c>
      <c r="R43" s="413">
        <f t="shared" si="2"/>
        <v>10760</v>
      </c>
      <c r="S43" s="413">
        <f t="shared" si="3"/>
        <v>358.66666666666669</v>
      </c>
      <c r="T43" s="410">
        <v>1089</v>
      </c>
      <c r="U43" s="411">
        <v>1227</v>
      </c>
      <c r="V43" s="412">
        <f t="shared" si="4"/>
        <v>8717</v>
      </c>
      <c r="W43" s="413">
        <f t="shared" si="5"/>
        <v>10760</v>
      </c>
      <c r="X43" s="410"/>
      <c r="Y43" s="411"/>
      <c r="Z43" s="410"/>
      <c r="AA43" s="411"/>
      <c r="AB43" s="410"/>
      <c r="AC43" s="411"/>
      <c r="AD43" s="410"/>
      <c r="AE43" s="411"/>
      <c r="AF43" s="412">
        <f t="shared" si="6"/>
        <v>0</v>
      </c>
      <c r="AG43" s="412">
        <f t="shared" si="7"/>
        <v>0</v>
      </c>
      <c r="AH43" s="413">
        <f t="shared" si="8"/>
        <v>0</v>
      </c>
      <c r="AI43" s="413">
        <f t="shared" si="9"/>
        <v>0</v>
      </c>
      <c r="AJ43" s="410"/>
      <c r="AK43" s="411"/>
      <c r="AL43" s="412">
        <f t="shared" si="10"/>
        <v>0</v>
      </c>
      <c r="AM43" s="413">
        <f t="shared" si="11"/>
        <v>0</v>
      </c>
      <c r="AN43" s="410"/>
      <c r="AO43" s="411"/>
      <c r="AP43" s="410"/>
      <c r="AQ43" s="411"/>
      <c r="AR43" s="410"/>
      <c r="AS43" s="411"/>
      <c r="AT43" s="410"/>
      <c r="AU43" s="411"/>
      <c r="AV43" s="412">
        <f t="shared" si="12"/>
        <v>0</v>
      </c>
      <c r="AW43" s="412">
        <f t="shared" si="13"/>
        <v>0</v>
      </c>
      <c r="AX43" s="413">
        <f t="shared" si="14"/>
        <v>0</v>
      </c>
      <c r="AY43" s="413">
        <f t="shared" si="15"/>
        <v>0</v>
      </c>
      <c r="AZ43" s="412">
        <f t="shared" si="16"/>
        <v>290.56666666666666</v>
      </c>
      <c r="BA43" s="413">
        <f t="shared" si="17"/>
        <v>358.66666666666669</v>
      </c>
    </row>
    <row r="44" spans="1:53">
      <c r="A44" s="415" t="s">
        <v>103</v>
      </c>
      <c r="B44" s="14" t="s">
        <v>104</v>
      </c>
      <c r="C44" s="416"/>
      <c r="D44" s="13">
        <v>106397</v>
      </c>
      <c r="E44" s="417">
        <v>1</v>
      </c>
      <c r="F44" s="410" t="s">
        <v>74</v>
      </c>
      <c r="G44" s="411" t="s">
        <v>74</v>
      </c>
      <c r="H44" s="410"/>
      <c r="I44" s="411"/>
      <c r="J44" s="410">
        <v>297490</v>
      </c>
      <c r="K44" s="411">
        <v>300858</v>
      </c>
      <c r="L44" s="410">
        <v>42668</v>
      </c>
      <c r="M44" s="411">
        <v>42576</v>
      </c>
      <c r="N44" s="410">
        <v>326794</v>
      </c>
      <c r="O44" s="411">
        <v>320340</v>
      </c>
      <c r="P44" s="412">
        <f t="shared" si="0"/>
        <v>666952</v>
      </c>
      <c r="Q44" s="412">
        <f t="shared" si="1"/>
        <v>22231.733333333334</v>
      </c>
      <c r="R44" s="413">
        <f t="shared" si="2"/>
        <v>663774</v>
      </c>
      <c r="S44" s="413">
        <f t="shared" si="3"/>
        <v>22125.8</v>
      </c>
      <c r="T44" s="410">
        <v>2241</v>
      </c>
      <c r="U44" s="411">
        <v>1941</v>
      </c>
      <c r="V44" s="412">
        <f t="shared" si="4"/>
        <v>666952</v>
      </c>
      <c r="W44" s="413">
        <f t="shared" si="5"/>
        <v>663774</v>
      </c>
      <c r="X44" s="410"/>
      <c r="Y44" s="411"/>
      <c r="Z44" s="410"/>
      <c r="AA44" s="411"/>
      <c r="AB44" s="410"/>
      <c r="AC44" s="411"/>
      <c r="AD44" s="410"/>
      <c r="AE44" s="411"/>
      <c r="AF44" s="412">
        <f t="shared" si="6"/>
        <v>0</v>
      </c>
      <c r="AG44" s="412">
        <f t="shared" si="7"/>
        <v>0</v>
      </c>
      <c r="AH44" s="413">
        <f t="shared" si="8"/>
        <v>0</v>
      </c>
      <c r="AI44" s="413">
        <f t="shared" si="9"/>
        <v>0</v>
      </c>
      <c r="AJ44" s="410"/>
      <c r="AK44" s="411"/>
      <c r="AL44" s="412">
        <f t="shared" si="10"/>
        <v>0</v>
      </c>
      <c r="AM44" s="413">
        <f t="shared" si="11"/>
        <v>0</v>
      </c>
      <c r="AN44" s="410"/>
      <c r="AO44" s="411"/>
      <c r="AP44" s="410">
        <v>32883</v>
      </c>
      <c r="AQ44" s="411">
        <v>31509</v>
      </c>
      <c r="AR44" s="410">
        <v>12126</v>
      </c>
      <c r="AS44" s="411">
        <v>12147</v>
      </c>
      <c r="AT44" s="410">
        <v>32937</v>
      </c>
      <c r="AU44" s="411">
        <v>33907</v>
      </c>
      <c r="AV44" s="412">
        <f t="shared" si="12"/>
        <v>77946</v>
      </c>
      <c r="AW44" s="412">
        <f t="shared" si="13"/>
        <v>3247.75</v>
      </c>
      <c r="AX44" s="413">
        <f t="shared" si="14"/>
        <v>77563</v>
      </c>
      <c r="AY44" s="413">
        <f t="shared" si="15"/>
        <v>3231.7916666666665</v>
      </c>
      <c r="AZ44" s="412">
        <f t="shared" si="16"/>
        <v>25479.483333333334</v>
      </c>
      <c r="BA44" s="413">
        <f t="shared" si="17"/>
        <v>25357.591666666667</v>
      </c>
    </row>
    <row r="45" spans="1:53">
      <c r="A45" s="415" t="s">
        <v>103</v>
      </c>
      <c r="B45" s="14" t="s">
        <v>105</v>
      </c>
      <c r="C45" s="416"/>
      <c r="D45" s="13">
        <v>106245</v>
      </c>
      <c r="E45" s="417">
        <v>2</v>
      </c>
      <c r="F45" s="410" t="s">
        <v>74</v>
      </c>
      <c r="G45" s="411" t="s">
        <v>74</v>
      </c>
      <c r="H45" s="410"/>
      <c r="I45" s="411"/>
      <c r="J45" s="410">
        <v>88310</v>
      </c>
      <c r="K45" s="411">
        <v>77296</v>
      </c>
      <c r="L45" s="410">
        <v>17679</v>
      </c>
      <c r="M45" s="411">
        <v>17476</v>
      </c>
      <c r="N45" s="410">
        <v>85902</v>
      </c>
      <c r="O45" s="411">
        <v>80450</v>
      </c>
      <c r="P45" s="412">
        <f t="shared" si="0"/>
        <v>191891</v>
      </c>
      <c r="Q45" s="412">
        <f t="shared" si="1"/>
        <v>6396.3666666666668</v>
      </c>
      <c r="R45" s="413">
        <f t="shared" si="2"/>
        <v>175222</v>
      </c>
      <c r="S45" s="413">
        <f t="shared" si="3"/>
        <v>5840.7333333333336</v>
      </c>
      <c r="T45" s="410">
        <v>17871</v>
      </c>
      <c r="U45" s="411">
        <v>12084</v>
      </c>
      <c r="V45" s="412">
        <f t="shared" si="4"/>
        <v>191891</v>
      </c>
      <c r="W45" s="413">
        <f t="shared" si="5"/>
        <v>175222</v>
      </c>
      <c r="X45" s="410"/>
      <c r="Y45" s="411"/>
      <c r="Z45" s="410"/>
      <c r="AA45" s="411"/>
      <c r="AB45" s="410"/>
      <c r="AC45" s="411"/>
      <c r="AD45" s="410"/>
      <c r="AE45" s="411"/>
      <c r="AF45" s="412">
        <f t="shared" si="6"/>
        <v>0</v>
      </c>
      <c r="AG45" s="412">
        <f t="shared" si="7"/>
        <v>0</v>
      </c>
      <c r="AH45" s="413">
        <f t="shared" si="8"/>
        <v>0</v>
      </c>
      <c r="AI45" s="413">
        <f t="shared" si="9"/>
        <v>0</v>
      </c>
      <c r="AJ45" s="410"/>
      <c r="AK45" s="411"/>
      <c r="AL45" s="412">
        <f t="shared" si="10"/>
        <v>0</v>
      </c>
      <c r="AM45" s="413">
        <f t="shared" si="11"/>
        <v>0</v>
      </c>
      <c r="AN45" s="410"/>
      <c r="AO45" s="411"/>
      <c r="AP45" s="410">
        <v>18334</v>
      </c>
      <c r="AQ45" s="411">
        <v>18227</v>
      </c>
      <c r="AR45" s="410">
        <v>4581</v>
      </c>
      <c r="AS45" s="411">
        <v>4053</v>
      </c>
      <c r="AT45" s="410">
        <v>19096</v>
      </c>
      <c r="AU45" s="411">
        <v>16968</v>
      </c>
      <c r="AV45" s="412">
        <f t="shared" si="12"/>
        <v>42011</v>
      </c>
      <c r="AW45" s="412">
        <f t="shared" si="13"/>
        <v>1750.4583333333333</v>
      </c>
      <c r="AX45" s="413">
        <f t="shared" si="14"/>
        <v>39248</v>
      </c>
      <c r="AY45" s="413">
        <f t="shared" si="15"/>
        <v>1635.3333333333333</v>
      </c>
      <c r="AZ45" s="412">
        <f t="shared" si="16"/>
        <v>8146.8249999999998</v>
      </c>
      <c r="BA45" s="413">
        <f t="shared" si="17"/>
        <v>7476.0666666666666</v>
      </c>
    </row>
    <row r="46" spans="1:53">
      <c r="A46" s="415" t="s">
        <v>103</v>
      </c>
      <c r="B46" s="14" t="s">
        <v>106</v>
      </c>
      <c r="C46" s="416"/>
      <c r="D46" s="13">
        <v>106458</v>
      </c>
      <c r="E46" s="417">
        <v>3</v>
      </c>
      <c r="F46" s="410" t="s">
        <v>74</v>
      </c>
      <c r="G46" s="411" t="s">
        <v>74</v>
      </c>
      <c r="H46" s="410"/>
      <c r="I46" s="411"/>
      <c r="J46" s="410">
        <v>115454</v>
      </c>
      <c r="K46" s="411">
        <v>112143</v>
      </c>
      <c r="L46" s="410">
        <v>19521</v>
      </c>
      <c r="M46" s="411">
        <v>19137</v>
      </c>
      <c r="N46" s="410">
        <v>123261</v>
      </c>
      <c r="O46" s="411">
        <v>117994</v>
      </c>
      <c r="P46" s="412">
        <f t="shared" si="0"/>
        <v>258236</v>
      </c>
      <c r="Q46" s="412">
        <f t="shared" si="1"/>
        <v>8607.8666666666668</v>
      </c>
      <c r="R46" s="413">
        <f t="shared" si="2"/>
        <v>249274</v>
      </c>
      <c r="S46" s="413">
        <f t="shared" si="3"/>
        <v>8309.1333333333332</v>
      </c>
      <c r="T46" s="410">
        <v>7382</v>
      </c>
      <c r="U46" s="411">
        <v>7449</v>
      </c>
      <c r="V46" s="412">
        <f t="shared" si="4"/>
        <v>258236</v>
      </c>
      <c r="W46" s="413">
        <f t="shared" si="5"/>
        <v>249274</v>
      </c>
      <c r="X46" s="410"/>
      <c r="Y46" s="411"/>
      <c r="Z46" s="410"/>
      <c r="AA46" s="411"/>
      <c r="AB46" s="410"/>
      <c r="AC46" s="411"/>
      <c r="AD46" s="410"/>
      <c r="AE46" s="411"/>
      <c r="AF46" s="412">
        <f t="shared" si="6"/>
        <v>0</v>
      </c>
      <c r="AG46" s="412">
        <f t="shared" si="7"/>
        <v>0</v>
      </c>
      <c r="AH46" s="413">
        <f t="shared" si="8"/>
        <v>0</v>
      </c>
      <c r="AI46" s="413">
        <f t="shared" si="9"/>
        <v>0</v>
      </c>
      <c r="AJ46" s="410"/>
      <c r="AK46" s="411"/>
      <c r="AL46" s="412">
        <f t="shared" si="10"/>
        <v>0</v>
      </c>
      <c r="AM46" s="413">
        <f t="shared" si="11"/>
        <v>0</v>
      </c>
      <c r="AN46" s="410"/>
      <c r="AO46" s="411"/>
      <c r="AP46" s="410">
        <v>36421</v>
      </c>
      <c r="AQ46" s="411">
        <v>36882</v>
      </c>
      <c r="AR46" s="410">
        <v>30216</v>
      </c>
      <c r="AS46" s="411">
        <v>29940</v>
      </c>
      <c r="AT46" s="410">
        <v>34897</v>
      </c>
      <c r="AU46" s="411">
        <v>36131</v>
      </c>
      <c r="AV46" s="412">
        <f t="shared" si="12"/>
        <v>101534</v>
      </c>
      <c r="AW46" s="412">
        <f t="shared" si="13"/>
        <v>4230.583333333333</v>
      </c>
      <c r="AX46" s="413">
        <f t="shared" si="14"/>
        <v>102953</v>
      </c>
      <c r="AY46" s="413">
        <f t="shared" si="15"/>
        <v>4289.708333333333</v>
      </c>
      <c r="AZ46" s="412">
        <f t="shared" si="16"/>
        <v>12838.45</v>
      </c>
      <c r="BA46" s="413">
        <f t="shared" si="17"/>
        <v>12598.841666666667</v>
      </c>
    </row>
    <row r="47" spans="1:53">
      <c r="A47" s="415" t="s">
        <v>103</v>
      </c>
      <c r="B47" s="14" t="s">
        <v>107</v>
      </c>
      <c r="C47" s="418"/>
      <c r="D47" s="13">
        <v>106467</v>
      </c>
      <c r="E47" s="417">
        <v>3</v>
      </c>
      <c r="F47" s="410" t="s">
        <v>74</v>
      </c>
      <c r="G47" s="411" t="s">
        <v>74</v>
      </c>
      <c r="H47" s="410"/>
      <c r="I47" s="411"/>
      <c r="J47" s="410">
        <v>108527</v>
      </c>
      <c r="K47" s="411">
        <v>106847</v>
      </c>
      <c r="L47" s="410">
        <v>13910</v>
      </c>
      <c r="M47" s="411">
        <v>13392</v>
      </c>
      <c r="N47" s="410">
        <v>120136</v>
      </c>
      <c r="O47" s="411">
        <v>120865</v>
      </c>
      <c r="P47" s="412">
        <f t="shared" si="0"/>
        <v>242573</v>
      </c>
      <c r="Q47" s="412">
        <f t="shared" si="1"/>
        <v>8085.7666666666664</v>
      </c>
      <c r="R47" s="413">
        <f t="shared" si="2"/>
        <v>241104</v>
      </c>
      <c r="S47" s="413">
        <f t="shared" si="3"/>
        <v>8036.8</v>
      </c>
      <c r="T47" s="410">
        <v>23137</v>
      </c>
      <c r="U47" s="411">
        <v>24854</v>
      </c>
      <c r="V47" s="412">
        <f t="shared" si="4"/>
        <v>242573</v>
      </c>
      <c r="W47" s="413">
        <f t="shared" si="5"/>
        <v>241104</v>
      </c>
      <c r="X47" s="410"/>
      <c r="Y47" s="411"/>
      <c r="Z47" s="410"/>
      <c r="AA47" s="411"/>
      <c r="AB47" s="410"/>
      <c r="AC47" s="411"/>
      <c r="AD47" s="410"/>
      <c r="AE47" s="411"/>
      <c r="AF47" s="412">
        <f t="shared" si="6"/>
        <v>0</v>
      </c>
      <c r="AG47" s="412">
        <f t="shared" si="7"/>
        <v>0</v>
      </c>
      <c r="AH47" s="413">
        <f t="shared" si="8"/>
        <v>0</v>
      </c>
      <c r="AI47" s="413">
        <f t="shared" si="9"/>
        <v>0</v>
      </c>
      <c r="AJ47" s="410"/>
      <c r="AK47" s="411"/>
      <c r="AL47" s="412">
        <f t="shared" si="10"/>
        <v>0</v>
      </c>
      <c r="AM47" s="413">
        <f t="shared" si="11"/>
        <v>0</v>
      </c>
      <c r="AN47" s="410"/>
      <c r="AO47" s="411"/>
      <c r="AP47" s="410">
        <v>6029</v>
      </c>
      <c r="AQ47" s="411">
        <v>5319</v>
      </c>
      <c r="AR47" s="410">
        <v>3702</v>
      </c>
      <c r="AS47" s="411">
        <v>3032</v>
      </c>
      <c r="AT47" s="410">
        <v>5633</v>
      </c>
      <c r="AU47" s="411">
        <v>4799</v>
      </c>
      <c r="AV47" s="412">
        <f t="shared" si="12"/>
        <v>15364</v>
      </c>
      <c r="AW47" s="412">
        <f t="shared" si="13"/>
        <v>640.16666666666663</v>
      </c>
      <c r="AX47" s="413">
        <f t="shared" si="14"/>
        <v>13150</v>
      </c>
      <c r="AY47" s="413">
        <f t="shared" si="15"/>
        <v>547.91666666666663</v>
      </c>
      <c r="AZ47" s="412">
        <f t="shared" si="16"/>
        <v>8725.9333333333325</v>
      </c>
      <c r="BA47" s="413">
        <f t="shared" si="17"/>
        <v>8584.7166666666672</v>
      </c>
    </row>
    <row r="48" spans="1:53">
      <c r="A48" s="415" t="s">
        <v>103</v>
      </c>
      <c r="B48" s="14" t="s">
        <v>108</v>
      </c>
      <c r="C48" s="416"/>
      <c r="D48" s="13">
        <v>106704</v>
      </c>
      <c r="E48" s="417">
        <v>3</v>
      </c>
      <c r="F48" s="410" t="s">
        <v>74</v>
      </c>
      <c r="G48" s="411" t="s">
        <v>74</v>
      </c>
      <c r="H48" s="410"/>
      <c r="I48" s="411"/>
      <c r="J48" s="410">
        <v>115975</v>
      </c>
      <c r="K48" s="411">
        <v>114661</v>
      </c>
      <c r="L48" s="410">
        <v>17492</v>
      </c>
      <c r="M48" s="411">
        <v>16563</v>
      </c>
      <c r="N48" s="410">
        <v>128923</v>
      </c>
      <c r="O48" s="411">
        <v>124254</v>
      </c>
      <c r="P48" s="412">
        <f t="shared" si="0"/>
        <v>262390</v>
      </c>
      <c r="Q48" s="412">
        <f t="shared" si="1"/>
        <v>8746.3333333333339</v>
      </c>
      <c r="R48" s="413">
        <f t="shared" si="2"/>
        <v>255478</v>
      </c>
      <c r="S48" s="413">
        <f t="shared" si="3"/>
        <v>8515.9333333333325</v>
      </c>
      <c r="T48" s="410">
        <v>3405</v>
      </c>
      <c r="U48" s="411">
        <v>4216</v>
      </c>
      <c r="V48" s="412">
        <f t="shared" si="4"/>
        <v>262390</v>
      </c>
      <c r="W48" s="413">
        <f t="shared" si="5"/>
        <v>255478</v>
      </c>
      <c r="X48" s="410"/>
      <c r="Y48" s="411"/>
      <c r="Z48" s="410"/>
      <c r="AA48" s="411"/>
      <c r="AB48" s="410"/>
      <c r="AC48" s="411"/>
      <c r="AD48" s="410"/>
      <c r="AE48" s="411"/>
      <c r="AF48" s="412">
        <f t="shared" si="6"/>
        <v>0</v>
      </c>
      <c r="AG48" s="412">
        <f t="shared" si="7"/>
        <v>0</v>
      </c>
      <c r="AH48" s="413">
        <f t="shared" si="8"/>
        <v>0</v>
      </c>
      <c r="AI48" s="413">
        <f t="shared" si="9"/>
        <v>0</v>
      </c>
      <c r="AJ48" s="410"/>
      <c r="AK48" s="411"/>
      <c r="AL48" s="412">
        <f t="shared" si="10"/>
        <v>0</v>
      </c>
      <c r="AM48" s="413">
        <f t="shared" si="11"/>
        <v>0</v>
      </c>
      <c r="AN48" s="410"/>
      <c r="AO48" s="411"/>
      <c r="AP48" s="410">
        <v>12751</v>
      </c>
      <c r="AQ48" s="411">
        <v>12883</v>
      </c>
      <c r="AR48" s="410">
        <v>9515</v>
      </c>
      <c r="AS48" s="411">
        <v>9534</v>
      </c>
      <c r="AT48" s="410">
        <v>14277</v>
      </c>
      <c r="AU48" s="411">
        <v>14275</v>
      </c>
      <c r="AV48" s="412">
        <f t="shared" si="12"/>
        <v>36543</v>
      </c>
      <c r="AW48" s="412">
        <f t="shared" si="13"/>
        <v>1522.625</v>
      </c>
      <c r="AX48" s="413">
        <f t="shared" si="14"/>
        <v>36692</v>
      </c>
      <c r="AY48" s="413">
        <f t="shared" si="15"/>
        <v>1528.8333333333333</v>
      </c>
      <c r="AZ48" s="412">
        <f t="shared" si="16"/>
        <v>10268.958333333334</v>
      </c>
      <c r="BA48" s="413">
        <f t="shared" si="17"/>
        <v>10044.766666666666</v>
      </c>
    </row>
    <row r="49" spans="1:53">
      <c r="A49" s="415" t="s">
        <v>103</v>
      </c>
      <c r="B49" s="14" t="s">
        <v>109</v>
      </c>
      <c r="C49" s="416"/>
      <c r="D49" s="13">
        <v>107071</v>
      </c>
      <c r="E49" s="417">
        <v>4</v>
      </c>
      <c r="F49" s="410" t="s">
        <v>74</v>
      </c>
      <c r="G49" s="411" t="s">
        <v>74</v>
      </c>
      <c r="H49" s="410"/>
      <c r="I49" s="411"/>
      <c r="J49" s="410">
        <v>37620</v>
      </c>
      <c r="K49" s="411">
        <v>40753</v>
      </c>
      <c r="L49" s="410">
        <v>4883</v>
      </c>
      <c r="M49" s="411">
        <v>5372</v>
      </c>
      <c r="N49" s="410">
        <v>46139</v>
      </c>
      <c r="O49" s="411">
        <v>46097</v>
      </c>
      <c r="P49" s="412">
        <f t="shared" si="0"/>
        <v>88642</v>
      </c>
      <c r="Q49" s="412">
        <f t="shared" si="1"/>
        <v>2954.7333333333331</v>
      </c>
      <c r="R49" s="413">
        <f t="shared" si="2"/>
        <v>92222</v>
      </c>
      <c r="S49" s="413">
        <f t="shared" si="3"/>
        <v>3074.0666666666666</v>
      </c>
      <c r="T49" s="410">
        <v>2683</v>
      </c>
      <c r="U49" s="411">
        <v>4692</v>
      </c>
      <c r="V49" s="412">
        <f t="shared" si="4"/>
        <v>88642</v>
      </c>
      <c r="W49" s="413">
        <f t="shared" si="5"/>
        <v>92222</v>
      </c>
      <c r="X49" s="410"/>
      <c r="Y49" s="411"/>
      <c r="Z49" s="410"/>
      <c r="AA49" s="411"/>
      <c r="AB49" s="410"/>
      <c r="AC49" s="411"/>
      <c r="AD49" s="410"/>
      <c r="AE49" s="411"/>
      <c r="AF49" s="412">
        <f t="shared" si="6"/>
        <v>0</v>
      </c>
      <c r="AG49" s="412">
        <f t="shared" si="7"/>
        <v>0</v>
      </c>
      <c r="AH49" s="413">
        <f t="shared" si="8"/>
        <v>0</v>
      </c>
      <c r="AI49" s="413">
        <f t="shared" si="9"/>
        <v>0</v>
      </c>
      <c r="AJ49" s="410"/>
      <c r="AK49" s="411"/>
      <c r="AL49" s="412">
        <f t="shared" si="10"/>
        <v>0</v>
      </c>
      <c r="AM49" s="413">
        <f t="shared" si="11"/>
        <v>0</v>
      </c>
      <c r="AN49" s="410"/>
      <c r="AO49" s="411"/>
      <c r="AP49" s="410">
        <v>2828</v>
      </c>
      <c r="AQ49" s="411">
        <v>3418</v>
      </c>
      <c r="AR49" s="410">
        <v>2823</v>
      </c>
      <c r="AS49" s="411">
        <v>2265</v>
      </c>
      <c r="AT49" s="410">
        <v>3379</v>
      </c>
      <c r="AU49" s="411">
        <v>3785</v>
      </c>
      <c r="AV49" s="412">
        <f t="shared" si="12"/>
        <v>9030</v>
      </c>
      <c r="AW49" s="412">
        <f t="shared" si="13"/>
        <v>376.25</v>
      </c>
      <c r="AX49" s="413">
        <f t="shared" si="14"/>
        <v>9468</v>
      </c>
      <c r="AY49" s="413">
        <f t="shared" si="15"/>
        <v>394.5</v>
      </c>
      <c r="AZ49" s="412">
        <f t="shared" si="16"/>
        <v>3330.9833333333331</v>
      </c>
      <c r="BA49" s="413">
        <f t="shared" si="17"/>
        <v>3468.5666666666666</v>
      </c>
    </row>
    <row r="50" spans="1:53">
      <c r="A50" s="415" t="s">
        <v>103</v>
      </c>
      <c r="B50" s="14" t="s">
        <v>110</v>
      </c>
      <c r="C50" s="418"/>
      <c r="D50" s="13">
        <v>107983</v>
      </c>
      <c r="E50" s="417">
        <v>4</v>
      </c>
      <c r="F50" s="410" t="s">
        <v>74</v>
      </c>
      <c r="G50" s="411" t="s">
        <v>74</v>
      </c>
      <c r="H50" s="410"/>
      <c r="I50" s="411"/>
      <c r="J50" s="410">
        <v>43411</v>
      </c>
      <c r="K50" s="411">
        <v>43743</v>
      </c>
      <c r="L50" s="410">
        <v>4679</v>
      </c>
      <c r="M50" s="411">
        <v>5102</v>
      </c>
      <c r="N50" s="410">
        <v>49480</v>
      </c>
      <c r="O50" s="411">
        <v>49644</v>
      </c>
      <c r="P50" s="412">
        <f t="shared" si="0"/>
        <v>97570</v>
      </c>
      <c r="Q50" s="412">
        <f t="shared" si="1"/>
        <v>3252.3333333333335</v>
      </c>
      <c r="R50" s="413">
        <f t="shared" si="2"/>
        <v>98489</v>
      </c>
      <c r="S50" s="413">
        <f t="shared" si="3"/>
        <v>3282.9666666666667</v>
      </c>
      <c r="T50" s="410">
        <v>2467</v>
      </c>
      <c r="U50" s="411">
        <v>2871</v>
      </c>
      <c r="V50" s="412">
        <f t="shared" si="4"/>
        <v>97570</v>
      </c>
      <c r="W50" s="413">
        <f t="shared" si="5"/>
        <v>98489</v>
      </c>
      <c r="X50" s="410"/>
      <c r="Y50" s="411"/>
      <c r="Z50" s="410"/>
      <c r="AA50" s="411"/>
      <c r="AB50" s="410"/>
      <c r="AC50" s="411"/>
      <c r="AD50" s="410"/>
      <c r="AE50" s="411"/>
      <c r="AF50" s="412">
        <f t="shared" si="6"/>
        <v>0</v>
      </c>
      <c r="AG50" s="412">
        <f t="shared" si="7"/>
        <v>0</v>
      </c>
      <c r="AH50" s="413">
        <f t="shared" si="8"/>
        <v>0</v>
      </c>
      <c r="AI50" s="413">
        <f t="shared" si="9"/>
        <v>0</v>
      </c>
      <c r="AJ50" s="410"/>
      <c r="AK50" s="411"/>
      <c r="AL50" s="412">
        <f t="shared" si="10"/>
        <v>0</v>
      </c>
      <c r="AM50" s="413">
        <f t="shared" si="11"/>
        <v>0</v>
      </c>
      <c r="AN50" s="410"/>
      <c r="AO50" s="411"/>
      <c r="AP50" s="410">
        <v>5365</v>
      </c>
      <c r="AQ50" s="411">
        <v>5266</v>
      </c>
      <c r="AR50" s="410">
        <v>4326</v>
      </c>
      <c r="AS50" s="411">
        <v>4377</v>
      </c>
      <c r="AT50" s="410">
        <v>5339</v>
      </c>
      <c r="AU50" s="411">
        <v>4872</v>
      </c>
      <c r="AV50" s="412">
        <f t="shared" si="12"/>
        <v>15030</v>
      </c>
      <c r="AW50" s="412">
        <f t="shared" si="13"/>
        <v>626.25</v>
      </c>
      <c r="AX50" s="413">
        <f t="shared" si="14"/>
        <v>14515</v>
      </c>
      <c r="AY50" s="413">
        <f t="shared" si="15"/>
        <v>604.79166666666663</v>
      </c>
      <c r="AZ50" s="412">
        <f t="shared" si="16"/>
        <v>3878.5833333333335</v>
      </c>
      <c r="BA50" s="413">
        <f t="shared" si="17"/>
        <v>3887.7583333333332</v>
      </c>
    </row>
    <row r="51" spans="1:53">
      <c r="A51" s="415" t="s">
        <v>103</v>
      </c>
      <c r="B51" s="14" t="s">
        <v>111</v>
      </c>
      <c r="C51" s="418" t="s">
        <v>921</v>
      </c>
      <c r="D51" s="13">
        <v>106485</v>
      </c>
      <c r="E51" s="560">
        <v>4</v>
      </c>
      <c r="F51" s="410" t="s">
        <v>74</v>
      </c>
      <c r="G51" s="411" t="s">
        <v>74</v>
      </c>
      <c r="H51" s="410"/>
      <c r="I51" s="411"/>
      <c r="J51" s="410">
        <v>33911</v>
      </c>
      <c r="K51" s="411">
        <v>29830</v>
      </c>
      <c r="L51" s="410">
        <v>5253</v>
      </c>
      <c r="M51" s="411">
        <v>4878</v>
      </c>
      <c r="N51" s="410">
        <v>35255</v>
      </c>
      <c r="O51" s="411">
        <v>31135</v>
      </c>
      <c r="P51" s="412">
        <f t="shared" si="0"/>
        <v>74419</v>
      </c>
      <c r="Q51" s="412">
        <f t="shared" si="1"/>
        <v>2480.6333333333332</v>
      </c>
      <c r="R51" s="413">
        <f t="shared" si="2"/>
        <v>65843</v>
      </c>
      <c r="S51" s="413">
        <f t="shared" si="3"/>
        <v>2194.7666666666669</v>
      </c>
      <c r="T51" s="410">
        <v>4989</v>
      </c>
      <c r="U51" s="411">
        <v>3327</v>
      </c>
      <c r="V51" s="412">
        <f t="shared" si="4"/>
        <v>74419</v>
      </c>
      <c r="W51" s="413">
        <f t="shared" si="5"/>
        <v>65843</v>
      </c>
      <c r="X51" s="410"/>
      <c r="Y51" s="411"/>
      <c r="Z51" s="410"/>
      <c r="AA51" s="411"/>
      <c r="AB51" s="410"/>
      <c r="AC51" s="411"/>
      <c r="AD51" s="410"/>
      <c r="AE51" s="411"/>
      <c r="AF51" s="412">
        <f t="shared" si="6"/>
        <v>0</v>
      </c>
      <c r="AG51" s="412">
        <f t="shared" si="7"/>
        <v>0</v>
      </c>
      <c r="AH51" s="413">
        <f t="shared" si="8"/>
        <v>0</v>
      </c>
      <c r="AI51" s="413">
        <f t="shared" si="9"/>
        <v>0</v>
      </c>
      <c r="AJ51" s="410"/>
      <c r="AK51" s="411"/>
      <c r="AL51" s="412">
        <f t="shared" si="10"/>
        <v>0</v>
      </c>
      <c r="AM51" s="413">
        <f t="shared" si="11"/>
        <v>0</v>
      </c>
      <c r="AN51" s="410"/>
      <c r="AO51" s="411"/>
      <c r="AP51" s="410">
        <v>1875</v>
      </c>
      <c r="AQ51" s="411">
        <v>1934</v>
      </c>
      <c r="AR51" s="410">
        <v>2302</v>
      </c>
      <c r="AS51" s="411">
        <v>2764</v>
      </c>
      <c r="AT51" s="410">
        <v>2008</v>
      </c>
      <c r="AU51" s="411">
        <v>2107</v>
      </c>
      <c r="AV51" s="412">
        <f t="shared" si="12"/>
        <v>6185</v>
      </c>
      <c r="AW51" s="412">
        <f t="shared" si="13"/>
        <v>257.70833333333331</v>
      </c>
      <c r="AX51" s="413">
        <f t="shared" si="14"/>
        <v>6805</v>
      </c>
      <c r="AY51" s="413">
        <f t="shared" si="15"/>
        <v>283.54166666666669</v>
      </c>
      <c r="AZ51" s="412">
        <f t="shared" si="16"/>
        <v>2738.3416666666667</v>
      </c>
      <c r="BA51" s="413">
        <f t="shared" si="17"/>
        <v>2478.3083333333334</v>
      </c>
    </row>
    <row r="52" spans="1:53">
      <c r="A52" s="415" t="s">
        <v>103</v>
      </c>
      <c r="B52" s="14" t="s">
        <v>112</v>
      </c>
      <c r="C52" s="416"/>
      <c r="D52" s="13">
        <v>108092</v>
      </c>
      <c r="E52" s="417">
        <v>6</v>
      </c>
      <c r="F52" s="410" t="s">
        <v>74</v>
      </c>
      <c r="G52" s="411" t="s">
        <v>74</v>
      </c>
      <c r="H52" s="410"/>
      <c r="I52" s="411"/>
      <c r="J52" s="410">
        <v>71141</v>
      </c>
      <c r="K52" s="411">
        <v>70041</v>
      </c>
      <c r="L52" s="410">
        <v>7464</v>
      </c>
      <c r="M52" s="411">
        <v>7308</v>
      </c>
      <c r="N52" s="410">
        <v>78859</v>
      </c>
      <c r="O52" s="411">
        <v>74530</v>
      </c>
      <c r="P52" s="412">
        <f t="shared" si="0"/>
        <v>157464</v>
      </c>
      <c r="Q52" s="412">
        <f t="shared" si="1"/>
        <v>5248.8</v>
      </c>
      <c r="R52" s="413">
        <f t="shared" si="2"/>
        <v>151879</v>
      </c>
      <c r="S52" s="413">
        <f t="shared" si="3"/>
        <v>5062.6333333333332</v>
      </c>
      <c r="T52" s="410">
        <v>16161</v>
      </c>
      <c r="U52" s="411">
        <v>16239</v>
      </c>
      <c r="V52" s="412">
        <f t="shared" si="4"/>
        <v>157464</v>
      </c>
      <c r="W52" s="413">
        <f t="shared" si="5"/>
        <v>151879</v>
      </c>
      <c r="X52" s="410"/>
      <c r="Y52" s="411"/>
      <c r="Z52" s="410"/>
      <c r="AA52" s="411"/>
      <c r="AB52" s="410"/>
      <c r="AC52" s="411"/>
      <c r="AD52" s="410"/>
      <c r="AE52" s="411"/>
      <c r="AF52" s="412">
        <f t="shared" si="6"/>
        <v>0</v>
      </c>
      <c r="AG52" s="412">
        <f t="shared" si="7"/>
        <v>0</v>
      </c>
      <c r="AH52" s="413">
        <f t="shared" si="8"/>
        <v>0</v>
      </c>
      <c r="AI52" s="413">
        <f t="shared" si="9"/>
        <v>0</v>
      </c>
      <c r="AJ52" s="410"/>
      <c r="AK52" s="411"/>
      <c r="AL52" s="412">
        <f t="shared" si="10"/>
        <v>0</v>
      </c>
      <c r="AM52" s="413">
        <f t="shared" si="11"/>
        <v>0</v>
      </c>
      <c r="AN52" s="410"/>
      <c r="AO52" s="411"/>
      <c r="AP52" s="410">
        <v>126</v>
      </c>
      <c r="AQ52" s="411">
        <v>196</v>
      </c>
      <c r="AR52" s="410">
        <v>0</v>
      </c>
      <c r="AS52" s="411">
        <v>96</v>
      </c>
      <c r="AT52" s="410">
        <v>172</v>
      </c>
      <c r="AU52" s="411">
        <v>207</v>
      </c>
      <c r="AV52" s="412">
        <f t="shared" si="12"/>
        <v>298</v>
      </c>
      <c r="AW52" s="412">
        <f t="shared" si="13"/>
        <v>12.416666666666666</v>
      </c>
      <c r="AX52" s="413">
        <f t="shared" si="14"/>
        <v>499</v>
      </c>
      <c r="AY52" s="413">
        <f t="shared" si="15"/>
        <v>20.791666666666668</v>
      </c>
      <c r="AZ52" s="412">
        <f t="shared" si="16"/>
        <v>5261.2166666666672</v>
      </c>
      <c r="BA52" s="413">
        <f t="shared" si="17"/>
        <v>5083.4250000000002</v>
      </c>
    </row>
    <row r="53" spans="1:53">
      <c r="A53" s="415" t="s">
        <v>103</v>
      </c>
      <c r="B53" s="14" t="s">
        <v>113</v>
      </c>
      <c r="C53" s="416"/>
      <c r="D53" s="13">
        <v>106412</v>
      </c>
      <c r="E53" s="417">
        <v>6</v>
      </c>
      <c r="F53" s="410" t="s">
        <v>74</v>
      </c>
      <c r="G53" s="411" t="s">
        <v>74</v>
      </c>
      <c r="H53" s="410"/>
      <c r="I53" s="411"/>
      <c r="J53" s="410">
        <v>32299</v>
      </c>
      <c r="K53" s="411">
        <v>31385</v>
      </c>
      <c r="L53" s="410">
        <v>4308</v>
      </c>
      <c r="M53" s="411">
        <v>3718</v>
      </c>
      <c r="N53" s="410">
        <v>35164</v>
      </c>
      <c r="O53" s="411">
        <v>33617</v>
      </c>
      <c r="P53" s="412">
        <f t="shared" si="0"/>
        <v>71771</v>
      </c>
      <c r="Q53" s="412">
        <f t="shared" si="1"/>
        <v>2392.3666666666668</v>
      </c>
      <c r="R53" s="413">
        <f t="shared" si="2"/>
        <v>68720</v>
      </c>
      <c r="S53" s="413">
        <f t="shared" si="3"/>
        <v>2290.6666666666665</v>
      </c>
      <c r="T53" s="410">
        <v>0</v>
      </c>
      <c r="U53" s="411">
        <v>0</v>
      </c>
      <c r="V53" s="412">
        <f t="shared" si="4"/>
        <v>71771</v>
      </c>
      <c r="W53" s="413">
        <f t="shared" si="5"/>
        <v>68720</v>
      </c>
      <c r="X53" s="410"/>
      <c r="Y53" s="411"/>
      <c r="Z53" s="410"/>
      <c r="AA53" s="411"/>
      <c r="AB53" s="410"/>
      <c r="AC53" s="411"/>
      <c r="AD53" s="410"/>
      <c r="AE53" s="411"/>
      <c r="AF53" s="412">
        <f t="shared" si="6"/>
        <v>0</v>
      </c>
      <c r="AG53" s="412">
        <f t="shared" si="7"/>
        <v>0</v>
      </c>
      <c r="AH53" s="413">
        <f t="shared" si="8"/>
        <v>0</v>
      </c>
      <c r="AI53" s="413">
        <f t="shared" si="9"/>
        <v>0</v>
      </c>
      <c r="AJ53" s="410"/>
      <c r="AK53" s="411"/>
      <c r="AL53" s="412">
        <f t="shared" si="10"/>
        <v>0</v>
      </c>
      <c r="AM53" s="413">
        <f t="shared" si="11"/>
        <v>0</v>
      </c>
      <c r="AN53" s="410"/>
      <c r="AO53" s="411"/>
      <c r="AP53" s="410">
        <v>547</v>
      </c>
      <c r="AQ53" s="411">
        <v>677</v>
      </c>
      <c r="AR53" s="410">
        <v>309</v>
      </c>
      <c r="AS53" s="411">
        <v>305</v>
      </c>
      <c r="AT53" s="410">
        <v>754</v>
      </c>
      <c r="AU53" s="411">
        <v>845</v>
      </c>
      <c r="AV53" s="412">
        <f t="shared" si="12"/>
        <v>1610</v>
      </c>
      <c r="AW53" s="412">
        <f t="shared" si="13"/>
        <v>67.083333333333329</v>
      </c>
      <c r="AX53" s="413">
        <f t="shared" si="14"/>
        <v>1827</v>
      </c>
      <c r="AY53" s="413">
        <f t="shared" si="15"/>
        <v>76.125</v>
      </c>
      <c r="AZ53" s="412">
        <f t="shared" si="16"/>
        <v>2459.4500000000003</v>
      </c>
      <c r="BA53" s="413">
        <f t="shared" si="17"/>
        <v>2366.7916666666665</v>
      </c>
    </row>
    <row r="54" spans="1:53">
      <c r="A54" s="415" t="s">
        <v>103</v>
      </c>
      <c r="B54" s="14" t="s">
        <v>114</v>
      </c>
      <c r="C54" s="416"/>
      <c r="D54" s="13">
        <v>367459</v>
      </c>
      <c r="E54" s="419">
        <v>8</v>
      </c>
      <c r="F54" s="410" t="s">
        <v>74</v>
      </c>
      <c r="G54" s="411" t="s">
        <v>74</v>
      </c>
      <c r="H54" s="410"/>
      <c r="I54" s="411"/>
      <c r="J54" s="410">
        <v>63023</v>
      </c>
      <c r="K54" s="411">
        <v>63515</v>
      </c>
      <c r="L54" s="410">
        <v>14632</v>
      </c>
      <c r="M54" s="411">
        <v>13622</v>
      </c>
      <c r="N54" s="410">
        <v>72030</v>
      </c>
      <c r="O54" s="411">
        <v>73609</v>
      </c>
      <c r="P54" s="412">
        <f t="shared" si="0"/>
        <v>149685</v>
      </c>
      <c r="Q54" s="412">
        <f t="shared" si="1"/>
        <v>4989.5</v>
      </c>
      <c r="R54" s="413">
        <f t="shared" si="2"/>
        <v>150746</v>
      </c>
      <c r="S54" s="413">
        <f t="shared" si="3"/>
        <v>5024.8666666666668</v>
      </c>
      <c r="T54" s="410">
        <v>22626</v>
      </c>
      <c r="U54" s="411">
        <v>24056</v>
      </c>
      <c r="V54" s="412">
        <f t="shared" si="4"/>
        <v>149685</v>
      </c>
      <c r="W54" s="413">
        <f t="shared" si="5"/>
        <v>150746</v>
      </c>
      <c r="X54" s="410"/>
      <c r="Y54" s="411"/>
      <c r="Z54" s="410"/>
      <c r="AA54" s="411"/>
      <c r="AB54" s="410"/>
      <c r="AC54" s="411"/>
      <c r="AD54" s="410"/>
      <c r="AE54" s="411"/>
      <c r="AF54" s="412">
        <f t="shared" si="6"/>
        <v>0</v>
      </c>
      <c r="AG54" s="412">
        <f t="shared" si="7"/>
        <v>0</v>
      </c>
      <c r="AH54" s="413">
        <f t="shared" si="8"/>
        <v>0</v>
      </c>
      <c r="AI54" s="413">
        <f t="shared" si="9"/>
        <v>0</v>
      </c>
      <c r="AJ54" s="410"/>
      <c r="AK54" s="411"/>
      <c r="AL54" s="412">
        <f t="shared" si="10"/>
        <v>0</v>
      </c>
      <c r="AM54" s="413">
        <f t="shared" si="11"/>
        <v>0</v>
      </c>
      <c r="AN54" s="410"/>
      <c r="AO54" s="411"/>
      <c r="AP54" s="410"/>
      <c r="AQ54" s="411"/>
      <c r="AR54" s="410"/>
      <c r="AS54" s="411"/>
      <c r="AT54" s="410"/>
      <c r="AU54" s="411"/>
      <c r="AV54" s="412">
        <f t="shared" si="12"/>
        <v>0</v>
      </c>
      <c r="AW54" s="412">
        <f t="shared" si="13"/>
        <v>0</v>
      </c>
      <c r="AX54" s="413">
        <f t="shared" si="14"/>
        <v>0</v>
      </c>
      <c r="AY54" s="413">
        <f t="shared" si="15"/>
        <v>0</v>
      </c>
      <c r="AZ54" s="412">
        <f t="shared" si="16"/>
        <v>4989.5</v>
      </c>
      <c r="BA54" s="413">
        <f t="shared" si="17"/>
        <v>5024.8666666666668</v>
      </c>
    </row>
    <row r="55" spans="1:53">
      <c r="A55" s="415" t="s">
        <v>103</v>
      </c>
      <c r="B55" s="14" t="s">
        <v>115</v>
      </c>
      <c r="C55" s="416"/>
      <c r="D55" s="13">
        <v>106449</v>
      </c>
      <c r="E55" s="419">
        <v>9</v>
      </c>
      <c r="F55" s="410" t="s">
        <v>74</v>
      </c>
      <c r="G55" s="411" t="s">
        <v>74</v>
      </c>
      <c r="H55" s="410"/>
      <c r="I55" s="411"/>
      <c r="J55" s="410">
        <v>34741</v>
      </c>
      <c r="K55" s="411">
        <v>33197</v>
      </c>
      <c r="L55" s="410">
        <v>6605</v>
      </c>
      <c r="M55" s="411">
        <v>5987</v>
      </c>
      <c r="N55" s="410">
        <v>36660</v>
      </c>
      <c r="O55" s="411">
        <v>35218</v>
      </c>
      <c r="P55" s="412">
        <f t="shared" si="0"/>
        <v>78006</v>
      </c>
      <c r="Q55" s="412">
        <f t="shared" si="1"/>
        <v>2600.1999999999998</v>
      </c>
      <c r="R55" s="413">
        <f t="shared" si="2"/>
        <v>74402</v>
      </c>
      <c r="S55" s="413">
        <f t="shared" si="3"/>
        <v>2480.0666666666666</v>
      </c>
      <c r="T55" s="410">
        <v>8035</v>
      </c>
      <c r="U55" s="411">
        <v>7692</v>
      </c>
      <c r="V55" s="412">
        <f t="shared" si="4"/>
        <v>78006</v>
      </c>
      <c r="W55" s="413">
        <f t="shared" si="5"/>
        <v>74402</v>
      </c>
      <c r="X55" s="410"/>
      <c r="Y55" s="411"/>
      <c r="Z55" s="410"/>
      <c r="AA55" s="411"/>
      <c r="AB55" s="410"/>
      <c r="AC55" s="411"/>
      <c r="AD55" s="410"/>
      <c r="AE55" s="411"/>
      <c r="AF55" s="412">
        <f t="shared" si="6"/>
        <v>0</v>
      </c>
      <c r="AG55" s="412">
        <f t="shared" si="7"/>
        <v>0</v>
      </c>
      <c r="AH55" s="413">
        <f t="shared" si="8"/>
        <v>0</v>
      </c>
      <c r="AI55" s="413">
        <f t="shared" si="9"/>
        <v>0</v>
      </c>
      <c r="AJ55" s="410"/>
      <c r="AK55" s="411"/>
      <c r="AL55" s="412">
        <f t="shared" si="10"/>
        <v>0</v>
      </c>
      <c r="AM55" s="413">
        <f t="shared" si="11"/>
        <v>0</v>
      </c>
      <c r="AN55" s="410"/>
      <c r="AO55" s="411"/>
      <c r="AP55" s="410"/>
      <c r="AQ55" s="411"/>
      <c r="AR55" s="410"/>
      <c r="AS55" s="411"/>
      <c r="AT55" s="410"/>
      <c r="AU55" s="411"/>
      <c r="AV55" s="412">
        <f t="shared" si="12"/>
        <v>0</v>
      </c>
      <c r="AW55" s="412">
        <f t="shared" si="13"/>
        <v>0</v>
      </c>
      <c r="AX55" s="413">
        <f t="shared" si="14"/>
        <v>0</v>
      </c>
      <c r="AY55" s="413">
        <f t="shared" si="15"/>
        <v>0</v>
      </c>
      <c r="AZ55" s="412">
        <f t="shared" si="16"/>
        <v>2600.1999999999998</v>
      </c>
      <c r="BA55" s="413">
        <f t="shared" si="17"/>
        <v>2480.0666666666666</v>
      </c>
    </row>
    <row r="56" spans="1:53">
      <c r="A56" s="415" t="s">
        <v>103</v>
      </c>
      <c r="B56" s="14" t="s">
        <v>886</v>
      </c>
      <c r="C56" s="418"/>
      <c r="D56" s="13">
        <v>107664</v>
      </c>
      <c r="E56" s="419">
        <v>9</v>
      </c>
      <c r="F56" s="410" t="s">
        <v>74</v>
      </c>
      <c r="G56" s="411" t="s">
        <v>74</v>
      </c>
      <c r="H56" s="410"/>
      <c r="I56" s="411"/>
      <c r="J56" s="410">
        <v>49890</v>
      </c>
      <c r="K56" s="411">
        <v>47677</v>
      </c>
      <c r="L56" s="410">
        <v>3884</v>
      </c>
      <c r="M56" s="411">
        <v>11302</v>
      </c>
      <c r="N56" s="410">
        <v>54260</v>
      </c>
      <c r="O56" s="411">
        <v>55272</v>
      </c>
      <c r="P56" s="412">
        <f t="shared" si="0"/>
        <v>108034</v>
      </c>
      <c r="Q56" s="412">
        <f t="shared" si="1"/>
        <v>3601.1333333333332</v>
      </c>
      <c r="R56" s="413">
        <f t="shared" si="2"/>
        <v>114251</v>
      </c>
      <c r="S56" s="413">
        <f t="shared" si="3"/>
        <v>3808.3666666666668</v>
      </c>
      <c r="T56" s="410">
        <v>6087</v>
      </c>
      <c r="U56" s="411">
        <v>8471</v>
      </c>
      <c r="V56" s="412">
        <f t="shared" si="4"/>
        <v>108034</v>
      </c>
      <c r="W56" s="413">
        <f t="shared" si="5"/>
        <v>114251</v>
      </c>
      <c r="X56" s="410"/>
      <c r="Y56" s="411"/>
      <c r="Z56" s="410"/>
      <c r="AA56" s="411"/>
      <c r="AB56" s="410"/>
      <c r="AC56" s="411"/>
      <c r="AD56" s="410"/>
      <c r="AE56" s="411"/>
      <c r="AF56" s="412">
        <f t="shared" si="6"/>
        <v>0</v>
      </c>
      <c r="AG56" s="412">
        <f t="shared" si="7"/>
        <v>0</v>
      </c>
      <c r="AH56" s="413">
        <f t="shared" si="8"/>
        <v>0</v>
      </c>
      <c r="AI56" s="413">
        <f t="shared" si="9"/>
        <v>0</v>
      </c>
      <c r="AJ56" s="410"/>
      <c r="AK56" s="411"/>
      <c r="AL56" s="412">
        <f t="shared" si="10"/>
        <v>0</v>
      </c>
      <c r="AM56" s="413">
        <f t="shared" si="11"/>
        <v>0</v>
      </c>
      <c r="AN56" s="410"/>
      <c r="AO56" s="411"/>
      <c r="AP56" s="410"/>
      <c r="AQ56" s="411"/>
      <c r="AR56" s="410"/>
      <c r="AS56" s="411"/>
      <c r="AT56" s="410"/>
      <c r="AU56" s="411"/>
      <c r="AV56" s="412">
        <f t="shared" si="12"/>
        <v>0</v>
      </c>
      <c r="AW56" s="412">
        <f t="shared" si="13"/>
        <v>0</v>
      </c>
      <c r="AX56" s="413">
        <f t="shared" si="14"/>
        <v>0</v>
      </c>
      <c r="AY56" s="413">
        <f t="shared" si="15"/>
        <v>0</v>
      </c>
      <c r="AZ56" s="412">
        <f t="shared" si="16"/>
        <v>3601.1333333333332</v>
      </c>
      <c r="BA56" s="413">
        <f t="shared" si="17"/>
        <v>3808.3666666666668</v>
      </c>
    </row>
    <row r="57" spans="1:53">
      <c r="A57" s="415" t="s">
        <v>103</v>
      </c>
      <c r="B57" s="14" t="s">
        <v>117</v>
      </c>
      <c r="C57" s="416"/>
      <c r="D57" s="13">
        <v>107327</v>
      </c>
      <c r="E57" s="419">
        <v>10</v>
      </c>
      <c r="F57" s="410" t="s">
        <v>74</v>
      </c>
      <c r="G57" s="411" t="s">
        <v>74</v>
      </c>
      <c r="H57" s="410"/>
      <c r="I57" s="411"/>
      <c r="J57" s="410">
        <v>11952</v>
      </c>
      <c r="K57" s="411">
        <v>11819</v>
      </c>
      <c r="L57" s="410">
        <v>2426</v>
      </c>
      <c r="M57" s="411">
        <v>2132</v>
      </c>
      <c r="N57" s="410">
        <v>12592</v>
      </c>
      <c r="O57" s="411">
        <v>13267</v>
      </c>
      <c r="P57" s="412">
        <f t="shared" si="0"/>
        <v>26970</v>
      </c>
      <c r="Q57" s="412">
        <f t="shared" si="1"/>
        <v>899</v>
      </c>
      <c r="R57" s="413">
        <f t="shared" si="2"/>
        <v>27218</v>
      </c>
      <c r="S57" s="413">
        <f t="shared" si="3"/>
        <v>907.26666666666665</v>
      </c>
      <c r="T57" s="410">
        <v>4133</v>
      </c>
      <c r="U57" s="411">
        <v>4738</v>
      </c>
      <c r="V57" s="412">
        <f t="shared" si="4"/>
        <v>26970</v>
      </c>
      <c r="W57" s="413">
        <f t="shared" si="5"/>
        <v>27218</v>
      </c>
      <c r="X57" s="410"/>
      <c r="Y57" s="411"/>
      <c r="Z57" s="410"/>
      <c r="AA57" s="411"/>
      <c r="AB57" s="410"/>
      <c r="AC57" s="411"/>
      <c r="AD57" s="410"/>
      <c r="AE57" s="411"/>
      <c r="AF57" s="412">
        <f t="shared" si="6"/>
        <v>0</v>
      </c>
      <c r="AG57" s="412">
        <f t="shared" si="7"/>
        <v>0</v>
      </c>
      <c r="AH57" s="413">
        <f t="shared" si="8"/>
        <v>0</v>
      </c>
      <c r="AI57" s="413">
        <f t="shared" si="9"/>
        <v>0</v>
      </c>
      <c r="AJ57" s="410"/>
      <c r="AK57" s="411"/>
      <c r="AL57" s="412">
        <f t="shared" si="10"/>
        <v>0</v>
      </c>
      <c r="AM57" s="413">
        <f t="shared" si="11"/>
        <v>0</v>
      </c>
      <c r="AN57" s="410"/>
      <c r="AO57" s="411"/>
      <c r="AP57" s="410"/>
      <c r="AQ57" s="411"/>
      <c r="AR57" s="410"/>
      <c r="AS57" s="411"/>
      <c r="AT57" s="410"/>
      <c r="AU57" s="411"/>
      <c r="AV57" s="412">
        <f t="shared" si="12"/>
        <v>0</v>
      </c>
      <c r="AW57" s="412">
        <f t="shared" si="13"/>
        <v>0</v>
      </c>
      <c r="AX57" s="413">
        <f t="shared" si="14"/>
        <v>0</v>
      </c>
      <c r="AY57" s="413">
        <f t="shared" si="15"/>
        <v>0</v>
      </c>
      <c r="AZ57" s="412">
        <f t="shared" si="16"/>
        <v>899</v>
      </c>
      <c r="BA57" s="413">
        <f t="shared" si="17"/>
        <v>907.26666666666665</v>
      </c>
    </row>
    <row r="58" spans="1:53">
      <c r="A58" s="415" t="s">
        <v>103</v>
      </c>
      <c r="B58" s="10" t="s">
        <v>118</v>
      </c>
      <c r="C58" s="416"/>
      <c r="D58" s="13">
        <v>107318</v>
      </c>
      <c r="E58" s="419">
        <v>10</v>
      </c>
      <c r="F58" s="410" t="s">
        <v>74</v>
      </c>
      <c r="G58" s="411" t="s">
        <v>74</v>
      </c>
      <c r="H58" s="410"/>
      <c r="I58" s="411"/>
      <c r="J58" s="410">
        <v>11484</v>
      </c>
      <c r="K58" s="411">
        <v>10641</v>
      </c>
      <c r="L58" s="410">
        <v>2244</v>
      </c>
      <c r="M58" s="411">
        <v>1883</v>
      </c>
      <c r="N58" s="410">
        <v>12110</v>
      </c>
      <c r="O58" s="411">
        <v>11315</v>
      </c>
      <c r="P58" s="412">
        <f t="shared" si="0"/>
        <v>25838</v>
      </c>
      <c r="Q58" s="412">
        <f t="shared" si="1"/>
        <v>861.26666666666665</v>
      </c>
      <c r="R58" s="413">
        <f t="shared" si="2"/>
        <v>23839</v>
      </c>
      <c r="S58" s="413">
        <f t="shared" si="3"/>
        <v>794.63333333333333</v>
      </c>
      <c r="T58" s="410">
        <v>7244</v>
      </c>
      <c r="U58" s="411">
        <v>7048</v>
      </c>
      <c r="V58" s="412">
        <f t="shared" si="4"/>
        <v>25838</v>
      </c>
      <c r="W58" s="413">
        <f t="shared" si="5"/>
        <v>23839</v>
      </c>
      <c r="X58" s="410"/>
      <c r="Y58" s="411"/>
      <c r="Z58" s="410"/>
      <c r="AA58" s="411"/>
      <c r="AB58" s="410"/>
      <c r="AC58" s="411"/>
      <c r="AD58" s="410"/>
      <c r="AE58" s="411"/>
      <c r="AF58" s="412">
        <f t="shared" si="6"/>
        <v>0</v>
      </c>
      <c r="AG58" s="412">
        <f t="shared" si="7"/>
        <v>0</v>
      </c>
      <c r="AH58" s="413">
        <f t="shared" si="8"/>
        <v>0</v>
      </c>
      <c r="AI58" s="413">
        <f t="shared" si="9"/>
        <v>0</v>
      </c>
      <c r="AJ58" s="410"/>
      <c r="AK58" s="411"/>
      <c r="AL58" s="412">
        <f t="shared" si="10"/>
        <v>0</v>
      </c>
      <c r="AM58" s="413">
        <f t="shared" si="11"/>
        <v>0</v>
      </c>
      <c r="AN58" s="410"/>
      <c r="AO58" s="411"/>
      <c r="AP58" s="410"/>
      <c r="AQ58" s="411"/>
      <c r="AR58" s="410"/>
      <c r="AS58" s="411"/>
      <c r="AT58" s="410"/>
      <c r="AU58" s="411"/>
      <c r="AV58" s="412">
        <f t="shared" si="12"/>
        <v>0</v>
      </c>
      <c r="AW58" s="412">
        <f t="shared" si="13"/>
        <v>0</v>
      </c>
      <c r="AX58" s="413">
        <f t="shared" si="14"/>
        <v>0</v>
      </c>
      <c r="AY58" s="413">
        <f t="shared" si="15"/>
        <v>0</v>
      </c>
      <c r="AZ58" s="412">
        <f t="shared" si="16"/>
        <v>861.26666666666665</v>
      </c>
      <c r="BA58" s="413">
        <f t="shared" si="17"/>
        <v>794.63333333333333</v>
      </c>
    </row>
    <row r="59" spans="1:53">
      <c r="A59" s="415" t="s">
        <v>103</v>
      </c>
      <c r="B59" s="14" t="s">
        <v>119</v>
      </c>
      <c r="C59" s="416"/>
      <c r="D59" s="13">
        <v>420538</v>
      </c>
      <c r="E59" s="419">
        <v>10</v>
      </c>
      <c r="F59" s="410" t="s">
        <v>74</v>
      </c>
      <c r="G59" s="411" t="s">
        <v>74</v>
      </c>
      <c r="H59" s="410"/>
      <c r="I59" s="411"/>
      <c r="J59" s="410">
        <v>12802</v>
      </c>
      <c r="K59" s="411">
        <v>12802</v>
      </c>
      <c r="L59" s="410">
        <v>2460</v>
      </c>
      <c r="M59" s="411">
        <v>2585</v>
      </c>
      <c r="N59" s="410">
        <v>13839</v>
      </c>
      <c r="O59" s="411">
        <v>13246</v>
      </c>
      <c r="P59" s="412">
        <f t="shared" si="0"/>
        <v>29101</v>
      </c>
      <c r="Q59" s="412">
        <f t="shared" si="1"/>
        <v>970.0333333333333</v>
      </c>
      <c r="R59" s="413">
        <f t="shared" si="2"/>
        <v>28633</v>
      </c>
      <c r="S59" s="413">
        <f t="shared" si="3"/>
        <v>954.43333333333328</v>
      </c>
      <c r="T59" s="410">
        <v>3442</v>
      </c>
      <c r="U59" s="411">
        <v>3163</v>
      </c>
      <c r="V59" s="412">
        <f t="shared" si="4"/>
        <v>29101</v>
      </c>
      <c r="W59" s="413">
        <f t="shared" si="5"/>
        <v>28633</v>
      </c>
      <c r="X59" s="410"/>
      <c r="Y59" s="411"/>
      <c r="Z59" s="410"/>
      <c r="AA59" s="411"/>
      <c r="AB59" s="410"/>
      <c r="AC59" s="411"/>
      <c r="AD59" s="410"/>
      <c r="AE59" s="411"/>
      <c r="AF59" s="412">
        <f t="shared" si="6"/>
        <v>0</v>
      </c>
      <c r="AG59" s="412">
        <f t="shared" si="7"/>
        <v>0</v>
      </c>
      <c r="AH59" s="413">
        <f t="shared" si="8"/>
        <v>0</v>
      </c>
      <c r="AI59" s="413">
        <f t="shared" si="9"/>
        <v>0</v>
      </c>
      <c r="AJ59" s="410"/>
      <c r="AK59" s="411"/>
      <c r="AL59" s="412">
        <f t="shared" si="10"/>
        <v>0</v>
      </c>
      <c r="AM59" s="413">
        <f t="shared" si="11"/>
        <v>0</v>
      </c>
      <c r="AN59" s="410"/>
      <c r="AO59" s="411"/>
      <c r="AP59" s="410"/>
      <c r="AQ59" s="411"/>
      <c r="AR59" s="410"/>
      <c r="AS59" s="411"/>
      <c r="AT59" s="410"/>
      <c r="AU59" s="411"/>
      <c r="AV59" s="412">
        <f t="shared" si="12"/>
        <v>0</v>
      </c>
      <c r="AW59" s="412">
        <f t="shared" si="13"/>
        <v>0</v>
      </c>
      <c r="AX59" s="413">
        <f t="shared" si="14"/>
        <v>0</v>
      </c>
      <c r="AY59" s="413">
        <f t="shared" si="15"/>
        <v>0</v>
      </c>
      <c r="AZ59" s="412">
        <f t="shared" si="16"/>
        <v>970.0333333333333</v>
      </c>
      <c r="BA59" s="413">
        <f t="shared" si="17"/>
        <v>954.43333333333328</v>
      </c>
    </row>
    <row r="60" spans="1:53">
      <c r="A60" s="415" t="s">
        <v>103</v>
      </c>
      <c r="B60" s="14" t="s">
        <v>922</v>
      </c>
      <c r="C60" s="416" t="s">
        <v>923</v>
      </c>
      <c r="D60" s="13">
        <v>107521</v>
      </c>
      <c r="E60" s="417">
        <v>10</v>
      </c>
      <c r="F60" s="410" t="s">
        <v>74</v>
      </c>
      <c r="G60" s="411" t="s">
        <v>74</v>
      </c>
      <c r="H60" s="410"/>
      <c r="I60" s="411"/>
      <c r="J60" s="410">
        <v>9509</v>
      </c>
      <c r="K60" s="411">
        <v>8847</v>
      </c>
      <c r="L60" s="410">
        <v>2981</v>
      </c>
      <c r="M60" s="411">
        <v>3178</v>
      </c>
      <c r="N60" s="410">
        <v>9476</v>
      </c>
      <c r="O60" s="411">
        <v>8766</v>
      </c>
      <c r="P60" s="412">
        <f t="shared" si="0"/>
        <v>21966</v>
      </c>
      <c r="Q60" s="412">
        <f t="shared" si="1"/>
        <v>732.2</v>
      </c>
      <c r="R60" s="413">
        <f t="shared" si="2"/>
        <v>20791</v>
      </c>
      <c r="S60" s="413">
        <f t="shared" si="3"/>
        <v>693.0333333333333</v>
      </c>
      <c r="T60" s="410">
        <v>4976</v>
      </c>
      <c r="U60" s="411">
        <v>6904</v>
      </c>
      <c r="V60" s="412">
        <f t="shared" si="4"/>
        <v>21966</v>
      </c>
      <c r="W60" s="413">
        <f t="shared" si="5"/>
        <v>20791</v>
      </c>
      <c r="X60" s="410"/>
      <c r="Y60" s="411"/>
      <c r="Z60" s="410"/>
      <c r="AA60" s="411"/>
      <c r="AB60" s="410"/>
      <c r="AC60" s="411"/>
      <c r="AD60" s="410"/>
      <c r="AE60" s="411"/>
      <c r="AF60" s="412">
        <f t="shared" si="6"/>
        <v>0</v>
      </c>
      <c r="AG60" s="412">
        <f t="shared" si="7"/>
        <v>0</v>
      </c>
      <c r="AH60" s="413">
        <f t="shared" si="8"/>
        <v>0</v>
      </c>
      <c r="AI60" s="413">
        <f t="shared" si="9"/>
        <v>0</v>
      </c>
      <c r="AJ60" s="410"/>
      <c r="AK60" s="411"/>
      <c r="AL60" s="412">
        <f t="shared" si="10"/>
        <v>0</v>
      </c>
      <c r="AM60" s="413">
        <f t="shared" si="11"/>
        <v>0</v>
      </c>
      <c r="AN60" s="410"/>
      <c r="AO60" s="411"/>
      <c r="AP60" s="410"/>
      <c r="AQ60" s="411"/>
      <c r="AR60" s="410"/>
      <c r="AS60" s="411"/>
      <c r="AT60" s="410"/>
      <c r="AU60" s="411"/>
      <c r="AV60" s="412">
        <f t="shared" si="12"/>
        <v>0</v>
      </c>
      <c r="AW60" s="412">
        <f t="shared" si="13"/>
        <v>0</v>
      </c>
      <c r="AX60" s="413">
        <f t="shared" si="14"/>
        <v>0</v>
      </c>
      <c r="AY60" s="413">
        <f t="shared" si="15"/>
        <v>0</v>
      </c>
      <c r="AZ60" s="412">
        <f t="shared" si="16"/>
        <v>732.2</v>
      </c>
      <c r="BA60" s="413">
        <f t="shared" si="17"/>
        <v>693.0333333333333</v>
      </c>
    </row>
    <row r="61" spans="1:53">
      <c r="A61" s="415" t="s">
        <v>103</v>
      </c>
      <c r="B61" s="14" t="s">
        <v>120</v>
      </c>
      <c r="C61" s="416"/>
      <c r="D61" s="13">
        <v>440402</v>
      </c>
      <c r="E61" s="419">
        <v>10</v>
      </c>
      <c r="F61" s="410" t="s">
        <v>74</v>
      </c>
      <c r="G61" s="411" t="s">
        <v>74</v>
      </c>
      <c r="H61" s="410"/>
      <c r="I61" s="411"/>
      <c r="J61" s="410">
        <v>21408</v>
      </c>
      <c r="K61" s="411">
        <v>21686</v>
      </c>
      <c r="L61" s="410">
        <v>11036</v>
      </c>
      <c r="M61" s="411">
        <v>11695</v>
      </c>
      <c r="N61" s="410">
        <v>23265</v>
      </c>
      <c r="O61" s="411">
        <v>22867</v>
      </c>
      <c r="P61" s="412">
        <f t="shared" si="0"/>
        <v>55709</v>
      </c>
      <c r="Q61" s="412">
        <f t="shared" si="1"/>
        <v>1856.9666666666667</v>
      </c>
      <c r="R61" s="413">
        <f t="shared" si="2"/>
        <v>56248</v>
      </c>
      <c r="S61" s="413">
        <f t="shared" si="3"/>
        <v>1874.9333333333334</v>
      </c>
      <c r="T61" s="410">
        <v>14116</v>
      </c>
      <c r="U61" s="411">
        <v>15085</v>
      </c>
      <c r="V61" s="412">
        <f t="shared" si="4"/>
        <v>55709</v>
      </c>
      <c r="W61" s="413">
        <f t="shared" si="5"/>
        <v>56248</v>
      </c>
      <c r="X61" s="410"/>
      <c r="Y61" s="411"/>
      <c r="Z61" s="410"/>
      <c r="AA61" s="411"/>
      <c r="AB61" s="410"/>
      <c r="AC61" s="411"/>
      <c r="AD61" s="410"/>
      <c r="AE61" s="411"/>
      <c r="AF61" s="412">
        <f t="shared" si="6"/>
        <v>0</v>
      </c>
      <c r="AG61" s="412">
        <f t="shared" si="7"/>
        <v>0</v>
      </c>
      <c r="AH61" s="413">
        <f t="shared" si="8"/>
        <v>0</v>
      </c>
      <c r="AI61" s="413">
        <f t="shared" si="9"/>
        <v>0</v>
      </c>
      <c r="AJ61" s="410"/>
      <c r="AK61" s="411"/>
      <c r="AL61" s="412">
        <f t="shared" si="10"/>
        <v>0</v>
      </c>
      <c r="AM61" s="413">
        <f t="shared" si="11"/>
        <v>0</v>
      </c>
      <c r="AN61" s="410"/>
      <c r="AO61" s="411"/>
      <c r="AP61" s="410"/>
      <c r="AQ61" s="411"/>
      <c r="AR61" s="410"/>
      <c r="AS61" s="411"/>
      <c r="AT61" s="410"/>
      <c r="AU61" s="411"/>
      <c r="AV61" s="412">
        <f t="shared" si="12"/>
        <v>0</v>
      </c>
      <c r="AW61" s="412">
        <f t="shared" si="13"/>
        <v>0</v>
      </c>
      <c r="AX61" s="413">
        <f t="shared" si="14"/>
        <v>0</v>
      </c>
      <c r="AY61" s="413">
        <f t="shared" si="15"/>
        <v>0</v>
      </c>
      <c r="AZ61" s="412">
        <f t="shared" si="16"/>
        <v>1856.9666666666667</v>
      </c>
      <c r="BA61" s="413">
        <f t="shared" si="17"/>
        <v>1874.9333333333334</v>
      </c>
    </row>
    <row r="62" spans="1:53">
      <c r="A62" s="11" t="s">
        <v>103</v>
      </c>
      <c r="B62" s="14" t="s">
        <v>121</v>
      </c>
      <c r="C62" s="416"/>
      <c r="D62" s="13">
        <v>106625</v>
      </c>
      <c r="E62" s="419">
        <v>10</v>
      </c>
      <c r="F62" s="410" t="s">
        <v>74</v>
      </c>
      <c r="G62" s="411" t="s">
        <v>74</v>
      </c>
      <c r="H62" s="410"/>
      <c r="I62" s="411"/>
      <c r="J62" s="410">
        <v>15518</v>
      </c>
      <c r="K62" s="411">
        <v>15610</v>
      </c>
      <c r="L62" s="410">
        <v>3373</v>
      </c>
      <c r="M62" s="411">
        <v>2998</v>
      </c>
      <c r="N62" s="410">
        <v>17920</v>
      </c>
      <c r="O62" s="411">
        <v>16353</v>
      </c>
      <c r="P62" s="412">
        <f t="shared" si="0"/>
        <v>36811</v>
      </c>
      <c r="Q62" s="412">
        <f t="shared" si="1"/>
        <v>1227.0333333333333</v>
      </c>
      <c r="R62" s="413">
        <f t="shared" si="2"/>
        <v>34961</v>
      </c>
      <c r="S62" s="413">
        <f t="shared" si="3"/>
        <v>1165.3666666666666</v>
      </c>
      <c r="T62" s="410">
        <v>3652</v>
      </c>
      <c r="U62" s="411">
        <v>3749</v>
      </c>
      <c r="V62" s="412">
        <f t="shared" si="4"/>
        <v>36811</v>
      </c>
      <c r="W62" s="413">
        <f t="shared" si="5"/>
        <v>34961</v>
      </c>
      <c r="X62" s="410"/>
      <c r="Y62" s="411"/>
      <c r="Z62" s="410"/>
      <c r="AA62" s="411"/>
      <c r="AB62" s="410"/>
      <c r="AC62" s="411"/>
      <c r="AD62" s="410"/>
      <c r="AE62" s="411"/>
      <c r="AF62" s="412">
        <f t="shared" si="6"/>
        <v>0</v>
      </c>
      <c r="AG62" s="412">
        <f t="shared" si="7"/>
        <v>0</v>
      </c>
      <c r="AH62" s="413">
        <f t="shared" si="8"/>
        <v>0</v>
      </c>
      <c r="AI62" s="413">
        <f t="shared" si="9"/>
        <v>0</v>
      </c>
      <c r="AJ62" s="410"/>
      <c r="AK62" s="411"/>
      <c r="AL62" s="412">
        <f t="shared" si="10"/>
        <v>0</v>
      </c>
      <c r="AM62" s="413">
        <f t="shared" si="11"/>
        <v>0</v>
      </c>
      <c r="AN62" s="410"/>
      <c r="AO62" s="411"/>
      <c r="AP62" s="410"/>
      <c r="AQ62" s="411"/>
      <c r="AR62" s="410"/>
      <c r="AS62" s="411"/>
      <c r="AT62" s="410"/>
      <c r="AU62" s="411"/>
      <c r="AV62" s="412">
        <f t="shared" si="12"/>
        <v>0</v>
      </c>
      <c r="AW62" s="412">
        <f t="shared" si="13"/>
        <v>0</v>
      </c>
      <c r="AX62" s="413">
        <f t="shared" si="14"/>
        <v>0</v>
      </c>
      <c r="AY62" s="413">
        <f t="shared" si="15"/>
        <v>0</v>
      </c>
      <c r="AZ62" s="412">
        <f t="shared" si="16"/>
        <v>1227.0333333333333</v>
      </c>
      <c r="BA62" s="413">
        <f t="shared" si="17"/>
        <v>1165.3666666666666</v>
      </c>
    </row>
    <row r="63" spans="1:53">
      <c r="A63" s="11" t="s">
        <v>103</v>
      </c>
      <c r="B63" s="14" t="s">
        <v>122</v>
      </c>
      <c r="C63" s="416"/>
      <c r="D63" s="13">
        <v>106795</v>
      </c>
      <c r="E63" s="419">
        <v>10</v>
      </c>
      <c r="F63" s="410" t="s">
        <v>74</v>
      </c>
      <c r="G63" s="411" t="s">
        <v>74</v>
      </c>
      <c r="H63" s="410"/>
      <c r="I63" s="411"/>
      <c r="J63" s="410">
        <v>12008</v>
      </c>
      <c r="K63" s="411">
        <v>11987</v>
      </c>
      <c r="L63" s="410">
        <v>2161</v>
      </c>
      <c r="M63" s="411">
        <v>2334</v>
      </c>
      <c r="N63" s="410">
        <v>13310</v>
      </c>
      <c r="O63" s="411">
        <v>14237</v>
      </c>
      <c r="P63" s="412">
        <f t="shared" si="0"/>
        <v>27479</v>
      </c>
      <c r="Q63" s="412">
        <f t="shared" si="1"/>
        <v>915.9666666666667</v>
      </c>
      <c r="R63" s="413">
        <f t="shared" si="2"/>
        <v>28558</v>
      </c>
      <c r="S63" s="413">
        <f t="shared" si="3"/>
        <v>951.93333333333328</v>
      </c>
      <c r="T63" s="410">
        <v>6679</v>
      </c>
      <c r="U63" s="411">
        <v>4814</v>
      </c>
      <c r="V63" s="412">
        <f t="shared" si="4"/>
        <v>27479</v>
      </c>
      <c r="W63" s="413">
        <f t="shared" si="5"/>
        <v>28558</v>
      </c>
      <c r="X63" s="410"/>
      <c r="Y63" s="411"/>
      <c r="Z63" s="410"/>
      <c r="AA63" s="411"/>
      <c r="AB63" s="410"/>
      <c r="AC63" s="411"/>
      <c r="AD63" s="410"/>
      <c r="AE63" s="411"/>
      <c r="AF63" s="412">
        <f t="shared" si="6"/>
        <v>0</v>
      </c>
      <c r="AG63" s="412">
        <f t="shared" si="7"/>
        <v>0</v>
      </c>
      <c r="AH63" s="413">
        <f t="shared" si="8"/>
        <v>0</v>
      </c>
      <c r="AI63" s="413">
        <f t="shared" si="9"/>
        <v>0</v>
      </c>
      <c r="AJ63" s="410"/>
      <c r="AK63" s="411"/>
      <c r="AL63" s="412">
        <f t="shared" si="10"/>
        <v>0</v>
      </c>
      <c r="AM63" s="413">
        <f t="shared" si="11"/>
        <v>0</v>
      </c>
      <c r="AN63" s="410"/>
      <c r="AO63" s="411"/>
      <c r="AP63" s="410"/>
      <c r="AQ63" s="411"/>
      <c r="AR63" s="410"/>
      <c r="AS63" s="411"/>
      <c r="AT63" s="410"/>
      <c r="AU63" s="411"/>
      <c r="AV63" s="412">
        <f t="shared" si="12"/>
        <v>0</v>
      </c>
      <c r="AW63" s="412">
        <f t="shared" si="13"/>
        <v>0</v>
      </c>
      <c r="AX63" s="413">
        <f t="shared" si="14"/>
        <v>0</v>
      </c>
      <c r="AY63" s="413">
        <f t="shared" si="15"/>
        <v>0</v>
      </c>
      <c r="AZ63" s="412">
        <f t="shared" si="16"/>
        <v>915.9666666666667</v>
      </c>
      <c r="BA63" s="413">
        <f t="shared" si="17"/>
        <v>951.93333333333328</v>
      </c>
    </row>
    <row r="64" spans="1:53">
      <c r="A64" s="415" t="s">
        <v>103</v>
      </c>
      <c r="B64" s="14" t="s">
        <v>123</v>
      </c>
      <c r="C64" s="416"/>
      <c r="D64" s="13">
        <v>106883</v>
      </c>
      <c r="E64" s="419">
        <v>10</v>
      </c>
      <c r="F64" s="410" t="s">
        <v>74</v>
      </c>
      <c r="G64" s="411" t="s">
        <v>74</v>
      </c>
      <c r="H64" s="410"/>
      <c r="I64" s="411"/>
      <c r="J64" s="410">
        <v>8167</v>
      </c>
      <c r="K64" s="411">
        <v>9131</v>
      </c>
      <c r="L64" s="410">
        <v>2979</v>
      </c>
      <c r="M64" s="411">
        <v>3672</v>
      </c>
      <c r="N64" s="410">
        <v>10113</v>
      </c>
      <c r="O64" s="411">
        <v>11898</v>
      </c>
      <c r="P64" s="412">
        <f t="shared" si="0"/>
        <v>21259</v>
      </c>
      <c r="Q64" s="412">
        <f t="shared" si="1"/>
        <v>708.63333333333333</v>
      </c>
      <c r="R64" s="413">
        <f t="shared" si="2"/>
        <v>24701</v>
      </c>
      <c r="S64" s="413">
        <f t="shared" si="3"/>
        <v>823.36666666666667</v>
      </c>
      <c r="T64" s="410">
        <v>4019</v>
      </c>
      <c r="U64" s="411">
        <v>4144</v>
      </c>
      <c r="V64" s="412">
        <f t="shared" si="4"/>
        <v>21259</v>
      </c>
      <c r="W64" s="413">
        <f t="shared" si="5"/>
        <v>24701</v>
      </c>
      <c r="X64" s="410"/>
      <c r="Y64" s="411"/>
      <c r="Z64" s="410"/>
      <c r="AA64" s="411"/>
      <c r="AB64" s="410"/>
      <c r="AC64" s="411"/>
      <c r="AD64" s="410"/>
      <c r="AE64" s="411"/>
      <c r="AF64" s="412">
        <f t="shared" si="6"/>
        <v>0</v>
      </c>
      <c r="AG64" s="412">
        <f t="shared" si="7"/>
        <v>0</v>
      </c>
      <c r="AH64" s="413">
        <f t="shared" si="8"/>
        <v>0</v>
      </c>
      <c r="AI64" s="413">
        <f t="shared" si="9"/>
        <v>0</v>
      </c>
      <c r="AJ64" s="410"/>
      <c r="AK64" s="411"/>
      <c r="AL64" s="412">
        <f t="shared" si="10"/>
        <v>0</v>
      </c>
      <c r="AM64" s="413">
        <f t="shared" si="11"/>
        <v>0</v>
      </c>
      <c r="AN64" s="410"/>
      <c r="AO64" s="411"/>
      <c r="AP64" s="410"/>
      <c r="AQ64" s="411"/>
      <c r="AR64" s="410"/>
      <c r="AS64" s="411"/>
      <c r="AT64" s="410"/>
      <c r="AU64" s="411"/>
      <c r="AV64" s="412">
        <f t="shared" si="12"/>
        <v>0</v>
      </c>
      <c r="AW64" s="412">
        <f t="shared" si="13"/>
        <v>0</v>
      </c>
      <c r="AX64" s="413">
        <f t="shared" si="14"/>
        <v>0</v>
      </c>
      <c r="AY64" s="413">
        <f t="shared" si="15"/>
        <v>0</v>
      </c>
      <c r="AZ64" s="412">
        <f t="shared" si="16"/>
        <v>708.63333333333333</v>
      </c>
      <c r="BA64" s="413">
        <f t="shared" si="17"/>
        <v>823.36666666666667</v>
      </c>
    </row>
    <row r="65" spans="1:53">
      <c r="A65" s="415" t="s">
        <v>103</v>
      </c>
      <c r="B65" s="515" t="s">
        <v>116</v>
      </c>
      <c r="C65" s="516"/>
      <c r="D65" s="13">
        <v>106980</v>
      </c>
      <c r="E65" s="419">
        <v>10</v>
      </c>
      <c r="F65" s="410" t="s">
        <v>74</v>
      </c>
      <c r="G65" s="411" t="s">
        <v>74</v>
      </c>
      <c r="H65" s="410"/>
      <c r="I65" s="411"/>
      <c r="J65" s="410">
        <v>23125</v>
      </c>
      <c r="K65" s="411">
        <v>23487</v>
      </c>
      <c r="L65" s="410">
        <v>4504</v>
      </c>
      <c r="M65" s="411">
        <v>4456</v>
      </c>
      <c r="N65" s="410">
        <v>26917</v>
      </c>
      <c r="O65" s="411">
        <v>26273</v>
      </c>
      <c r="P65" s="412">
        <f t="shared" si="0"/>
        <v>54546</v>
      </c>
      <c r="Q65" s="412">
        <f t="shared" si="1"/>
        <v>1818.2</v>
      </c>
      <c r="R65" s="413">
        <f t="shared" si="2"/>
        <v>54216</v>
      </c>
      <c r="S65" s="413">
        <f t="shared" si="3"/>
        <v>1807.2</v>
      </c>
      <c r="T65" s="410">
        <v>5490</v>
      </c>
      <c r="U65" s="411">
        <v>4213</v>
      </c>
      <c r="V65" s="412">
        <f t="shared" si="4"/>
        <v>54546</v>
      </c>
      <c r="W65" s="413">
        <f t="shared" si="5"/>
        <v>54216</v>
      </c>
      <c r="X65" s="410"/>
      <c r="Y65" s="411"/>
      <c r="Z65" s="410"/>
      <c r="AA65" s="411"/>
      <c r="AB65" s="410"/>
      <c r="AC65" s="411"/>
      <c r="AD65" s="410"/>
      <c r="AE65" s="411"/>
      <c r="AF65" s="412">
        <f t="shared" si="6"/>
        <v>0</v>
      </c>
      <c r="AG65" s="412">
        <f t="shared" si="7"/>
        <v>0</v>
      </c>
      <c r="AH65" s="413">
        <f t="shared" si="8"/>
        <v>0</v>
      </c>
      <c r="AI65" s="413">
        <f t="shared" si="9"/>
        <v>0</v>
      </c>
      <c r="AJ65" s="410"/>
      <c r="AK65" s="411"/>
      <c r="AL65" s="412">
        <f t="shared" si="10"/>
        <v>0</v>
      </c>
      <c r="AM65" s="413">
        <f t="shared" si="11"/>
        <v>0</v>
      </c>
      <c r="AN65" s="410"/>
      <c r="AO65" s="411"/>
      <c r="AP65" s="410"/>
      <c r="AQ65" s="411"/>
      <c r="AR65" s="410"/>
      <c r="AS65" s="411"/>
      <c r="AT65" s="410"/>
      <c r="AU65" s="411"/>
      <c r="AV65" s="412">
        <f t="shared" si="12"/>
        <v>0</v>
      </c>
      <c r="AW65" s="412">
        <f t="shared" si="13"/>
        <v>0</v>
      </c>
      <c r="AX65" s="413">
        <f t="shared" si="14"/>
        <v>0</v>
      </c>
      <c r="AY65" s="413">
        <f t="shared" si="15"/>
        <v>0</v>
      </c>
      <c r="AZ65" s="412">
        <f t="shared" si="16"/>
        <v>1818.2</v>
      </c>
      <c r="BA65" s="413">
        <f t="shared" si="17"/>
        <v>1807.2</v>
      </c>
    </row>
    <row r="66" spans="1:53">
      <c r="A66" s="415" t="s">
        <v>103</v>
      </c>
      <c r="B66" s="14" t="s">
        <v>124</v>
      </c>
      <c r="C66" s="416"/>
      <c r="D66" s="13">
        <v>107460</v>
      </c>
      <c r="E66" s="419">
        <v>10</v>
      </c>
      <c r="F66" s="410" t="s">
        <v>74</v>
      </c>
      <c r="G66" s="411" t="s">
        <v>74</v>
      </c>
      <c r="H66" s="410"/>
      <c r="I66" s="411"/>
      <c r="J66" s="410">
        <v>17469</v>
      </c>
      <c r="K66" s="411">
        <v>16591</v>
      </c>
      <c r="L66" s="410">
        <v>2453</v>
      </c>
      <c r="M66" s="411">
        <v>2480</v>
      </c>
      <c r="N66" s="410">
        <v>19803</v>
      </c>
      <c r="O66" s="411">
        <v>18594</v>
      </c>
      <c r="P66" s="412">
        <f t="shared" si="0"/>
        <v>39725</v>
      </c>
      <c r="Q66" s="412">
        <f t="shared" si="1"/>
        <v>1324.1666666666667</v>
      </c>
      <c r="R66" s="413">
        <f t="shared" si="2"/>
        <v>37665</v>
      </c>
      <c r="S66" s="413">
        <f t="shared" si="3"/>
        <v>1255.5</v>
      </c>
      <c r="T66" s="410">
        <v>3677</v>
      </c>
      <c r="U66" s="411">
        <v>3856</v>
      </c>
      <c r="V66" s="412">
        <f t="shared" si="4"/>
        <v>39725</v>
      </c>
      <c r="W66" s="413">
        <f t="shared" si="5"/>
        <v>37665</v>
      </c>
      <c r="X66" s="410"/>
      <c r="Y66" s="411"/>
      <c r="Z66" s="410"/>
      <c r="AA66" s="411"/>
      <c r="AB66" s="410"/>
      <c r="AC66" s="411"/>
      <c r="AD66" s="410"/>
      <c r="AE66" s="411"/>
      <c r="AF66" s="412">
        <f t="shared" si="6"/>
        <v>0</v>
      </c>
      <c r="AG66" s="412">
        <f t="shared" si="7"/>
        <v>0</v>
      </c>
      <c r="AH66" s="413">
        <f t="shared" si="8"/>
        <v>0</v>
      </c>
      <c r="AI66" s="413">
        <f t="shared" si="9"/>
        <v>0</v>
      </c>
      <c r="AJ66" s="410"/>
      <c r="AK66" s="411"/>
      <c r="AL66" s="412">
        <f t="shared" si="10"/>
        <v>0</v>
      </c>
      <c r="AM66" s="413">
        <f t="shared" si="11"/>
        <v>0</v>
      </c>
      <c r="AN66" s="410"/>
      <c r="AO66" s="411"/>
      <c r="AP66" s="410"/>
      <c r="AQ66" s="411"/>
      <c r="AR66" s="410"/>
      <c r="AS66" s="411"/>
      <c r="AT66" s="410"/>
      <c r="AU66" s="411"/>
      <c r="AV66" s="412">
        <f t="shared" si="12"/>
        <v>0</v>
      </c>
      <c r="AW66" s="412">
        <f t="shared" si="13"/>
        <v>0</v>
      </c>
      <c r="AX66" s="413">
        <f t="shared" si="14"/>
        <v>0</v>
      </c>
      <c r="AY66" s="413">
        <f t="shared" si="15"/>
        <v>0</v>
      </c>
      <c r="AZ66" s="412">
        <f t="shared" si="16"/>
        <v>1324.1666666666667</v>
      </c>
      <c r="BA66" s="413">
        <f t="shared" si="17"/>
        <v>1255.5</v>
      </c>
    </row>
    <row r="67" spans="1:53">
      <c r="A67" s="415" t="s">
        <v>103</v>
      </c>
      <c r="B67" s="14" t="s">
        <v>125</v>
      </c>
      <c r="C67" s="416"/>
      <c r="D67" s="13">
        <v>107549</v>
      </c>
      <c r="E67" s="419">
        <v>10</v>
      </c>
      <c r="F67" s="410" t="s">
        <v>74</v>
      </c>
      <c r="G67" s="411" t="s">
        <v>74</v>
      </c>
      <c r="H67" s="410"/>
      <c r="I67" s="411"/>
      <c r="J67" s="410">
        <v>10165</v>
      </c>
      <c r="K67" s="411">
        <v>10621</v>
      </c>
      <c r="L67" s="410">
        <v>2387</v>
      </c>
      <c r="M67" s="411">
        <v>2294</v>
      </c>
      <c r="N67" s="410">
        <v>10841</v>
      </c>
      <c r="O67" s="411">
        <v>11253</v>
      </c>
      <c r="P67" s="412">
        <f t="shared" si="0"/>
        <v>23393</v>
      </c>
      <c r="Q67" s="412">
        <f t="shared" si="1"/>
        <v>779.76666666666665</v>
      </c>
      <c r="R67" s="413">
        <f t="shared" si="2"/>
        <v>24168</v>
      </c>
      <c r="S67" s="413">
        <f t="shared" si="3"/>
        <v>805.6</v>
      </c>
      <c r="T67" s="410">
        <v>3469</v>
      </c>
      <c r="U67" s="411">
        <v>3535</v>
      </c>
      <c r="V67" s="412">
        <f t="shared" si="4"/>
        <v>23393</v>
      </c>
      <c r="W67" s="413">
        <f t="shared" si="5"/>
        <v>24168</v>
      </c>
      <c r="X67" s="410"/>
      <c r="Y67" s="411"/>
      <c r="Z67" s="410"/>
      <c r="AA67" s="411"/>
      <c r="AB67" s="410"/>
      <c r="AC67" s="411"/>
      <c r="AD67" s="410"/>
      <c r="AE67" s="411"/>
      <c r="AF67" s="412">
        <f t="shared" si="6"/>
        <v>0</v>
      </c>
      <c r="AG67" s="412">
        <f t="shared" si="7"/>
        <v>0</v>
      </c>
      <c r="AH67" s="413">
        <f t="shared" si="8"/>
        <v>0</v>
      </c>
      <c r="AI67" s="413">
        <f t="shared" si="9"/>
        <v>0</v>
      </c>
      <c r="AJ67" s="410"/>
      <c r="AK67" s="411"/>
      <c r="AL67" s="412">
        <f t="shared" si="10"/>
        <v>0</v>
      </c>
      <c r="AM67" s="413">
        <f t="shared" si="11"/>
        <v>0</v>
      </c>
      <c r="AN67" s="410"/>
      <c r="AO67" s="411"/>
      <c r="AP67" s="410"/>
      <c r="AQ67" s="411"/>
      <c r="AR67" s="410"/>
      <c r="AS67" s="411"/>
      <c r="AT67" s="410"/>
      <c r="AU67" s="411"/>
      <c r="AV67" s="412">
        <f t="shared" si="12"/>
        <v>0</v>
      </c>
      <c r="AW67" s="412">
        <f t="shared" si="13"/>
        <v>0</v>
      </c>
      <c r="AX67" s="413">
        <f t="shared" si="14"/>
        <v>0</v>
      </c>
      <c r="AY67" s="413">
        <f t="shared" si="15"/>
        <v>0</v>
      </c>
      <c r="AZ67" s="412">
        <f t="shared" si="16"/>
        <v>779.76666666666665</v>
      </c>
      <c r="BA67" s="413">
        <f t="shared" si="17"/>
        <v>805.6</v>
      </c>
    </row>
    <row r="68" spans="1:53">
      <c r="A68" s="415" t="s">
        <v>103</v>
      </c>
      <c r="B68" s="14" t="s">
        <v>126</v>
      </c>
      <c r="C68" s="416"/>
      <c r="D68" s="13">
        <v>107619</v>
      </c>
      <c r="E68" s="419">
        <v>10</v>
      </c>
      <c r="F68" s="410" t="s">
        <v>74</v>
      </c>
      <c r="G68" s="411" t="s">
        <v>74</v>
      </c>
      <c r="H68" s="410"/>
      <c r="I68" s="411"/>
      <c r="J68" s="410">
        <v>11643</v>
      </c>
      <c r="K68" s="411">
        <v>11375</v>
      </c>
      <c r="L68" s="410">
        <v>2724</v>
      </c>
      <c r="M68" s="411">
        <v>2576</v>
      </c>
      <c r="N68" s="410">
        <v>13462</v>
      </c>
      <c r="O68" s="411">
        <v>13912</v>
      </c>
      <c r="P68" s="412">
        <f t="shared" si="0"/>
        <v>27829</v>
      </c>
      <c r="Q68" s="412">
        <f t="shared" si="1"/>
        <v>927.63333333333333</v>
      </c>
      <c r="R68" s="413">
        <f t="shared" si="2"/>
        <v>27863</v>
      </c>
      <c r="S68" s="413">
        <f t="shared" si="3"/>
        <v>928.76666666666665</v>
      </c>
      <c r="T68" s="410">
        <v>6869</v>
      </c>
      <c r="U68" s="411">
        <v>6522</v>
      </c>
      <c r="V68" s="412">
        <f t="shared" si="4"/>
        <v>27829</v>
      </c>
      <c r="W68" s="413">
        <f t="shared" si="5"/>
        <v>27863</v>
      </c>
      <c r="X68" s="410"/>
      <c r="Y68" s="411"/>
      <c r="Z68" s="410"/>
      <c r="AA68" s="411"/>
      <c r="AB68" s="410"/>
      <c r="AC68" s="411"/>
      <c r="AD68" s="410"/>
      <c r="AE68" s="411"/>
      <c r="AF68" s="412">
        <f t="shared" si="6"/>
        <v>0</v>
      </c>
      <c r="AG68" s="412">
        <f t="shared" si="7"/>
        <v>0</v>
      </c>
      <c r="AH68" s="413">
        <f t="shared" si="8"/>
        <v>0</v>
      </c>
      <c r="AI68" s="413">
        <f t="shared" si="9"/>
        <v>0</v>
      </c>
      <c r="AJ68" s="410"/>
      <c r="AK68" s="411"/>
      <c r="AL68" s="412">
        <f t="shared" si="10"/>
        <v>0</v>
      </c>
      <c r="AM68" s="413">
        <f t="shared" si="11"/>
        <v>0</v>
      </c>
      <c r="AN68" s="410"/>
      <c r="AO68" s="411"/>
      <c r="AP68" s="410"/>
      <c r="AQ68" s="411"/>
      <c r="AR68" s="410"/>
      <c r="AS68" s="411"/>
      <c r="AT68" s="410"/>
      <c r="AU68" s="411"/>
      <c r="AV68" s="412">
        <f t="shared" si="12"/>
        <v>0</v>
      </c>
      <c r="AW68" s="412">
        <f t="shared" si="13"/>
        <v>0</v>
      </c>
      <c r="AX68" s="413">
        <f t="shared" si="14"/>
        <v>0</v>
      </c>
      <c r="AY68" s="413">
        <f t="shared" si="15"/>
        <v>0</v>
      </c>
      <c r="AZ68" s="412">
        <f t="shared" si="16"/>
        <v>927.63333333333333</v>
      </c>
      <c r="BA68" s="413">
        <f t="shared" si="17"/>
        <v>928.76666666666665</v>
      </c>
    </row>
    <row r="69" spans="1:53">
      <c r="A69" s="415" t="s">
        <v>103</v>
      </c>
      <c r="B69" s="14" t="s">
        <v>127</v>
      </c>
      <c r="C69" s="416"/>
      <c r="D69" s="13">
        <v>107974</v>
      </c>
      <c r="E69" s="419">
        <v>10</v>
      </c>
      <c r="F69" s="410" t="s">
        <v>74</v>
      </c>
      <c r="G69" s="411" t="s">
        <v>74</v>
      </c>
      <c r="H69" s="410"/>
      <c r="I69" s="411"/>
      <c r="J69" s="410">
        <v>12939</v>
      </c>
      <c r="K69" s="411">
        <v>12802</v>
      </c>
      <c r="L69" s="410">
        <v>4727</v>
      </c>
      <c r="M69" s="411">
        <v>4955</v>
      </c>
      <c r="N69" s="410">
        <v>13601</v>
      </c>
      <c r="O69" s="411">
        <v>13298</v>
      </c>
      <c r="P69" s="412">
        <f t="shared" si="0"/>
        <v>31267</v>
      </c>
      <c r="Q69" s="412">
        <f t="shared" si="1"/>
        <v>1042.2333333333333</v>
      </c>
      <c r="R69" s="413">
        <f t="shared" si="2"/>
        <v>31055</v>
      </c>
      <c r="S69" s="413">
        <f t="shared" si="3"/>
        <v>1035.1666666666667</v>
      </c>
      <c r="T69" s="410">
        <v>3153</v>
      </c>
      <c r="U69" s="411">
        <v>2969</v>
      </c>
      <c r="V69" s="412">
        <f t="shared" si="4"/>
        <v>31267</v>
      </c>
      <c r="W69" s="413">
        <f t="shared" si="5"/>
        <v>31055</v>
      </c>
      <c r="X69" s="410"/>
      <c r="Y69" s="411"/>
      <c r="Z69" s="410"/>
      <c r="AA69" s="411"/>
      <c r="AB69" s="410"/>
      <c r="AC69" s="411"/>
      <c r="AD69" s="410"/>
      <c r="AE69" s="411"/>
      <c r="AF69" s="412">
        <f t="shared" si="6"/>
        <v>0</v>
      </c>
      <c r="AG69" s="412">
        <f t="shared" si="7"/>
        <v>0</v>
      </c>
      <c r="AH69" s="413">
        <f t="shared" si="8"/>
        <v>0</v>
      </c>
      <c r="AI69" s="413">
        <f t="shared" si="9"/>
        <v>0</v>
      </c>
      <c r="AJ69" s="410"/>
      <c r="AK69" s="411"/>
      <c r="AL69" s="412">
        <f t="shared" si="10"/>
        <v>0</v>
      </c>
      <c r="AM69" s="413">
        <f t="shared" si="11"/>
        <v>0</v>
      </c>
      <c r="AN69" s="410"/>
      <c r="AO69" s="411"/>
      <c r="AP69" s="410"/>
      <c r="AQ69" s="411"/>
      <c r="AR69" s="410"/>
      <c r="AS69" s="411"/>
      <c r="AT69" s="410"/>
      <c r="AU69" s="411"/>
      <c r="AV69" s="412">
        <f t="shared" si="12"/>
        <v>0</v>
      </c>
      <c r="AW69" s="412">
        <f t="shared" si="13"/>
        <v>0</v>
      </c>
      <c r="AX69" s="413">
        <f t="shared" si="14"/>
        <v>0</v>
      </c>
      <c r="AY69" s="413">
        <f t="shared" si="15"/>
        <v>0</v>
      </c>
      <c r="AZ69" s="412">
        <f t="shared" si="16"/>
        <v>1042.2333333333333</v>
      </c>
      <c r="BA69" s="413">
        <f t="shared" si="17"/>
        <v>1035.1666666666667</v>
      </c>
    </row>
    <row r="70" spans="1:53">
      <c r="A70" s="11" t="s">
        <v>103</v>
      </c>
      <c r="B70" s="14" t="s">
        <v>128</v>
      </c>
      <c r="C70" s="416"/>
      <c r="D70" s="13">
        <v>107637</v>
      </c>
      <c r="E70" s="419">
        <v>10</v>
      </c>
      <c r="F70" s="410" t="s">
        <v>74</v>
      </c>
      <c r="G70" s="411" t="s">
        <v>74</v>
      </c>
      <c r="H70" s="410"/>
      <c r="I70" s="411"/>
      <c r="J70" s="410">
        <v>10622</v>
      </c>
      <c r="K70" s="411">
        <v>10381</v>
      </c>
      <c r="L70" s="410">
        <v>2964</v>
      </c>
      <c r="M70" s="411">
        <v>3413</v>
      </c>
      <c r="N70" s="410">
        <v>11030</v>
      </c>
      <c r="O70" s="411">
        <v>12578</v>
      </c>
      <c r="P70" s="412">
        <f t="shared" si="0"/>
        <v>24616</v>
      </c>
      <c r="Q70" s="412">
        <f t="shared" si="1"/>
        <v>820.5333333333333</v>
      </c>
      <c r="R70" s="413">
        <f t="shared" si="2"/>
        <v>26372</v>
      </c>
      <c r="S70" s="413">
        <f t="shared" si="3"/>
        <v>879.06666666666672</v>
      </c>
      <c r="T70" s="410">
        <v>1199</v>
      </c>
      <c r="U70" s="411">
        <v>2026</v>
      </c>
      <c r="V70" s="412">
        <f t="shared" si="4"/>
        <v>24616</v>
      </c>
      <c r="W70" s="413">
        <f t="shared" si="5"/>
        <v>26372</v>
      </c>
      <c r="X70" s="410"/>
      <c r="Y70" s="411"/>
      <c r="Z70" s="410"/>
      <c r="AA70" s="411"/>
      <c r="AB70" s="410"/>
      <c r="AC70" s="411"/>
      <c r="AD70" s="410"/>
      <c r="AE70" s="411"/>
      <c r="AF70" s="412">
        <f t="shared" si="6"/>
        <v>0</v>
      </c>
      <c r="AG70" s="412">
        <f t="shared" si="7"/>
        <v>0</v>
      </c>
      <c r="AH70" s="413">
        <f t="shared" si="8"/>
        <v>0</v>
      </c>
      <c r="AI70" s="413">
        <f t="shared" si="9"/>
        <v>0</v>
      </c>
      <c r="AJ70" s="410"/>
      <c r="AK70" s="411"/>
      <c r="AL70" s="412">
        <f t="shared" si="10"/>
        <v>0</v>
      </c>
      <c r="AM70" s="413">
        <f t="shared" si="11"/>
        <v>0</v>
      </c>
      <c r="AN70" s="410"/>
      <c r="AO70" s="411"/>
      <c r="AP70" s="410"/>
      <c r="AQ70" s="411"/>
      <c r="AR70" s="410"/>
      <c r="AS70" s="411"/>
      <c r="AT70" s="410"/>
      <c r="AU70" s="411"/>
      <c r="AV70" s="412">
        <f t="shared" si="12"/>
        <v>0</v>
      </c>
      <c r="AW70" s="412">
        <f t="shared" si="13"/>
        <v>0</v>
      </c>
      <c r="AX70" s="413">
        <f t="shared" si="14"/>
        <v>0</v>
      </c>
      <c r="AY70" s="413">
        <f t="shared" si="15"/>
        <v>0</v>
      </c>
      <c r="AZ70" s="412">
        <f t="shared" si="16"/>
        <v>820.5333333333333</v>
      </c>
      <c r="BA70" s="413">
        <f t="shared" si="17"/>
        <v>879.06666666666672</v>
      </c>
    </row>
    <row r="71" spans="1:53">
      <c r="A71" s="11" t="s">
        <v>103</v>
      </c>
      <c r="B71" s="14" t="s">
        <v>129</v>
      </c>
      <c r="C71" s="416"/>
      <c r="D71" s="13">
        <v>107992</v>
      </c>
      <c r="E71" s="419">
        <v>10</v>
      </c>
      <c r="F71" s="410" t="s">
        <v>74</v>
      </c>
      <c r="G71" s="411" t="s">
        <v>74</v>
      </c>
      <c r="H71" s="410"/>
      <c r="I71" s="411"/>
      <c r="J71" s="410">
        <v>12187</v>
      </c>
      <c r="K71" s="411">
        <v>10778</v>
      </c>
      <c r="L71" s="410">
        <v>6525</v>
      </c>
      <c r="M71" s="411">
        <v>3272</v>
      </c>
      <c r="N71" s="410">
        <v>11291</v>
      </c>
      <c r="O71" s="411">
        <v>12410</v>
      </c>
      <c r="P71" s="412">
        <f t="shared" ref="P71:P75" si="18">SUM(H71,J71,L71,N71)</f>
        <v>30003</v>
      </c>
      <c r="Q71" s="412">
        <f t="shared" ref="Q71:Q75" si="19">+P71/30</f>
        <v>1000.1</v>
      </c>
      <c r="R71" s="413">
        <f t="shared" ref="R71:R75" si="20">SUM(I71,K71,M71,O71)</f>
        <v>26460</v>
      </c>
      <c r="S71" s="413">
        <f t="shared" ref="S71:S75" si="21">+R71/30</f>
        <v>882</v>
      </c>
      <c r="T71" s="410">
        <v>3519</v>
      </c>
      <c r="U71" s="411">
        <v>3677</v>
      </c>
      <c r="V71" s="412">
        <f t="shared" ref="V71:V75" si="22">IF(ISBLANK(T71),0,P71)</f>
        <v>30003</v>
      </c>
      <c r="W71" s="413">
        <f t="shared" ref="W71:W75" si="23">IF(ISBLANK(U71),0,R71)</f>
        <v>26460</v>
      </c>
      <c r="X71" s="410"/>
      <c r="Y71" s="411"/>
      <c r="Z71" s="410"/>
      <c r="AA71" s="411"/>
      <c r="AB71" s="410"/>
      <c r="AC71" s="411"/>
      <c r="AD71" s="410"/>
      <c r="AE71" s="411"/>
      <c r="AF71" s="412">
        <f t="shared" ref="AF71:AF75" si="24">SUM(X71,Z71,AB71,AD71)</f>
        <v>0</v>
      </c>
      <c r="AG71" s="412">
        <f t="shared" ref="AG71:AG75" si="25">+AF71/900</f>
        <v>0</v>
      </c>
      <c r="AH71" s="413">
        <f t="shared" ref="AH71:AH75" si="26">SUM(Y71,AA71,AC71,AE71)</f>
        <v>0</v>
      </c>
      <c r="AI71" s="413">
        <f t="shared" ref="AI71:AI75" si="27">+AH71/900</f>
        <v>0</v>
      </c>
      <c r="AJ71" s="410"/>
      <c r="AK71" s="411"/>
      <c r="AL71" s="412">
        <f t="shared" ref="AL71:AL134" si="28">IF(ISBLANK(AJ71),0,AF71)</f>
        <v>0</v>
      </c>
      <c r="AM71" s="413">
        <f t="shared" ref="AM71:AM134" si="29">IF(ISBLANK(AK71),0,AH71)</f>
        <v>0</v>
      </c>
      <c r="AN71" s="410"/>
      <c r="AO71" s="411"/>
      <c r="AP71" s="410"/>
      <c r="AQ71" s="411"/>
      <c r="AR71" s="410"/>
      <c r="AS71" s="411"/>
      <c r="AT71" s="410"/>
      <c r="AU71" s="411"/>
      <c r="AV71" s="412">
        <f t="shared" ref="AV71:AV134" si="30">SUM(AN71,AP71,AR71,AT71)</f>
        <v>0</v>
      </c>
      <c r="AW71" s="412">
        <f t="shared" ref="AW71:AW134" si="31">+AV71/24</f>
        <v>0</v>
      </c>
      <c r="AX71" s="413">
        <f t="shared" ref="AX71:AX134" si="32">SUM(AO71,AQ71,AS71,AU71)</f>
        <v>0</v>
      </c>
      <c r="AY71" s="413">
        <f t="shared" ref="AY71:AY134" si="33">+AX71/24</f>
        <v>0</v>
      </c>
      <c r="AZ71" s="412">
        <f t="shared" ref="AZ71:AZ134" si="34">SUM(Q71,AG71,AW71)</f>
        <v>1000.1</v>
      </c>
      <c r="BA71" s="413">
        <f t="shared" ref="BA71:BA134" si="35">SUM(S71,AI71,AY71)</f>
        <v>882</v>
      </c>
    </row>
    <row r="72" spans="1:53">
      <c r="A72" s="11" t="s">
        <v>103</v>
      </c>
      <c r="B72" s="14" t="s">
        <v>130</v>
      </c>
      <c r="C72" s="416"/>
      <c r="D72" s="13">
        <v>106999</v>
      </c>
      <c r="E72" s="419">
        <v>10</v>
      </c>
      <c r="F72" s="410" t="s">
        <v>74</v>
      </c>
      <c r="G72" s="411" t="s">
        <v>74</v>
      </c>
      <c r="H72" s="410"/>
      <c r="I72" s="411"/>
      <c r="J72" s="410">
        <v>11420</v>
      </c>
      <c r="K72" s="411">
        <v>12012</v>
      </c>
      <c r="L72" s="410">
        <v>2486</v>
      </c>
      <c r="M72" s="411">
        <v>2968</v>
      </c>
      <c r="N72" s="410">
        <v>13610</v>
      </c>
      <c r="O72" s="411">
        <v>14654</v>
      </c>
      <c r="P72" s="412">
        <f t="shared" si="18"/>
        <v>27516</v>
      </c>
      <c r="Q72" s="412">
        <f t="shared" si="19"/>
        <v>917.2</v>
      </c>
      <c r="R72" s="413">
        <f t="shared" si="20"/>
        <v>29634</v>
      </c>
      <c r="S72" s="413">
        <f t="shared" si="21"/>
        <v>987.8</v>
      </c>
      <c r="T72" s="410">
        <v>3988</v>
      </c>
      <c r="U72" s="411">
        <v>4662</v>
      </c>
      <c r="V72" s="412">
        <f t="shared" si="22"/>
        <v>27516</v>
      </c>
      <c r="W72" s="413">
        <f t="shared" si="23"/>
        <v>29634</v>
      </c>
      <c r="X72" s="410"/>
      <c r="Y72" s="411"/>
      <c r="Z72" s="410"/>
      <c r="AA72" s="411"/>
      <c r="AB72" s="410"/>
      <c r="AC72" s="411"/>
      <c r="AD72" s="410"/>
      <c r="AE72" s="411"/>
      <c r="AF72" s="412">
        <f t="shared" si="24"/>
        <v>0</v>
      </c>
      <c r="AG72" s="412">
        <f t="shared" si="25"/>
        <v>0</v>
      </c>
      <c r="AH72" s="413">
        <f t="shared" si="26"/>
        <v>0</v>
      </c>
      <c r="AI72" s="413">
        <f t="shared" si="27"/>
        <v>0</v>
      </c>
      <c r="AJ72" s="410"/>
      <c r="AK72" s="411"/>
      <c r="AL72" s="412">
        <f t="shared" si="28"/>
        <v>0</v>
      </c>
      <c r="AM72" s="413">
        <f t="shared" si="29"/>
        <v>0</v>
      </c>
      <c r="AN72" s="410"/>
      <c r="AO72" s="411"/>
      <c r="AP72" s="410"/>
      <c r="AQ72" s="411"/>
      <c r="AR72" s="410"/>
      <c r="AS72" s="411"/>
      <c r="AT72" s="410"/>
      <c r="AU72" s="411"/>
      <c r="AV72" s="412">
        <f t="shared" si="30"/>
        <v>0</v>
      </c>
      <c r="AW72" s="412">
        <f t="shared" si="31"/>
        <v>0</v>
      </c>
      <c r="AX72" s="413">
        <f t="shared" si="32"/>
        <v>0</v>
      </c>
      <c r="AY72" s="413">
        <f t="shared" si="33"/>
        <v>0</v>
      </c>
      <c r="AZ72" s="412">
        <f t="shared" si="34"/>
        <v>917.2</v>
      </c>
      <c r="BA72" s="413">
        <f t="shared" si="35"/>
        <v>987.8</v>
      </c>
    </row>
    <row r="73" spans="1:53">
      <c r="A73" s="415" t="s">
        <v>103</v>
      </c>
      <c r="B73" s="14" t="s">
        <v>924</v>
      </c>
      <c r="C73" s="416"/>
      <c r="D73" s="13">
        <v>107725</v>
      </c>
      <c r="E73" s="417">
        <v>10</v>
      </c>
      <c r="F73" s="410" t="s">
        <v>74</v>
      </c>
      <c r="G73" s="411" t="s">
        <v>74</v>
      </c>
      <c r="H73" s="410"/>
      <c r="I73" s="411"/>
      <c r="J73" s="410">
        <v>13970</v>
      </c>
      <c r="K73" s="411">
        <v>12947</v>
      </c>
      <c r="L73" s="410">
        <v>2730</v>
      </c>
      <c r="M73" s="411">
        <v>2264</v>
      </c>
      <c r="N73" s="410">
        <v>14183</v>
      </c>
      <c r="O73" s="411">
        <v>13158</v>
      </c>
      <c r="P73" s="412">
        <f t="shared" si="18"/>
        <v>30883</v>
      </c>
      <c r="Q73" s="412">
        <f t="shared" si="19"/>
        <v>1029.4333333333334</v>
      </c>
      <c r="R73" s="413">
        <f t="shared" si="20"/>
        <v>28369</v>
      </c>
      <c r="S73" s="413">
        <f t="shared" si="21"/>
        <v>945.63333333333333</v>
      </c>
      <c r="T73" s="410">
        <v>4382</v>
      </c>
      <c r="U73" s="411">
        <v>5709</v>
      </c>
      <c r="V73" s="412">
        <f t="shared" si="22"/>
        <v>30883</v>
      </c>
      <c r="W73" s="413">
        <f t="shared" si="23"/>
        <v>28369</v>
      </c>
      <c r="X73" s="410"/>
      <c r="Y73" s="411"/>
      <c r="Z73" s="410"/>
      <c r="AA73" s="411"/>
      <c r="AB73" s="410"/>
      <c r="AC73" s="411"/>
      <c r="AD73" s="410"/>
      <c r="AE73" s="411"/>
      <c r="AF73" s="412">
        <f t="shared" si="24"/>
        <v>0</v>
      </c>
      <c r="AG73" s="412">
        <f t="shared" si="25"/>
        <v>0</v>
      </c>
      <c r="AH73" s="413">
        <f t="shared" si="26"/>
        <v>0</v>
      </c>
      <c r="AI73" s="413">
        <f t="shared" si="27"/>
        <v>0</v>
      </c>
      <c r="AJ73" s="410"/>
      <c r="AK73" s="411"/>
      <c r="AL73" s="412">
        <f t="shared" si="28"/>
        <v>0</v>
      </c>
      <c r="AM73" s="413">
        <f t="shared" si="29"/>
        <v>0</v>
      </c>
      <c r="AN73" s="410"/>
      <c r="AO73" s="411"/>
      <c r="AP73" s="410"/>
      <c r="AQ73" s="411"/>
      <c r="AR73" s="410"/>
      <c r="AS73" s="411"/>
      <c r="AT73" s="410"/>
      <c r="AU73" s="411"/>
      <c r="AV73" s="412">
        <f t="shared" si="30"/>
        <v>0</v>
      </c>
      <c r="AW73" s="412">
        <f t="shared" si="31"/>
        <v>0</v>
      </c>
      <c r="AX73" s="413">
        <f t="shared" si="32"/>
        <v>0</v>
      </c>
      <c r="AY73" s="413">
        <f t="shared" si="33"/>
        <v>0</v>
      </c>
      <c r="AZ73" s="412">
        <f t="shared" si="34"/>
        <v>1029.4333333333334</v>
      </c>
      <c r="BA73" s="413">
        <f t="shared" si="35"/>
        <v>945.63333333333333</v>
      </c>
    </row>
    <row r="74" spans="1:53">
      <c r="A74" s="11" t="s">
        <v>103</v>
      </c>
      <c r="B74" s="14" t="s">
        <v>131</v>
      </c>
      <c r="C74" s="416"/>
      <c r="D74" s="13">
        <v>107585</v>
      </c>
      <c r="E74" s="419">
        <v>10</v>
      </c>
      <c r="F74" s="410" t="s">
        <v>74</v>
      </c>
      <c r="G74" s="411" t="s">
        <v>74</v>
      </c>
      <c r="H74" s="410"/>
      <c r="I74" s="411"/>
      <c r="J74" s="410">
        <v>18978</v>
      </c>
      <c r="K74" s="411">
        <v>18307</v>
      </c>
      <c r="L74" s="410">
        <v>3418</v>
      </c>
      <c r="M74" s="411">
        <v>3499</v>
      </c>
      <c r="N74" s="410">
        <v>20578</v>
      </c>
      <c r="O74" s="411">
        <v>20014</v>
      </c>
      <c r="P74" s="412">
        <f t="shared" si="18"/>
        <v>42974</v>
      </c>
      <c r="Q74" s="412">
        <f t="shared" si="19"/>
        <v>1432.4666666666667</v>
      </c>
      <c r="R74" s="413">
        <f t="shared" si="20"/>
        <v>41820</v>
      </c>
      <c r="S74" s="413">
        <f t="shared" si="21"/>
        <v>1394</v>
      </c>
      <c r="T74" s="410">
        <v>2187</v>
      </c>
      <c r="U74" s="411">
        <v>2662</v>
      </c>
      <c r="V74" s="412">
        <f t="shared" si="22"/>
        <v>42974</v>
      </c>
      <c r="W74" s="413">
        <f t="shared" si="23"/>
        <v>41820</v>
      </c>
      <c r="X74" s="410"/>
      <c r="Y74" s="411"/>
      <c r="Z74" s="410"/>
      <c r="AA74" s="411"/>
      <c r="AB74" s="410"/>
      <c r="AC74" s="411"/>
      <c r="AD74" s="410"/>
      <c r="AE74" s="411"/>
      <c r="AF74" s="412">
        <f t="shared" si="24"/>
        <v>0</v>
      </c>
      <c r="AG74" s="412">
        <f t="shared" si="25"/>
        <v>0</v>
      </c>
      <c r="AH74" s="413">
        <f t="shared" si="26"/>
        <v>0</v>
      </c>
      <c r="AI74" s="413">
        <f t="shared" si="27"/>
        <v>0</v>
      </c>
      <c r="AJ74" s="410"/>
      <c r="AK74" s="411"/>
      <c r="AL74" s="412">
        <f t="shared" si="28"/>
        <v>0</v>
      </c>
      <c r="AM74" s="413">
        <f t="shared" si="29"/>
        <v>0</v>
      </c>
      <c r="AN74" s="410"/>
      <c r="AO74" s="411"/>
      <c r="AP74" s="410"/>
      <c r="AQ74" s="411"/>
      <c r="AR74" s="410"/>
      <c r="AS74" s="411"/>
      <c r="AT74" s="410"/>
      <c r="AU74" s="411"/>
      <c r="AV74" s="412">
        <f t="shared" si="30"/>
        <v>0</v>
      </c>
      <c r="AW74" s="412">
        <f t="shared" si="31"/>
        <v>0</v>
      </c>
      <c r="AX74" s="413">
        <f t="shared" si="32"/>
        <v>0</v>
      </c>
      <c r="AY74" s="413">
        <f t="shared" si="33"/>
        <v>0</v>
      </c>
      <c r="AZ74" s="412">
        <f t="shared" si="34"/>
        <v>1432.4666666666667</v>
      </c>
      <c r="BA74" s="413">
        <f t="shared" si="35"/>
        <v>1394</v>
      </c>
    </row>
    <row r="75" spans="1:53">
      <c r="A75" s="415" t="s">
        <v>103</v>
      </c>
      <c r="B75" s="14" t="s">
        <v>887</v>
      </c>
      <c r="C75" s="416"/>
      <c r="D75" s="13">
        <v>107743</v>
      </c>
      <c r="E75" s="419">
        <v>10</v>
      </c>
      <c r="F75" s="410" t="s">
        <v>74</v>
      </c>
      <c r="G75" s="411" t="s">
        <v>74</v>
      </c>
      <c r="H75" s="410"/>
      <c r="I75" s="411"/>
      <c r="J75" s="410">
        <v>7266</v>
      </c>
      <c r="K75" s="411">
        <v>6616</v>
      </c>
      <c r="L75" s="410">
        <v>1281</v>
      </c>
      <c r="M75" s="411">
        <v>1446</v>
      </c>
      <c r="N75" s="410">
        <v>7604</v>
      </c>
      <c r="O75" s="411">
        <v>8581</v>
      </c>
      <c r="P75" s="412">
        <f t="shared" si="18"/>
        <v>16151</v>
      </c>
      <c r="Q75" s="412">
        <f t="shared" si="19"/>
        <v>538.36666666666667</v>
      </c>
      <c r="R75" s="413">
        <f t="shared" si="20"/>
        <v>16643</v>
      </c>
      <c r="S75" s="413">
        <f t="shared" si="21"/>
        <v>554.76666666666665</v>
      </c>
      <c r="T75" s="410">
        <v>3280</v>
      </c>
      <c r="U75" s="411">
        <v>3089</v>
      </c>
      <c r="V75" s="412">
        <f t="shared" si="22"/>
        <v>16151</v>
      </c>
      <c r="W75" s="413">
        <f t="shared" si="23"/>
        <v>16643</v>
      </c>
      <c r="X75" s="410"/>
      <c r="Y75" s="411"/>
      <c r="Z75" s="410"/>
      <c r="AA75" s="411"/>
      <c r="AB75" s="410"/>
      <c r="AC75" s="411"/>
      <c r="AD75" s="410"/>
      <c r="AE75" s="411"/>
      <c r="AF75" s="412">
        <f t="shared" si="24"/>
        <v>0</v>
      </c>
      <c r="AG75" s="412">
        <f t="shared" si="25"/>
        <v>0</v>
      </c>
      <c r="AH75" s="413">
        <f t="shared" si="26"/>
        <v>0</v>
      </c>
      <c r="AI75" s="413">
        <f t="shared" si="27"/>
        <v>0</v>
      </c>
      <c r="AJ75" s="410"/>
      <c r="AK75" s="411"/>
      <c r="AL75" s="412">
        <f t="shared" si="28"/>
        <v>0</v>
      </c>
      <c r="AM75" s="413">
        <f t="shared" si="29"/>
        <v>0</v>
      </c>
      <c r="AN75" s="410"/>
      <c r="AO75" s="411"/>
      <c r="AP75" s="410"/>
      <c r="AQ75" s="411"/>
      <c r="AR75" s="410"/>
      <c r="AS75" s="411"/>
      <c r="AT75" s="410"/>
      <c r="AU75" s="411"/>
      <c r="AV75" s="412">
        <f t="shared" si="30"/>
        <v>0</v>
      </c>
      <c r="AW75" s="412">
        <f t="shared" si="31"/>
        <v>0</v>
      </c>
      <c r="AX75" s="413">
        <f t="shared" si="32"/>
        <v>0</v>
      </c>
      <c r="AY75" s="413">
        <f t="shared" si="33"/>
        <v>0</v>
      </c>
      <c r="AZ75" s="412">
        <f t="shared" si="34"/>
        <v>538.36666666666667</v>
      </c>
      <c r="BA75" s="413">
        <f t="shared" si="35"/>
        <v>554.76666666666665</v>
      </c>
    </row>
    <row r="76" spans="1:53">
      <c r="A76" s="47" t="s">
        <v>477</v>
      </c>
      <c r="B76" s="43" t="s">
        <v>478</v>
      </c>
      <c r="C76" s="46"/>
      <c r="D76" s="561">
        <v>130943</v>
      </c>
      <c r="E76" s="561">
        <v>1</v>
      </c>
      <c r="F76" s="410"/>
      <c r="G76" s="411"/>
      <c r="H76" s="410">
        <v>28943</v>
      </c>
      <c r="I76" s="411">
        <v>27893</v>
      </c>
      <c r="J76" s="410">
        <v>262203</v>
      </c>
      <c r="K76" s="411">
        <v>265680</v>
      </c>
      <c r="L76" s="410">
        <v>16899</v>
      </c>
      <c r="M76" s="411">
        <v>18429</v>
      </c>
      <c r="N76" s="410">
        <v>285831</v>
      </c>
      <c r="O76" s="411">
        <v>287289</v>
      </c>
      <c r="P76" s="412">
        <f>SUM(H76,J76,L76,N76)</f>
        <v>593876</v>
      </c>
      <c r="Q76" s="412">
        <f>+P76/30</f>
        <v>19795.866666666665</v>
      </c>
      <c r="R76" s="413">
        <f>SUM(I76,K76,M76,O76)</f>
        <v>599291</v>
      </c>
      <c r="S76" s="413">
        <f>+R76/30</f>
        <v>19976.366666666665</v>
      </c>
      <c r="T76" s="410"/>
      <c r="U76" s="411"/>
      <c r="V76" s="412">
        <f>IF(ISBLANK(T76),0,P76)</f>
        <v>0</v>
      </c>
      <c r="W76" s="413">
        <f>IF(ISBLANK(U76),0,R76)</f>
        <v>0</v>
      </c>
      <c r="X76" s="410"/>
      <c r="Y76" s="411"/>
      <c r="Z76" s="410"/>
      <c r="AA76" s="411"/>
      <c r="AB76" s="410"/>
      <c r="AC76" s="411"/>
      <c r="AD76" s="410"/>
      <c r="AE76" s="411"/>
      <c r="AF76" s="412">
        <f>SUM(X76,Z76,AB76,AD76)</f>
        <v>0</v>
      </c>
      <c r="AG76" s="412">
        <f>+AF76/900</f>
        <v>0</v>
      </c>
      <c r="AH76" s="413">
        <f>SUM(Y76,AA76,AC76,AE76)</f>
        <v>0</v>
      </c>
      <c r="AI76" s="413">
        <f>+AH76/900</f>
        <v>0</v>
      </c>
      <c r="AJ76" s="410"/>
      <c r="AK76" s="411"/>
      <c r="AL76" s="412">
        <f t="shared" si="28"/>
        <v>0</v>
      </c>
      <c r="AM76" s="413">
        <f t="shared" si="29"/>
        <v>0</v>
      </c>
      <c r="AN76" s="410">
        <v>2027</v>
      </c>
      <c r="AO76" s="411">
        <v>2292</v>
      </c>
      <c r="AP76" s="410">
        <v>29098</v>
      </c>
      <c r="AQ76" s="411">
        <v>30363</v>
      </c>
      <c r="AR76" s="410">
        <v>9167</v>
      </c>
      <c r="AS76" s="411">
        <v>10297</v>
      </c>
      <c r="AT76" s="410">
        <v>33121</v>
      </c>
      <c r="AU76" s="411">
        <v>32900</v>
      </c>
      <c r="AV76" s="412">
        <f t="shared" si="30"/>
        <v>73413</v>
      </c>
      <c r="AW76" s="412">
        <f t="shared" si="31"/>
        <v>3058.875</v>
      </c>
      <c r="AX76" s="413">
        <f t="shared" si="32"/>
        <v>75852</v>
      </c>
      <c r="AY76" s="413">
        <f t="shared" si="33"/>
        <v>3160.5</v>
      </c>
      <c r="AZ76" s="412">
        <f t="shared" si="34"/>
        <v>22854.741666666665</v>
      </c>
      <c r="BA76" s="413">
        <f t="shared" si="35"/>
        <v>23136.866666666665</v>
      </c>
    </row>
    <row r="77" spans="1:53">
      <c r="A77" s="47" t="s">
        <v>477</v>
      </c>
      <c r="B77" s="43" t="s">
        <v>479</v>
      </c>
      <c r="C77" s="46"/>
      <c r="D77" s="561">
        <v>130934</v>
      </c>
      <c r="E77" s="45">
        <v>3</v>
      </c>
      <c r="F77" s="410"/>
      <c r="G77" s="411"/>
      <c r="H77" s="410"/>
      <c r="I77" s="411"/>
      <c r="J77" s="410">
        <v>56121</v>
      </c>
      <c r="K77" s="411">
        <v>55845</v>
      </c>
      <c r="L77" s="410">
        <v>8758</v>
      </c>
      <c r="M77" s="411">
        <v>10297</v>
      </c>
      <c r="N77" s="410">
        <v>61489</v>
      </c>
      <c r="O77" s="411">
        <v>62039</v>
      </c>
      <c r="P77" s="412">
        <f>SUM(H77,J77,L77,N77)</f>
        <v>126368</v>
      </c>
      <c r="Q77" s="412">
        <f>+P77/30</f>
        <v>4212.2666666666664</v>
      </c>
      <c r="R77" s="413">
        <f>SUM(I77,K77,M77,O77)</f>
        <v>128181</v>
      </c>
      <c r="S77" s="413">
        <f>+R77/30</f>
        <v>4272.7</v>
      </c>
      <c r="T77" s="410"/>
      <c r="U77" s="411"/>
      <c r="V77" s="412">
        <f>IF(ISBLANK(T77),0,P77)</f>
        <v>0</v>
      </c>
      <c r="W77" s="413">
        <f>IF(ISBLANK(U77),0,R77)</f>
        <v>0</v>
      </c>
      <c r="X77" s="410"/>
      <c r="Y77" s="411"/>
      <c r="Z77" s="410"/>
      <c r="AA77" s="411"/>
      <c r="AB77" s="410"/>
      <c r="AC77" s="411"/>
      <c r="AD77" s="410"/>
      <c r="AE77" s="411"/>
      <c r="AF77" s="412">
        <f>SUM(X77,Z77,AB77,AD77)</f>
        <v>0</v>
      </c>
      <c r="AG77" s="412">
        <f>+AF77/900</f>
        <v>0</v>
      </c>
      <c r="AH77" s="413">
        <f>SUM(Y77,AA77,AC77,AE77)</f>
        <v>0</v>
      </c>
      <c r="AI77" s="413">
        <f>+AH77/900</f>
        <v>0</v>
      </c>
      <c r="AJ77" s="410"/>
      <c r="AK77" s="411"/>
      <c r="AL77" s="412">
        <f t="shared" si="28"/>
        <v>0</v>
      </c>
      <c r="AM77" s="413">
        <f t="shared" si="29"/>
        <v>0</v>
      </c>
      <c r="AN77" s="410">
        <v>0</v>
      </c>
      <c r="AO77" s="411"/>
      <c r="AP77" s="410">
        <v>2265</v>
      </c>
      <c r="AQ77" s="411">
        <v>3186</v>
      </c>
      <c r="AR77" s="410">
        <v>827</v>
      </c>
      <c r="AS77" s="411">
        <v>780</v>
      </c>
      <c r="AT77" s="410">
        <v>3240</v>
      </c>
      <c r="AU77" s="411">
        <v>3277</v>
      </c>
      <c r="AV77" s="412">
        <f t="shared" si="30"/>
        <v>6332</v>
      </c>
      <c r="AW77" s="412">
        <f t="shared" si="31"/>
        <v>263.83333333333331</v>
      </c>
      <c r="AX77" s="413">
        <f t="shared" si="32"/>
        <v>7243</v>
      </c>
      <c r="AY77" s="413">
        <f t="shared" si="33"/>
        <v>301.79166666666669</v>
      </c>
      <c r="AZ77" s="412">
        <f t="shared" si="34"/>
        <v>4476.0999999999995</v>
      </c>
      <c r="BA77" s="413">
        <f t="shared" si="35"/>
        <v>4574.4916666666668</v>
      </c>
    </row>
    <row r="78" spans="1:53">
      <c r="A78" s="47" t="s">
        <v>477</v>
      </c>
      <c r="B78" s="526" t="s">
        <v>480</v>
      </c>
      <c r="C78" s="562" t="s">
        <v>925</v>
      </c>
      <c r="D78" s="561">
        <v>130907</v>
      </c>
      <c r="E78" s="561">
        <v>9</v>
      </c>
      <c r="F78" s="410"/>
      <c r="G78" s="411"/>
      <c r="H78" s="410"/>
      <c r="I78" s="411"/>
      <c r="J78" s="410">
        <v>111598</v>
      </c>
      <c r="K78" s="411">
        <v>107651</v>
      </c>
      <c r="L78" s="410">
        <v>29991</v>
      </c>
      <c r="M78" s="411">
        <v>30148</v>
      </c>
      <c r="N78" s="410">
        <v>128790</v>
      </c>
      <c r="O78" s="411">
        <v>121988</v>
      </c>
      <c r="P78" s="412">
        <f>SUM(H78,J78,L78,N78)</f>
        <v>270379</v>
      </c>
      <c r="Q78" s="412">
        <f>+P78/30</f>
        <v>9012.6333333333332</v>
      </c>
      <c r="R78" s="413">
        <f>SUM(I78,K78,M78,O78)</f>
        <v>259787</v>
      </c>
      <c r="S78" s="413">
        <f>+R78/30</f>
        <v>8659.5666666666675</v>
      </c>
      <c r="T78" s="410"/>
      <c r="U78" s="411"/>
      <c r="V78" s="412">
        <f>IF(ISBLANK(T78),0,P78)</f>
        <v>0</v>
      </c>
      <c r="W78" s="413">
        <f>IF(ISBLANK(U78),0,R78)</f>
        <v>0</v>
      </c>
      <c r="X78" s="410"/>
      <c r="Y78" s="411"/>
      <c r="Z78" s="410"/>
      <c r="AA78" s="411"/>
      <c r="AB78" s="410"/>
      <c r="AC78" s="411"/>
      <c r="AD78" s="410"/>
      <c r="AE78" s="411"/>
      <c r="AF78" s="412">
        <f>SUM(X78,Z78,AB78,AD78)</f>
        <v>0</v>
      </c>
      <c r="AG78" s="412">
        <f>+AF78/900</f>
        <v>0</v>
      </c>
      <c r="AH78" s="413">
        <f>SUM(Y78,AA78,AC78,AE78)</f>
        <v>0</v>
      </c>
      <c r="AI78" s="413">
        <f>+AH78/900</f>
        <v>0</v>
      </c>
      <c r="AJ78" s="410"/>
      <c r="AK78" s="411"/>
      <c r="AL78" s="412">
        <f t="shared" si="28"/>
        <v>0</v>
      </c>
      <c r="AM78" s="413">
        <f t="shared" si="29"/>
        <v>0</v>
      </c>
      <c r="AN78" s="410"/>
      <c r="AO78" s="411"/>
      <c r="AP78" s="410"/>
      <c r="AQ78" s="411"/>
      <c r="AR78" s="410"/>
      <c r="AS78" s="411"/>
      <c r="AT78" s="410"/>
      <c r="AU78" s="411"/>
      <c r="AV78" s="412">
        <f t="shared" si="30"/>
        <v>0</v>
      </c>
      <c r="AW78" s="412">
        <f t="shared" si="31"/>
        <v>0</v>
      </c>
      <c r="AX78" s="413">
        <f t="shared" si="32"/>
        <v>0</v>
      </c>
      <c r="AY78" s="413">
        <f t="shared" si="33"/>
        <v>0</v>
      </c>
      <c r="AZ78" s="412">
        <f t="shared" si="34"/>
        <v>9012.6333333333332</v>
      </c>
      <c r="BA78" s="413">
        <f t="shared" si="35"/>
        <v>8659.5666666666675</v>
      </c>
    </row>
    <row r="79" spans="1:53">
      <c r="A79" s="563" t="s">
        <v>132</v>
      </c>
      <c r="B79" s="517"/>
      <c r="C79" s="564"/>
      <c r="D79" s="437"/>
      <c r="E79" s="437"/>
      <c r="F79" s="494"/>
      <c r="G79" s="494"/>
      <c r="H79" s="494"/>
      <c r="I79" s="494"/>
      <c r="J79" s="494"/>
      <c r="K79" s="494"/>
      <c r="L79" s="494"/>
      <c r="M79" s="494"/>
      <c r="N79" s="494"/>
      <c r="O79" s="494"/>
      <c r="P79" s="494"/>
      <c r="Q79" s="494"/>
      <c r="R79" s="494"/>
      <c r="S79" s="494"/>
      <c r="T79" s="494"/>
      <c r="U79" s="494"/>
      <c r="V79" s="494"/>
      <c r="W79" s="494"/>
      <c r="X79" s="494"/>
      <c r="Y79" s="494"/>
      <c r="Z79" s="494"/>
      <c r="AA79" s="494"/>
      <c r="AB79" s="494"/>
      <c r="AC79" s="494"/>
      <c r="AD79" s="494"/>
      <c r="AE79" s="494"/>
      <c r="AF79" s="494"/>
      <c r="AG79" s="494"/>
      <c r="AH79" s="494"/>
      <c r="AI79" s="494"/>
      <c r="AJ79" s="494"/>
      <c r="AK79" s="494"/>
      <c r="AL79" s="412">
        <f t="shared" si="28"/>
        <v>0</v>
      </c>
      <c r="AM79" s="413">
        <f t="shared" si="29"/>
        <v>0</v>
      </c>
      <c r="AN79" s="494"/>
      <c r="AO79" s="494"/>
      <c r="AP79" s="494"/>
      <c r="AQ79" s="494"/>
      <c r="AR79" s="494"/>
      <c r="AS79" s="494"/>
      <c r="AT79" s="494"/>
      <c r="AU79" s="494"/>
      <c r="AV79" s="412">
        <f t="shared" si="30"/>
        <v>0</v>
      </c>
      <c r="AW79" s="412">
        <f t="shared" si="31"/>
        <v>0</v>
      </c>
      <c r="AX79" s="413">
        <f t="shared" si="32"/>
        <v>0</v>
      </c>
      <c r="AY79" s="413">
        <f t="shared" si="33"/>
        <v>0</v>
      </c>
      <c r="AZ79" s="412">
        <f t="shared" si="34"/>
        <v>0</v>
      </c>
      <c r="BA79" s="413">
        <f t="shared" si="35"/>
        <v>0</v>
      </c>
    </row>
    <row r="80" spans="1:53">
      <c r="A80" s="5" t="s">
        <v>132</v>
      </c>
      <c r="B80" s="4" t="s">
        <v>134</v>
      </c>
      <c r="C80" s="424"/>
      <c r="D80" s="2">
        <v>132709</v>
      </c>
      <c r="E80" s="425">
        <v>7</v>
      </c>
      <c r="F80" s="410"/>
      <c r="G80" s="411"/>
      <c r="H80" s="410"/>
      <c r="I80" s="411"/>
      <c r="J80" s="410">
        <v>329673</v>
      </c>
      <c r="K80" s="565">
        <v>325009</v>
      </c>
      <c r="L80" s="410">
        <v>169755</v>
      </c>
      <c r="M80" s="565">
        <v>165999</v>
      </c>
      <c r="N80" s="410">
        <v>347485</v>
      </c>
      <c r="O80" s="565">
        <v>335411</v>
      </c>
      <c r="P80" s="412">
        <f t="shared" ref="P80:P143" si="36">SUM(H80,J80,L80,N80)</f>
        <v>846913</v>
      </c>
      <c r="Q80" s="412">
        <f t="shared" ref="Q80:Q143" si="37">+P80/30</f>
        <v>28230.433333333334</v>
      </c>
      <c r="R80" s="413">
        <f t="shared" ref="R80:R143" si="38">SUM(I80,K80,M80,O80)</f>
        <v>826419</v>
      </c>
      <c r="S80" s="413">
        <f t="shared" ref="S80:S143" si="39">+R80/30</f>
        <v>27547.3</v>
      </c>
      <c r="T80" s="410">
        <v>70103</v>
      </c>
      <c r="U80" s="565">
        <v>76482</v>
      </c>
      <c r="V80" s="412">
        <f t="shared" ref="V80:V143" si="40">IF(ISBLANK(T80),0,P80)</f>
        <v>846913</v>
      </c>
      <c r="W80" s="413">
        <f t="shared" ref="W80:W143" si="41">IF(ISBLANK(U80),0,R80)</f>
        <v>826419</v>
      </c>
      <c r="X80" s="410"/>
      <c r="Y80" s="411"/>
      <c r="Z80" s="410">
        <v>60744</v>
      </c>
      <c r="AA80" s="565">
        <v>97009</v>
      </c>
      <c r="AB80" s="410">
        <v>52890</v>
      </c>
      <c r="AC80" s="565">
        <v>73292</v>
      </c>
      <c r="AD80" s="410">
        <v>107364</v>
      </c>
      <c r="AE80" s="565">
        <v>56416</v>
      </c>
      <c r="AF80" s="412">
        <f t="shared" ref="AF80:AF143" si="42">SUM(X80,Z80,AB80,AD80)</f>
        <v>220998</v>
      </c>
      <c r="AG80" s="412">
        <f t="shared" ref="AG80:AG143" si="43">+AF80/900</f>
        <v>245.55333333333334</v>
      </c>
      <c r="AH80" s="413">
        <f t="shared" ref="AH80:AH143" si="44">SUM(Y80,AA80,AC80,AE80)</f>
        <v>226717</v>
      </c>
      <c r="AI80" s="413">
        <f t="shared" ref="AI80:AI143" si="45">+AH80/900</f>
        <v>251.90777777777777</v>
      </c>
      <c r="AJ80" s="410">
        <v>8604</v>
      </c>
      <c r="AK80" s="565">
        <v>7573</v>
      </c>
      <c r="AL80" s="412">
        <f t="shared" si="28"/>
        <v>220998</v>
      </c>
      <c r="AM80" s="413">
        <f t="shared" si="29"/>
        <v>226717</v>
      </c>
      <c r="AN80" s="410"/>
      <c r="AO80" s="411"/>
      <c r="AP80" s="410"/>
      <c r="AQ80" s="411"/>
      <c r="AR80" s="410"/>
      <c r="AS80" s="411"/>
      <c r="AT80" s="410"/>
      <c r="AU80" s="411"/>
      <c r="AV80" s="412">
        <f t="shared" si="30"/>
        <v>0</v>
      </c>
      <c r="AW80" s="412">
        <f t="shared" si="31"/>
        <v>0</v>
      </c>
      <c r="AX80" s="413">
        <f t="shared" si="32"/>
        <v>0</v>
      </c>
      <c r="AY80" s="413">
        <f t="shared" si="33"/>
        <v>0</v>
      </c>
      <c r="AZ80" s="412">
        <f t="shared" si="34"/>
        <v>28475.986666666668</v>
      </c>
      <c r="BA80" s="413">
        <f t="shared" si="35"/>
        <v>27799.207777777778</v>
      </c>
    </row>
    <row r="81" spans="1:53">
      <c r="A81" s="5" t="s">
        <v>132</v>
      </c>
      <c r="B81" s="4" t="s">
        <v>136</v>
      </c>
      <c r="C81" s="3"/>
      <c r="D81" s="2">
        <v>133021</v>
      </c>
      <c r="E81" s="425">
        <v>7</v>
      </c>
      <c r="F81" s="410"/>
      <c r="G81" s="411"/>
      <c r="H81" s="410"/>
      <c r="I81" s="411"/>
      <c r="J81" s="410">
        <v>16683</v>
      </c>
      <c r="K81" s="565">
        <v>16328</v>
      </c>
      <c r="L81" s="410">
        <v>5018</v>
      </c>
      <c r="M81" s="565">
        <v>4708</v>
      </c>
      <c r="N81" s="410">
        <v>18654</v>
      </c>
      <c r="O81" s="565">
        <v>17344</v>
      </c>
      <c r="P81" s="412">
        <f t="shared" si="36"/>
        <v>40355</v>
      </c>
      <c r="Q81" s="412">
        <f t="shared" si="37"/>
        <v>1345.1666666666667</v>
      </c>
      <c r="R81" s="413">
        <f t="shared" si="38"/>
        <v>38380</v>
      </c>
      <c r="S81" s="413">
        <f t="shared" si="39"/>
        <v>1279.3333333333333</v>
      </c>
      <c r="T81" s="410">
        <v>8366</v>
      </c>
      <c r="U81" s="565">
        <v>8009</v>
      </c>
      <c r="V81" s="412">
        <f t="shared" si="40"/>
        <v>40355</v>
      </c>
      <c r="W81" s="413">
        <f t="shared" si="41"/>
        <v>38380</v>
      </c>
      <c r="X81" s="410"/>
      <c r="Y81" s="411"/>
      <c r="Z81" s="410">
        <v>42797</v>
      </c>
      <c r="AA81" s="565">
        <v>52324</v>
      </c>
      <c r="AB81" s="410">
        <v>24399</v>
      </c>
      <c r="AC81" s="565">
        <v>16415</v>
      </c>
      <c r="AD81" s="410">
        <v>52467</v>
      </c>
      <c r="AE81" s="565">
        <v>56749</v>
      </c>
      <c r="AF81" s="412">
        <f t="shared" si="42"/>
        <v>119663</v>
      </c>
      <c r="AG81" s="412">
        <f t="shared" si="43"/>
        <v>132.95888888888888</v>
      </c>
      <c r="AH81" s="413">
        <f t="shared" si="44"/>
        <v>125488</v>
      </c>
      <c r="AI81" s="413">
        <f t="shared" si="45"/>
        <v>139.43111111111111</v>
      </c>
      <c r="AJ81" s="410">
        <v>1020</v>
      </c>
      <c r="AK81" s="565">
        <v>1020</v>
      </c>
      <c r="AL81" s="412">
        <f t="shared" si="28"/>
        <v>119663</v>
      </c>
      <c r="AM81" s="413">
        <f t="shared" si="29"/>
        <v>125488</v>
      </c>
      <c r="AN81" s="410"/>
      <c r="AO81" s="411"/>
      <c r="AP81" s="410"/>
      <c r="AQ81" s="411"/>
      <c r="AR81" s="410"/>
      <c r="AS81" s="411"/>
      <c r="AT81" s="410"/>
      <c r="AU81" s="411"/>
      <c r="AV81" s="412">
        <f t="shared" si="30"/>
        <v>0</v>
      </c>
      <c r="AW81" s="412">
        <f t="shared" si="31"/>
        <v>0</v>
      </c>
      <c r="AX81" s="413">
        <f t="shared" si="32"/>
        <v>0</v>
      </c>
      <c r="AY81" s="413">
        <f t="shared" si="33"/>
        <v>0</v>
      </c>
      <c r="AZ81" s="412">
        <f t="shared" si="34"/>
        <v>1478.1255555555556</v>
      </c>
      <c r="BA81" s="413">
        <f t="shared" si="35"/>
        <v>1418.7644444444443</v>
      </c>
    </row>
    <row r="82" spans="1:53">
      <c r="A82" s="5" t="s">
        <v>132</v>
      </c>
      <c r="B82" s="4" t="s">
        <v>135</v>
      </c>
      <c r="C82" s="1"/>
      <c r="D82" s="2">
        <v>132851</v>
      </c>
      <c r="E82" s="425">
        <v>7</v>
      </c>
      <c r="F82" s="410"/>
      <c r="G82" s="411"/>
      <c r="H82" s="410"/>
      <c r="I82" s="411"/>
      <c r="J82" s="410">
        <v>60340</v>
      </c>
      <c r="K82" s="565">
        <v>59649</v>
      </c>
      <c r="L82" s="410">
        <v>24379</v>
      </c>
      <c r="M82" s="565">
        <v>23812</v>
      </c>
      <c r="N82" s="410">
        <v>65397</v>
      </c>
      <c r="O82" s="565">
        <v>62897</v>
      </c>
      <c r="P82" s="412">
        <f t="shared" si="36"/>
        <v>150116</v>
      </c>
      <c r="Q82" s="412">
        <f t="shared" si="37"/>
        <v>5003.8666666666668</v>
      </c>
      <c r="R82" s="413">
        <f t="shared" si="38"/>
        <v>146358</v>
      </c>
      <c r="S82" s="413">
        <f t="shared" si="39"/>
        <v>4878.6000000000004</v>
      </c>
      <c r="T82" s="410">
        <v>20762</v>
      </c>
      <c r="U82" s="565">
        <v>20212</v>
      </c>
      <c r="V82" s="412">
        <f t="shared" si="40"/>
        <v>150116</v>
      </c>
      <c r="W82" s="413">
        <f t="shared" si="41"/>
        <v>146358</v>
      </c>
      <c r="X82" s="410"/>
      <c r="Y82" s="411"/>
      <c r="Z82" s="410">
        <v>49342</v>
      </c>
      <c r="AA82" s="565">
        <v>46756</v>
      </c>
      <c r="AB82" s="410">
        <v>54046</v>
      </c>
      <c r="AC82" s="565">
        <v>46649</v>
      </c>
      <c r="AD82" s="410">
        <v>62550</v>
      </c>
      <c r="AE82" s="565">
        <v>67221</v>
      </c>
      <c r="AF82" s="412">
        <f t="shared" si="42"/>
        <v>165938</v>
      </c>
      <c r="AG82" s="412">
        <f t="shared" si="43"/>
        <v>184.37555555555556</v>
      </c>
      <c r="AH82" s="413">
        <f t="shared" si="44"/>
        <v>160626</v>
      </c>
      <c r="AI82" s="413">
        <f t="shared" si="45"/>
        <v>178.47333333333333</v>
      </c>
      <c r="AJ82" s="410">
        <v>5190</v>
      </c>
      <c r="AK82" s="565">
        <v>4380</v>
      </c>
      <c r="AL82" s="412">
        <f t="shared" si="28"/>
        <v>165938</v>
      </c>
      <c r="AM82" s="413">
        <f t="shared" si="29"/>
        <v>160626</v>
      </c>
      <c r="AN82" s="410"/>
      <c r="AO82" s="411"/>
      <c r="AP82" s="410"/>
      <c r="AQ82" s="411"/>
      <c r="AR82" s="410"/>
      <c r="AS82" s="411"/>
      <c r="AT82" s="410"/>
      <c r="AU82" s="411"/>
      <c r="AV82" s="412">
        <f t="shared" si="30"/>
        <v>0</v>
      </c>
      <c r="AW82" s="412">
        <f t="shared" si="31"/>
        <v>0</v>
      </c>
      <c r="AX82" s="413">
        <f t="shared" si="32"/>
        <v>0</v>
      </c>
      <c r="AY82" s="413">
        <f t="shared" si="33"/>
        <v>0</v>
      </c>
      <c r="AZ82" s="412">
        <f t="shared" si="34"/>
        <v>5188.2422222222222</v>
      </c>
      <c r="BA82" s="413">
        <f t="shared" si="35"/>
        <v>5057.0733333333337</v>
      </c>
    </row>
    <row r="83" spans="1:53">
      <c r="A83" s="5" t="s">
        <v>132</v>
      </c>
      <c r="B83" s="4" t="s">
        <v>137</v>
      </c>
      <c r="C83" s="3"/>
      <c r="D83" s="2">
        <v>133386</v>
      </c>
      <c r="E83" s="425">
        <v>7</v>
      </c>
      <c r="F83" s="410"/>
      <c r="G83" s="411"/>
      <c r="H83" s="410"/>
      <c r="I83" s="411"/>
      <c r="J83" s="410">
        <v>117160</v>
      </c>
      <c r="K83" s="565">
        <v>114978</v>
      </c>
      <c r="L83" s="410">
        <v>41171</v>
      </c>
      <c r="M83" s="565">
        <v>43369</v>
      </c>
      <c r="N83" s="410">
        <v>124079</v>
      </c>
      <c r="O83" s="565">
        <v>124666</v>
      </c>
      <c r="P83" s="412">
        <f t="shared" si="36"/>
        <v>282410</v>
      </c>
      <c r="Q83" s="412">
        <f t="shared" si="37"/>
        <v>9413.6666666666661</v>
      </c>
      <c r="R83" s="413">
        <f t="shared" si="38"/>
        <v>283013</v>
      </c>
      <c r="S83" s="413">
        <f t="shared" si="39"/>
        <v>9433.7666666666664</v>
      </c>
      <c r="T83" s="410">
        <v>40501</v>
      </c>
      <c r="U83" s="565">
        <v>42775</v>
      </c>
      <c r="V83" s="412">
        <f t="shared" si="40"/>
        <v>282410</v>
      </c>
      <c r="W83" s="413">
        <f t="shared" si="41"/>
        <v>283013</v>
      </c>
      <c r="X83" s="410"/>
      <c r="Y83" s="411"/>
      <c r="Z83" s="410">
        <v>688373</v>
      </c>
      <c r="AA83" s="565">
        <v>624866</v>
      </c>
      <c r="AB83" s="410">
        <v>346033</v>
      </c>
      <c r="AC83" s="565">
        <v>331309</v>
      </c>
      <c r="AD83" s="410">
        <v>654813</v>
      </c>
      <c r="AE83" s="565">
        <v>550959</v>
      </c>
      <c r="AF83" s="412">
        <f t="shared" si="42"/>
        <v>1689219</v>
      </c>
      <c r="AG83" s="412">
        <f t="shared" si="43"/>
        <v>1876.91</v>
      </c>
      <c r="AH83" s="413">
        <f t="shared" si="44"/>
        <v>1507134</v>
      </c>
      <c r="AI83" s="413">
        <f t="shared" si="45"/>
        <v>1674.5933333333332</v>
      </c>
      <c r="AJ83" s="410">
        <v>20131</v>
      </c>
      <c r="AK83" s="565">
        <v>13935</v>
      </c>
      <c r="AL83" s="412">
        <f t="shared" si="28"/>
        <v>1689219</v>
      </c>
      <c r="AM83" s="413">
        <f t="shared" si="29"/>
        <v>1507134</v>
      </c>
      <c r="AN83" s="410"/>
      <c r="AO83" s="411"/>
      <c r="AP83" s="410"/>
      <c r="AQ83" s="411"/>
      <c r="AR83" s="410"/>
      <c r="AS83" s="411"/>
      <c r="AT83" s="410"/>
      <c r="AU83" s="411"/>
      <c r="AV83" s="412">
        <f t="shared" si="30"/>
        <v>0</v>
      </c>
      <c r="AW83" s="412">
        <f t="shared" si="31"/>
        <v>0</v>
      </c>
      <c r="AX83" s="413">
        <f t="shared" si="32"/>
        <v>0</v>
      </c>
      <c r="AY83" s="413">
        <f t="shared" si="33"/>
        <v>0</v>
      </c>
      <c r="AZ83" s="412">
        <f t="shared" si="34"/>
        <v>11290.576666666666</v>
      </c>
      <c r="BA83" s="413">
        <f t="shared" si="35"/>
        <v>11108.36</v>
      </c>
    </row>
    <row r="84" spans="1:53">
      <c r="A84" s="5" t="s">
        <v>132</v>
      </c>
      <c r="B84" s="4" t="s">
        <v>133</v>
      </c>
      <c r="C84" s="1"/>
      <c r="D84" s="2">
        <v>132693</v>
      </c>
      <c r="E84" s="425">
        <v>7</v>
      </c>
      <c r="F84" s="410"/>
      <c r="G84" s="411"/>
      <c r="H84" s="410"/>
      <c r="I84" s="411"/>
      <c r="J84" s="410">
        <v>128723</v>
      </c>
      <c r="K84" s="565">
        <v>127638</v>
      </c>
      <c r="L84" s="410">
        <v>49168</v>
      </c>
      <c r="M84" s="565">
        <v>50812</v>
      </c>
      <c r="N84" s="410">
        <v>137459</v>
      </c>
      <c r="O84" s="565">
        <v>134887</v>
      </c>
      <c r="P84" s="412">
        <f t="shared" si="36"/>
        <v>315350</v>
      </c>
      <c r="Q84" s="412">
        <f t="shared" si="37"/>
        <v>10511.666666666666</v>
      </c>
      <c r="R84" s="413">
        <f t="shared" si="38"/>
        <v>313337</v>
      </c>
      <c r="S84" s="413">
        <f t="shared" si="39"/>
        <v>10444.566666666668</v>
      </c>
      <c r="T84" s="410">
        <v>57918</v>
      </c>
      <c r="U84" s="565">
        <v>60958</v>
      </c>
      <c r="V84" s="412">
        <f t="shared" si="40"/>
        <v>315350</v>
      </c>
      <c r="W84" s="413">
        <f t="shared" si="41"/>
        <v>313337</v>
      </c>
      <c r="X84" s="410"/>
      <c r="Y84" s="411"/>
      <c r="Z84" s="410">
        <v>137540</v>
      </c>
      <c r="AA84" s="565">
        <v>140839</v>
      </c>
      <c r="AB84" s="410">
        <v>44697</v>
      </c>
      <c r="AC84" s="565">
        <v>39390</v>
      </c>
      <c r="AD84" s="410">
        <v>129330</v>
      </c>
      <c r="AE84" s="565">
        <v>119244</v>
      </c>
      <c r="AF84" s="412">
        <f t="shared" si="42"/>
        <v>311567</v>
      </c>
      <c r="AG84" s="412">
        <f t="shared" si="43"/>
        <v>346.18555555555554</v>
      </c>
      <c r="AH84" s="413">
        <f t="shared" si="44"/>
        <v>299473</v>
      </c>
      <c r="AI84" s="413">
        <f t="shared" si="45"/>
        <v>332.7477777777778</v>
      </c>
      <c r="AJ84" s="410">
        <v>26435</v>
      </c>
      <c r="AK84" s="565">
        <v>23585</v>
      </c>
      <c r="AL84" s="412">
        <f t="shared" si="28"/>
        <v>311567</v>
      </c>
      <c r="AM84" s="413">
        <f t="shared" si="29"/>
        <v>299473</v>
      </c>
      <c r="AN84" s="410"/>
      <c r="AO84" s="411"/>
      <c r="AP84" s="410"/>
      <c r="AQ84" s="411"/>
      <c r="AR84" s="410"/>
      <c r="AS84" s="411"/>
      <c r="AT84" s="410"/>
      <c r="AU84" s="411"/>
      <c r="AV84" s="412">
        <f t="shared" si="30"/>
        <v>0</v>
      </c>
      <c r="AW84" s="412">
        <f t="shared" si="31"/>
        <v>0</v>
      </c>
      <c r="AX84" s="413">
        <f t="shared" si="32"/>
        <v>0</v>
      </c>
      <c r="AY84" s="413">
        <f t="shared" si="33"/>
        <v>0</v>
      </c>
      <c r="AZ84" s="412">
        <f t="shared" si="34"/>
        <v>10857.852222222222</v>
      </c>
      <c r="BA84" s="413">
        <f t="shared" si="35"/>
        <v>10777.314444444446</v>
      </c>
    </row>
    <row r="85" spans="1:53">
      <c r="A85" s="5" t="s">
        <v>132</v>
      </c>
      <c r="B85" s="4" t="s">
        <v>143</v>
      </c>
      <c r="C85" s="1"/>
      <c r="D85" s="2">
        <v>135160</v>
      </c>
      <c r="E85" s="425">
        <v>7</v>
      </c>
      <c r="F85" s="410"/>
      <c r="G85" s="411"/>
      <c r="H85" s="410"/>
      <c r="I85" s="411"/>
      <c r="J85" s="410">
        <v>24824</v>
      </c>
      <c r="K85" s="565">
        <v>25702</v>
      </c>
      <c r="L85" s="410">
        <v>11190</v>
      </c>
      <c r="M85" s="565">
        <v>11160</v>
      </c>
      <c r="N85" s="410">
        <v>27439</v>
      </c>
      <c r="O85" s="565">
        <v>27375</v>
      </c>
      <c r="P85" s="412">
        <f t="shared" si="36"/>
        <v>63453</v>
      </c>
      <c r="Q85" s="412">
        <f t="shared" si="37"/>
        <v>2115.1</v>
      </c>
      <c r="R85" s="413">
        <f t="shared" si="38"/>
        <v>64237</v>
      </c>
      <c r="S85" s="413">
        <f t="shared" si="39"/>
        <v>2141.2333333333331</v>
      </c>
      <c r="T85" s="410">
        <v>14670</v>
      </c>
      <c r="U85" s="565">
        <v>14426</v>
      </c>
      <c r="V85" s="412">
        <f t="shared" si="40"/>
        <v>63453</v>
      </c>
      <c r="W85" s="413">
        <f t="shared" si="41"/>
        <v>64237</v>
      </c>
      <c r="X85" s="410"/>
      <c r="Y85" s="411"/>
      <c r="Z85" s="410">
        <v>114058</v>
      </c>
      <c r="AA85" s="565">
        <v>99935</v>
      </c>
      <c r="AB85" s="410">
        <v>46964</v>
      </c>
      <c r="AC85" s="565">
        <v>51032</v>
      </c>
      <c r="AD85" s="410">
        <v>97972</v>
      </c>
      <c r="AE85" s="565">
        <v>101671</v>
      </c>
      <c r="AF85" s="412">
        <f t="shared" si="42"/>
        <v>258994</v>
      </c>
      <c r="AG85" s="412">
        <f t="shared" si="43"/>
        <v>287.77111111111111</v>
      </c>
      <c r="AH85" s="413">
        <f t="shared" si="44"/>
        <v>252638</v>
      </c>
      <c r="AI85" s="413">
        <f t="shared" si="45"/>
        <v>280.70888888888891</v>
      </c>
      <c r="AJ85" s="410">
        <v>3416</v>
      </c>
      <c r="AK85" s="565">
        <v>5010</v>
      </c>
      <c r="AL85" s="412">
        <f t="shared" si="28"/>
        <v>258994</v>
      </c>
      <c r="AM85" s="413">
        <f t="shared" si="29"/>
        <v>252638</v>
      </c>
      <c r="AN85" s="410"/>
      <c r="AO85" s="411"/>
      <c r="AP85" s="410"/>
      <c r="AQ85" s="411"/>
      <c r="AR85" s="410"/>
      <c r="AS85" s="411"/>
      <c r="AT85" s="410"/>
      <c r="AU85" s="411"/>
      <c r="AV85" s="412">
        <f t="shared" si="30"/>
        <v>0</v>
      </c>
      <c r="AW85" s="412">
        <f t="shared" si="31"/>
        <v>0</v>
      </c>
      <c r="AX85" s="413">
        <f t="shared" si="32"/>
        <v>0</v>
      </c>
      <c r="AY85" s="413">
        <f t="shared" si="33"/>
        <v>0</v>
      </c>
      <c r="AZ85" s="412">
        <f t="shared" si="34"/>
        <v>2402.8711111111111</v>
      </c>
      <c r="BA85" s="413">
        <f t="shared" si="35"/>
        <v>2421.942222222222</v>
      </c>
    </row>
    <row r="86" spans="1:53">
      <c r="A86" s="5" t="s">
        <v>132</v>
      </c>
      <c r="B86" s="4" t="s">
        <v>138</v>
      </c>
      <c r="C86" s="3"/>
      <c r="D86" s="2">
        <v>133508</v>
      </c>
      <c r="E86" s="425">
        <v>7</v>
      </c>
      <c r="F86" s="410"/>
      <c r="G86" s="411"/>
      <c r="H86" s="410"/>
      <c r="I86" s="411"/>
      <c r="J86" s="410">
        <v>138331</v>
      </c>
      <c r="K86" s="565">
        <v>137759</v>
      </c>
      <c r="L86" s="410">
        <v>46130</v>
      </c>
      <c r="M86" s="565">
        <v>45142</v>
      </c>
      <c r="N86" s="410">
        <v>149880</v>
      </c>
      <c r="O86" s="565">
        <v>147596</v>
      </c>
      <c r="P86" s="412">
        <f t="shared" si="36"/>
        <v>334341</v>
      </c>
      <c r="Q86" s="412">
        <f t="shared" si="37"/>
        <v>11144.7</v>
      </c>
      <c r="R86" s="413">
        <f t="shared" si="38"/>
        <v>330497</v>
      </c>
      <c r="S86" s="413">
        <f t="shared" si="39"/>
        <v>11016.566666666668</v>
      </c>
      <c r="T86" s="410">
        <v>53759</v>
      </c>
      <c r="U86" s="565">
        <v>52037</v>
      </c>
      <c r="V86" s="412">
        <f t="shared" si="40"/>
        <v>334341</v>
      </c>
      <c r="W86" s="413">
        <f t="shared" si="41"/>
        <v>330497</v>
      </c>
      <c r="X86" s="410"/>
      <c r="Y86" s="411"/>
      <c r="Z86" s="410">
        <v>7140</v>
      </c>
      <c r="AA86" s="565">
        <v>4350</v>
      </c>
      <c r="AB86" s="410">
        <v>11850</v>
      </c>
      <c r="AC86" s="565">
        <v>8100</v>
      </c>
      <c r="AD86" s="410">
        <v>4350</v>
      </c>
      <c r="AE86" s="565">
        <v>3900</v>
      </c>
      <c r="AF86" s="412">
        <f t="shared" si="42"/>
        <v>23340</v>
      </c>
      <c r="AG86" s="412">
        <f t="shared" si="43"/>
        <v>25.933333333333334</v>
      </c>
      <c r="AH86" s="413">
        <f t="shared" si="44"/>
        <v>16350</v>
      </c>
      <c r="AI86" s="413">
        <f t="shared" si="45"/>
        <v>18.166666666666668</v>
      </c>
      <c r="AJ86" s="410">
        <v>0</v>
      </c>
      <c r="AK86" s="565">
        <v>0</v>
      </c>
      <c r="AL86" s="412">
        <f t="shared" si="28"/>
        <v>23340</v>
      </c>
      <c r="AM86" s="413">
        <f t="shared" si="29"/>
        <v>16350</v>
      </c>
      <c r="AN86" s="410"/>
      <c r="AO86" s="411"/>
      <c r="AP86" s="410"/>
      <c r="AQ86" s="411"/>
      <c r="AR86" s="410"/>
      <c r="AS86" s="411"/>
      <c r="AT86" s="410"/>
      <c r="AU86" s="411"/>
      <c r="AV86" s="412">
        <f t="shared" si="30"/>
        <v>0</v>
      </c>
      <c r="AW86" s="412">
        <f t="shared" si="31"/>
        <v>0</v>
      </c>
      <c r="AX86" s="413">
        <f t="shared" si="32"/>
        <v>0</v>
      </c>
      <c r="AY86" s="413">
        <f t="shared" si="33"/>
        <v>0</v>
      </c>
      <c r="AZ86" s="412">
        <f t="shared" si="34"/>
        <v>11170.633333333333</v>
      </c>
      <c r="BA86" s="413">
        <f t="shared" si="35"/>
        <v>11034.733333333334</v>
      </c>
    </row>
    <row r="87" spans="1:53">
      <c r="A87" s="5" t="s">
        <v>132</v>
      </c>
      <c r="B87" s="4" t="s">
        <v>139</v>
      </c>
      <c r="C87" s="426"/>
      <c r="D87" s="2">
        <v>133702</v>
      </c>
      <c r="E87" s="425">
        <v>7</v>
      </c>
      <c r="F87" s="410"/>
      <c r="G87" s="411"/>
      <c r="H87" s="410"/>
      <c r="I87" s="411"/>
      <c r="J87" s="410">
        <v>177335</v>
      </c>
      <c r="K87" s="565">
        <v>184360</v>
      </c>
      <c r="L87" s="410">
        <v>95431</v>
      </c>
      <c r="M87" s="565">
        <v>101331</v>
      </c>
      <c r="N87" s="410">
        <v>132295</v>
      </c>
      <c r="O87" s="565">
        <v>194222</v>
      </c>
      <c r="P87" s="412">
        <f t="shared" si="36"/>
        <v>405061</v>
      </c>
      <c r="Q87" s="412">
        <f t="shared" si="37"/>
        <v>13502.033333333333</v>
      </c>
      <c r="R87" s="413">
        <f t="shared" si="38"/>
        <v>479913</v>
      </c>
      <c r="S87" s="413">
        <f t="shared" si="39"/>
        <v>15997.1</v>
      </c>
      <c r="T87" s="410">
        <v>35355</v>
      </c>
      <c r="U87" s="565">
        <v>42345</v>
      </c>
      <c r="V87" s="412">
        <f t="shared" si="40"/>
        <v>405061</v>
      </c>
      <c r="W87" s="413">
        <f t="shared" si="41"/>
        <v>479913</v>
      </c>
      <c r="X87" s="410"/>
      <c r="Y87" s="411"/>
      <c r="Z87" s="410">
        <v>458064</v>
      </c>
      <c r="AA87" s="565">
        <v>376108</v>
      </c>
      <c r="AB87" s="410">
        <v>380690</v>
      </c>
      <c r="AC87" s="565">
        <v>322752</v>
      </c>
      <c r="AD87" s="410">
        <v>386618</v>
      </c>
      <c r="AE87" s="565">
        <v>404814</v>
      </c>
      <c r="AF87" s="412">
        <f t="shared" si="42"/>
        <v>1225372</v>
      </c>
      <c r="AG87" s="412">
        <f t="shared" si="43"/>
        <v>1361.5244444444445</v>
      </c>
      <c r="AH87" s="413">
        <f t="shared" si="44"/>
        <v>1103674</v>
      </c>
      <c r="AI87" s="413">
        <f t="shared" si="45"/>
        <v>1226.3044444444445</v>
      </c>
      <c r="AJ87" s="410">
        <v>3435</v>
      </c>
      <c r="AK87" s="565">
        <v>7695</v>
      </c>
      <c r="AL87" s="412">
        <f t="shared" si="28"/>
        <v>1225372</v>
      </c>
      <c r="AM87" s="413">
        <f t="shared" si="29"/>
        <v>1103674</v>
      </c>
      <c r="AN87" s="410"/>
      <c r="AO87" s="411"/>
      <c r="AP87" s="410"/>
      <c r="AQ87" s="411"/>
      <c r="AR87" s="410"/>
      <c r="AS87" s="411"/>
      <c r="AT87" s="410"/>
      <c r="AU87" s="411"/>
      <c r="AV87" s="412">
        <f t="shared" si="30"/>
        <v>0</v>
      </c>
      <c r="AW87" s="412">
        <f t="shared" si="31"/>
        <v>0</v>
      </c>
      <c r="AX87" s="413">
        <f t="shared" si="32"/>
        <v>0</v>
      </c>
      <c r="AY87" s="413">
        <f t="shared" si="33"/>
        <v>0</v>
      </c>
      <c r="AZ87" s="412">
        <f t="shared" si="34"/>
        <v>14863.557777777778</v>
      </c>
      <c r="BA87" s="413">
        <f t="shared" si="35"/>
        <v>17223.404444444444</v>
      </c>
    </row>
    <row r="88" spans="1:53">
      <c r="A88" s="5" t="s">
        <v>132</v>
      </c>
      <c r="B88" s="4" t="s">
        <v>140</v>
      </c>
      <c r="C88" s="424"/>
      <c r="D88" s="2">
        <v>134343</v>
      </c>
      <c r="E88" s="425">
        <v>7</v>
      </c>
      <c r="F88" s="410"/>
      <c r="G88" s="411"/>
      <c r="H88" s="410"/>
      <c r="I88" s="411"/>
      <c r="J88" s="410">
        <v>43804</v>
      </c>
      <c r="K88" s="565">
        <v>37152</v>
      </c>
      <c r="L88" s="410">
        <v>13253</v>
      </c>
      <c r="M88" s="565">
        <v>10804</v>
      </c>
      <c r="N88" s="410">
        <v>48409</v>
      </c>
      <c r="O88" s="565">
        <v>42220</v>
      </c>
      <c r="P88" s="412">
        <f t="shared" si="36"/>
        <v>105466</v>
      </c>
      <c r="Q88" s="412">
        <f t="shared" si="37"/>
        <v>3515.5333333333333</v>
      </c>
      <c r="R88" s="413">
        <f t="shared" si="38"/>
        <v>90176</v>
      </c>
      <c r="S88" s="413">
        <f t="shared" si="39"/>
        <v>3005.8666666666668</v>
      </c>
      <c r="T88" s="410">
        <v>13459</v>
      </c>
      <c r="U88" s="565">
        <v>11641</v>
      </c>
      <c r="V88" s="412">
        <f t="shared" si="40"/>
        <v>105466</v>
      </c>
      <c r="W88" s="413">
        <f t="shared" si="41"/>
        <v>90176</v>
      </c>
      <c r="X88" s="410"/>
      <c r="Y88" s="411"/>
      <c r="Z88" s="410">
        <v>47143</v>
      </c>
      <c r="AA88" s="565">
        <v>50519</v>
      </c>
      <c r="AB88" s="410">
        <v>24474</v>
      </c>
      <c r="AC88" s="565">
        <v>20794</v>
      </c>
      <c r="AD88" s="410">
        <v>42656</v>
      </c>
      <c r="AE88" s="565">
        <v>43051</v>
      </c>
      <c r="AF88" s="412">
        <f t="shared" si="42"/>
        <v>114273</v>
      </c>
      <c r="AG88" s="412">
        <f t="shared" si="43"/>
        <v>126.97</v>
      </c>
      <c r="AH88" s="413">
        <f t="shared" si="44"/>
        <v>114364</v>
      </c>
      <c r="AI88" s="413">
        <f t="shared" si="45"/>
        <v>127.07111111111111</v>
      </c>
      <c r="AJ88" s="410">
        <v>0</v>
      </c>
      <c r="AK88" s="565">
        <v>0</v>
      </c>
      <c r="AL88" s="412">
        <f t="shared" si="28"/>
        <v>114273</v>
      </c>
      <c r="AM88" s="413">
        <f t="shared" si="29"/>
        <v>114364</v>
      </c>
      <c r="AN88" s="410"/>
      <c r="AO88" s="411"/>
      <c r="AP88" s="410"/>
      <c r="AQ88" s="411"/>
      <c r="AR88" s="410"/>
      <c r="AS88" s="411"/>
      <c r="AT88" s="410"/>
      <c r="AU88" s="411"/>
      <c r="AV88" s="412">
        <f t="shared" si="30"/>
        <v>0</v>
      </c>
      <c r="AW88" s="412">
        <f t="shared" si="31"/>
        <v>0</v>
      </c>
      <c r="AX88" s="413">
        <f t="shared" si="32"/>
        <v>0</v>
      </c>
      <c r="AY88" s="413">
        <f t="shared" si="33"/>
        <v>0</v>
      </c>
      <c r="AZ88" s="412">
        <f t="shared" si="34"/>
        <v>3642.5033333333331</v>
      </c>
      <c r="BA88" s="413">
        <f t="shared" si="35"/>
        <v>3132.9377777777777</v>
      </c>
    </row>
    <row r="89" spans="1:53">
      <c r="A89" s="5" t="s">
        <v>132</v>
      </c>
      <c r="B89" s="4" t="s">
        <v>142</v>
      </c>
      <c r="C89" s="426"/>
      <c r="D89" s="2">
        <v>134608</v>
      </c>
      <c r="E89" s="425">
        <v>7</v>
      </c>
      <c r="F89" s="410"/>
      <c r="G89" s="411"/>
      <c r="H89" s="410"/>
      <c r="I89" s="411"/>
      <c r="J89" s="410">
        <v>131194</v>
      </c>
      <c r="K89" s="565">
        <v>122905</v>
      </c>
      <c r="L89" s="410">
        <v>68713</v>
      </c>
      <c r="M89" s="565">
        <v>60239</v>
      </c>
      <c r="N89" s="410">
        <v>134732</v>
      </c>
      <c r="O89" s="565">
        <v>133776</v>
      </c>
      <c r="P89" s="412">
        <f t="shared" si="36"/>
        <v>334639</v>
      </c>
      <c r="Q89" s="412">
        <f t="shared" si="37"/>
        <v>11154.633333333333</v>
      </c>
      <c r="R89" s="413">
        <f t="shared" si="38"/>
        <v>316920</v>
      </c>
      <c r="S89" s="413">
        <f t="shared" si="39"/>
        <v>10564</v>
      </c>
      <c r="T89" s="410">
        <v>63386</v>
      </c>
      <c r="U89" s="565">
        <v>62559</v>
      </c>
      <c r="V89" s="412">
        <f t="shared" si="40"/>
        <v>334639</v>
      </c>
      <c r="W89" s="413">
        <f t="shared" si="41"/>
        <v>316920</v>
      </c>
      <c r="X89" s="410"/>
      <c r="Y89" s="411"/>
      <c r="Z89" s="410">
        <v>624778</v>
      </c>
      <c r="AA89" s="565">
        <v>574551</v>
      </c>
      <c r="AB89" s="410">
        <v>470875</v>
      </c>
      <c r="AC89" s="565">
        <v>485683</v>
      </c>
      <c r="AD89" s="410">
        <v>677419</v>
      </c>
      <c r="AE89" s="565">
        <v>680440</v>
      </c>
      <c r="AF89" s="412">
        <f t="shared" si="42"/>
        <v>1773072</v>
      </c>
      <c r="AG89" s="412">
        <f t="shared" si="43"/>
        <v>1970.08</v>
      </c>
      <c r="AH89" s="413">
        <f t="shared" si="44"/>
        <v>1740674</v>
      </c>
      <c r="AI89" s="413">
        <f t="shared" si="45"/>
        <v>1934.0822222222223</v>
      </c>
      <c r="AJ89" s="410">
        <v>900</v>
      </c>
      <c r="AK89" s="565">
        <v>900</v>
      </c>
      <c r="AL89" s="412">
        <f t="shared" si="28"/>
        <v>1773072</v>
      </c>
      <c r="AM89" s="413">
        <f t="shared" si="29"/>
        <v>1740674</v>
      </c>
      <c r="AN89" s="410"/>
      <c r="AO89" s="411"/>
      <c r="AP89" s="410"/>
      <c r="AQ89" s="411"/>
      <c r="AR89" s="410"/>
      <c r="AS89" s="411"/>
      <c r="AT89" s="410"/>
      <c r="AU89" s="411"/>
      <c r="AV89" s="412">
        <f t="shared" si="30"/>
        <v>0</v>
      </c>
      <c r="AW89" s="412">
        <f t="shared" si="31"/>
        <v>0</v>
      </c>
      <c r="AX89" s="413">
        <f t="shared" si="32"/>
        <v>0</v>
      </c>
      <c r="AY89" s="413">
        <f t="shared" si="33"/>
        <v>0</v>
      </c>
      <c r="AZ89" s="412">
        <f t="shared" si="34"/>
        <v>13124.713333333333</v>
      </c>
      <c r="BA89" s="413">
        <f t="shared" si="35"/>
        <v>12498.082222222223</v>
      </c>
    </row>
    <row r="90" spans="1:53">
      <c r="A90" s="5" t="s">
        <v>132</v>
      </c>
      <c r="B90" s="4" t="s">
        <v>144</v>
      </c>
      <c r="C90" s="1"/>
      <c r="D90" s="2">
        <v>135188</v>
      </c>
      <c r="E90" s="425">
        <v>7</v>
      </c>
      <c r="F90" s="410"/>
      <c r="G90" s="411"/>
      <c r="H90" s="410"/>
      <c r="I90" s="411"/>
      <c r="J90" s="410">
        <v>37600</v>
      </c>
      <c r="K90" s="565">
        <v>39511</v>
      </c>
      <c r="L90" s="410">
        <v>14041</v>
      </c>
      <c r="M90" s="565">
        <v>14596</v>
      </c>
      <c r="N90" s="410">
        <v>43941</v>
      </c>
      <c r="O90" s="565">
        <v>45055</v>
      </c>
      <c r="P90" s="412">
        <f t="shared" si="36"/>
        <v>95582</v>
      </c>
      <c r="Q90" s="412">
        <f t="shared" si="37"/>
        <v>3186.0666666666666</v>
      </c>
      <c r="R90" s="413">
        <f t="shared" si="38"/>
        <v>99162</v>
      </c>
      <c r="S90" s="413">
        <f t="shared" si="39"/>
        <v>3305.4</v>
      </c>
      <c r="T90" s="410">
        <v>19093</v>
      </c>
      <c r="U90" s="565">
        <v>22443</v>
      </c>
      <c r="V90" s="412">
        <f t="shared" si="40"/>
        <v>95582</v>
      </c>
      <c r="W90" s="413">
        <f t="shared" si="41"/>
        <v>99162</v>
      </c>
      <c r="X90" s="410"/>
      <c r="Y90" s="411"/>
      <c r="Z90" s="410">
        <v>742</v>
      </c>
      <c r="AA90" s="565">
        <v>402</v>
      </c>
      <c r="AB90" s="410">
        <v>0</v>
      </c>
      <c r="AC90" s="565">
        <v>0</v>
      </c>
      <c r="AD90" s="410">
        <v>264</v>
      </c>
      <c r="AE90" s="565">
        <v>12</v>
      </c>
      <c r="AF90" s="412">
        <f t="shared" si="42"/>
        <v>1006</v>
      </c>
      <c r="AG90" s="412">
        <f t="shared" si="43"/>
        <v>1.1177777777777778</v>
      </c>
      <c r="AH90" s="413">
        <f t="shared" si="44"/>
        <v>414</v>
      </c>
      <c r="AI90" s="413">
        <f t="shared" si="45"/>
        <v>0.46</v>
      </c>
      <c r="AJ90" s="410">
        <v>0</v>
      </c>
      <c r="AK90" s="565">
        <v>0</v>
      </c>
      <c r="AL90" s="412">
        <f t="shared" si="28"/>
        <v>1006</v>
      </c>
      <c r="AM90" s="413">
        <f t="shared" si="29"/>
        <v>414</v>
      </c>
      <c r="AN90" s="410"/>
      <c r="AO90" s="411"/>
      <c r="AP90" s="410"/>
      <c r="AQ90" s="411"/>
      <c r="AR90" s="410"/>
      <c r="AS90" s="411"/>
      <c r="AT90" s="410"/>
      <c r="AU90" s="411"/>
      <c r="AV90" s="412">
        <f t="shared" si="30"/>
        <v>0</v>
      </c>
      <c r="AW90" s="412">
        <f t="shared" si="31"/>
        <v>0</v>
      </c>
      <c r="AX90" s="413">
        <f t="shared" si="32"/>
        <v>0</v>
      </c>
      <c r="AY90" s="413">
        <f t="shared" si="33"/>
        <v>0</v>
      </c>
      <c r="AZ90" s="412">
        <f t="shared" si="34"/>
        <v>3187.1844444444446</v>
      </c>
      <c r="BA90" s="413">
        <f t="shared" si="35"/>
        <v>3305.86</v>
      </c>
    </row>
    <row r="91" spans="1:53">
      <c r="A91" s="5" t="s">
        <v>132</v>
      </c>
      <c r="B91" s="4" t="s">
        <v>146</v>
      </c>
      <c r="C91" s="3"/>
      <c r="D91" s="2">
        <v>135717</v>
      </c>
      <c r="E91" s="425">
        <v>7</v>
      </c>
      <c r="F91" s="410"/>
      <c r="G91" s="411"/>
      <c r="H91" s="410"/>
      <c r="I91" s="411"/>
      <c r="J91" s="410">
        <v>543566</v>
      </c>
      <c r="K91" s="565">
        <v>521983</v>
      </c>
      <c r="L91" s="410">
        <v>255448</v>
      </c>
      <c r="M91" s="565">
        <v>253786</v>
      </c>
      <c r="N91" s="410">
        <v>561370</v>
      </c>
      <c r="O91" s="565">
        <v>549536</v>
      </c>
      <c r="P91" s="412">
        <f t="shared" si="36"/>
        <v>1360384</v>
      </c>
      <c r="Q91" s="412">
        <f t="shared" si="37"/>
        <v>45346.133333333331</v>
      </c>
      <c r="R91" s="413">
        <f t="shared" si="38"/>
        <v>1325305</v>
      </c>
      <c r="S91" s="413">
        <f t="shared" si="39"/>
        <v>44176.833333333336</v>
      </c>
      <c r="T91" s="410">
        <v>63394</v>
      </c>
      <c r="U91" s="565">
        <v>66974</v>
      </c>
      <c r="V91" s="412">
        <f t="shared" si="40"/>
        <v>1360384</v>
      </c>
      <c r="W91" s="413">
        <f t="shared" si="41"/>
        <v>1325305</v>
      </c>
      <c r="X91" s="410"/>
      <c r="Y91" s="411"/>
      <c r="Z91" s="410">
        <v>930486</v>
      </c>
      <c r="AA91" s="565">
        <v>818338</v>
      </c>
      <c r="AB91" s="410">
        <v>520757</v>
      </c>
      <c r="AC91" s="565">
        <v>508754</v>
      </c>
      <c r="AD91" s="410">
        <v>1519932</v>
      </c>
      <c r="AE91" s="565">
        <v>669159</v>
      </c>
      <c r="AF91" s="412">
        <f t="shared" si="42"/>
        <v>2971175</v>
      </c>
      <c r="AG91" s="412">
        <f t="shared" si="43"/>
        <v>3301.3055555555557</v>
      </c>
      <c r="AH91" s="413">
        <f t="shared" si="44"/>
        <v>1996251</v>
      </c>
      <c r="AI91" s="413">
        <f t="shared" si="45"/>
        <v>2218.0566666666668</v>
      </c>
      <c r="AJ91" s="410">
        <v>8100</v>
      </c>
      <c r="AK91" s="565">
        <v>0</v>
      </c>
      <c r="AL91" s="412">
        <f t="shared" si="28"/>
        <v>2971175</v>
      </c>
      <c r="AM91" s="413">
        <f t="shared" si="29"/>
        <v>1996251</v>
      </c>
      <c r="AN91" s="410"/>
      <c r="AO91" s="411"/>
      <c r="AP91" s="410"/>
      <c r="AQ91" s="411"/>
      <c r="AR91" s="410"/>
      <c r="AS91" s="411"/>
      <c r="AT91" s="410"/>
      <c r="AU91" s="411"/>
      <c r="AV91" s="412">
        <f t="shared" si="30"/>
        <v>0</v>
      </c>
      <c r="AW91" s="412">
        <f t="shared" si="31"/>
        <v>0</v>
      </c>
      <c r="AX91" s="413">
        <f t="shared" si="32"/>
        <v>0</v>
      </c>
      <c r="AY91" s="413">
        <f t="shared" si="33"/>
        <v>0</v>
      </c>
      <c r="AZ91" s="412">
        <f t="shared" si="34"/>
        <v>48647.438888888886</v>
      </c>
      <c r="BA91" s="413">
        <f t="shared" si="35"/>
        <v>46394.89</v>
      </c>
    </row>
    <row r="92" spans="1:53">
      <c r="A92" s="5" t="s">
        <v>132</v>
      </c>
      <c r="B92" s="4" t="s">
        <v>147</v>
      </c>
      <c r="C92" s="3"/>
      <c r="D92" s="2">
        <v>136233</v>
      </c>
      <c r="E92" s="425">
        <v>7</v>
      </c>
      <c r="F92" s="410"/>
      <c r="G92" s="411"/>
      <c r="H92" s="410"/>
      <c r="I92" s="411"/>
      <c r="J92" s="410">
        <v>43842</v>
      </c>
      <c r="K92" s="565">
        <v>44162</v>
      </c>
      <c r="L92" s="410">
        <v>17130</v>
      </c>
      <c r="M92" s="565">
        <v>16931</v>
      </c>
      <c r="N92" s="410">
        <v>47400</v>
      </c>
      <c r="O92" s="565">
        <v>47721</v>
      </c>
      <c r="P92" s="412">
        <f t="shared" si="36"/>
        <v>108372</v>
      </c>
      <c r="Q92" s="412">
        <f t="shared" si="37"/>
        <v>3612.4</v>
      </c>
      <c r="R92" s="413">
        <f t="shared" si="38"/>
        <v>108814</v>
      </c>
      <c r="S92" s="413">
        <f t="shared" si="39"/>
        <v>3627.1333333333332</v>
      </c>
      <c r="T92" s="410">
        <v>17142</v>
      </c>
      <c r="U92" s="565">
        <v>17594</v>
      </c>
      <c r="V92" s="412">
        <f t="shared" si="40"/>
        <v>108372</v>
      </c>
      <c r="W92" s="413">
        <f t="shared" si="41"/>
        <v>108814</v>
      </c>
      <c r="X92" s="410"/>
      <c r="Y92" s="411"/>
      <c r="Z92" s="410">
        <v>108881</v>
      </c>
      <c r="AA92" s="565">
        <v>92244</v>
      </c>
      <c r="AB92" s="410">
        <v>41250</v>
      </c>
      <c r="AC92" s="565">
        <v>43221</v>
      </c>
      <c r="AD92" s="410">
        <v>110995</v>
      </c>
      <c r="AE92" s="565">
        <v>96908</v>
      </c>
      <c r="AF92" s="412">
        <f t="shared" si="42"/>
        <v>261126</v>
      </c>
      <c r="AG92" s="412">
        <f t="shared" si="43"/>
        <v>290.14</v>
      </c>
      <c r="AH92" s="413">
        <f t="shared" si="44"/>
        <v>232373</v>
      </c>
      <c r="AI92" s="413">
        <f t="shared" si="45"/>
        <v>258.1922222222222</v>
      </c>
      <c r="AJ92" s="410">
        <v>0</v>
      </c>
      <c r="AK92" s="565">
        <v>0</v>
      </c>
      <c r="AL92" s="412">
        <f t="shared" si="28"/>
        <v>261126</v>
      </c>
      <c r="AM92" s="413">
        <f t="shared" si="29"/>
        <v>232373</v>
      </c>
      <c r="AN92" s="410"/>
      <c r="AO92" s="411"/>
      <c r="AP92" s="410"/>
      <c r="AQ92" s="411"/>
      <c r="AR92" s="410"/>
      <c r="AS92" s="411"/>
      <c r="AT92" s="410"/>
      <c r="AU92" s="411"/>
      <c r="AV92" s="412">
        <f t="shared" si="30"/>
        <v>0</v>
      </c>
      <c r="AW92" s="412">
        <f t="shared" si="31"/>
        <v>0</v>
      </c>
      <c r="AX92" s="413">
        <f t="shared" si="32"/>
        <v>0</v>
      </c>
      <c r="AY92" s="413">
        <f t="shared" si="33"/>
        <v>0</v>
      </c>
      <c r="AZ92" s="412">
        <f t="shared" si="34"/>
        <v>3902.54</v>
      </c>
      <c r="BA92" s="413">
        <f t="shared" si="35"/>
        <v>3885.3255555555552</v>
      </c>
    </row>
    <row r="93" spans="1:53">
      <c r="A93" s="5" t="s">
        <v>132</v>
      </c>
      <c r="B93" s="4" t="s">
        <v>148</v>
      </c>
      <c r="C93" s="424"/>
      <c r="D93" s="2">
        <v>136358</v>
      </c>
      <c r="E93" s="425">
        <v>7</v>
      </c>
      <c r="F93" s="410"/>
      <c r="G93" s="411"/>
      <c r="H93" s="410"/>
      <c r="I93" s="411"/>
      <c r="J93" s="410">
        <v>234113</v>
      </c>
      <c r="K93" s="565">
        <v>230004</v>
      </c>
      <c r="L93" s="410">
        <v>110284</v>
      </c>
      <c r="M93" s="565">
        <v>110682</v>
      </c>
      <c r="N93" s="410">
        <v>251995</v>
      </c>
      <c r="O93" s="565">
        <v>248628</v>
      </c>
      <c r="P93" s="412">
        <f t="shared" si="36"/>
        <v>596392</v>
      </c>
      <c r="Q93" s="412">
        <f t="shared" si="37"/>
        <v>19879.733333333334</v>
      </c>
      <c r="R93" s="413">
        <f t="shared" si="38"/>
        <v>589314</v>
      </c>
      <c r="S93" s="413">
        <f t="shared" si="39"/>
        <v>19643.8</v>
      </c>
      <c r="T93" s="410">
        <v>35573</v>
      </c>
      <c r="U93" s="565">
        <v>38823</v>
      </c>
      <c r="V93" s="412">
        <f t="shared" si="40"/>
        <v>596392</v>
      </c>
      <c r="W93" s="413">
        <f t="shared" si="41"/>
        <v>589314</v>
      </c>
      <c r="X93" s="410"/>
      <c r="Y93" s="411"/>
      <c r="Z93" s="410">
        <v>529963</v>
      </c>
      <c r="AA93" s="565">
        <v>543242</v>
      </c>
      <c r="AB93" s="410">
        <v>279723</v>
      </c>
      <c r="AC93" s="565">
        <v>290589</v>
      </c>
      <c r="AD93" s="410">
        <v>542431</v>
      </c>
      <c r="AE93" s="565">
        <v>547935</v>
      </c>
      <c r="AF93" s="412">
        <f t="shared" si="42"/>
        <v>1352117</v>
      </c>
      <c r="AG93" s="412">
        <f t="shared" si="43"/>
        <v>1502.3522222222223</v>
      </c>
      <c r="AH93" s="413">
        <f t="shared" si="44"/>
        <v>1381766</v>
      </c>
      <c r="AI93" s="413">
        <f t="shared" si="45"/>
        <v>1535.2955555555557</v>
      </c>
      <c r="AJ93" s="410">
        <v>3840</v>
      </c>
      <c r="AK93" s="565">
        <v>6000</v>
      </c>
      <c r="AL93" s="412">
        <f t="shared" si="28"/>
        <v>1352117</v>
      </c>
      <c r="AM93" s="413">
        <f t="shared" si="29"/>
        <v>1381766</v>
      </c>
      <c r="AN93" s="410"/>
      <c r="AO93" s="411"/>
      <c r="AP93" s="410"/>
      <c r="AQ93" s="411"/>
      <c r="AR93" s="410"/>
      <c r="AS93" s="411"/>
      <c r="AT93" s="410"/>
      <c r="AU93" s="411"/>
      <c r="AV93" s="412">
        <f t="shared" si="30"/>
        <v>0</v>
      </c>
      <c r="AW93" s="412">
        <f t="shared" si="31"/>
        <v>0</v>
      </c>
      <c r="AX93" s="413">
        <f t="shared" si="32"/>
        <v>0</v>
      </c>
      <c r="AY93" s="413">
        <f t="shared" si="33"/>
        <v>0</v>
      </c>
      <c r="AZ93" s="412">
        <f t="shared" si="34"/>
        <v>21382.085555555557</v>
      </c>
      <c r="BA93" s="413">
        <f t="shared" si="35"/>
        <v>21179.095555555556</v>
      </c>
    </row>
    <row r="94" spans="1:53">
      <c r="A94" s="5" t="s">
        <v>132</v>
      </c>
      <c r="B94" s="4" t="s">
        <v>149</v>
      </c>
      <c r="C94" s="1"/>
      <c r="D94" s="2">
        <v>136400</v>
      </c>
      <c r="E94" s="425">
        <v>7</v>
      </c>
      <c r="F94" s="410"/>
      <c r="G94" s="411"/>
      <c r="H94" s="410"/>
      <c r="I94" s="411"/>
      <c r="J94" s="410">
        <v>92746</v>
      </c>
      <c r="K94" s="565">
        <v>91099</v>
      </c>
      <c r="L94" s="410">
        <v>26452</v>
      </c>
      <c r="M94" s="565">
        <v>27731</v>
      </c>
      <c r="N94" s="410">
        <v>99914</v>
      </c>
      <c r="O94" s="565">
        <v>100467</v>
      </c>
      <c r="P94" s="412">
        <f t="shared" si="36"/>
        <v>219112</v>
      </c>
      <c r="Q94" s="412">
        <f t="shared" si="37"/>
        <v>7303.7333333333336</v>
      </c>
      <c r="R94" s="413">
        <f t="shared" si="38"/>
        <v>219297</v>
      </c>
      <c r="S94" s="413">
        <f t="shared" si="39"/>
        <v>7309.9</v>
      </c>
      <c r="T94" s="410">
        <v>33270</v>
      </c>
      <c r="U94" s="565">
        <v>33817</v>
      </c>
      <c r="V94" s="412">
        <f t="shared" si="40"/>
        <v>219112</v>
      </c>
      <c r="W94" s="413">
        <f t="shared" si="41"/>
        <v>219297</v>
      </c>
      <c r="X94" s="410"/>
      <c r="Y94" s="411"/>
      <c r="Z94" s="410">
        <v>148364</v>
      </c>
      <c r="AA94" s="565">
        <v>142999</v>
      </c>
      <c r="AB94" s="410">
        <v>68541</v>
      </c>
      <c r="AC94" s="565">
        <v>70489</v>
      </c>
      <c r="AD94" s="410">
        <v>120383</v>
      </c>
      <c r="AE94" s="565">
        <v>127151</v>
      </c>
      <c r="AF94" s="412">
        <f t="shared" si="42"/>
        <v>337288</v>
      </c>
      <c r="AG94" s="412">
        <f t="shared" si="43"/>
        <v>374.76444444444445</v>
      </c>
      <c r="AH94" s="413">
        <f t="shared" si="44"/>
        <v>340639</v>
      </c>
      <c r="AI94" s="413">
        <f t="shared" si="45"/>
        <v>378.48777777777775</v>
      </c>
      <c r="AJ94" s="410">
        <v>3045</v>
      </c>
      <c r="AK94" s="565">
        <v>3150</v>
      </c>
      <c r="AL94" s="412">
        <f t="shared" si="28"/>
        <v>337288</v>
      </c>
      <c r="AM94" s="413">
        <f t="shared" si="29"/>
        <v>340639</v>
      </c>
      <c r="AN94" s="410"/>
      <c r="AO94" s="411"/>
      <c r="AP94" s="410"/>
      <c r="AQ94" s="411"/>
      <c r="AR94" s="410"/>
      <c r="AS94" s="411"/>
      <c r="AT94" s="410"/>
      <c r="AU94" s="411"/>
      <c r="AV94" s="412">
        <f t="shared" si="30"/>
        <v>0</v>
      </c>
      <c r="AW94" s="412">
        <f t="shared" si="31"/>
        <v>0</v>
      </c>
      <c r="AX94" s="413">
        <f t="shared" si="32"/>
        <v>0</v>
      </c>
      <c r="AY94" s="413">
        <f t="shared" si="33"/>
        <v>0</v>
      </c>
      <c r="AZ94" s="412">
        <f t="shared" si="34"/>
        <v>7678.4977777777776</v>
      </c>
      <c r="BA94" s="413">
        <f t="shared" si="35"/>
        <v>7688.387777777777</v>
      </c>
    </row>
    <row r="95" spans="1:53">
      <c r="A95" s="5" t="s">
        <v>132</v>
      </c>
      <c r="B95" s="4" t="s">
        <v>150</v>
      </c>
      <c r="C95" s="424"/>
      <c r="D95" s="2">
        <v>136473</v>
      </c>
      <c r="E95" s="425">
        <v>7</v>
      </c>
      <c r="F95" s="410"/>
      <c r="G95" s="411"/>
      <c r="H95" s="410"/>
      <c r="I95" s="411"/>
      <c r="J95" s="410">
        <v>80612</v>
      </c>
      <c r="K95" s="565">
        <v>78978</v>
      </c>
      <c r="L95" s="410">
        <v>34247</v>
      </c>
      <c r="M95" s="565">
        <v>34592</v>
      </c>
      <c r="N95" s="410">
        <v>85160</v>
      </c>
      <c r="O95" s="565">
        <v>84562</v>
      </c>
      <c r="P95" s="412">
        <f t="shared" si="36"/>
        <v>200019</v>
      </c>
      <c r="Q95" s="412">
        <f t="shared" si="37"/>
        <v>6667.3</v>
      </c>
      <c r="R95" s="413">
        <f t="shared" si="38"/>
        <v>198132</v>
      </c>
      <c r="S95" s="413">
        <f t="shared" si="39"/>
        <v>6604.4</v>
      </c>
      <c r="T95" s="410">
        <v>22022</v>
      </c>
      <c r="U95" s="565">
        <v>24047</v>
      </c>
      <c r="V95" s="412">
        <f t="shared" si="40"/>
        <v>200019</v>
      </c>
      <c r="W95" s="413">
        <f t="shared" si="41"/>
        <v>198132</v>
      </c>
      <c r="X95" s="410"/>
      <c r="Y95" s="411"/>
      <c r="Z95" s="410">
        <v>234759</v>
      </c>
      <c r="AA95" s="565">
        <v>228830</v>
      </c>
      <c r="AB95" s="410">
        <v>130316</v>
      </c>
      <c r="AC95" s="565">
        <v>116764</v>
      </c>
      <c r="AD95" s="410">
        <v>241845</v>
      </c>
      <c r="AE95" s="565">
        <v>163440</v>
      </c>
      <c r="AF95" s="412">
        <f t="shared" si="42"/>
        <v>606920</v>
      </c>
      <c r="AG95" s="412">
        <f t="shared" si="43"/>
        <v>674.35555555555561</v>
      </c>
      <c r="AH95" s="413">
        <f t="shared" si="44"/>
        <v>509034</v>
      </c>
      <c r="AI95" s="413">
        <f t="shared" si="45"/>
        <v>565.59333333333336</v>
      </c>
      <c r="AJ95" s="410">
        <v>0</v>
      </c>
      <c r="AK95" s="565">
        <v>1350</v>
      </c>
      <c r="AL95" s="412">
        <f t="shared" si="28"/>
        <v>606920</v>
      </c>
      <c r="AM95" s="413">
        <f t="shared" si="29"/>
        <v>509034</v>
      </c>
      <c r="AN95" s="410"/>
      <c r="AO95" s="411"/>
      <c r="AP95" s="410"/>
      <c r="AQ95" s="411"/>
      <c r="AR95" s="410"/>
      <c r="AS95" s="411"/>
      <c r="AT95" s="410"/>
      <c r="AU95" s="411"/>
      <c r="AV95" s="412">
        <f t="shared" si="30"/>
        <v>0</v>
      </c>
      <c r="AW95" s="412">
        <f t="shared" si="31"/>
        <v>0</v>
      </c>
      <c r="AX95" s="413">
        <f t="shared" si="32"/>
        <v>0</v>
      </c>
      <c r="AY95" s="413">
        <f t="shared" si="33"/>
        <v>0</v>
      </c>
      <c r="AZ95" s="412">
        <f t="shared" si="34"/>
        <v>7341.655555555556</v>
      </c>
      <c r="BA95" s="413">
        <f t="shared" si="35"/>
        <v>7169.9933333333329</v>
      </c>
    </row>
    <row r="96" spans="1:53">
      <c r="A96" s="5" t="s">
        <v>132</v>
      </c>
      <c r="B96" s="4" t="s">
        <v>151</v>
      </c>
      <c r="C96" s="424"/>
      <c r="D96" s="2">
        <v>136516</v>
      </c>
      <c r="E96" s="425">
        <v>7</v>
      </c>
      <c r="F96" s="410"/>
      <c r="G96" s="411"/>
      <c r="H96" s="410"/>
      <c r="I96" s="411"/>
      <c r="J96" s="410">
        <v>78567</v>
      </c>
      <c r="K96" s="565">
        <v>79669</v>
      </c>
      <c r="L96" s="410">
        <v>29206</v>
      </c>
      <c r="M96" s="565">
        <v>29678</v>
      </c>
      <c r="N96" s="410">
        <v>86803</v>
      </c>
      <c r="O96" s="565">
        <v>87974</v>
      </c>
      <c r="P96" s="412">
        <f t="shared" si="36"/>
        <v>194576</v>
      </c>
      <c r="Q96" s="412">
        <f t="shared" si="37"/>
        <v>6485.8666666666668</v>
      </c>
      <c r="R96" s="413">
        <f t="shared" si="38"/>
        <v>197321</v>
      </c>
      <c r="S96" s="413">
        <f t="shared" si="39"/>
        <v>6577.3666666666668</v>
      </c>
      <c r="T96" s="410">
        <v>17837</v>
      </c>
      <c r="U96" s="565">
        <v>20506</v>
      </c>
      <c r="V96" s="412">
        <f t="shared" si="40"/>
        <v>194576</v>
      </c>
      <c r="W96" s="413">
        <f t="shared" si="41"/>
        <v>197321</v>
      </c>
      <c r="X96" s="410"/>
      <c r="Y96" s="411"/>
      <c r="Z96" s="410">
        <v>40376</v>
      </c>
      <c r="AA96" s="565">
        <v>39533</v>
      </c>
      <c r="AB96" s="410">
        <v>10819</v>
      </c>
      <c r="AC96" s="565">
        <v>24035</v>
      </c>
      <c r="AD96" s="410">
        <v>29926</v>
      </c>
      <c r="AE96" s="565">
        <v>42270</v>
      </c>
      <c r="AF96" s="412">
        <f t="shared" si="42"/>
        <v>81121</v>
      </c>
      <c r="AG96" s="412">
        <f t="shared" si="43"/>
        <v>90.134444444444441</v>
      </c>
      <c r="AH96" s="413">
        <f t="shared" si="44"/>
        <v>105838</v>
      </c>
      <c r="AI96" s="413">
        <f t="shared" si="45"/>
        <v>117.59777777777778</v>
      </c>
      <c r="AJ96" s="410">
        <v>0</v>
      </c>
      <c r="AK96" s="565">
        <v>0</v>
      </c>
      <c r="AL96" s="412">
        <f t="shared" si="28"/>
        <v>81121</v>
      </c>
      <c r="AM96" s="413">
        <f t="shared" si="29"/>
        <v>105838</v>
      </c>
      <c r="AN96" s="410"/>
      <c r="AO96" s="411"/>
      <c r="AP96" s="410"/>
      <c r="AQ96" s="411"/>
      <c r="AR96" s="410"/>
      <c r="AS96" s="411"/>
      <c r="AT96" s="410"/>
      <c r="AU96" s="411"/>
      <c r="AV96" s="412">
        <f t="shared" si="30"/>
        <v>0</v>
      </c>
      <c r="AW96" s="412">
        <f t="shared" si="31"/>
        <v>0</v>
      </c>
      <c r="AX96" s="413">
        <f t="shared" si="32"/>
        <v>0</v>
      </c>
      <c r="AY96" s="413">
        <f t="shared" si="33"/>
        <v>0</v>
      </c>
      <c r="AZ96" s="412">
        <f t="shared" si="34"/>
        <v>6576.0011111111116</v>
      </c>
      <c r="BA96" s="413">
        <f t="shared" si="35"/>
        <v>6694.9644444444448</v>
      </c>
    </row>
    <row r="97" spans="1:53">
      <c r="A97" s="5" t="s">
        <v>132</v>
      </c>
      <c r="B97" s="4" t="s">
        <v>154</v>
      </c>
      <c r="C97" s="424"/>
      <c r="D97" s="2">
        <v>137096</v>
      </c>
      <c r="E97" s="425">
        <v>7</v>
      </c>
      <c r="F97" s="410"/>
      <c r="G97" s="411"/>
      <c r="H97" s="410"/>
      <c r="I97" s="411"/>
      <c r="J97" s="410">
        <v>123025</v>
      </c>
      <c r="K97" s="565">
        <v>121470</v>
      </c>
      <c r="L97" s="410">
        <v>51145</v>
      </c>
      <c r="M97" s="565">
        <v>50029</v>
      </c>
      <c r="N97" s="410">
        <v>136371</v>
      </c>
      <c r="O97" s="565">
        <v>136281</v>
      </c>
      <c r="P97" s="412">
        <f t="shared" si="36"/>
        <v>310541</v>
      </c>
      <c r="Q97" s="412">
        <f t="shared" si="37"/>
        <v>10351.366666666667</v>
      </c>
      <c r="R97" s="413">
        <f t="shared" si="38"/>
        <v>307780</v>
      </c>
      <c r="S97" s="413">
        <f t="shared" si="39"/>
        <v>10259.333333333334</v>
      </c>
      <c r="T97" s="410">
        <v>20072</v>
      </c>
      <c r="U97" s="565">
        <v>20244</v>
      </c>
      <c r="V97" s="412">
        <f t="shared" si="40"/>
        <v>310541</v>
      </c>
      <c r="W97" s="413">
        <f t="shared" si="41"/>
        <v>307780</v>
      </c>
      <c r="X97" s="410"/>
      <c r="Y97" s="411"/>
      <c r="Z97" s="410">
        <v>278918</v>
      </c>
      <c r="AA97" s="565">
        <v>265512</v>
      </c>
      <c r="AB97" s="410">
        <v>167818</v>
      </c>
      <c r="AC97" s="565">
        <v>187674</v>
      </c>
      <c r="AD97" s="410">
        <v>266602</v>
      </c>
      <c r="AE97" s="565">
        <v>295717</v>
      </c>
      <c r="AF97" s="412">
        <f t="shared" si="42"/>
        <v>713338</v>
      </c>
      <c r="AG97" s="412">
        <f t="shared" si="43"/>
        <v>792.59777777777776</v>
      </c>
      <c r="AH97" s="413">
        <f t="shared" si="44"/>
        <v>748903</v>
      </c>
      <c r="AI97" s="413">
        <f t="shared" si="45"/>
        <v>832.11444444444442</v>
      </c>
      <c r="AJ97" s="410">
        <v>366</v>
      </c>
      <c r="AK97" s="565">
        <v>1626</v>
      </c>
      <c r="AL97" s="412">
        <f t="shared" si="28"/>
        <v>713338</v>
      </c>
      <c r="AM97" s="413">
        <f t="shared" si="29"/>
        <v>748903</v>
      </c>
      <c r="AN97" s="410"/>
      <c r="AO97" s="411"/>
      <c r="AP97" s="410"/>
      <c r="AQ97" s="411"/>
      <c r="AR97" s="410"/>
      <c r="AS97" s="411"/>
      <c r="AT97" s="410"/>
      <c r="AU97" s="411"/>
      <c r="AV97" s="412">
        <f t="shared" si="30"/>
        <v>0</v>
      </c>
      <c r="AW97" s="412">
        <f t="shared" si="31"/>
        <v>0</v>
      </c>
      <c r="AX97" s="413">
        <f t="shared" si="32"/>
        <v>0</v>
      </c>
      <c r="AY97" s="413">
        <f t="shared" si="33"/>
        <v>0</v>
      </c>
      <c r="AZ97" s="412">
        <f t="shared" si="34"/>
        <v>11143.964444444444</v>
      </c>
      <c r="BA97" s="413">
        <f t="shared" si="35"/>
        <v>11091.447777777779</v>
      </c>
    </row>
    <row r="98" spans="1:53">
      <c r="A98" s="5" t="s">
        <v>132</v>
      </c>
      <c r="B98" s="4" t="s">
        <v>155</v>
      </c>
      <c r="C98" s="424"/>
      <c r="D98" s="2">
        <v>137209</v>
      </c>
      <c r="E98" s="425">
        <v>7</v>
      </c>
      <c r="F98" s="410"/>
      <c r="G98" s="411"/>
      <c r="H98" s="410"/>
      <c r="I98" s="411"/>
      <c r="J98" s="410">
        <v>131450</v>
      </c>
      <c r="K98" s="565">
        <v>129527</v>
      </c>
      <c r="L98" s="410">
        <v>60408</v>
      </c>
      <c r="M98" s="565">
        <v>60326</v>
      </c>
      <c r="N98" s="410">
        <v>146996</v>
      </c>
      <c r="O98" s="565">
        <v>143587</v>
      </c>
      <c r="P98" s="412">
        <f t="shared" si="36"/>
        <v>338854</v>
      </c>
      <c r="Q98" s="412">
        <f t="shared" si="37"/>
        <v>11295.133333333333</v>
      </c>
      <c r="R98" s="413">
        <f t="shared" si="38"/>
        <v>333440</v>
      </c>
      <c r="S98" s="413">
        <f t="shared" si="39"/>
        <v>11114.666666666666</v>
      </c>
      <c r="T98" s="410">
        <v>13801</v>
      </c>
      <c r="U98" s="565">
        <v>16233</v>
      </c>
      <c r="V98" s="412">
        <f t="shared" si="40"/>
        <v>338854</v>
      </c>
      <c r="W98" s="413">
        <f t="shared" si="41"/>
        <v>333440</v>
      </c>
      <c r="X98" s="410"/>
      <c r="Y98" s="411"/>
      <c r="Z98" s="410">
        <v>498805</v>
      </c>
      <c r="AA98" s="565">
        <v>559975</v>
      </c>
      <c r="AB98" s="410">
        <v>359826</v>
      </c>
      <c r="AC98" s="565">
        <v>392874</v>
      </c>
      <c r="AD98" s="410">
        <v>593913</v>
      </c>
      <c r="AE98" s="565">
        <v>607306</v>
      </c>
      <c r="AF98" s="412">
        <f t="shared" si="42"/>
        <v>1452544</v>
      </c>
      <c r="AG98" s="412">
        <f t="shared" si="43"/>
        <v>1613.9377777777777</v>
      </c>
      <c r="AH98" s="413">
        <f t="shared" si="44"/>
        <v>1560155</v>
      </c>
      <c r="AI98" s="413">
        <f t="shared" si="45"/>
        <v>1733.5055555555555</v>
      </c>
      <c r="AJ98" s="410">
        <v>150</v>
      </c>
      <c r="AK98" s="565">
        <v>0</v>
      </c>
      <c r="AL98" s="412">
        <f t="shared" si="28"/>
        <v>1452544</v>
      </c>
      <c r="AM98" s="413">
        <f t="shared" si="29"/>
        <v>1560155</v>
      </c>
      <c r="AN98" s="410"/>
      <c r="AO98" s="411"/>
      <c r="AP98" s="410"/>
      <c r="AQ98" s="411"/>
      <c r="AR98" s="410"/>
      <c r="AS98" s="411"/>
      <c r="AT98" s="410"/>
      <c r="AU98" s="411"/>
      <c r="AV98" s="412">
        <f t="shared" si="30"/>
        <v>0</v>
      </c>
      <c r="AW98" s="412">
        <f t="shared" si="31"/>
        <v>0</v>
      </c>
      <c r="AX98" s="413">
        <f t="shared" si="32"/>
        <v>0</v>
      </c>
      <c r="AY98" s="413">
        <f t="shared" si="33"/>
        <v>0</v>
      </c>
      <c r="AZ98" s="412">
        <f t="shared" si="34"/>
        <v>12909.07111111111</v>
      </c>
      <c r="BA98" s="413">
        <f t="shared" si="35"/>
        <v>12848.172222222222</v>
      </c>
    </row>
    <row r="99" spans="1:53">
      <c r="A99" s="5" t="s">
        <v>132</v>
      </c>
      <c r="B99" s="4" t="s">
        <v>156</v>
      </c>
      <c r="C99" s="1"/>
      <c r="D99" s="2">
        <v>137315</v>
      </c>
      <c r="E99" s="425">
        <v>7</v>
      </c>
      <c r="F99" s="410"/>
      <c r="G99" s="411"/>
      <c r="H99" s="410"/>
      <c r="I99" s="411"/>
      <c r="J99" s="410">
        <v>19821</v>
      </c>
      <c r="K99" s="565">
        <v>19771</v>
      </c>
      <c r="L99" s="410">
        <v>6744</v>
      </c>
      <c r="M99" s="565">
        <v>6342</v>
      </c>
      <c r="N99" s="410">
        <v>21821</v>
      </c>
      <c r="O99" s="565">
        <v>21778</v>
      </c>
      <c r="P99" s="412">
        <f t="shared" si="36"/>
        <v>48386</v>
      </c>
      <c r="Q99" s="412">
        <f t="shared" si="37"/>
        <v>1612.8666666666666</v>
      </c>
      <c r="R99" s="413">
        <f t="shared" si="38"/>
        <v>47891</v>
      </c>
      <c r="S99" s="413">
        <f t="shared" si="39"/>
        <v>1596.3666666666666</v>
      </c>
      <c r="T99" s="410">
        <v>8551</v>
      </c>
      <c r="U99" s="565">
        <v>8686</v>
      </c>
      <c r="V99" s="412">
        <f t="shared" si="40"/>
        <v>48386</v>
      </c>
      <c r="W99" s="413">
        <f t="shared" si="41"/>
        <v>47891</v>
      </c>
      <c r="X99" s="410"/>
      <c r="Y99" s="411"/>
      <c r="Z99" s="410">
        <v>271735</v>
      </c>
      <c r="AA99" s="565">
        <v>262817</v>
      </c>
      <c r="AB99" s="410">
        <v>123244</v>
      </c>
      <c r="AC99" s="565">
        <v>117655</v>
      </c>
      <c r="AD99" s="410">
        <v>301632</v>
      </c>
      <c r="AE99" s="565">
        <v>320852</v>
      </c>
      <c r="AF99" s="412">
        <f t="shared" si="42"/>
        <v>696611</v>
      </c>
      <c r="AG99" s="412">
        <f t="shared" si="43"/>
        <v>774.01222222222225</v>
      </c>
      <c r="AH99" s="413">
        <f t="shared" si="44"/>
        <v>701324</v>
      </c>
      <c r="AI99" s="413">
        <f t="shared" si="45"/>
        <v>779.24888888888893</v>
      </c>
      <c r="AJ99" s="410">
        <v>68753</v>
      </c>
      <c r="AK99" s="565">
        <v>67477</v>
      </c>
      <c r="AL99" s="412">
        <f t="shared" si="28"/>
        <v>696611</v>
      </c>
      <c r="AM99" s="413">
        <f t="shared" si="29"/>
        <v>701324</v>
      </c>
      <c r="AN99" s="410"/>
      <c r="AO99" s="411"/>
      <c r="AP99" s="410"/>
      <c r="AQ99" s="411"/>
      <c r="AR99" s="410"/>
      <c r="AS99" s="411"/>
      <c r="AT99" s="410"/>
      <c r="AU99" s="411"/>
      <c r="AV99" s="412">
        <f t="shared" si="30"/>
        <v>0</v>
      </c>
      <c r="AW99" s="412">
        <f t="shared" si="31"/>
        <v>0</v>
      </c>
      <c r="AX99" s="413">
        <f t="shared" si="32"/>
        <v>0</v>
      </c>
      <c r="AY99" s="413">
        <f t="shared" si="33"/>
        <v>0</v>
      </c>
      <c r="AZ99" s="412">
        <f t="shared" si="34"/>
        <v>2386.8788888888889</v>
      </c>
      <c r="BA99" s="413">
        <f t="shared" si="35"/>
        <v>2375.6155555555556</v>
      </c>
    </row>
    <row r="100" spans="1:53">
      <c r="A100" s="5" t="s">
        <v>132</v>
      </c>
      <c r="B100" s="4" t="s">
        <v>152</v>
      </c>
      <c r="C100" s="424"/>
      <c r="D100" s="2">
        <v>137281</v>
      </c>
      <c r="E100" s="425">
        <v>7</v>
      </c>
      <c r="F100" s="410"/>
      <c r="G100" s="411"/>
      <c r="H100" s="410"/>
      <c r="I100" s="411"/>
      <c r="J100" s="410">
        <v>53152</v>
      </c>
      <c r="K100" s="565">
        <v>53381</v>
      </c>
      <c r="L100" s="410">
        <v>20449</v>
      </c>
      <c r="M100" s="565">
        <v>21221</v>
      </c>
      <c r="N100" s="410">
        <v>58961</v>
      </c>
      <c r="O100" s="565">
        <v>60211</v>
      </c>
      <c r="P100" s="412">
        <f t="shared" si="36"/>
        <v>132562</v>
      </c>
      <c r="Q100" s="412">
        <f t="shared" si="37"/>
        <v>4418.7333333333336</v>
      </c>
      <c r="R100" s="413">
        <f t="shared" si="38"/>
        <v>134813</v>
      </c>
      <c r="S100" s="413">
        <f t="shared" si="39"/>
        <v>4493.7666666666664</v>
      </c>
      <c r="T100" s="410">
        <v>30733</v>
      </c>
      <c r="U100" s="565">
        <v>33076</v>
      </c>
      <c r="V100" s="412">
        <f t="shared" si="40"/>
        <v>132562</v>
      </c>
      <c r="W100" s="413">
        <f t="shared" si="41"/>
        <v>134813</v>
      </c>
      <c r="X100" s="410"/>
      <c r="Y100" s="411"/>
      <c r="Z100" s="410">
        <v>53084</v>
      </c>
      <c r="AA100" s="565">
        <v>56595</v>
      </c>
      <c r="AB100" s="410">
        <v>14776</v>
      </c>
      <c r="AC100" s="565">
        <v>26534</v>
      </c>
      <c r="AD100" s="410">
        <v>78982</v>
      </c>
      <c r="AE100" s="565">
        <v>67257</v>
      </c>
      <c r="AF100" s="412">
        <f t="shared" si="42"/>
        <v>146842</v>
      </c>
      <c r="AG100" s="412">
        <f t="shared" si="43"/>
        <v>163.15777777777777</v>
      </c>
      <c r="AH100" s="413">
        <f t="shared" si="44"/>
        <v>150386</v>
      </c>
      <c r="AI100" s="413">
        <f t="shared" si="45"/>
        <v>167.09555555555556</v>
      </c>
      <c r="AJ100" s="410">
        <v>1320</v>
      </c>
      <c r="AK100" s="565">
        <v>2160</v>
      </c>
      <c r="AL100" s="412">
        <f t="shared" si="28"/>
        <v>146842</v>
      </c>
      <c r="AM100" s="413">
        <f t="shared" si="29"/>
        <v>150386</v>
      </c>
      <c r="AN100" s="410"/>
      <c r="AO100" s="411"/>
      <c r="AP100" s="410"/>
      <c r="AQ100" s="411"/>
      <c r="AR100" s="410"/>
      <c r="AS100" s="411"/>
      <c r="AT100" s="410"/>
      <c r="AU100" s="411"/>
      <c r="AV100" s="412">
        <f t="shared" si="30"/>
        <v>0</v>
      </c>
      <c r="AW100" s="412">
        <f t="shared" si="31"/>
        <v>0</v>
      </c>
      <c r="AX100" s="413">
        <f t="shared" si="32"/>
        <v>0</v>
      </c>
      <c r="AY100" s="413">
        <f t="shared" si="33"/>
        <v>0</v>
      </c>
      <c r="AZ100" s="412">
        <f t="shared" si="34"/>
        <v>4581.8911111111111</v>
      </c>
      <c r="BA100" s="413">
        <f t="shared" si="35"/>
        <v>4660.862222222222</v>
      </c>
    </row>
    <row r="101" spans="1:53">
      <c r="A101" s="5" t="s">
        <v>132</v>
      </c>
      <c r="B101" s="4" t="s">
        <v>153</v>
      </c>
      <c r="C101" s="3"/>
      <c r="D101" s="2">
        <v>137078</v>
      </c>
      <c r="E101" s="425">
        <v>7</v>
      </c>
      <c r="F101" s="410"/>
      <c r="G101" s="411"/>
      <c r="H101" s="410"/>
      <c r="I101" s="411"/>
      <c r="J101" s="410">
        <v>227901</v>
      </c>
      <c r="K101" s="565">
        <v>229861</v>
      </c>
      <c r="L101" s="410">
        <v>82926</v>
      </c>
      <c r="M101" s="565">
        <v>83065</v>
      </c>
      <c r="N101" s="410">
        <v>240119</v>
      </c>
      <c r="O101" s="565">
        <v>237537</v>
      </c>
      <c r="P101" s="412">
        <f t="shared" si="36"/>
        <v>550946</v>
      </c>
      <c r="Q101" s="412">
        <f t="shared" si="37"/>
        <v>18364.866666666665</v>
      </c>
      <c r="R101" s="413">
        <f t="shared" si="38"/>
        <v>550463</v>
      </c>
      <c r="S101" s="413">
        <f t="shared" si="39"/>
        <v>18348.766666666666</v>
      </c>
      <c r="T101" s="410">
        <v>43806</v>
      </c>
      <c r="U101" s="565">
        <v>46430</v>
      </c>
      <c r="V101" s="412">
        <f t="shared" si="40"/>
        <v>550946</v>
      </c>
      <c r="W101" s="413">
        <f t="shared" si="41"/>
        <v>550463</v>
      </c>
      <c r="X101" s="410"/>
      <c r="Y101" s="411"/>
      <c r="Z101" s="410">
        <v>75109</v>
      </c>
      <c r="AA101" s="565">
        <v>94298</v>
      </c>
      <c r="AB101" s="410">
        <v>39313</v>
      </c>
      <c r="AC101" s="565">
        <v>33355</v>
      </c>
      <c r="AD101" s="410">
        <v>70758</v>
      </c>
      <c r="AE101" s="565">
        <v>74018</v>
      </c>
      <c r="AF101" s="412">
        <f t="shared" si="42"/>
        <v>185180</v>
      </c>
      <c r="AG101" s="412">
        <f t="shared" si="43"/>
        <v>205.75555555555556</v>
      </c>
      <c r="AH101" s="413">
        <f t="shared" si="44"/>
        <v>201671</v>
      </c>
      <c r="AI101" s="413">
        <f t="shared" si="45"/>
        <v>224.07888888888888</v>
      </c>
      <c r="AJ101" s="410">
        <v>0</v>
      </c>
      <c r="AK101" s="565">
        <v>0</v>
      </c>
      <c r="AL101" s="412">
        <f t="shared" si="28"/>
        <v>185180</v>
      </c>
      <c r="AM101" s="413">
        <f t="shared" si="29"/>
        <v>201671</v>
      </c>
      <c r="AN101" s="410"/>
      <c r="AO101" s="411"/>
      <c r="AP101" s="410"/>
      <c r="AQ101" s="411"/>
      <c r="AR101" s="410"/>
      <c r="AS101" s="411"/>
      <c r="AT101" s="410"/>
      <c r="AU101" s="411"/>
      <c r="AV101" s="412">
        <f t="shared" si="30"/>
        <v>0</v>
      </c>
      <c r="AW101" s="412">
        <f t="shared" si="31"/>
        <v>0</v>
      </c>
      <c r="AX101" s="413">
        <f t="shared" si="32"/>
        <v>0</v>
      </c>
      <c r="AY101" s="413">
        <f t="shared" si="33"/>
        <v>0</v>
      </c>
      <c r="AZ101" s="412">
        <f t="shared" si="34"/>
        <v>18570.62222222222</v>
      </c>
      <c r="BA101" s="413">
        <f t="shared" si="35"/>
        <v>18572.845555555556</v>
      </c>
    </row>
    <row r="102" spans="1:53">
      <c r="A102" s="5" t="s">
        <v>132</v>
      </c>
      <c r="B102" s="4" t="s">
        <v>145</v>
      </c>
      <c r="C102" s="424"/>
      <c r="D102" s="2">
        <v>135391</v>
      </c>
      <c r="E102" s="425">
        <v>7</v>
      </c>
      <c r="F102" s="410"/>
      <c r="G102" s="411"/>
      <c r="H102" s="410"/>
      <c r="I102" s="411"/>
      <c r="J102" s="410">
        <v>84646</v>
      </c>
      <c r="K102" s="565">
        <v>81772</v>
      </c>
      <c r="L102" s="410">
        <v>28331</v>
      </c>
      <c r="M102" s="565">
        <v>28244</v>
      </c>
      <c r="N102" s="410">
        <v>90446</v>
      </c>
      <c r="O102" s="565">
        <v>90625</v>
      </c>
      <c r="P102" s="412">
        <f t="shared" si="36"/>
        <v>203423</v>
      </c>
      <c r="Q102" s="412">
        <f t="shared" si="37"/>
        <v>6780.7666666666664</v>
      </c>
      <c r="R102" s="413">
        <f t="shared" si="38"/>
        <v>200641</v>
      </c>
      <c r="S102" s="413">
        <f t="shared" si="39"/>
        <v>6688.0333333333338</v>
      </c>
      <c r="T102" s="410">
        <v>24413</v>
      </c>
      <c r="U102" s="565">
        <v>21261</v>
      </c>
      <c r="V102" s="412">
        <f t="shared" si="40"/>
        <v>203423</v>
      </c>
      <c r="W102" s="413">
        <f t="shared" si="41"/>
        <v>200641</v>
      </c>
      <c r="X102" s="410"/>
      <c r="Y102" s="411"/>
      <c r="Z102" s="410">
        <v>0</v>
      </c>
      <c r="AA102" s="565">
        <v>0</v>
      </c>
      <c r="AB102" s="410">
        <v>0</v>
      </c>
      <c r="AC102" s="565">
        <v>0</v>
      </c>
      <c r="AD102" s="410">
        <v>0</v>
      </c>
      <c r="AE102" s="565">
        <v>0</v>
      </c>
      <c r="AF102" s="412">
        <f t="shared" si="42"/>
        <v>0</v>
      </c>
      <c r="AG102" s="412">
        <f t="shared" si="43"/>
        <v>0</v>
      </c>
      <c r="AH102" s="413">
        <f t="shared" si="44"/>
        <v>0</v>
      </c>
      <c r="AI102" s="413">
        <f t="shared" si="45"/>
        <v>0</v>
      </c>
      <c r="AJ102" s="410">
        <v>0</v>
      </c>
      <c r="AK102" s="565">
        <v>0</v>
      </c>
      <c r="AL102" s="412">
        <f t="shared" si="28"/>
        <v>0</v>
      </c>
      <c r="AM102" s="413">
        <f t="shared" si="29"/>
        <v>0</v>
      </c>
      <c r="AN102" s="410"/>
      <c r="AO102" s="411"/>
      <c r="AP102" s="410"/>
      <c r="AQ102" s="411"/>
      <c r="AR102" s="410"/>
      <c r="AS102" s="411"/>
      <c r="AT102" s="410"/>
      <c r="AU102" s="411"/>
      <c r="AV102" s="412">
        <f t="shared" si="30"/>
        <v>0</v>
      </c>
      <c r="AW102" s="412">
        <f t="shared" si="31"/>
        <v>0</v>
      </c>
      <c r="AX102" s="413">
        <f t="shared" si="32"/>
        <v>0</v>
      </c>
      <c r="AY102" s="413">
        <f t="shared" si="33"/>
        <v>0</v>
      </c>
      <c r="AZ102" s="412">
        <f t="shared" si="34"/>
        <v>6780.7666666666664</v>
      </c>
      <c r="BA102" s="413">
        <f t="shared" si="35"/>
        <v>6688.0333333333338</v>
      </c>
    </row>
    <row r="103" spans="1:53">
      <c r="A103" s="5" t="s">
        <v>132</v>
      </c>
      <c r="B103" s="4" t="s">
        <v>158</v>
      </c>
      <c r="C103" s="1"/>
      <c r="D103" s="2">
        <v>138187</v>
      </c>
      <c r="E103" s="425">
        <v>7</v>
      </c>
      <c r="F103" s="410"/>
      <c r="G103" s="411"/>
      <c r="H103" s="410"/>
      <c r="I103" s="411"/>
      <c r="J103" s="410">
        <v>359062</v>
      </c>
      <c r="K103" s="565">
        <v>382186</v>
      </c>
      <c r="L103" s="410">
        <v>172940</v>
      </c>
      <c r="M103" s="565">
        <v>175404</v>
      </c>
      <c r="N103" s="410">
        <v>412852</v>
      </c>
      <c r="O103" s="565">
        <v>426340</v>
      </c>
      <c r="P103" s="412">
        <f t="shared" si="36"/>
        <v>944854</v>
      </c>
      <c r="Q103" s="412">
        <f t="shared" si="37"/>
        <v>31495.133333333335</v>
      </c>
      <c r="R103" s="413">
        <f t="shared" si="38"/>
        <v>983930</v>
      </c>
      <c r="S103" s="413">
        <f t="shared" si="39"/>
        <v>32797.666666666664</v>
      </c>
      <c r="T103" s="410">
        <v>83883</v>
      </c>
      <c r="U103" s="565">
        <v>98132</v>
      </c>
      <c r="V103" s="412">
        <f t="shared" si="40"/>
        <v>944854</v>
      </c>
      <c r="W103" s="413">
        <f t="shared" si="41"/>
        <v>983930</v>
      </c>
      <c r="X103" s="410"/>
      <c r="Y103" s="411"/>
      <c r="Z103" s="410">
        <v>124785</v>
      </c>
      <c r="AA103" s="565">
        <v>100422</v>
      </c>
      <c r="AB103" s="410">
        <v>57870</v>
      </c>
      <c r="AC103" s="565">
        <v>68710</v>
      </c>
      <c r="AD103" s="410">
        <v>85917</v>
      </c>
      <c r="AE103" s="565">
        <v>91928</v>
      </c>
      <c r="AF103" s="412">
        <f t="shared" si="42"/>
        <v>268572</v>
      </c>
      <c r="AG103" s="412">
        <f t="shared" si="43"/>
        <v>298.41333333333336</v>
      </c>
      <c r="AH103" s="413">
        <f t="shared" si="44"/>
        <v>261060</v>
      </c>
      <c r="AI103" s="413">
        <f t="shared" si="45"/>
        <v>290.06666666666666</v>
      </c>
      <c r="AJ103" s="410">
        <v>0</v>
      </c>
      <c r="AK103" s="565">
        <v>0</v>
      </c>
      <c r="AL103" s="412">
        <f t="shared" si="28"/>
        <v>268572</v>
      </c>
      <c r="AM103" s="413">
        <f t="shared" si="29"/>
        <v>261060</v>
      </c>
      <c r="AN103" s="410"/>
      <c r="AO103" s="411"/>
      <c r="AP103" s="410"/>
      <c r="AQ103" s="411"/>
      <c r="AR103" s="410"/>
      <c r="AS103" s="411"/>
      <c r="AT103" s="410"/>
      <c r="AU103" s="411"/>
      <c r="AV103" s="412">
        <f t="shared" si="30"/>
        <v>0</v>
      </c>
      <c r="AW103" s="412">
        <f t="shared" si="31"/>
        <v>0</v>
      </c>
      <c r="AX103" s="413">
        <f t="shared" si="32"/>
        <v>0</v>
      </c>
      <c r="AY103" s="413">
        <f t="shared" si="33"/>
        <v>0</v>
      </c>
      <c r="AZ103" s="412">
        <f t="shared" si="34"/>
        <v>31793.546666666669</v>
      </c>
      <c r="BA103" s="413">
        <f t="shared" si="35"/>
        <v>33087.73333333333</v>
      </c>
    </row>
    <row r="104" spans="1:53">
      <c r="A104" s="5" t="s">
        <v>132</v>
      </c>
      <c r="B104" s="4" t="s">
        <v>141</v>
      </c>
      <c r="C104" s="3"/>
      <c r="D104" s="2">
        <v>134495</v>
      </c>
      <c r="E104" s="425">
        <v>8</v>
      </c>
      <c r="F104" s="410"/>
      <c r="G104" s="411"/>
      <c r="H104" s="410"/>
      <c r="I104" s="411"/>
      <c r="J104" s="410">
        <v>230191</v>
      </c>
      <c r="K104" s="565">
        <v>229697</v>
      </c>
      <c r="L104" s="410">
        <v>94806</v>
      </c>
      <c r="M104" s="565">
        <v>99322</v>
      </c>
      <c r="N104" s="410">
        <v>254681</v>
      </c>
      <c r="O104" s="565">
        <v>258930</v>
      </c>
      <c r="P104" s="412">
        <f t="shared" si="36"/>
        <v>579678</v>
      </c>
      <c r="Q104" s="412">
        <f t="shared" si="37"/>
        <v>19322.599999999999</v>
      </c>
      <c r="R104" s="413">
        <f t="shared" si="38"/>
        <v>587949</v>
      </c>
      <c r="S104" s="413">
        <f t="shared" si="39"/>
        <v>19598.3</v>
      </c>
      <c r="T104" s="410">
        <v>61654</v>
      </c>
      <c r="U104" s="565">
        <v>68049</v>
      </c>
      <c r="V104" s="412">
        <f t="shared" si="40"/>
        <v>579678</v>
      </c>
      <c r="W104" s="413">
        <f t="shared" si="41"/>
        <v>587949</v>
      </c>
      <c r="X104" s="410"/>
      <c r="Y104" s="411"/>
      <c r="Z104" s="410">
        <v>1046555</v>
      </c>
      <c r="AA104" s="565">
        <v>919395</v>
      </c>
      <c r="AB104" s="410">
        <v>148458</v>
      </c>
      <c r="AC104" s="565">
        <v>125546</v>
      </c>
      <c r="AD104" s="410">
        <v>916522</v>
      </c>
      <c r="AE104" s="565">
        <v>921136</v>
      </c>
      <c r="AF104" s="412">
        <f t="shared" si="42"/>
        <v>2111535</v>
      </c>
      <c r="AG104" s="412">
        <f t="shared" si="43"/>
        <v>2346.15</v>
      </c>
      <c r="AH104" s="413">
        <f t="shared" si="44"/>
        <v>1966077</v>
      </c>
      <c r="AI104" s="413">
        <f t="shared" si="45"/>
        <v>2184.5300000000002</v>
      </c>
      <c r="AJ104" s="410">
        <v>0</v>
      </c>
      <c r="AK104" s="565">
        <v>0</v>
      </c>
      <c r="AL104" s="412">
        <f t="shared" si="28"/>
        <v>2111535</v>
      </c>
      <c r="AM104" s="413">
        <f t="shared" si="29"/>
        <v>1966077</v>
      </c>
      <c r="AN104" s="410"/>
      <c r="AO104" s="411"/>
      <c r="AP104" s="410"/>
      <c r="AQ104" s="411"/>
      <c r="AR104" s="410"/>
      <c r="AS104" s="411"/>
      <c r="AT104" s="410"/>
      <c r="AU104" s="411"/>
      <c r="AV104" s="412">
        <f t="shared" si="30"/>
        <v>0</v>
      </c>
      <c r="AW104" s="412">
        <f t="shared" si="31"/>
        <v>0</v>
      </c>
      <c r="AX104" s="413">
        <f t="shared" si="32"/>
        <v>0</v>
      </c>
      <c r="AY104" s="413">
        <f t="shared" si="33"/>
        <v>0</v>
      </c>
      <c r="AZ104" s="412">
        <f t="shared" si="34"/>
        <v>21668.75</v>
      </c>
      <c r="BA104" s="413">
        <f t="shared" si="35"/>
        <v>21782.829999999998</v>
      </c>
    </row>
    <row r="105" spans="1:53">
      <c r="A105" s="5" t="s">
        <v>132</v>
      </c>
      <c r="B105" s="4" t="s">
        <v>157</v>
      </c>
      <c r="C105" s="3" t="s">
        <v>925</v>
      </c>
      <c r="D105" s="2">
        <v>137759</v>
      </c>
      <c r="E105" s="425">
        <v>8</v>
      </c>
      <c r="F105" s="410"/>
      <c r="G105" s="411"/>
      <c r="H105" s="410"/>
      <c r="I105" s="411"/>
      <c r="J105" s="410">
        <v>104018</v>
      </c>
      <c r="K105" s="565">
        <v>100103</v>
      </c>
      <c r="L105" s="410">
        <v>44195</v>
      </c>
      <c r="M105" s="565">
        <v>43500</v>
      </c>
      <c r="N105" s="410">
        <v>117345</v>
      </c>
      <c r="O105" s="565">
        <v>115349</v>
      </c>
      <c r="P105" s="412">
        <f t="shared" si="36"/>
        <v>265558</v>
      </c>
      <c r="Q105" s="412">
        <f t="shared" si="37"/>
        <v>8851.9333333333325</v>
      </c>
      <c r="R105" s="413">
        <f t="shared" si="38"/>
        <v>258952</v>
      </c>
      <c r="S105" s="413">
        <f t="shared" si="39"/>
        <v>8631.7333333333336</v>
      </c>
      <c r="T105" s="410">
        <v>8387</v>
      </c>
      <c r="U105" s="565">
        <v>8859</v>
      </c>
      <c r="V105" s="412">
        <f t="shared" si="40"/>
        <v>265558</v>
      </c>
      <c r="W105" s="413">
        <f t="shared" si="41"/>
        <v>258952</v>
      </c>
      <c r="X105" s="410"/>
      <c r="Y105" s="411"/>
      <c r="Z105" s="410">
        <v>161752</v>
      </c>
      <c r="AA105" s="565">
        <v>165651</v>
      </c>
      <c r="AB105" s="410">
        <v>36850</v>
      </c>
      <c r="AC105" s="565">
        <v>16587</v>
      </c>
      <c r="AD105" s="410">
        <v>125546</v>
      </c>
      <c r="AE105" s="565">
        <v>163256</v>
      </c>
      <c r="AF105" s="412">
        <f t="shared" si="42"/>
        <v>324148</v>
      </c>
      <c r="AG105" s="412">
        <f t="shared" si="43"/>
        <v>360.16444444444443</v>
      </c>
      <c r="AH105" s="413">
        <f t="shared" si="44"/>
        <v>345494</v>
      </c>
      <c r="AI105" s="413">
        <f t="shared" si="45"/>
        <v>383.8822222222222</v>
      </c>
      <c r="AJ105" s="410">
        <v>0</v>
      </c>
      <c r="AK105" s="565">
        <v>0</v>
      </c>
      <c r="AL105" s="412">
        <f t="shared" si="28"/>
        <v>324148</v>
      </c>
      <c r="AM105" s="413">
        <f t="shared" si="29"/>
        <v>345494</v>
      </c>
      <c r="AN105" s="410"/>
      <c r="AO105" s="411"/>
      <c r="AP105" s="410"/>
      <c r="AQ105" s="411"/>
      <c r="AR105" s="410"/>
      <c r="AS105" s="411"/>
      <c r="AT105" s="410"/>
      <c r="AU105" s="411"/>
      <c r="AV105" s="412">
        <f t="shared" si="30"/>
        <v>0</v>
      </c>
      <c r="AW105" s="412">
        <f t="shared" si="31"/>
        <v>0</v>
      </c>
      <c r="AX105" s="413">
        <f t="shared" si="32"/>
        <v>0</v>
      </c>
      <c r="AY105" s="413">
        <f t="shared" si="33"/>
        <v>0</v>
      </c>
      <c r="AZ105" s="412">
        <f t="shared" si="34"/>
        <v>9212.0977777777771</v>
      </c>
      <c r="BA105" s="413">
        <f t="shared" si="35"/>
        <v>9015.6155555555561</v>
      </c>
    </row>
    <row r="106" spans="1:53">
      <c r="A106" s="5" t="s">
        <v>132</v>
      </c>
      <c r="B106" s="4" t="s">
        <v>926</v>
      </c>
      <c r="C106" s="3" t="s">
        <v>925</v>
      </c>
      <c r="D106" s="2">
        <v>136145</v>
      </c>
      <c r="E106" s="425">
        <v>10</v>
      </c>
      <c r="F106" s="410"/>
      <c r="G106" s="411"/>
      <c r="H106" s="410"/>
      <c r="I106" s="411"/>
      <c r="J106" s="410">
        <v>9275</v>
      </c>
      <c r="K106" s="565">
        <v>8973</v>
      </c>
      <c r="L106" s="410">
        <v>3749</v>
      </c>
      <c r="M106" s="565">
        <v>3626</v>
      </c>
      <c r="N106" s="410">
        <v>9777</v>
      </c>
      <c r="O106" s="565">
        <v>9736</v>
      </c>
      <c r="P106" s="412">
        <f t="shared" si="36"/>
        <v>22801</v>
      </c>
      <c r="Q106" s="412">
        <f t="shared" si="37"/>
        <v>760.0333333333333</v>
      </c>
      <c r="R106" s="413">
        <f t="shared" si="38"/>
        <v>22335</v>
      </c>
      <c r="S106" s="413">
        <f t="shared" si="39"/>
        <v>744.5</v>
      </c>
      <c r="T106" s="410">
        <v>6787</v>
      </c>
      <c r="U106" s="565">
        <v>6222</v>
      </c>
      <c r="V106" s="412">
        <f t="shared" si="40"/>
        <v>22801</v>
      </c>
      <c r="W106" s="413">
        <f t="shared" si="41"/>
        <v>22335</v>
      </c>
      <c r="X106" s="410"/>
      <c r="Y106" s="411"/>
      <c r="Z106" s="410">
        <v>38230</v>
      </c>
      <c r="AA106" s="565">
        <v>35051</v>
      </c>
      <c r="AB106" s="410">
        <v>19880</v>
      </c>
      <c r="AC106" s="565">
        <v>9082</v>
      </c>
      <c r="AD106" s="410">
        <v>32849</v>
      </c>
      <c r="AE106" s="565">
        <v>40034</v>
      </c>
      <c r="AF106" s="412">
        <f t="shared" si="42"/>
        <v>90959</v>
      </c>
      <c r="AG106" s="412">
        <f t="shared" si="43"/>
        <v>101.06555555555556</v>
      </c>
      <c r="AH106" s="413">
        <f t="shared" si="44"/>
        <v>84167</v>
      </c>
      <c r="AI106" s="413">
        <f t="shared" si="45"/>
        <v>93.518888888888895</v>
      </c>
      <c r="AJ106" s="410">
        <v>4350</v>
      </c>
      <c r="AK106" s="565">
        <v>6750</v>
      </c>
      <c r="AL106" s="412">
        <f t="shared" si="28"/>
        <v>90959</v>
      </c>
      <c r="AM106" s="413">
        <f t="shared" si="29"/>
        <v>84167</v>
      </c>
      <c r="AN106" s="410"/>
      <c r="AO106" s="411"/>
      <c r="AP106" s="410"/>
      <c r="AQ106" s="411"/>
      <c r="AR106" s="410"/>
      <c r="AS106" s="411"/>
      <c r="AT106" s="410"/>
      <c r="AU106" s="411"/>
      <c r="AV106" s="412">
        <f t="shared" si="30"/>
        <v>0</v>
      </c>
      <c r="AW106" s="412">
        <f t="shared" si="31"/>
        <v>0</v>
      </c>
      <c r="AX106" s="413">
        <f t="shared" si="32"/>
        <v>0</v>
      </c>
      <c r="AY106" s="413">
        <f t="shared" si="33"/>
        <v>0</v>
      </c>
      <c r="AZ106" s="412">
        <f t="shared" si="34"/>
        <v>861.09888888888884</v>
      </c>
      <c r="BA106" s="413">
        <f t="shared" si="35"/>
        <v>838.01888888888891</v>
      </c>
    </row>
    <row r="107" spans="1:53">
      <c r="A107" s="5" t="s">
        <v>132</v>
      </c>
      <c r="B107" s="4" t="s">
        <v>927</v>
      </c>
      <c r="C107" s="3" t="s">
        <v>928</v>
      </c>
      <c r="D107" s="2">
        <v>133960</v>
      </c>
      <c r="E107" s="425">
        <v>10</v>
      </c>
      <c r="F107" s="410"/>
      <c r="G107" s="411"/>
      <c r="H107" s="410"/>
      <c r="I107" s="411"/>
      <c r="J107" s="410">
        <v>8073</v>
      </c>
      <c r="K107" s="565">
        <v>7596</v>
      </c>
      <c r="L107" s="410">
        <v>2664</v>
      </c>
      <c r="M107" s="565">
        <v>2614</v>
      </c>
      <c r="N107" s="410">
        <v>8800</v>
      </c>
      <c r="O107" s="565">
        <v>8752</v>
      </c>
      <c r="P107" s="412">
        <f t="shared" si="36"/>
        <v>19537</v>
      </c>
      <c r="Q107" s="412">
        <f t="shared" si="37"/>
        <v>651.23333333333335</v>
      </c>
      <c r="R107" s="413">
        <f t="shared" si="38"/>
        <v>18962</v>
      </c>
      <c r="S107" s="413">
        <f t="shared" si="39"/>
        <v>632.06666666666672</v>
      </c>
      <c r="T107" s="410">
        <v>1514</v>
      </c>
      <c r="U107" s="565">
        <v>1604</v>
      </c>
      <c r="V107" s="412">
        <f t="shared" si="40"/>
        <v>19537</v>
      </c>
      <c r="W107" s="413">
        <f t="shared" si="41"/>
        <v>18962</v>
      </c>
      <c r="X107" s="410"/>
      <c r="Y107" s="411"/>
      <c r="Z107" s="410">
        <v>18809</v>
      </c>
      <c r="AA107" s="565">
        <v>18815</v>
      </c>
      <c r="AB107" s="410">
        <v>20297</v>
      </c>
      <c r="AC107" s="565">
        <v>28486</v>
      </c>
      <c r="AD107" s="410">
        <v>26781</v>
      </c>
      <c r="AE107" s="565">
        <v>28210</v>
      </c>
      <c r="AF107" s="412">
        <f t="shared" si="42"/>
        <v>65887</v>
      </c>
      <c r="AG107" s="412">
        <f t="shared" si="43"/>
        <v>73.207777777777778</v>
      </c>
      <c r="AH107" s="413">
        <f t="shared" si="44"/>
        <v>75511</v>
      </c>
      <c r="AI107" s="413">
        <f t="shared" si="45"/>
        <v>83.901111111111106</v>
      </c>
      <c r="AJ107" s="410">
        <v>0</v>
      </c>
      <c r="AK107" s="565">
        <v>0</v>
      </c>
      <c r="AL107" s="412">
        <f t="shared" si="28"/>
        <v>65887</v>
      </c>
      <c r="AM107" s="413">
        <f t="shared" si="29"/>
        <v>75511</v>
      </c>
      <c r="AN107" s="410"/>
      <c r="AO107" s="411"/>
      <c r="AP107" s="410"/>
      <c r="AQ107" s="411"/>
      <c r="AR107" s="410"/>
      <c r="AS107" s="411"/>
      <c r="AT107" s="410"/>
      <c r="AU107" s="411"/>
      <c r="AV107" s="412">
        <f t="shared" si="30"/>
        <v>0</v>
      </c>
      <c r="AW107" s="412">
        <f t="shared" si="31"/>
        <v>0</v>
      </c>
      <c r="AX107" s="413">
        <f t="shared" si="32"/>
        <v>0</v>
      </c>
      <c r="AY107" s="413">
        <f t="shared" si="33"/>
        <v>0</v>
      </c>
      <c r="AZ107" s="412">
        <f t="shared" si="34"/>
        <v>724.44111111111113</v>
      </c>
      <c r="BA107" s="413">
        <f t="shared" si="35"/>
        <v>715.96777777777788</v>
      </c>
    </row>
    <row r="108" spans="1:53">
      <c r="A108" s="428" t="s">
        <v>159</v>
      </c>
      <c r="B108" s="26" t="s">
        <v>875</v>
      </c>
      <c r="C108" s="24"/>
      <c r="D108" s="28">
        <v>139940</v>
      </c>
      <c r="E108" s="25">
        <v>1</v>
      </c>
      <c r="F108" s="410"/>
      <c r="G108" s="411"/>
      <c r="H108" s="410"/>
      <c r="I108" s="411"/>
      <c r="J108" s="410">
        <v>468522</v>
      </c>
      <c r="K108" s="411">
        <v>484483</v>
      </c>
      <c r="L108" s="410">
        <v>129529</v>
      </c>
      <c r="M108" s="411">
        <v>136691</v>
      </c>
      <c r="N108" s="410">
        <v>514782.5</v>
      </c>
      <c r="O108" s="411">
        <v>530095</v>
      </c>
      <c r="P108" s="412">
        <f t="shared" si="36"/>
        <v>1112833.5</v>
      </c>
      <c r="Q108" s="412">
        <f t="shared" si="37"/>
        <v>37094.449999999997</v>
      </c>
      <c r="R108" s="413">
        <f t="shared" si="38"/>
        <v>1151269</v>
      </c>
      <c r="S108" s="413">
        <f t="shared" si="39"/>
        <v>38375.633333333331</v>
      </c>
      <c r="T108" s="410">
        <v>26986</v>
      </c>
      <c r="U108" s="411">
        <v>26778.5</v>
      </c>
      <c r="V108" s="412">
        <f t="shared" si="40"/>
        <v>1112833.5</v>
      </c>
      <c r="W108" s="413">
        <f t="shared" si="41"/>
        <v>1151269</v>
      </c>
      <c r="X108" s="410"/>
      <c r="Y108" s="411"/>
      <c r="Z108" s="410"/>
      <c r="AA108" s="411"/>
      <c r="AB108" s="410"/>
      <c r="AC108" s="411"/>
      <c r="AD108" s="410"/>
      <c r="AE108" s="411"/>
      <c r="AF108" s="412">
        <f t="shared" si="42"/>
        <v>0</v>
      </c>
      <c r="AG108" s="412">
        <f t="shared" si="43"/>
        <v>0</v>
      </c>
      <c r="AH108" s="413">
        <f t="shared" si="44"/>
        <v>0</v>
      </c>
      <c r="AI108" s="413">
        <f t="shared" si="45"/>
        <v>0</v>
      </c>
      <c r="AJ108" s="410"/>
      <c r="AK108" s="411"/>
      <c r="AL108" s="412">
        <f t="shared" si="28"/>
        <v>0</v>
      </c>
      <c r="AM108" s="413">
        <f t="shared" si="29"/>
        <v>0</v>
      </c>
      <c r="AN108" s="410"/>
      <c r="AO108" s="411"/>
      <c r="AP108" s="410">
        <v>86074</v>
      </c>
      <c r="AQ108" s="411">
        <v>87481</v>
      </c>
      <c r="AR108" s="410">
        <v>46640</v>
      </c>
      <c r="AS108" s="411">
        <v>47202.5</v>
      </c>
      <c r="AT108" s="410">
        <v>90423</v>
      </c>
      <c r="AU108" s="411">
        <v>90882.5</v>
      </c>
      <c r="AV108" s="412">
        <f t="shared" si="30"/>
        <v>223137</v>
      </c>
      <c r="AW108" s="412">
        <f t="shared" si="31"/>
        <v>9297.375</v>
      </c>
      <c r="AX108" s="413">
        <f t="shared" si="32"/>
        <v>225566</v>
      </c>
      <c r="AY108" s="413">
        <f t="shared" si="33"/>
        <v>9398.5833333333339</v>
      </c>
      <c r="AZ108" s="412">
        <f t="shared" si="34"/>
        <v>46391.824999999997</v>
      </c>
      <c r="BA108" s="413">
        <f t="shared" si="35"/>
        <v>47774.216666666667</v>
      </c>
    </row>
    <row r="109" spans="1:53">
      <c r="A109" s="428" t="s">
        <v>159</v>
      </c>
      <c r="B109" s="26" t="s">
        <v>160</v>
      </c>
      <c r="C109" s="24"/>
      <c r="D109" s="28">
        <v>139959</v>
      </c>
      <c r="E109" s="25">
        <v>1</v>
      </c>
      <c r="F109" s="410"/>
      <c r="G109" s="411"/>
      <c r="H109" s="410"/>
      <c r="I109" s="411"/>
      <c r="J109" s="410">
        <v>377233.5</v>
      </c>
      <c r="K109" s="411">
        <v>388090.5</v>
      </c>
      <c r="L109" s="410">
        <v>69046</v>
      </c>
      <c r="M109" s="411">
        <v>73794</v>
      </c>
      <c r="N109" s="410">
        <v>403310</v>
      </c>
      <c r="O109" s="411">
        <v>405292.5</v>
      </c>
      <c r="P109" s="412">
        <f t="shared" si="36"/>
        <v>849589.5</v>
      </c>
      <c r="Q109" s="412">
        <f t="shared" si="37"/>
        <v>28319.65</v>
      </c>
      <c r="R109" s="413">
        <f t="shared" si="38"/>
        <v>867177</v>
      </c>
      <c r="S109" s="413">
        <f t="shared" si="39"/>
        <v>28905.9</v>
      </c>
      <c r="T109" s="410">
        <v>412</v>
      </c>
      <c r="U109" s="411">
        <v>546</v>
      </c>
      <c r="V109" s="412">
        <f t="shared" si="40"/>
        <v>849589.5</v>
      </c>
      <c r="W109" s="413">
        <f t="shared" si="41"/>
        <v>867177</v>
      </c>
      <c r="X109" s="410"/>
      <c r="Y109" s="411"/>
      <c r="Z109" s="410"/>
      <c r="AA109" s="411"/>
      <c r="AB109" s="410"/>
      <c r="AC109" s="411"/>
      <c r="AD109" s="410"/>
      <c r="AE109" s="411"/>
      <c r="AF109" s="412">
        <f t="shared" si="42"/>
        <v>0</v>
      </c>
      <c r="AG109" s="412">
        <f t="shared" si="43"/>
        <v>0</v>
      </c>
      <c r="AH109" s="413">
        <f t="shared" si="44"/>
        <v>0</v>
      </c>
      <c r="AI109" s="413">
        <f t="shared" si="45"/>
        <v>0</v>
      </c>
      <c r="AJ109" s="410"/>
      <c r="AK109" s="411"/>
      <c r="AL109" s="412">
        <f t="shared" si="28"/>
        <v>0</v>
      </c>
      <c r="AM109" s="413">
        <f t="shared" si="29"/>
        <v>0</v>
      </c>
      <c r="AN109" s="410"/>
      <c r="AO109" s="411"/>
      <c r="AP109" s="410">
        <v>110899.5</v>
      </c>
      <c r="AQ109" s="411">
        <v>113970.2</v>
      </c>
      <c r="AR109" s="410">
        <v>47716</v>
      </c>
      <c r="AS109" s="411">
        <v>48483.3</v>
      </c>
      <c r="AT109" s="410">
        <v>116102.39999999999</v>
      </c>
      <c r="AU109" s="411">
        <v>118123.7</v>
      </c>
      <c r="AV109" s="412">
        <f t="shared" si="30"/>
        <v>274717.90000000002</v>
      </c>
      <c r="AW109" s="412">
        <f t="shared" si="31"/>
        <v>11446.579166666668</v>
      </c>
      <c r="AX109" s="413">
        <f t="shared" si="32"/>
        <v>280577.2</v>
      </c>
      <c r="AY109" s="413">
        <f t="shared" si="33"/>
        <v>11690.716666666667</v>
      </c>
      <c r="AZ109" s="412">
        <f t="shared" si="34"/>
        <v>39766.229166666672</v>
      </c>
      <c r="BA109" s="413">
        <f t="shared" si="35"/>
        <v>40596.616666666669</v>
      </c>
    </row>
    <row r="110" spans="1:53">
      <c r="A110" s="428" t="s">
        <v>159</v>
      </c>
      <c r="B110" s="26" t="s">
        <v>161</v>
      </c>
      <c r="C110" s="24"/>
      <c r="D110" s="28">
        <v>139755</v>
      </c>
      <c r="E110" s="25">
        <v>2</v>
      </c>
      <c r="F110" s="410"/>
      <c r="G110" s="411"/>
      <c r="H110" s="410"/>
      <c r="I110" s="411"/>
      <c r="J110" s="410">
        <v>192559</v>
      </c>
      <c r="K110" s="411">
        <v>195803</v>
      </c>
      <c r="L110" s="410">
        <v>43195</v>
      </c>
      <c r="M110" s="411">
        <v>44695</v>
      </c>
      <c r="N110" s="410">
        <v>212741</v>
      </c>
      <c r="O110" s="411">
        <v>215629.53</v>
      </c>
      <c r="P110" s="412">
        <f t="shared" si="36"/>
        <v>448495</v>
      </c>
      <c r="Q110" s="412">
        <f t="shared" si="37"/>
        <v>14949.833333333334</v>
      </c>
      <c r="R110" s="413">
        <f t="shared" si="38"/>
        <v>456127.53</v>
      </c>
      <c r="S110" s="413">
        <f t="shared" si="39"/>
        <v>15204.251</v>
      </c>
      <c r="T110" s="410">
        <v>4472</v>
      </c>
      <c r="U110" s="411">
        <v>4173</v>
      </c>
      <c r="V110" s="412">
        <f t="shared" si="40"/>
        <v>448495</v>
      </c>
      <c r="W110" s="413">
        <f t="shared" si="41"/>
        <v>456127.53</v>
      </c>
      <c r="X110" s="410"/>
      <c r="Y110" s="411"/>
      <c r="Z110" s="410"/>
      <c r="AA110" s="411"/>
      <c r="AB110" s="410"/>
      <c r="AC110" s="411"/>
      <c r="AD110" s="410"/>
      <c r="AE110" s="411"/>
      <c r="AF110" s="412">
        <f t="shared" si="42"/>
        <v>0</v>
      </c>
      <c r="AG110" s="412">
        <f t="shared" si="43"/>
        <v>0</v>
      </c>
      <c r="AH110" s="413">
        <f t="shared" si="44"/>
        <v>0</v>
      </c>
      <c r="AI110" s="413">
        <f t="shared" si="45"/>
        <v>0</v>
      </c>
      <c r="AJ110" s="410"/>
      <c r="AK110" s="411"/>
      <c r="AL110" s="412">
        <f t="shared" si="28"/>
        <v>0</v>
      </c>
      <c r="AM110" s="413">
        <f t="shared" si="29"/>
        <v>0</v>
      </c>
      <c r="AN110" s="410"/>
      <c r="AO110" s="411"/>
      <c r="AP110" s="410">
        <v>128907</v>
      </c>
      <c r="AQ110" s="411">
        <v>145863</v>
      </c>
      <c r="AR110" s="410">
        <v>57052.5</v>
      </c>
      <c r="AS110" s="411">
        <v>66190</v>
      </c>
      <c r="AT110" s="410">
        <v>146868</v>
      </c>
      <c r="AU110" s="411">
        <v>163852.5</v>
      </c>
      <c r="AV110" s="412">
        <f t="shared" si="30"/>
        <v>332827.5</v>
      </c>
      <c r="AW110" s="412">
        <f t="shared" si="31"/>
        <v>13867.8125</v>
      </c>
      <c r="AX110" s="413">
        <f t="shared" si="32"/>
        <v>375905.5</v>
      </c>
      <c r="AY110" s="413">
        <f t="shared" si="33"/>
        <v>15662.729166666666</v>
      </c>
      <c r="AZ110" s="412">
        <f t="shared" si="34"/>
        <v>28817.645833333336</v>
      </c>
      <c r="BA110" s="413">
        <f t="shared" si="35"/>
        <v>30866.980166666668</v>
      </c>
    </row>
    <row r="111" spans="1:53">
      <c r="A111" s="428" t="s">
        <v>159</v>
      </c>
      <c r="B111" s="26" t="s">
        <v>162</v>
      </c>
      <c r="C111" s="519" t="s">
        <v>929</v>
      </c>
      <c r="D111" s="28">
        <v>139931</v>
      </c>
      <c r="E111" s="25">
        <v>3</v>
      </c>
      <c r="F111" s="410"/>
      <c r="G111" s="411"/>
      <c r="H111" s="410"/>
      <c r="I111" s="411"/>
      <c r="J111" s="410">
        <v>214974.45</v>
      </c>
      <c r="K111" s="411">
        <v>274778</v>
      </c>
      <c r="L111" s="410">
        <v>56856.36</v>
      </c>
      <c r="M111" s="411">
        <v>73334</v>
      </c>
      <c r="N111" s="410">
        <v>302612</v>
      </c>
      <c r="O111" s="411">
        <v>298227</v>
      </c>
      <c r="P111" s="412">
        <f t="shared" si="36"/>
        <v>574442.81000000006</v>
      </c>
      <c r="Q111" s="412">
        <f t="shared" si="37"/>
        <v>19148.093666666668</v>
      </c>
      <c r="R111" s="413">
        <f t="shared" si="38"/>
        <v>646339</v>
      </c>
      <c r="S111" s="413">
        <f t="shared" si="39"/>
        <v>21544.633333333335</v>
      </c>
      <c r="T111" s="410">
        <v>8394</v>
      </c>
      <c r="U111" s="411">
        <v>10905</v>
      </c>
      <c r="V111" s="412">
        <f t="shared" si="40"/>
        <v>574442.81000000006</v>
      </c>
      <c r="W111" s="413">
        <f t="shared" si="41"/>
        <v>646339</v>
      </c>
      <c r="X111" s="410"/>
      <c r="Y111" s="411"/>
      <c r="Z111" s="410"/>
      <c r="AA111" s="411"/>
      <c r="AB111" s="410"/>
      <c r="AC111" s="411"/>
      <c r="AD111" s="410"/>
      <c r="AE111" s="411"/>
      <c r="AF111" s="412">
        <f t="shared" si="42"/>
        <v>0</v>
      </c>
      <c r="AG111" s="412">
        <f t="shared" si="43"/>
        <v>0</v>
      </c>
      <c r="AH111" s="413">
        <f t="shared" si="44"/>
        <v>0</v>
      </c>
      <c r="AI111" s="413">
        <f t="shared" si="45"/>
        <v>0</v>
      </c>
      <c r="AJ111" s="410"/>
      <c r="AK111" s="411"/>
      <c r="AL111" s="412">
        <f t="shared" si="28"/>
        <v>0</v>
      </c>
      <c r="AM111" s="413">
        <f t="shared" si="29"/>
        <v>0</v>
      </c>
      <c r="AN111" s="410"/>
      <c r="AO111" s="411"/>
      <c r="AP111" s="410">
        <v>16836</v>
      </c>
      <c r="AQ111" s="411">
        <v>21942</v>
      </c>
      <c r="AR111" s="410">
        <v>11122</v>
      </c>
      <c r="AS111" s="411">
        <v>15781</v>
      </c>
      <c r="AT111" s="410">
        <v>23718</v>
      </c>
      <c r="AU111" s="411">
        <v>24012</v>
      </c>
      <c r="AV111" s="412">
        <f t="shared" si="30"/>
        <v>51676</v>
      </c>
      <c r="AW111" s="412">
        <f t="shared" si="31"/>
        <v>2153.1666666666665</v>
      </c>
      <c r="AX111" s="413">
        <f t="shared" si="32"/>
        <v>61735</v>
      </c>
      <c r="AY111" s="413">
        <f t="shared" si="33"/>
        <v>2572.2916666666665</v>
      </c>
      <c r="AZ111" s="412">
        <f t="shared" si="34"/>
        <v>21301.260333333335</v>
      </c>
      <c r="BA111" s="413">
        <f t="shared" si="35"/>
        <v>24116.925000000003</v>
      </c>
    </row>
    <row r="112" spans="1:53">
      <c r="A112" s="428" t="s">
        <v>159</v>
      </c>
      <c r="B112" s="26" t="s">
        <v>163</v>
      </c>
      <c r="C112" s="519" t="s">
        <v>929</v>
      </c>
      <c r="D112" s="28">
        <v>486840</v>
      </c>
      <c r="E112" s="25">
        <v>3</v>
      </c>
      <c r="F112" s="410"/>
      <c r="G112" s="411"/>
      <c r="H112" s="410"/>
      <c r="I112" s="411"/>
      <c r="J112" s="410">
        <v>377288.45</v>
      </c>
      <c r="K112" s="411">
        <v>374370</v>
      </c>
      <c r="L112" s="410">
        <v>89425.36</v>
      </c>
      <c r="M112" s="411">
        <v>98853</v>
      </c>
      <c r="N112" s="410">
        <v>398933</v>
      </c>
      <c r="O112" s="411">
        <v>424298</v>
      </c>
      <c r="P112" s="412">
        <f t="shared" si="36"/>
        <v>865646.81</v>
      </c>
      <c r="Q112" s="412">
        <f t="shared" si="37"/>
        <v>28854.893666666667</v>
      </c>
      <c r="R112" s="413">
        <f t="shared" si="38"/>
        <v>897521</v>
      </c>
      <c r="S112" s="413">
        <f t="shared" si="39"/>
        <v>29917.366666666665</v>
      </c>
      <c r="T112" s="410">
        <v>9569</v>
      </c>
      <c r="U112" s="411">
        <v>13898</v>
      </c>
      <c r="V112" s="412">
        <f t="shared" si="40"/>
        <v>865646.81</v>
      </c>
      <c r="W112" s="413">
        <f t="shared" si="41"/>
        <v>897521</v>
      </c>
      <c r="X112" s="410"/>
      <c r="Y112" s="411"/>
      <c r="Z112" s="410"/>
      <c r="AA112" s="411"/>
      <c r="AB112" s="410"/>
      <c r="AC112" s="411"/>
      <c r="AD112" s="410"/>
      <c r="AE112" s="411"/>
      <c r="AF112" s="412">
        <f t="shared" si="42"/>
        <v>0</v>
      </c>
      <c r="AG112" s="412">
        <f t="shared" si="43"/>
        <v>0</v>
      </c>
      <c r="AH112" s="413">
        <f t="shared" si="44"/>
        <v>0</v>
      </c>
      <c r="AI112" s="413">
        <f t="shared" si="45"/>
        <v>0</v>
      </c>
      <c r="AJ112" s="410"/>
      <c r="AK112" s="411"/>
      <c r="AL112" s="412">
        <f t="shared" si="28"/>
        <v>0</v>
      </c>
      <c r="AM112" s="413">
        <f t="shared" si="29"/>
        <v>0</v>
      </c>
      <c r="AN112" s="410"/>
      <c r="AO112" s="411"/>
      <c r="AP112" s="410">
        <v>19865</v>
      </c>
      <c r="AQ112" s="411">
        <v>20653</v>
      </c>
      <c r="AR112" s="410">
        <v>12704</v>
      </c>
      <c r="AS112" s="411">
        <v>12633.1</v>
      </c>
      <c r="AT112" s="410">
        <v>21990</v>
      </c>
      <c r="AU112" s="411">
        <v>23114</v>
      </c>
      <c r="AV112" s="412">
        <f t="shared" si="30"/>
        <v>54559</v>
      </c>
      <c r="AW112" s="412">
        <f t="shared" si="31"/>
        <v>2273.2916666666665</v>
      </c>
      <c r="AX112" s="413">
        <f t="shared" si="32"/>
        <v>56400.1</v>
      </c>
      <c r="AY112" s="413">
        <f t="shared" si="33"/>
        <v>2350.0041666666666</v>
      </c>
      <c r="AZ112" s="412">
        <f t="shared" si="34"/>
        <v>31128.185333333335</v>
      </c>
      <c r="BA112" s="413">
        <f t="shared" si="35"/>
        <v>32267.370833333331</v>
      </c>
    </row>
    <row r="113" spans="1:53">
      <c r="A113" s="428" t="s">
        <v>159</v>
      </c>
      <c r="B113" s="26" t="s">
        <v>164</v>
      </c>
      <c r="C113" s="24"/>
      <c r="D113" s="28">
        <v>141334</v>
      </c>
      <c r="E113" s="25">
        <v>3</v>
      </c>
      <c r="F113" s="410"/>
      <c r="G113" s="411"/>
      <c r="H113" s="410"/>
      <c r="I113" s="411"/>
      <c r="J113" s="410">
        <v>128745.45</v>
      </c>
      <c r="K113" s="411">
        <v>127200</v>
      </c>
      <c r="L113" s="410">
        <v>30679.360000000001</v>
      </c>
      <c r="M113" s="411">
        <v>30937</v>
      </c>
      <c r="N113" s="410">
        <v>140020</v>
      </c>
      <c r="O113" s="411">
        <v>130258</v>
      </c>
      <c r="P113" s="412">
        <f t="shared" si="36"/>
        <v>299444.81</v>
      </c>
      <c r="Q113" s="412">
        <f t="shared" si="37"/>
        <v>9981.4936666666672</v>
      </c>
      <c r="R113" s="413">
        <f t="shared" si="38"/>
        <v>288395</v>
      </c>
      <c r="S113" s="413">
        <f t="shared" si="39"/>
        <v>9613.1666666666661</v>
      </c>
      <c r="T113" s="410">
        <v>9475</v>
      </c>
      <c r="U113" s="411">
        <v>8570</v>
      </c>
      <c r="V113" s="412">
        <f t="shared" si="40"/>
        <v>299444.81</v>
      </c>
      <c r="W113" s="413">
        <f t="shared" si="41"/>
        <v>288395</v>
      </c>
      <c r="X113" s="410"/>
      <c r="Y113" s="411"/>
      <c r="Z113" s="410"/>
      <c r="AA113" s="411"/>
      <c r="AB113" s="410"/>
      <c r="AC113" s="411"/>
      <c r="AD113" s="410"/>
      <c r="AE113" s="411"/>
      <c r="AF113" s="412">
        <f t="shared" si="42"/>
        <v>0</v>
      </c>
      <c r="AG113" s="412">
        <f t="shared" si="43"/>
        <v>0</v>
      </c>
      <c r="AH113" s="413">
        <f t="shared" si="44"/>
        <v>0</v>
      </c>
      <c r="AI113" s="413">
        <f t="shared" si="45"/>
        <v>0</v>
      </c>
      <c r="AJ113" s="410"/>
      <c r="AK113" s="411"/>
      <c r="AL113" s="412">
        <f t="shared" si="28"/>
        <v>0</v>
      </c>
      <c r="AM113" s="413">
        <f t="shared" si="29"/>
        <v>0</v>
      </c>
      <c r="AN113" s="410"/>
      <c r="AO113" s="411"/>
      <c r="AP113" s="410">
        <v>14774</v>
      </c>
      <c r="AQ113" s="411">
        <v>15771</v>
      </c>
      <c r="AR113" s="410">
        <v>12314</v>
      </c>
      <c r="AS113" s="411">
        <v>13787</v>
      </c>
      <c r="AT113" s="410">
        <v>16513</v>
      </c>
      <c r="AU113" s="411">
        <v>17782</v>
      </c>
      <c r="AV113" s="412">
        <f t="shared" si="30"/>
        <v>43601</v>
      </c>
      <c r="AW113" s="412">
        <f t="shared" si="31"/>
        <v>1816.7083333333333</v>
      </c>
      <c r="AX113" s="413">
        <f t="shared" si="32"/>
        <v>47340</v>
      </c>
      <c r="AY113" s="413">
        <f t="shared" si="33"/>
        <v>1972.5</v>
      </c>
      <c r="AZ113" s="412">
        <f t="shared" si="34"/>
        <v>11798.202000000001</v>
      </c>
      <c r="BA113" s="413">
        <f t="shared" si="35"/>
        <v>11585.666666666666</v>
      </c>
    </row>
    <row r="114" spans="1:53">
      <c r="A114" s="518" t="s">
        <v>159</v>
      </c>
      <c r="B114" s="26" t="s">
        <v>165</v>
      </c>
      <c r="C114" s="24"/>
      <c r="D114" s="28">
        <v>141264</v>
      </c>
      <c r="E114" s="25">
        <v>3</v>
      </c>
      <c r="F114" s="410"/>
      <c r="G114" s="411"/>
      <c r="H114" s="410"/>
      <c r="I114" s="411"/>
      <c r="J114" s="410">
        <v>102469.45</v>
      </c>
      <c r="K114" s="411">
        <v>100760</v>
      </c>
      <c r="L114" s="410">
        <v>22960.36</v>
      </c>
      <c r="M114" s="411">
        <v>24843</v>
      </c>
      <c r="N114" s="410">
        <v>110334</v>
      </c>
      <c r="O114" s="411">
        <v>107919</v>
      </c>
      <c r="P114" s="412">
        <f t="shared" si="36"/>
        <v>235763.81</v>
      </c>
      <c r="Q114" s="412">
        <f t="shared" si="37"/>
        <v>7858.7936666666665</v>
      </c>
      <c r="R114" s="413">
        <f t="shared" si="38"/>
        <v>233522</v>
      </c>
      <c r="S114" s="413">
        <f t="shared" si="39"/>
        <v>7784.0666666666666</v>
      </c>
      <c r="T114" s="410">
        <v>2831</v>
      </c>
      <c r="U114" s="411">
        <v>3142</v>
      </c>
      <c r="V114" s="412">
        <f t="shared" si="40"/>
        <v>235763.81</v>
      </c>
      <c r="W114" s="413">
        <f t="shared" si="41"/>
        <v>233522</v>
      </c>
      <c r="X114" s="410"/>
      <c r="Y114" s="411"/>
      <c r="Z114" s="410"/>
      <c r="AA114" s="411"/>
      <c r="AB114" s="410"/>
      <c r="AC114" s="411"/>
      <c r="AD114" s="410"/>
      <c r="AE114" s="411"/>
      <c r="AF114" s="412">
        <f t="shared" si="42"/>
        <v>0</v>
      </c>
      <c r="AG114" s="412">
        <f t="shared" si="43"/>
        <v>0</v>
      </c>
      <c r="AH114" s="413">
        <f t="shared" si="44"/>
        <v>0</v>
      </c>
      <c r="AI114" s="413">
        <f t="shared" si="45"/>
        <v>0</v>
      </c>
      <c r="AJ114" s="410"/>
      <c r="AK114" s="411"/>
      <c r="AL114" s="412">
        <f t="shared" si="28"/>
        <v>0</v>
      </c>
      <c r="AM114" s="413">
        <f t="shared" si="29"/>
        <v>0</v>
      </c>
      <c r="AN114" s="410"/>
      <c r="AO114" s="411"/>
      <c r="AP114" s="410">
        <v>16081</v>
      </c>
      <c r="AQ114" s="411">
        <v>16147</v>
      </c>
      <c r="AR114" s="410">
        <v>12401</v>
      </c>
      <c r="AS114" s="411">
        <v>13353</v>
      </c>
      <c r="AT114" s="410">
        <v>16414</v>
      </c>
      <c r="AU114" s="411">
        <v>17524</v>
      </c>
      <c r="AV114" s="412">
        <f t="shared" si="30"/>
        <v>44896</v>
      </c>
      <c r="AW114" s="412">
        <f t="shared" si="31"/>
        <v>1870.6666666666667</v>
      </c>
      <c r="AX114" s="413">
        <f t="shared" si="32"/>
        <v>47024</v>
      </c>
      <c r="AY114" s="413">
        <f t="shared" si="33"/>
        <v>1959.3333333333333</v>
      </c>
      <c r="AZ114" s="412">
        <f t="shared" si="34"/>
        <v>9729.4603333333325</v>
      </c>
      <c r="BA114" s="413">
        <f t="shared" si="35"/>
        <v>9743.4</v>
      </c>
    </row>
    <row r="115" spans="1:53">
      <c r="A115" s="428" t="s">
        <v>159</v>
      </c>
      <c r="B115" s="26" t="s">
        <v>166</v>
      </c>
      <c r="C115" s="24"/>
      <c r="D115" s="28">
        <v>138716</v>
      </c>
      <c r="E115" s="25">
        <v>4</v>
      </c>
      <c r="F115" s="410"/>
      <c r="G115" s="411"/>
      <c r="H115" s="410"/>
      <c r="I115" s="411"/>
      <c r="J115" s="410">
        <v>62798.45</v>
      </c>
      <c r="K115" s="411">
        <v>64354</v>
      </c>
      <c r="L115" s="410">
        <v>16044.36</v>
      </c>
      <c r="M115" s="411">
        <v>17144</v>
      </c>
      <c r="N115" s="410">
        <v>71987</v>
      </c>
      <c r="O115" s="411">
        <v>70191</v>
      </c>
      <c r="P115" s="412">
        <f t="shared" si="36"/>
        <v>150829.81</v>
      </c>
      <c r="Q115" s="412">
        <f t="shared" si="37"/>
        <v>5027.6603333333333</v>
      </c>
      <c r="R115" s="413">
        <f t="shared" si="38"/>
        <v>151689</v>
      </c>
      <c r="S115" s="413">
        <f t="shared" si="39"/>
        <v>5056.3</v>
      </c>
      <c r="T115" s="410">
        <v>8934</v>
      </c>
      <c r="U115" s="411">
        <v>7901</v>
      </c>
      <c r="V115" s="412">
        <f t="shared" si="40"/>
        <v>150829.81</v>
      </c>
      <c r="W115" s="413">
        <f t="shared" si="41"/>
        <v>151689</v>
      </c>
      <c r="X115" s="410"/>
      <c r="Y115" s="411"/>
      <c r="Z115" s="410"/>
      <c r="AA115" s="411"/>
      <c r="AB115" s="410"/>
      <c r="AC115" s="411"/>
      <c r="AD115" s="410"/>
      <c r="AE115" s="411"/>
      <c r="AF115" s="412">
        <f t="shared" si="42"/>
        <v>0</v>
      </c>
      <c r="AG115" s="412">
        <f t="shared" si="43"/>
        <v>0</v>
      </c>
      <c r="AH115" s="413">
        <f t="shared" si="44"/>
        <v>0</v>
      </c>
      <c r="AI115" s="413">
        <f t="shared" si="45"/>
        <v>0</v>
      </c>
      <c r="AJ115" s="410"/>
      <c r="AK115" s="411"/>
      <c r="AL115" s="412">
        <f t="shared" si="28"/>
        <v>0</v>
      </c>
      <c r="AM115" s="413">
        <f t="shared" si="29"/>
        <v>0</v>
      </c>
      <c r="AN115" s="410"/>
      <c r="AO115" s="411"/>
      <c r="AP115" s="410">
        <v>2301</v>
      </c>
      <c r="AQ115" s="411">
        <v>2534</v>
      </c>
      <c r="AR115" s="410">
        <v>998</v>
      </c>
      <c r="AS115" s="411">
        <v>1104</v>
      </c>
      <c r="AT115" s="410">
        <v>2878</v>
      </c>
      <c r="AU115" s="411">
        <v>2662</v>
      </c>
      <c r="AV115" s="412">
        <f t="shared" si="30"/>
        <v>6177</v>
      </c>
      <c r="AW115" s="412">
        <f t="shared" si="31"/>
        <v>257.375</v>
      </c>
      <c r="AX115" s="413">
        <f t="shared" si="32"/>
        <v>6300</v>
      </c>
      <c r="AY115" s="413">
        <f t="shared" si="33"/>
        <v>262.5</v>
      </c>
      <c r="AZ115" s="412">
        <f t="shared" si="34"/>
        <v>5285.0353333333333</v>
      </c>
      <c r="BA115" s="413">
        <f t="shared" si="35"/>
        <v>5318.8</v>
      </c>
    </row>
    <row r="116" spans="1:53">
      <c r="A116" s="518" t="s">
        <v>159</v>
      </c>
      <c r="B116" s="429" t="s">
        <v>167</v>
      </c>
      <c r="C116" s="519" t="s">
        <v>888</v>
      </c>
      <c r="D116" s="28">
        <v>138789</v>
      </c>
      <c r="E116" s="25">
        <v>4</v>
      </c>
      <c r="F116" s="410"/>
      <c r="G116" s="411"/>
      <c r="H116" s="410"/>
      <c r="I116" s="411"/>
      <c r="J116" s="410">
        <v>67338</v>
      </c>
      <c r="K116" s="411"/>
      <c r="L116" s="410">
        <v>16564</v>
      </c>
      <c r="M116" s="411"/>
      <c r="N116" s="410"/>
      <c r="O116" s="411"/>
      <c r="P116" s="412">
        <f t="shared" si="36"/>
        <v>83902</v>
      </c>
      <c r="Q116" s="412">
        <f t="shared" si="37"/>
        <v>2796.7333333333331</v>
      </c>
      <c r="R116" s="413">
        <f t="shared" si="38"/>
        <v>0</v>
      </c>
      <c r="S116" s="413">
        <f t="shared" si="39"/>
        <v>0</v>
      </c>
      <c r="T116" s="410"/>
      <c r="U116" s="411"/>
      <c r="V116" s="412">
        <f t="shared" si="40"/>
        <v>0</v>
      </c>
      <c r="W116" s="413">
        <f t="shared" si="41"/>
        <v>0</v>
      </c>
      <c r="X116" s="410"/>
      <c r="Y116" s="411"/>
      <c r="Z116" s="410"/>
      <c r="AA116" s="411"/>
      <c r="AB116" s="410"/>
      <c r="AC116" s="411"/>
      <c r="AD116" s="410"/>
      <c r="AE116" s="411"/>
      <c r="AF116" s="412">
        <f t="shared" si="42"/>
        <v>0</v>
      </c>
      <c r="AG116" s="412">
        <f t="shared" si="43"/>
        <v>0</v>
      </c>
      <c r="AH116" s="413">
        <f t="shared" si="44"/>
        <v>0</v>
      </c>
      <c r="AI116" s="413">
        <f t="shared" si="45"/>
        <v>0</v>
      </c>
      <c r="AJ116" s="410"/>
      <c r="AK116" s="411"/>
      <c r="AL116" s="412">
        <f t="shared" si="28"/>
        <v>0</v>
      </c>
      <c r="AM116" s="413">
        <f t="shared" si="29"/>
        <v>0</v>
      </c>
      <c r="AN116" s="410"/>
      <c r="AO116" s="411"/>
      <c r="AP116" s="410">
        <v>5698</v>
      </c>
      <c r="AQ116" s="411"/>
      <c r="AR116" s="410">
        <v>3391</v>
      </c>
      <c r="AS116" s="411"/>
      <c r="AT116" s="410"/>
      <c r="AU116" s="411"/>
      <c r="AV116" s="412">
        <f t="shared" si="30"/>
        <v>9089</v>
      </c>
      <c r="AW116" s="412">
        <f t="shared" si="31"/>
        <v>378.70833333333331</v>
      </c>
      <c r="AX116" s="413">
        <f t="shared" si="32"/>
        <v>0</v>
      </c>
      <c r="AY116" s="413">
        <f t="shared" si="33"/>
        <v>0</v>
      </c>
      <c r="AZ116" s="412">
        <f t="shared" si="34"/>
        <v>3175.4416666666666</v>
      </c>
      <c r="BA116" s="413">
        <f t="shared" si="35"/>
        <v>0</v>
      </c>
    </row>
    <row r="117" spans="1:53">
      <c r="A117" s="518" t="s">
        <v>159</v>
      </c>
      <c r="B117" s="429" t="s">
        <v>889</v>
      </c>
      <c r="C117" s="519"/>
      <c r="D117" s="28">
        <v>482149</v>
      </c>
      <c r="E117" s="25">
        <v>4</v>
      </c>
      <c r="F117" s="410"/>
      <c r="G117" s="411"/>
      <c r="H117" s="410"/>
      <c r="I117" s="411"/>
      <c r="J117" s="410">
        <v>63346</v>
      </c>
      <c r="K117" s="411">
        <v>65225</v>
      </c>
      <c r="L117" s="410">
        <v>11376</v>
      </c>
      <c r="M117" s="411">
        <v>12703</v>
      </c>
      <c r="N117" s="410">
        <v>71532</v>
      </c>
      <c r="O117" s="411">
        <v>73498</v>
      </c>
      <c r="P117" s="412">
        <f t="shared" si="36"/>
        <v>146254</v>
      </c>
      <c r="Q117" s="412">
        <f t="shared" si="37"/>
        <v>4875.1333333333332</v>
      </c>
      <c r="R117" s="413">
        <f t="shared" si="38"/>
        <v>151426</v>
      </c>
      <c r="S117" s="413">
        <f t="shared" si="39"/>
        <v>5047.5333333333338</v>
      </c>
      <c r="T117" s="410">
        <v>3165</v>
      </c>
      <c r="U117" s="411">
        <v>2874</v>
      </c>
      <c r="V117" s="412">
        <f t="shared" si="40"/>
        <v>146254</v>
      </c>
      <c r="W117" s="413">
        <f t="shared" si="41"/>
        <v>151426</v>
      </c>
      <c r="X117" s="410"/>
      <c r="Y117" s="411"/>
      <c r="Z117" s="410"/>
      <c r="AA117" s="411"/>
      <c r="AB117" s="410"/>
      <c r="AC117" s="411"/>
      <c r="AD117" s="410"/>
      <c r="AE117" s="411"/>
      <c r="AF117" s="412">
        <f t="shared" si="42"/>
        <v>0</v>
      </c>
      <c r="AG117" s="412">
        <f t="shared" si="43"/>
        <v>0</v>
      </c>
      <c r="AH117" s="413">
        <f t="shared" si="44"/>
        <v>0</v>
      </c>
      <c r="AI117" s="413">
        <f t="shared" si="45"/>
        <v>0</v>
      </c>
      <c r="AJ117" s="410"/>
      <c r="AK117" s="411"/>
      <c r="AL117" s="412">
        <f t="shared" si="28"/>
        <v>0</v>
      </c>
      <c r="AM117" s="413">
        <f t="shared" si="29"/>
        <v>0</v>
      </c>
      <c r="AN117" s="410"/>
      <c r="AO117" s="411"/>
      <c r="AP117" s="410">
        <v>16024</v>
      </c>
      <c r="AQ117" s="411">
        <v>15687</v>
      </c>
      <c r="AR117" s="410">
        <v>12892</v>
      </c>
      <c r="AS117" s="411">
        <v>13202</v>
      </c>
      <c r="AT117" s="410">
        <v>18610</v>
      </c>
      <c r="AU117" s="411">
        <v>19368</v>
      </c>
      <c r="AV117" s="412">
        <f t="shared" si="30"/>
        <v>47526</v>
      </c>
      <c r="AW117" s="412">
        <f t="shared" si="31"/>
        <v>1980.25</v>
      </c>
      <c r="AX117" s="413">
        <f t="shared" si="32"/>
        <v>48257</v>
      </c>
      <c r="AY117" s="413">
        <f t="shared" si="33"/>
        <v>2010.7083333333333</v>
      </c>
      <c r="AZ117" s="412">
        <f t="shared" si="34"/>
        <v>6855.3833333333332</v>
      </c>
      <c r="BA117" s="413">
        <f t="shared" si="35"/>
        <v>7058.2416666666668</v>
      </c>
    </row>
    <row r="118" spans="1:53">
      <c r="A118" s="428" t="s">
        <v>159</v>
      </c>
      <c r="B118" s="26" t="s">
        <v>168</v>
      </c>
      <c r="C118" s="27"/>
      <c r="D118" s="28">
        <v>139311</v>
      </c>
      <c r="E118" s="25">
        <v>4</v>
      </c>
      <c r="F118" s="410"/>
      <c r="G118" s="411"/>
      <c r="H118" s="410"/>
      <c r="I118" s="411"/>
      <c r="J118" s="410">
        <v>67448.45</v>
      </c>
      <c r="K118" s="411">
        <v>66921</v>
      </c>
      <c r="L118" s="410">
        <v>21740.36</v>
      </c>
      <c r="M118" s="411">
        <v>21666</v>
      </c>
      <c r="N118" s="410">
        <v>71858</v>
      </c>
      <c r="O118" s="411">
        <v>69758</v>
      </c>
      <c r="P118" s="412">
        <f t="shared" si="36"/>
        <v>161046.81</v>
      </c>
      <c r="Q118" s="412">
        <f t="shared" si="37"/>
        <v>5368.2269999999999</v>
      </c>
      <c r="R118" s="413">
        <f t="shared" si="38"/>
        <v>158345</v>
      </c>
      <c r="S118" s="413">
        <f t="shared" si="39"/>
        <v>5278.166666666667</v>
      </c>
      <c r="T118" s="410">
        <v>15813</v>
      </c>
      <c r="U118" s="411">
        <v>16028</v>
      </c>
      <c r="V118" s="412">
        <f t="shared" si="40"/>
        <v>161046.81</v>
      </c>
      <c r="W118" s="413">
        <f t="shared" si="41"/>
        <v>158345</v>
      </c>
      <c r="X118" s="410"/>
      <c r="Y118" s="411"/>
      <c r="Z118" s="410"/>
      <c r="AA118" s="411"/>
      <c r="AB118" s="410"/>
      <c r="AC118" s="411"/>
      <c r="AD118" s="410"/>
      <c r="AE118" s="411"/>
      <c r="AF118" s="412">
        <f t="shared" si="42"/>
        <v>0</v>
      </c>
      <c r="AG118" s="412">
        <f t="shared" si="43"/>
        <v>0</v>
      </c>
      <c r="AH118" s="413">
        <f t="shared" si="44"/>
        <v>0</v>
      </c>
      <c r="AI118" s="413">
        <f t="shared" si="45"/>
        <v>0</v>
      </c>
      <c r="AJ118" s="410"/>
      <c r="AK118" s="411"/>
      <c r="AL118" s="412">
        <f t="shared" si="28"/>
        <v>0</v>
      </c>
      <c r="AM118" s="413">
        <f t="shared" si="29"/>
        <v>0</v>
      </c>
      <c r="AN118" s="410"/>
      <c r="AO118" s="411"/>
      <c r="AP118" s="410">
        <v>2958</v>
      </c>
      <c r="AQ118" s="411">
        <v>3249</v>
      </c>
      <c r="AR118" s="410">
        <v>1497</v>
      </c>
      <c r="AS118" s="411">
        <v>1756</v>
      </c>
      <c r="AT118" s="410">
        <v>3026</v>
      </c>
      <c r="AU118" s="411">
        <v>3878</v>
      </c>
      <c r="AV118" s="412">
        <f t="shared" si="30"/>
        <v>7481</v>
      </c>
      <c r="AW118" s="412">
        <f t="shared" si="31"/>
        <v>311.70833333333331</v>
      </c>
      <c r="AX118" s="413">
        <f t="shared" si="32"/>
        <v>8883</v>
      </c>
      <c r="AY118" s="413">
        <f t="shared" si="33"/>
        <v>370.125</v>
      </c>
      <c r="AZ118" s="412">
        <f t="shared" si="34"/>
        <v>5679.9353333333329</v>
      </c>
      <c r="BA118" s="413">
        <f t="shared" si="35"/>
        <v>5648.291666666667</v>
      </c>
    </row>
    <row r="119" spans="1:53">
      <c r="A119" s="428" t="s">
        <v>159</v>
      </c>
      <c r="B119" s="26" t="s">
        <v>169</v>
      </c>
      <c r="C119" s="519" t="s">
        <v>915</v>
      </c>
      <c r="D119" s="28">
        <v>139366</v>
      </c>
      <c r="E119" s="25">
        <v>4</v>
      </c>
      <c r="F119" s="410"/>
      <c r="G119" s="411"/>
      <c r="H119" s="410"/>
      <c r="I119" s="411"/>
      <c r="J119" s="410">
        <v>75843.45</v>
      </c>
      <c r="K119" s="411">
        <v>77136</v>
      </c>
      <c r="L119" s="410">
        <v>15887.36</v>
      </c>
      <c r="M119" s="411">
        <v>15697</v>
      </c>
      <c r="N119" s="410">
        <v>80351</v>
      </c>
      <c r="O119" s="411">
        <v>78129</v>
      </c>
      <c r="P119" s="412">
        <f t="shared" si="36"/>
        <v>172081.81</v>
      </c>
      <c r="Q119" s="412">
        <f t="shared" si="37"/>
        <v>5736.0603333333329</v>
      </c>
      <c r="R119" s="413">
        <f t="shared" si="38"/>
        <v>170962</v>
      </c>
      <c r="S119" s="413">
        <f t="shared" si="39"/>
        <v>5698.7333333333336</v>
      </c>
      <c r="T119" s="410">
        <v>4757</v>
      </c>
      <c r="U119" s="411">
        <v>5190</v>
      </c>
      <c r="V119" s="412">
        <f t="shared" si="40"/>
        <v>172081.81</v>
      </c>
      <c r="W119" s="413">
        <f t="shared" si="41"/>
        <v>170962</v>
      </c>
      <c r="X119" s="410"/>
      <c r="Y119" s="411"/>
      <c r="Z119" s="410"/>
      <c r="AA119" s="411"/>
      <c r="AB119" s="410"/>
      <c r="AC119" s="411"/>
      <c r="AD119" s="410"/>
      <c r="AE119" s="411"/>
      <c r="AF119" s="412">
        <f t="shared" si="42"/>
        <v>0</v>
      </c>
      <c r="AG119" s="412">
        <f t="shared" si="43"/>
        <v>0</v>
      </c>
      <c r="AH119" s="413">
        <f t="shared" si="44"/>
        <v>0</v>
      </c>
      <c r="AI119" s="413">
        <f t="shared" si="45"/>
        <v>0</v>
      </c>
      <c r="AJ119" s="410"/>
      <c r="AK119" s="411"/>
      <c r="AL119" s="412">
        <f t="shared" si="28"/>
        <v>0</v>
      </c>
      <c r="AM119" s="413">
        <f t="shared" si="29"/>
        <v>0</v>
      </c>
      <c r="AN119" s="410"/>
      <c r="AO119" s="411"/>
      <c r="AP119" s="410">
        <v>11102</v>
      </c>
      <c r="AQ119" s="411">
        <v>9742</v>
      </c>
      <c r="AR119" s="410">
        <v>6170</v>
      </c>
      <c r="AS119" s="411">
        <v>5878</v>
      </c>
      <c r="AT119" s="410">
        <v>9556</v>
      </c>
      <c r="AU119" s="411">
        <v>9093</v>
      </c>
      <c r="AV119" s="412">
        <f t="shared" si="30"/>
        <v>26828</v>
      </c>
      <c r="AW119" s="412">
        <f t="shared" si="31"/>
        <v>1117.8333333333333</v>
      </c>
      <c r="AX119" s="413">
        <f t="shared" si="32"/>
        <v>24713</v>
      </c>
      <c r="AY119" s="413">
        <f t="shared" si="33"/>
        <v>1029.7083333333333</v>
      </c>
      <c r="AZ119" s="412">
        <f t="shared" si="34"/>
        <v>6853.8936666666659</v>
      </c>
      <c r="BA119" s="413">
        <f t="shared" si="35"/>
        <v>6728.4416666666666</v>
      </c>
    </row>
    <row r="120" spans="1:53">
      <c r="A120" s="428" t="s">
        <v>159</v>
      </c>
      <c r="B120" s="26" t="s">
        <v>170</v>
      </c>
      <c r="C120" s="519" t="s">
        <v>930</v>
      </c>
      <c r="D120" s="28">
        <v>139719</v>
      </c>
      <c r="E120" s="25">
        <v>4</v>
      </c>
      <c r="F120" s="410"/>
      <c r="G120" s="411"/>
      <c r="H120" s="410"/>
      <c r="I120" s="411"/>
      <c r="J120" s="410">
        <v>30141.45</v>
      </c>
      <c r="K120" s="411">
        <v>30106</v>
      </c>
      <c r="L120" s="410">
        <v>6387.36</v>
      </c>
      <c r="M120" s="411">
        <v>6032</v>
      </c>
      <c r="N120" s="410">
        <v>33461</v>
      </c>
      <c r="O120" s="411">
        <v>31880</v>
      </c>
      <c r="P120" s="412">
        <f t="shared" si="36"/>
        <v>69989.81</v>
      </c>
      <c r="Q120" s="412">
        <f t="shared" si="37"/>
        <v>2332.9936666666667</v>
      </c>
      <c r="R120" s="413">
        <f t="shared" si="38"/>
        <v>68018</v>
      </c>
      <c r="S120" s="413">
        <f t="shared" si="39"/>
        <v>2267.2666666666669</v>
      </c>
      <c r="T120" s="410">
        <v>195</v>
      </c>
      <c r="U120" s="411">
        <v>611</v>
      </c>
      <c r="V120" s="412">
        <f t="shared" si="40"/>
        <v>69989.81</v>
      </c>
      <c r="W120" s="413">
        <f t="shared" si="41"/>
        <v>68018</v>
      </c>
      <c r="X120" s="410"/>
      <c r="Y120" s="411"/>
      <c r="Z120" s="410"/>
      <c r="AA120" s="411"/>
      <c r="AB120" s="410"/>
      <c r="AC120" s="411"/>
      <c r="AD120" s="410"/>
      <c r="AE120" s="411"/>
      <c r="AF120" s="412">
        <f t="shared" si="42"/>
        <v>0</v>
      </c>
      <c r="AG120" s="412">
        <f t="shared" si="43"/>
        <v>0</v>
      </c>
      <c r="AH120" s="413">
        <f t="shared" si="44"/>
        <v>0</v>
      </c>
      <c r="AI120" s="413">
        <f t="shared" si="45"/>
        <v>0</v>
      </c>
      <c r="AJ120" s="410"/>
      <c r="AK120" s="411"/>
      <c r="AL120" s="412">
        <f t="shared" si="28"/>
        <v>0</v>
      </c>
      <c r="AM120" s="413">
        <f t="shared" si="29"/>
        <v>0</v>
      </c>
      <c r="AN120" s="410"/>
      <c r="AO120" s="411"/>
      <c r="AP120" s="410">
        <v>2812</v>
      </c>
      <c r="AQ120" s="411">
        <v>2851</v>
      </c>
      <c r="AR120" s="410">
        <v>1142</v>
      </c>
      <c r="AS120" s="411">
        <v>1188</v>
      </c>
      <c r="AT120" s="410">
        <v>2911</v>
      </c>
      <c r="AU120" s="411">
        <v>2333</v>
      </c>
      <c r="AV120" s="412">
        <f t="shared" si="30"/>
        <v>6865</v>
      </c>
      <c r="AW120" s="412">
        <f t="shared" si="31"/>
        <v>286.04166666666669</v>
      </c>
      <c r="AX120" s="413">
        <f t="shared" si="32"/>
        <v>6372</v>
      </c>
      <c r="AY120" s="413">
        <f t="shared" si="33"/>
        <v>265.5</v>
      </c>
      <c r="AZ120" s="412">
        <f t="shared" si="34"/>
        <v>2619.0353333333333</v>
      </c>
      <c r="BA120" s="413">
        <f t="shared" si="35"/>
        <v>2532.7666666666669</v>
      </c>
    </row>
    <row r="121" spans="1:53">
      <c r="A121" s="428" t="s">
        <v>159</v>
      </c>
      <c r="B121" s="26" t="s">
        <v>171</v>
      </c>
      <c r="C121" s="24"/>
      <c r="D121" s="28">
        <v>139861</v>
      </c>
      <c r="E121" s="25">
        <v>4</v>
      </c>
      <c r="F121" s="410"/>
      <c r="G121" s="411"/>
      <c r="H121" s="410"/>
      <c r="I121" s="411"/>
      <c r="J121" s="410">
        <v>77408.5</v>
      </c>
      <c r="K121" s="411">
        <v>76744</v>
      </c>
      <c r="L121" s="410">
        <v>18356</v>
      </c>
      <c r="M121" s="411">
        <v>19414</v>
      </c>
      <c r="N121" s="410">
        <v>82057</v>
      </c>
      <c r="O121" s="411">
        <v>80939</v>
      </c>
      <c r="P121" s="412">
        <f t="shared" si="36"/>
        <v>177821.5</v>
      </c>
      <c r="Q121" s="412">
        <f t="shared" si="37"/>
        <v>5927.3833333333332</v>
      </c>
      <c r="R121" s="413">
        <f t="shared" si="38"/>
        <v>177097</v>
      </c>
      <c r="S121" s="413">
        <f t="shared" si="39"/>
        <v>5903.2333333333336</v>
      </c>
      <c r="T121" s="410">
        <v>948.5</v>
      </c>
      <c r="U121" s="411">
        <v>737</v>
      </c>
      <c r="V121" s="412">
        <f t="shared" si="40"/>
        <v>177821.5</v>
      </c>
      <c r="W121" s="413">
        <f t="shared" si="41"/>
        <v>177097</v>
      </c>
      <c r="X121" s="410"/>
      <c r="Y121" s="411"/>
      <c r="Z121" s="410"/>
      <c r="AA121" s="411"/>
      <c r="AB121" s="410"/>
      <c r="AC121" s="411"/>
      <c r="AD121" s="410"/>
      <c r="AE121" s="411"/>
      <c r="AF121" s="412">
        <f t="shared" si="42"/>
        <v>0</v>
      </c>
      <c r="AG121" s="412">
        <f t="shared" si="43"/>
        <v>0</v>
      </c>
      <c r="AH121" s="413">
        <f t="shared" si="44"/>
        <v>0</v>
      </c>
      <c r="AI121" s="413">
        <f t="shared" si="45"/>
        <v>0</v>
      </c>
      <c r="AJ121" s="410"/>
      <c r="AK121" s="411"/>
      <c r="AL121" s="412">
        <f t="shared" si="28"/>
        <v>0</v>
      </c>
      <c r="AM121" s="413">
        <f t="shared" si="29"/>
        <v>0</v>
      </c>
      <c r="AN121" s="410"/>
      <c r="AO121" s="411"/>
      <c r="AP121" s="410">
        <v>7018</v>
      </c>
      <c r="AQ121" s="411">
        <v>7441</v>
      </c>
      <c r="AR121" s="410">
        <v>6052.5</v>
      </c>
      <c r="AS121" s="411">
        <v>7164</v>
      </c>
      <c r="AT121" s="410">
        <v>7626</v>
      </c>
      <c r="AU121" s="411">
        <v>8580</v>
      </c>
      <c r="AV121" s="412">
        <f t="shared" si="30"/>
        <v>20696.5</v>
      </c>
      <c r="AW121" s="412">
        <f t="shared" si="31"/>
        <v>862.35416666666663</v>
      </c>
      <c r="AX121" s="413">
        <f t="shared" si="32"/>
        <v>23185</v>
      </c>
      <c r="AY121" s="413">
        <f t="shared" si="33"/>
        <v>966.04166666666663</v>
      </c>
      <c r="AZ121" s="412">
        <f t="shared" si="34"/>
        <v>6789.7375000000002</v>
      </c>
      <c r="BA121" s="413">
        <f t="shared" si="35"/>
        <v>6869.2750000000005</v>
      </c>
    </row>
    <row r="122" spans="1:53">
      <c r="A122" s="428" t="s">
        <v>159</v>
      </c>
      <c r="B122" s="26" t="s">
        <v>173</v>
      </c>
      <c r="C122" s="519" t="s">
        <v>917</v>
      </c>
      <c r="D122" s="28">
        <v>139764</v>
      </c>
      <c r="E122" s="25">
        <v>4</v>
      </c>
      <c r="F122" s="410"/>
      <c r="G122" s="411"/>
      <c r="H122" s="410"/>
      <c r="I122" s="411"/>
      <c r="J122" s="410">
        <v>27848.45</v>
      </c>
      <c r="K122" s="411">
        <v>26942</v>
      </c>
      <c r="L122" s="410">
        <v>8116.36</v>
      </c>
      <c r="M122" s="411">
        <v>7902</v>
      </c>
      <c r="N122" s="410">
        <v>28734</v>
      </c>
      <c r="O122" s="411">
        <v>28447</v>
      </c>
      <c r="P122" s="412">
        <f t="shared" si="36"/>
        <v>64698.81</v>
      </c>
      <c r="Q122" s="412">
        <f t="shared" si="37"/>
        <v>2156.627</v>
      </c>
      <c r="R122" s="413">
        <f t="shared" si="38"/>
        <v>63291</v>
      </c>
      <c r="S122" s="413">
        <f t="shared" si="39"/>
        <v>2109.6999999999998</v>
      </c>
      <c r="T122" s="410">
        <v>2965</v>
      </c>
      <c r="U122" s="411">
        <v>2859</v>
      </c>
      <c r="V122" s="412">
        <f t="shared" si="40"/>
        <v>64698.81</v>
      </c>
      <c r="W122" s="413">
        <f t="shared" si="41"/>
        <v>63291</v>
      </c>
      <c r="X122" s="410"/>
      <c r="Y122" s="411"/>
      <c r="Z122" s="410"/>
      <c r="AA122" s="411"/>
      <c r="AB122" s="410"/>
      <c r="AC122" s="411"/>
      <c r="AD122" s="410"/>
      <c r="AE122" s="411"/>
      <c r="AF122" s="412">
        <f t="shared" si="42"/>
        <v>0</v>
      </c>
      <c r="AG122" s="412">
        <f t="shared" si="43"/>
        <v>0</v>
      </c>
      <c r="AH122" s="413">
        <f t="shared" si="44"/>
        <v>0</v>
      </c>
      <c r="AI122" s="413">
        <f t="shared" si="45"/>
        <v>0</v>
      </c>
      <c r="AJ122" s="410"/>
      <c r="AK122" s="411"/>
      <c r="AL122" s="412">
        <f t="shared" si="28"/>
        <v>0</v>
      </c>
      <c r="AM122" s="413">
        <f t="shared" si="29"/>
        <v>0</v>
      </c>
      <c r="AN122" s="410"/>
      <c r="AO122" s="411"/>
      <c r="AP122" s="410">
        <v>2881</v>
      </c>
      <c r="AQ122" s="411">
        <v>2946</v>
      </c>
      <c r="AR122" s="410">
        <v>4141</v>
      </c>
      <c r="AS122" s="411">
        <v>4119</v>
      </c>
      <c r="AT122" s="410">
        <v>3317</v>
      </c>
      <c r="AU122" s="411">
        <v>3419</v>
      </c>
      <c r="AV122" s="412">
        <f t="shared" si="30"/>
        <v>10339</v>
      </c>
      <c r="AW122" s="412">
        <f t="shared" si="31"/>
        <v>430.79166666666669</v>
      </c>
      <c r="AX122" s="413">
        <f t="shared" si="32"/>
        <v>10484</v>
      </c>
      <c r="AY122" s="413">
        <f t="shared" si="33"/>
        <v>436.83333333333331</v>
      </c>
      <c r="AZ122" s="412">
        <f t="shared" si="34"/>
        <v>2587.4186666666665</v>
      </c>
      <c r="BA122" s="413">
        <f t="shared" si="35"/>
        <v>2546.5333333333333</v>
      </c>
    </row>
    <row r="123" spans="1:53">
      <c r="A123" s="428" t="s">
        <v>159</v>
      </c>
      <c r="B123" s="26" t="s">
        <v>172</v>
      </c>
      <c r="C123" s="24"/>
      <c r="D123" s="28">
        <v>482680</v>
      </c>
      <c r="E123" s="25">
        <v>4</v>
      </c>
      <c r="F123" s="410"/>
      <c r="G123" s="411"/>
      <c r="H123" s="410"/>
      <c r="I123" s="411"/>
      <c r="J123" s="410">
        <v>196417.45</v>
      </c>
      <c r="K123" s="411">
        <v>200223</v>
      </c>
      <c r="L123" s="410">
        <v>39462.36</v>
      </c>
      <c r="M123" s="411">
        <v>41098</v>
      </c>
      <c r="N123" s="410">
        <v>222825</v>
      </c>
      <c r="O123" s="411">
        <v>221729</v>
      </c>
      <c r="P123" s="412">
        <f t="shared" si="36"/>
        <v>458704.81</v>
      </c>
      <c r="Q123" s="412">
        <f t="shared" si="37"/>
        <v>15290.160333333333</v>
      </c>
      <c r="R123" s="413">
        <f t="shared" si="38"/>
        <v>463050</v>
      </c>
      <c r="S123" s="413">
        <f t="shared" si="39"/>
        <v>15435</v>
      </c>
      <c r="T123" s="410">
        <v>18207</v>
      </c>
      <c r="U123" s="411">
        <v>20841</v>
      </c>
      <c r="V123" s="412">
        <f t="shared" si="40"/>
        <v>458704.81</v>
      </c>
      <c r="W123" s="413">
        <f t="shared" si="41"/>
        <v>463050</v>
      </c>
      <c r="X123" s="410"/>
      <c r="Y123" s="411"/>
      <c r="Z123" s="410"/>
      <c r="AA123" s="411"/>
      <c r="AB123" s="410"/>
      <c r="AC123" s="411"/>
      <c r="AD123" s="410"/>
      <c r="AE123" s="411"/>
      <c r="AF123" s="412">
        <f t="shared" si="42"/>
        <v>0</v>
      </c>
      <c r="AG123" s="412">
        <f t="shared" si="43"/>
        <v>0</v>
      </c>
      <c r="AH123" s="413">
        <f t="shared" si="44"/>
        <v>0</v>
      </c>
      <c r="AI123" s="413">
        <f t="shared" si="45"/>
        <v>0</v>
      </c>
      <c r="AJ123" s="410"/>
      <c r="AK123" s="411"/>
      <c r="AL123" s="412">
        <f t="shared" si="28"/>
        <v>0</v>
      </c>
      <c r="AM123" s="413">
        <f t="shared" si="29"/>
        <v>0</v>
      </c>
      <c r="AN123" s="410"/>
      <c r="AO123" s="411"/>
      <c r="AP123" s="410">
        <v>4796</v>
      </c>
      <c r="AQ123" s="411">
        <v>5215</v>
      </c>
      <c r="AR123" s="410">
        <v>4123</v>
      </c>
      <c r="AS123" s="411">
        <v>4123</v>
      </c>
      <c r="AT123" s="410">
        <v>5389</v>
      </c>
      <c r="AU123" s="411">
        <v>5600</v>
      </c>
      <c r="AV123" s="412">
        <f t="shared" si="30"/>
        <v>14308</v>
      </c>
      <c r="AW123" s="412">
        <f t="shared" si="31"/>
        <v>596.16666666666663</v>
      </c>
      <c r="AX123" s="413">
        <f t="shared" si="32"/>
        <v>14938</v>
      </c>
      <c r="AY123" s="413">
        <f t="shared" si="33"/>
        <v>622.41666666666663</v>
      </c>
      <c r="AZ123" s="412">
        <f t="shared" si="34"/>
        <v>15886.326999999999</v>
      </c>
      <c r="BA123" s="413">
        <f t="shared" si="35"/>
        <v>16057.416666666666</v>
      </c>
    </row>
    <row r="124" spans="1:53">
      <c r="A124" s="428" t="s">
        <v>159</v>
      </c>
      <c r="B124" s="26" t="s">
        <v>174</v>
      </c>
      <c r="C124" s="24"/>
      <c r="D124" s="28">
        <v>140960</v>
      </c>
      <c r="E124" s="25">
        <v>5</v>
      </c>
      <c r="F124" s="410"/>
      <c r="G124" s="411"/>
      <c r="H124" s="410"/>
      <c r="I124" s="411"/>
      <c r="J124" s="410">
        <v>54215.45</v>
      </c>
      <c r="K124" s="411">
        <v>46736</v>
      </c>
      <c r="L124" s="410">
        <v>9548.36</v>
      </c>
      <c r="M124" s="411">
        <v>9465</v>
      </c>
      <c r="N124" s="410">
        <v>53718</v>
      </c>
      <c r="O124" s="411">
        <v>47427</v>
      </c>
      <c r="P124" s="412">
        <f t="shared" si="36"/>
        <v>117481.81</v>
      </c>
      <c r="Q124" s="412">
        <f t="shared" si="37"/>
        <v>3916.0603333333333</v>
      </c>
      <c r="R124" s="413">
        <f t="shared" si="38"/>
        <v>103628</v>
      </c>
      <c r="S124" s="413">
        <f t="shared" si="39"/>
        <v>3454.2666666666669</v>
      </c>
      <c r="T124" s="410">
        <v>2674</v>
      </c>
      <c r="U124" s="411">
        <v>2079</v>
      </c>
      <c r="V124" s="412">
        <f t="shared" si="40"/>
        <v>117481.81</v>
      </c>
      <c r="W124" s="413">
        <f t="shared" si="41"/>
        <v>103628</v>
      </c>
      <c r="X124" s="410"/>
      <c r="Y124" s="411"/>
      <c r="Z124" s="410"/>
      <c r="AA124" s="411"/>
      <c r="AB124" s="410"/>
      <c r="AC124" s="411"/>
      <c r="AD124" s="410"/>
      <c r="AE124" s="411"/>
      <c r="AF124" s="412">
        <f t="shared" si="42"/>
        <v>0</v>
      </c>
      <c r="AG124" s="412">
        <f t="shared" si="43"/>
        <v>0</v>
      </c>
      <c r="AH124" s="413">
        <f t="shared" si="44"/>
        <v>0</v>
      </c>
      <c r="AI124" s="413">
        <f t="shared" si="45"/>
        <v>0</v>
      </c>
      <c r="AJ124" s="410"/>
      <c r="AK124" s="411"/>
      <c r="AL124" s="412">
        <f t="shared" si="28"/>
        <v>0</v>
      </c>
      <c r="AM124" s="413">
        <f t="shared" si="29"/>
        <v>0</v>
      </c>
      <c r="AN124" s="410"/>
      <c r="AO124" s="411"/>
      <c r="AP124" s="410">
        <v>1687</v>
      </c>
      <c r="AQ124" s="411">
        <v>1688</v>
      </c>
      <c r="AR124" s="410">
        <v>387</v>
      </c>
      <c r="AS124" s="411">
        <v>387</v>
      </c>
      <c r="AT124" s="410">
        <v>1660</v>
      </c>
      <c r="AU124" s="411">
        <v>1606</v>
      </c>
      <c r="AV124" s="412">
        <f t="shared" si="30"/>
        <v>3734</v>
      </c>
      <c r="AW124" s="412">
        <f t="shared" si="31"/>
        <v>155.58333333333334</v>
      </c>
      <c r="AX124" s="413">
        <f t="shared" si="32"/>
        <v>3681</v>
      </c>
      <c r="AY124" s="413">
        <f t="shared" si="33"/>
        <v>153.375</v>
      </c>
      <c r="AZ124" s="412">
        <f t="shared" si="34"/>
        <v>4071.6436666666668</v>
      </c>
      <c r="BA124" s="413">
        <f t="shared" si="35"/>
        <v>3607.6416666666669</v>
      </c>
    </row>
    <row r="125" spans="1:53">
      <c r="A125" s="428" t="s">
        <v>159</v>
      </c>
      <c r="B125" s="26" t="s">
        <v>179</v>
      </c>
      <c r="C125" s="27"/>
      <c r="D125" s="28">
        <v>139250</v>
      </c>
      <c r="E125" s="430">
        <v>6</v>
      </c>
      <c r="F125" s="410"/>
      <c r="G125" s="411"/>
      <c r="H125" s="410"/>
      <c r="I125" s="411"/>
      <c r="J125" s="410">
        <v>36674.449999999997</v>
      </c>
      <c r="K125" s="411">
        <v>35927</v>
      </c>
      <c r="L125" s="410">
        <v>7978.36</v>
      </c>
      <c r="M125" s="411">
        <v>8691</v>
      </c>
      <c r="N125" s="410">
        <v>39142</v>
      </c>
      <c r="O125" s="411">
        <v>38423</v>
      </c>
      <c r="P125" s="412">
        <f t="shared" si="36"/>
        <v>83794.81</v>
      </c>
      <c r="Q125" s="412">
        <f t="shared" si="37"/>
        <v>2793.1603333333333</v>
      </c>
      <c r="R125" s="413">
        <f t="shared" si="38"/>
        <v>83041</v>
      </c>
      <c r="S125" s="413">
        <f t="shared" si="39"/>
        <v>2768.0333333333333</v>
      </c>
      <c r="T125" s="410">
        <v>6313</v>
      </c>
      <c r="U125" s="411">
        <v>6911</v>
      </c>
      <c r="V125" s="412">
        <f t="shared" si="40"/>
        <v>83794.81</v>
      </c>
      <c r="W125" s="413">
        <f t="shared" si="41"/>
        <v>83041</v>
      </c>
      <c r="X125" s="410"/>
      <c r="Y125" s="411"/>
      <c r="Z125" s="410"/>
      <c r="AA125" s="411"/>
      <c r="AB125" s="410"/>
      <c r="AC125" s="411"/>
      <c r="AD125" s="410"/>
      <c r="AE125" s="411"/>
      <c r="AF125" s="412">
        <f t="shared" si="42"/>
        <v>0</v>
      </c>
      <c r="AG125" s="412">
        <f t="shared" si="43"/>
        <v>0</v>
      </c>
      <c r="AH125" s="413">
        <f t="shared" si="44"/>
        <v>0</v>
      </c>
      <c r="AI125" s="413">
        <f t="shared" si="45"/>
        <v>0</v>
      </c>
      <c r="AJ125" s="410"/>
      <c r="AK125" s="411"/>
      <c r="AL125" s="412">
        <f t="shared" si="28"/>
        <v>0</v>
      </c>
      <c r="AM125" s="413">
        <f t="shared" si="29"/>
        <v>0</v>
      </c>
      <c r="AN125" s="410"/>
      <c r="AO125" s="411"/>
      <c r="AP125" s="410"/>
      <c r="AQ125" s="411"/>
      <c r="AR125" s="410"/>
      <c r="AS125" s="411"/>
      <c r="AT125" s="410"/>
      <c r="AU125" s="411"/>
      <c r="AV125" s="412">
        <f t="shared" si="30"/>
        <v>0</v>
      </c>
      <c r="AW125" s="412">
        <f t="shared" si="31"/>
        <v>0</v>
      </c>
      <c r="AX125" s="413">
        <f t="shared" si="32"/>
        <v>0</v>
      </c>
      <c r="AY125" s="413">
        <f t="shared" si="33"/>
        <v>0</v>
      </c>
      <c r="AZ125" s="412">
        <f t="shared" si="34"/>
        <v>2793.1603333333333</v>
      </c>
      <c r="BA125" s="413">
        <f t="shared" si="35"/>
        <v>2768.0333333333333</v>
      </c>
    </row>
    <row r="126" spans="1:53">
      <c r="A126" s="428" t="s">
        <v>159</v>
      </c>
      <c r="B126" s="26" t="s">
        <v>175</v>
      </c>
      <c r="C126" s="27"/>
      <c r="D126" s="28">
        <v>139463</v>
      </c>
      <c r="E126" s="25">
        <v>6</v>
      </c>
      <c r="F126" s="410"/>
      <c r="G126" s="411"/>
      <c r="H126" s="410"/>
      <c r="I126" s="411"/>
      <c r="J126" s="410">
        <v>52694.45</v>
      </c>
      <c r="K126" s="411">
        <v>51609</v>
      </c>
      <c r="L126" s="410">
        <v>10981.36</v>
      </c>
      <c r="M126" s="411">
        <v>10809</v>
      </c>
      <c r="N126" s="410">
        <v>58186</v>
      </c>
      <c r="O126" s="411">
        <v>56205</v>
      </c>
      <c r="P126" s="412">
        <f t="shared" si="36"/>
        <v>121861.81</v>
      </c>
      <c r="Q126" s="412">
        <f t="shared" si="37"/>
        <v>4062.0603333333333</v>
      </c>
      <c r="R126" s="413">
        <f t="shared" si="38"/>
        <v>118623</v>
      </c>
      <c r="S126" s="413">
        <f t="shared" si="39"/>
        <v>3954.1</v>
      </c>
      <c r="T126" s="410">
        <v>6320</v>
      </c>
      <c r="U126" s="411">
        <v>5757</v>
      </c>
      <c r="V126" s="412">
        <f t="shared" si="40"/>
        <v>121861.81</v>
      </c>
      <c r="W126" s="413">
        <f t="shared" si="41"/>
        <v>118623</v>
      </c>
      <c r="X126" s="410"/>
      <c r="Y126" s="411"/>
      <c r="Z126" s="410"/>
      <c r="AA126" s="411"/>
      <c r="AB126" s="410"/>
      <c r="AC126" s="411"/>
      <c r="AD126" s="410"/>
      <c r="AE126" s="411"/>
      <c r="AF126" s="412">
        <f t="shared" si="42"/>
        <v>0</v>
      </c>
      <c r="AG126" s="412">
        <f t="shared" si="43"/>
        <v>0</v>
      </c>
      <c r="AH126" s="413">
        <f t="shared" si="44"/>
        <v>0</v>
      </c>
      <c r="AI126" s="413">
        <f t="shared" si="45"/>
        <v>0</v>
      </c>
      <c r="AJ126" s="410"/>
      <c r="AK126" s="411"/>
      <c r="AL126" s="412">
        <f t="shared" si="28"/>
        <v>0</v>
      </c>
      <c r="AM126" s="413">
        <f t="shared" si="29"/>
        <v>0</v>
      </c>
      <c r="AN126" s="410"/>
      <c r="AO126" s="411"/>
      <c r="AP126" s="410"/>
      <c r="AQ126" s="411"/>
      <c r="AR126" s="410"/>
      <c r="AS126" s="411"/>
      <c r="AT126" s="410"/>
      <c r="AU126" s="411"/>
      <c r="AV126" s="412">
        <f t="shared" si="30"/>
        <v>0</v>
      </c>
      <c r="AW126" s="412">
        <f t="shared" si="31"/>
        <v>0</v>
      </c>
      <c r="AX126" s="413">
        <f t="shared" si="32"/>
        <v>0</v>
      </c>
      <c r="AY126" s="413">
        <f t="shared" si="33"/>
        <v>0</v>
      </c>
      <c r="AZ126" s="412">
        <f t="shared" si="34"/>
        <v>4062.0603333333333</v>
      </c>
      <c r="BA126" s="413">
        <f t="shared" si="35"/>
        <v>3954.1</v>
      </c>
    </row>
    <row r="127" spans="1:53">
      <c r="A127" s="428" t="s">
        <v>159</v>
      </c>
      <c r="B127" s="26" t="s">
        <v>176</v>
      </c>
      <c r="C127" s="27"/>
      <c r="D127" s="28">
        <v>447689</v>
      </c>
      <c r="E127" s="25">
        <v>6</v>
      </c>
      <c r="F127" s="410"/>
      <c r="G127" s="411"/>
      <c r="H127" s="410"/>
      <c r="I127" s="411"/>
      <c r="J127" s="410">
        <v>135799.45000000001</v>
      </c>
      <c r="K127" s="411">
        <v>134853</v>
      </c>
      <c r="L127" s="410">
        <v>27299.360000000001</v>
      </c>
      <c r="M127" s="411">
        <v>26996</v>
      </c>
      <c r="N127" s="410">
        <v>143783</v>
      </c>
      <c r="O127" s="411">
        <v>150260</v>
      </c>
      <c r="P127" s="412">
        <f t="shared" si="36"/>
        <v>306881.81</v>
      </c>
      <c r="Q127" s="412">
        <f t="shared" si="37"/>
        <v>10229.393666666667</v>
      </c>
      <c r="R127" s="413">
        <f t="shared" si="38"/>
        <v>312109</v>
      </c>
      <c r="S127" s="413">
        <f t="shared" si="39"/>
        <v>10403.633333333333</v>
      </c>
      <c r="T127" s="410">
        <v>10761</v>
      </c>
      <c r="U127" s="411">
        <v>11808</v>
      </c>
      <c r="V127" s="412">
        <f t="shared" si="40"/>
        <v>306881.81</v>
      </c>
      <c r="W127" s="413">
        <f t="shared" si="41"/>
        <v>312109</v>
      </c>
      <c r="X127" s="410"/>
      <c r="Y127" s="411"/>
      <c r="Z127" s="410"/>
      <c r="AA127" s="411"/>
      <c r="AB127" s="410"/>
      <c r="AC127" s="411"/>
      <c r="AD127" s="410"/>
      <c r="AE127" s="411"/>
      <c r="AF127" s="412">
        <f t="shared" si="42"/>
        <v>0</v>
      </c>
      <c r="AG127" s="412">
        <f t="shared" si="43"/>
        <v>0</v>
      </c>
      <c r="AH127" s="413">
        <f t="shared" si="44"/>
        <v>0</v>
      </c>
      <c r="AI127" s="413">
        <f t="shared" si="45"/>
        <v>0</v>
      </c>
      <c r="AJ127" s="410"/>
      <c r="AK127" s="411"/>
      <c r="AL127" s="412">
        <f t="shared" si="28"/>
        <v>0</v>
      </c>
      <c r="AM127" s="413">
        <f t="shared" si="29"/>
        <v>0</v>
      </c>
      <c r="AN127" s="410"/>
      <c r="AO127" s="411"/>
      <c r="AP127" s="410"/>
      <c r="AQ127" s="411"/>
      <c r="AR127" s="410"/>
      <c r="AS127" s="411"/>
      <c r="AT127" s="410"/>
      <c r="AU127" s="411"/>
      <c r="AV127" s="412">
        <f t="shared" si="30"/>
        <v>0</v>
      </c>
      <c r="AW127" s="412">
        <f t="shared" si="31"/>
        <v>0</v>
      </c>
      <c r="AX127" s="413">
        <f t="shared" si="32"/>
        <v>0</v>
      </c>
      <c r="AY127" s="413">
        <f t="shared" si="33"/>
        <v>0</v>
      </c>
      <c r="AZ127" s="412">
        <f t="shared" si="34"/>
        <v>10229.393666666667</v>
      </c>
      <c r="BA127" s="413">
        <f t="shared" si="35"/>
        <v>10403.633333333333</v>
      </c>
    </row>
    <row r="128" spans="1:53">
      <c r="A128" s="428" t="s">
        <v>159</v>
      </c>
      <c r="B128" s="26" t="s">
        <v>177</v>
      </c>
      <c r="C128" s="519" t="s">
        <v>930</v>
      </c>
      <c r="D128" s="28">
        <v>482158</v>
      </c>
      <c r="E128" s="25">
        <v>6</v>
      </c>
      <c r="F128" s="410"/>
      <c r="G128" s="411"/>
      <c r="H128" s="410"/>
      <c r="I128" s="411"/>
      <c r="J128" s="410">
        <v>75038.45</v>
      </c>
      <c r="K128" s="411">
        <v>77832</v>
      </c>
      <c r="L128" s="410">
        <v>20592.36</v>
      </c>
      <c r="M128" s="411">
        <v>21985</v>
      </c>
      <c r="N128" s="410">
        <v>85025</v>
      </c>
      <c r="O128" s="411">
        <v>86107</v>
      </c>
      <c r="P128" s="412">
        <f t="shared" si="36"/>
        <v>180655.81</v>
      </c>
      <c r="Q128" s="412">
        <f t="shared" si="37"/>
        <v>6021.8603333333331</v>
      </c>
      <c r="R128" s="413">
        <f t="shared" si="38"/>
        <v>185924</v>
      </c>
      <c r="S128" s="413">
        <f t="shared" si="39"/>
        <v>6197.4666666666662</v>
      </c>
      <c r="T128" s="410">
        <v>7782</v>
      </c>
      <c r="U128" s="411">
        <v>7645</v>
      </c>
      <c r="V128" s="412">
        <f t="shared" si="40"/>
        <v>180655.81</v>
      </c>
      <c r="W128" s="413">
        <f t="shared" si="41"/>
        <v>185924</v>
      </c>
      <c r="X128" s="410"/>
      <c r="Y128" s="411"/>
      <c r="Z128" s="410"/>
      <c r="AA128" s="411"/>
      <c r="AB128" s="410"/>
      <c r="AC128" s="411"/>
      <c r="AD128" s="410"/>
      <c r="AE128" s="411"/>
      <c r="AF128" s="412">
        <f t="shared" si="42"/>
        <v>0</v>
      </c>
      <c r="AG128" s="412">
        <f t="shared" si="43"/>
        <v>0</v>
      </c>
      <c r="AH128" s="413">
        <f t="shared" si="44"/>
        <v>0</v>
      </c>
      <c r="AI128" s="413">
        <f t="shared" si="45"/>
        <v>0</v>
      </c>
      <c r="AJ128" s="410"/>
      <c r="AK128" s="411"/>
      <c r="AL128" s="412">
        <f t="shared" si="28"/>
        <v>0</v>
      </c>
      <c r="AM128" s="413">
        <f t="shared" si="29"/>
        <v>0</v>
      </c>
      <c r="AN128" s="410"/>
      <c r="AO128" s="411"/>
      <c r="AP128" s="410">
        <v>1179</v>
      </c>
      <c r="AQ128" s="411">
        <v>1806</v>
      </c>
      <c r="AR128" s="410">
        <v>753</v>
      </c>
      <c r="AS128" s="411">
        <v>924</v>
      </c>
      <c r="AT128" s="410">
        <v>1707</v>
      </c>
      <c r="AU128" s="411">
        <v>2004</v>
      </c>
      <c r="AV128" s="412">
        <f t="shared" si="30"/>
        <v>3639</v>
      </c>
      <c r="AW128" s="412">
        <f t="shared" si="31"/>
        <v>151.625</v>
      </c>
      <c r="AX128" s="413">
        <f t="shared" si="32"/>
        <v>4734</v>
      </c>
      <c r="AY128" s="413">
        <f t="shared" si="33"/>
        <v>197.25</v>
      </c>
      <c r="AZ128" s="412">
        <f t="shared" si="34"/>
        <v>6173.4853333333331</v>
      </c>
      <c r="BA128" s="413">
        <f t="shared" si="35"/>
        <v>6394.7166666666662</v>
      </c>
    </row>
    <row r="129" spans="1:53">
      <c r="A129" s="428" t="s">
        <v>159</v>
      </c>
      <c r="B129" s="26" t="s">
        <v>178</v>
      </c>
      <c r="C129" s="27" t="s">
        <v>931</v>
      </c>
      <c r="D129" s="28">
        <v>138558</v>
      </c>
      <c r="E129" s="566">
        <v>6</v>
      </c>
      <c r="F129" s="410"/>
      <c r="G129" s="411"/>
      <c r="H129" s="410"/>
      <c r="I129" s="411"/>
      <c r="J129" s="410">
        <v>36718.449999999997</v>
      </c>
      <c r="K129" s="411">
        <v>42933</v>
      </c>
      <c r="L129" s="410">
        <v>5607.36</v>
      </c>
      <c r="M129" s="411">
        <v>9366</v>
      </c>
      <c r="N129" s="410">
        <v>49364</v>
      </c>
      <c r="O129" s="411">
        <v>45340</v>
      </c>
      <c r="P129" s="412">
        <f t="shared" si="36"/>
        <v>91689.81</v>
      </c>
      <c r="Q129" s="412">
        <f t="shared" si="37"/>
        <v>3056.3269999999998</v>
      </c>
      <c r="R129" s="413">
        <f t="shared" si="38"/>
        <v>97639</v>
      </c>
      <c r="S129" s="413">
        <f t="shared" si="39"/>
        <v>3254.6333333333332</v>
      </c>
      <c r="T129" s="410">
        <v>9235</v>
      </c>
      <c r="U129" s="411">
        <v>6837</v>
      </c>
      <c r="V129" s="412">
        <f t="shared" si="40"/>
        <v>91689.81</v>
      </c>
      <c r="W129" s="413">
        <f t="shared" si="41"/>
        <v>97639</v>
      </c>
      <c r="X129" s="410"/>
      <c r="Y129" s="411"/>
      <c r="Z129" s="410"/>
      <c r="AA129" s="411"/>
      <c r="AB129" s="410"/>
      <c r="AC129" s="411"/>
      <c r="AD129" s="410"/>
      <c r="AE129" s="411"/>
      <c r="AF129" s="412">
        <f t="shared" si="42"/>
        <v>0</v>
      </c>
      <c r="AG129" s="412">
        <f t="shared" si="43"/>
        <v>0</v>
      </c>
      <c r="AH129" s="413">
        <f t="shared" si="44"/>
        <v>0</v>
      </c>
      <c r="AI129" s="413">
        <f t="shared" si="45"/>
        <v>0</v>
      </c>
      <c r="AJ129" s="410"/>
      <c r="AK129" s="411"/>
      <c r="AL129" s="412">
        <f t="shared" si="28"/>
        <v>0</v>
      </c>
      <c r="AM129" s="413">
        <f t="shared" si="29"/>
        <v>0</v>
      </c>
      <c r="AN129" s="410"/>
      <c r="AO129" s="411"/>
      <c r="AP129" s="410"/>
      <c r="AQ129" s="411"/>
      <c r="AR129" s="410"/>
      <c r="AS129" s="411"/>
      <c r="AT129" s="410"/>
      <c r="AU129" s="411"/>
      <c r="AV129" s="412">
        <f t="shared" si="30"/>
        <v>0</v>
      </c>
      <c r="AW129" s="412">
        <f t="shared" si="31"/>
        <v>0</v>
      </c>
      <c r="AX129" s="413">
        <f t="shared" si="32"/>
        <v>0</v>
      </c>
      <c r="AY129" s="413">
        <f t="shared" si="33"/>
        <v>0</v>
      </c>
      <c r="AZ129" s="412">
        <f t="shared" si="34"/>
        <v>3056.3269999999998</v>
      </c>
      <c r="BA129" s="413">
        <f t="shared" si="35"/>
        <v>3254.6333333333332</v>
      </c>
    </row>
    <row r="130" spans="1:53">
      <c r="A130" s="428" t="s">
        <v>159</v>
      </c>
      <c r="B130" s="26" t="s">
        <v>181</v>
      </c>
      <c r="C130" s="27"/>
      <c r="D130" s="28">
        <v>138901</v>
      </c>
      <c r="E130" s="430">
        <v>7</v>
      </c>
      <c r="F130" s="410"/>
      <c r="G130" s="411"/>
      <c r="H130" s="410"/>
      <c r="I130" s="411"/>
      <c r="J130" s="410">
        <v>22399.45</v>
      </c>
      <c r="K130" s="411">
        <v>20318</v>
      </c>
      <c r="L130" s="410">
        <v>7054.36</v>
      </c>
      <c r="M130" s="411">
        <v>6218</v>
      </c>
      <c r="N130" s="410">
        <v>21982</v>
      </c>
      <c r="O130" s="411">
        <v>17499</v>
      </c>
      <c r="P130" s="412">
        <f t="shared" si="36"/>
        <v>51435.81</v>
      </c>
      <c r="Q130" s="412">
        <f t="shared" si="37"/>
        <v>1714.5269999999998</v>
      </c>
      <c r="R130" s="413">
        <f t="shared" si="38"/>
        <v>44035</v>
      </c>
      <c r="S130" s="413">
        <f t="shared" si="39"/>
        <v>1467.8333333333333</v>
      </c>
      <c r="T130" s="410">
        <v>3788</v>
      </c>
      <c r="U130" s="411">
        <v>2957</v>
      </c>
      <c r="V130" s="412">
        <f t="shared" si="40"/>
        <v>51435.81</v>
      </c>
      <c r="W130" s="413">
        <f t="shared" si="41"/>
        <v>44035</v>
      </c>
      <c r="X130" s="410"/>
      <c r="Y130" s="411"/>
      <c r="Z130" s="410"/>
      <c r="AA130" s="411"/>
      <c r="AB130" s="410"/>
      <c r="AC130" s="411"/>
      <c r="AD130" s="410"/>
      <c r="AE130" s="411"/>
      <c r="AF130" s="412">
        <f t="shared" si="42"/>
        <v>0</v>
      </c>
      <c r="AG130" s="412">
        <f t="shared" si="43"/>
        <v>0</v>
      </c>
      <c r="AH130" s="413">
        <f t="shared" si="44"/>
        <v>0</v>
      </c>
      <c r="AI130" s="413">
        <f t="shared" si="45"/>
        <v>0</v>
      </c>
      <c r="AJ130" s="410"/>
      <c r="AK130" s="411"/>
      <c r="AL130" s="412">
        <f t="shared" si="28"/>
        <v>0</v>
      </c>
      <c r="AM130" s="413">
        <f t="shared" si="29"/>
        <v>0</v>
      </c>
      <c r="AN130" s="410"/>
      <c r="AO130" s="411"/>
      <c r="AP130" s="410"/>
      <c r="AQ130" s="411"/>
      <c r="AR130" s="410"/>
      <c r="AS130" s="411"/>
      <c r="AT130" s="410"/>
      <c r="AU130" s="411"/>
      <c r="AV130" s="412">
        <f t="shared" si="30"/>
        <v>0</v>
      </c>
      <c r="AW130" s="412">
        <f t="shared" si="31"/>
        <v>0</v>
      </c>
      <c r="AX130" s="413">
        <f t="shared" si="32"/>
        <v>0</v>
      </c>
      <c r="AY130" s="413">
        <f t="shared" si="33"/>
        <v>0</v>
      </c>
      <c r="AZ130" s="412">
        <f t="shared" si="34"/>
        <v>1714.5269999999998</v>
      </c>
      <c r="BA130" s="413">
        <f t="shared" si="35"/>
        <v>1467.8333333333333</v>
      </c>
    </row>
    <row r="131" spans="1:53">
      <c r="A131" s="428" t="s">
        <v>159</v>
      </c>
      <c r="B131" s="26" t="s">
        <v>183</v>
      </c>
      <c r="C131" s="27"/>
      <c r="D131" s="28">
        <v>139621</v>
      </c>
      <c r="E131" s="430">
        <v>7</v>
      </c>
      <c r="F131" s="410"/>
      <c r="G131" s="411"/>
      <c r="H131" s="410"/>
      <c r="I131" s="411"/>
      <c r="J131" s="410">
        <v>29346.45</v>
      </c>
      <c r="K131" s="411">
        <v>29103</v>
      </c>
      <c r="L131" s="410">
        <v>5845.36</v>
      </c>
      <c r="M131" s="411">
        <v>5468</v>
      </c>
      <c r="N131" s="410">
        <v>33683</v>
      </c>
      <c r="O131" s="411">
        <v>31567</v>
      </c>
      <c r="P131" s="412">
        <f t="shared" si="36"/>
        <v>68874.81</v>
      </c>
      <c r="Q131" s="412">
        <f t="shared" si="37"/>
        <v>2295.8269999999998</v>
      </c>
      <c r="R131" s="413">
        <f t="shared" si="38"/>
        <v>66138</v>
      </c>
      <c r="S131" s="413">
        <f t="shared" si="39"/>
        <v>2204.6</v>
      </c>
      <c r="T131" s="410">
        <v>5317</v>
      </c>
      <c r="U131" s="411">
        <v>4642</v>
      </c>
      <c r="V131" s="412">
        <f t="shared" si="40"/>
        <v>68874.81</v>
      </c>
      <c r="W131" s="413">
        <f t="shared" si="41"/>
        <v>66138</v>
      </c>
      <c r="X131" s="410"/>
      <c r="Y131" s="411"/>
      <c r="Z131" s="410"/>
      <c r="AA131" s="411"/>
      <c r="AB131" s="410"/>
      <c r="AC131" s="411"/>
      <c r="AD131" s="410"/>
      <c r="AE131" s="411"/>
      <c r="AF131" s="412">
        <f t="shared" si="42"/>
        <v>0</v>
      </c>
      <c r="AG131" s="412">
        <f t="shared" si="43"/>
        <v>0</v>
      </c>
      <c r="AH131" s="413">
        <f t="shared" si="44"/>
        <v>0</v>
      </c>
      <c r="AI131" s="413">
        <f t="shared" si="45"/>
        <v>0</v>
      </c>
      <c r="AJ131" s="410"/>
      <c r="AK131" s="411"/>
      <c r="AL131" s="412">
        <f t="shared" si="28"/>
        <v>0</v>
      </c>
      <c r="AM131" s="413">
        <f t="shared" si="29"/>
        <v>0</v>
      </c>
      <c r="AN131" s="410"/>
      <c r="AO131" s="411"/>
      <c r="AP131" s="410"/>
      <c r="AQ131" s="411"/>
      <c r="AR131" s="410"/>
      <c r="AS131" s="411"/>
      <c r="AT131" s="410"/>
      <c r="AU131" s="411"/>
      <c r="AV131" s="412">
        <f t="shared" si="30"/>
        <v>0</v>
      </c>
      <c r="AW131" s="412">
        <f t="shared" si="31"/>
        <v>0</v>
      </c>
      <c r="AX131" s="413">
        <f t="shared" si="32"/>
        <v>0</v>
      </c>
      <c r="AY131" s="413">
        <f t="shared" si="33"/>
        <v>0</v>
      </c>
      <c r="AZ131" s="412">
        <f t="shared" si="34"/>
        <v>2295.8269999999998</v>
      </c>
      <c r="BA131" s="413">
        <f t="shared" si="35"/>
        <v>2204.6</v>
      </c>
    </row>
    <row r="132" spans="1:53">
      <c r="A132" s="428" t="s">
        <v>159</v>
      </c>
      <c r="B132" s="26" t="s">
        <v>184</v>
      </c>
      <c r="C132" s="27"/>
      <c r="D132" s="28">
        <v>139700</v>
      </c>
      <c r="E132" s="430">
        <v>7</v>
      </c>
      <c r="F132" s="410"/>
      <c r="G132" s="411"/>
      <c r="H132" s="410"/>
      <c r="I132" s="411"/>
      <c r="J132" s="410">
        <v>56873.45</v>
      </c>
      <c r="K132" s="411">
        <v>56720</v>
      </c>
      <c r="L132" s="410">
        <v>14176.36</v>
      </c>
      <c r="M132" s="411">
        <v>13779</v>
      </c>
      <c r="N132" s="410">
        <v>63634</v>
      </c>
      <c r="O132" s="411">
        <v>62364</v>
      </c>
      <c r="P132" s="412">
        <f t="shared" si="36"/>
        <v>134683.81</v>
      </c>
      <c r="Q132" s="412">
        <f t="shared" si="37"/>
        <v>4489.4603333333334</v>
      </c>
      <c r="R132" s="413">
        <f t="shared" si="38"/>
        <v>132863</v>
      </c>
      <c r="S132" s="413">
        <f t="shared" si="39"/>
        <v>4428.7666666666664</v>
      </c>
      <c r="T132" s="410">
        <v>5616</v>
      </c>
      <c r="U132" s="411">
        <v>6193</v>
      </c>
      <c r="V132" s="412">
        <f t="shared" si="40"/>
        <v>134683.81</v>
      </c>
      <c r="W132" s="413">
        <f t="shared" si="41"/>
        <v>132863</v>
      </c>
      <c r="X132" s="410"/>
      <c r="Y132" s="411"/>
      <c r="Z132" s="410"/>
      <c r="AA132" s="411"/>
      <c r="AB132" s="410"/>
      <c r="AC132" s="411"/>
      <c r="AD132" s="410"/>
      <c r="AE132" s="411"/>
      <c r="AF132" s="412">
        <f t="shared" si="42"/>
        <v>0</v>
      </c>
      <c r="AG132" s="412">
        <f t="shared" si="43"/>
        <v>0</v>
      </c>
      <c r="AH132" s="413">
        <f t="shared" si="44"/>
        <v>0</v>
      </c>
      <c r="AI132" s="413">
        <f t="shared" si="45"/>
        <v>0</v>
      </c>
      <c r="AJ132" s="410"/>
      <c r="AK132" s="411"/>
      <c r="AL132" s="412">
        <f t="shared" si="28"/>
        <v>0</v>
      </c>
      <c r="AM132" s="413">
        <f t="shared" si="29"/>
        <v>0</v>
      </c>
      <c r="AN132" s="410"/>
      <c r="AO132" s="411"/>
      <c r="AP132" s="410"/>
      <c r="AQ132" s="411"/>
      <c r="AR132" s="410"/>
      <c r="AS132" s="411"/>
      <c r="AT132" s="410"/>
      <c r="AU132" s="411"/>
      <c r="AV132" s="412">
        <f t="shared" si="30"/>
        <v>0</v>
      </c>
      <c r="AW132" s="412">
        <f t="shared" si="31"/>
        <v>0</v>
      </c>
      <c r="AX132" s="413">
        <f t="shared" si="32"/>
        <v>0</v>
      </c>
      <c r="AY132" s="413">
        <f t="shared" si="33"/>
        <v>0</v>
      </c>
      <c r="AZ132" s="412">
        <f t="shared" si="34"/>
        <v>4489.4603333333334</v>
      </c>
      <c r="BA132" s="413">
        <f t="shared" si="35"/>
        <v>4428.7666666666664</v>
      </c>
    </row>
    <row r="133" spans="1:53">
      <c r="A133" s="428" t="s">
        <v>159</v>
      </c>
      <c r="B133" s="26" t="s">
        <v>180</v>
      </c>
      <c r="C133" s="27" t="s">
        <v>931</v>
      </c>
      <c r="D133" s="28">
        <v>139968</v>
      </c>
      <c r="E133" s="566">
        <v>6</v>
      </c>
      <c r="F133" s="410"/>
      <c r="G133" s="411"/>
      <c r="H133" s="410"/>
      <c r="I133" s="411"/>
      <c r="J133" s="410">
        <v>40129.449999999997</v>
      </c>
      <c r="K133" s="411">
        <v>37179</v>
      </c>
      <c r="L133" s="410">
        <v>5584.36</v>
      </c>
      <c r="M133" s="411">
        <v>5317</v>
      </c>
      <c r="N133" s="410">
        <v>43385</v>
      </c>
      <c r="O133" s="411">
        <v>40865</v>
      </c>
      <c r="P133" s="412">
        <f t="shared" si="36"/>
        <v>89098.81</v>
      </c>
      <c r="Q133" s="412">
        <f t="shared" si="37"/>
        <v>2969.9603333333334</v>
      </c>
      <c r="R133" s="413">
        <f t="shared" si="38"/>
        <v>83361</v>
      </c>
      <c r="S133" s="413">
        <f t="shared" si="39"/>
        <v>2778.7</v>
      </c>
      <c r="T133" s="410">
        <v>7388</v>
      </c>
      <c r="U133" s="411">
        <v>7619</v>
      </c>
      <c r="V133" s="412">
        <f t="shared" si="40"/>
        <v>89098.81</v>
      </c>
      <c r="W133" s="413">
        <f t="shared" si="41"/>
        <v>83361</v>
      </c>
      <c r="X133" s="410"/>
      <c r="Y133" s="411"/>
      <c r="Z133" s="410"/>
      <c r="AA133" s="411"/>
      <c r="AB133" s="410"/>
      <c r="AC133" s="411"/>
      <c r="AD133" s="410"/>
      <c r="AE133" s="411"/>
      <c r="AF133" s="412">
        <f t="shared" si="42"/>
        <v>0</v>
      </c>
      <c r="AG133" s="412">
        <f t="shared" si="43"/>
        <v>0</v>
      </c>
      <c r="AH133" s="413">
        <f t="shared" si="44"/>
        <v>0</v>
      </c>
      <c r="AI133" s="413">
        <f t="shared" si="45"/>
        <v>0</v>
      </c>
      <c r="AJ133" s="410"/>
      <c r="AK133" s="411"/>
      <c r="AL133" s="412">
        <f t="shared" si="28"/>
        <v>0</v>
      </c>
      <c r="AM133" s="413">
        <f t="shared" si="29"/>
        <v>0</v>
      </c>
      <c r="AN133" s="410"/>
      <c r="AO133" s="411"/>
      <c r="AP133" s="410"/>
      <c r="AQ133" s="411"/>
      <c r="AR133" s="410"/>
      <c r="AS133" s="411"/>
      <c r="AT133" s="410"/>
      <c r="AU133" s="411"/>
      <c r="AV133" s="412">
        <f t="shared" si="30"/>
        <v>0</v>
      </c>
      <c r="AW133" s="412">
        <f t="shared" si="31"/>
        <v>0</v>
      </c>
      <c r="AX133" s="413">
        <f t="shared" si="32"/>
        <v>0</v>
      </c>
      <c r="AY133" s="413">
        <f t="shared" si="33"/>
        <v>0</v>
      </c>
      <c r="AZ133" s="412">
        <f t="shared" si="34"/>
        <v>2969.9603333333334</v>
      </c>
      <c r="BA133" s="413">
        <f t="shared" si="35"/>
        <v>2778.7</v>
      </c>
    </row>
    <row r="134" spans="1:53">
      <c r="A134" s="428" t="s">
        <v>159</v>
      </c>
      <c r="B134" s="26" t="s">
        <v>185</v>
      </c>
      <c r="C134" s="27"/>
      <c r="D134" s="28">
        <v>482699</v>
      </c>
      <c r="E134" s="430">
        <v>7</v>
      </c>
      <c r="F134" s="410"/>
      <c r="G134" s="411"/>
      <c r="H134" s="410"/>
      <c r="I134" s="411"/>
      <c r="J134" s="410">
        <v>26671.45</v>
      </c>
      <c r="K134" s="411">
        <v>25962</v>
      </c>
      <c r="L134" s="410">
        <v>6656.36</v>
      </c>
      <c r="M134" s="411">
        <v>7286</v>
      </c>
      <c r="N134" s="410">
        <v>28438</v>
      </c>
      <c r="O134" s="411">
        <v>26496</v>
      </c>
      <c r="P134" s="412">
        <f t="shared" si="36"/>
        <v>61765.81</v>
      </c>
      <c r="Q134" s="412">
        <f t="shared" si="37"/>
        <v>2058.8603333333331</v>
      </c>
      <c r="R134" s="413">
        <f t="shared" si="38"/>
        <v>59744</v>
      </c>
      <c r="S134" s="413">
        <f t="shared" si="39"/>
        <v>1991.4666666666667</v>
      </c>
      <c r="T134" s="410">
        <v>7154</v>
      </c>
      <c r="U134" s="411">
        <v>6628</v>
      </c>
      <c r="V134" s="412">
        <f t="shared" si="40"/>
        <v>61765.81</v>
      </c>
      <c r="W134" s="413">
        <f t="shared" si="41"/>
        <v>59744</v>
      </c>
      <c r="X134" s="410"/>
      <c r="Y134" s="411"/>
      <c r="Z134" s="410"/>
      <c r="AA134" s="411"/>
      <c r="AB134" s="410"/>
      <c r="AC134" s="411"/>
      <c r="AD134" s="410"/>
      <c r="AE134" s="411"/>
      <c r="AF134" s="412">
        <f t="shared" si="42"/>
        <v>0</v>
      </c>
      <c r="AG134" s="412">
        <f t="shared" si="43"/>
        <v>0</v>
      </c>
      <c r="AH134" s="413">
        <f t="shared" si="44"/>
        <v>0</v>
      </c>
      <c r="AI134" s="413">
        <f t="shared" si="45"/>
        <v>0</v>
      </c>
      <c r="AJ134" s="410"/>
      <c r="AK134" s="411"/>
      <c r="AL134" s="412">
        <f t="shared" si="28"/>
        <v>0</v>
      </c>
      <c r="AM134" s="413">
        <f t="shared" si="29"/>
        <v>0</v>
      </c>
      <c r="AN134" s="410"/>
      <c r="AO134" s="411"/>
      <c r="AP134" s="410"/>
      <c r="AQ134" s="411"/>
      <c r="AR134" s="410"/>
      <c r="AS134" s="411"/>
      <c r="AT134" s="410"/>
      <c r="AU134" s="411"/>
      <c r="AV134" s="412">
        <f t="shared" si="30"/>
        <v>0</v>
      </c>
      <c r="AW134" s="412">
        <f t="shared" si="31"/>
        <v>0</v>
      </c>
      <c r="AX134" s="413">
        <f t="shared" si="32"/>
        <v>0</v>
      </c>
      <c r="AY134" s="413">
        <f t="shared" si="33"/>
        <v>0</v>
      </c>
      <c r="AZ134" s="412">
        <f t="shared" si="34"/>
        <v>2058.8603333333331</v>
      </c>
      <c r="BA134" s="413">
        <f t="shared" si="35"/>
        <v>1991.4666666666667</v>
      </c>
    </row>
    <row r="135" spans="1:53">
      <c r="A135" s="518" t="s">
        <v>159</v>
      </c>
      <c r="B135" s="521" t="s">
        <v>182</v>
      </c>
      <c r="C135" s="519" t="s">
        <v>890</v>
      </c>
      <c r="D135" s="28">
        <v>139010</v>
      </c>
      <c r="E135" s="430">
        <v>10</v>
      </c>
      <c r="F135" s="410"/>
      <c r="G135" s="411"/>
      <c r="H135" s="410"/>
      <c r="I135" s="411"/>
      <c r="J135" s="410">
        <v>14313.45</v>
      </c>
      <c r="K135" s="411"/>
      <c r="L135" s="410">
        <v>5830.36</v>
      </c>
      <c r="M135" s="411"/>
      <c r="N135" s="410"/>
      <c r="O135" s="411"/>
      <c r="P135" s="412">
        <f t="shared" si="36"/>
        <v>20143.810000000001</v>
      </c>
      <c r="Q135" s="412">
        <f t="shared" si="37"/>
        <v>671.46033333333332</v>
      </c>
      <c r="R135" s="413">
        <f t="shared" si="38"/>
        <v>0</v>
      </c>
      <c r="S135" s="413">
        <f t="shared" si="39"/>
        <v>0</v>
      </c>
      <c r="T135" s="410"/>
      <c r="U135" s="411"/>
      <c r="V135" s="412">
        <f t="shared" si="40"/>
        <v>0</v>
      </c>
      <c r="W135" s="413">
        <f t="shared" si="41"/>
        <v>0</v>
      </c>
      <c r="X135" s="410"/>
      <c r="Y135" s="411"/>
      <c r="Z135" s="410"/>
      <c r="AA135" s="411"/>
      <c r="AB135" s="410"/>
      <c r="AC135" s="411"/>
      <c r="AD135" s="410"/>
      <c r="AE135" s="411"/>
      <c r="AF135" s="412">
        <f t="shared" si="42"/>
        <v>0</v>
      </c>
      <c r="AG135" s="412">
        <f t="shared" si="43"/>
        <v>0</v>
      </c>
      <c r="AH135" s="413">
        <f t="shared" si="44"/>
        <v>0</v>
      </c>
      <c r="AI135" s="413">
        <f t="shared" si="45"/>
        <v>0</v>
      </c>
      <c r="AJ135" s="410"/>
      <c r="AK135" s="411"/>
      <c r="AL135" s="412">
        <f t="shared" ref="AL135:AL198" si="46">IF(ISBLANK(AJ135),0,AF135)</f>
        <v>0</v>
      </c>
      <c r="AM135" s="413">
        <f t="shared" ref="AM135:AM198" si="47">IF(ISBLANK(AK135),0,AH135)</f>
        <v>0</v>
      </c>
      <c r="AN135" s="410"/>
      <c r="AO135" s="411"/>
      <c r="AP135" s="410"/>
      <c r="AQ135" s="411"/>
      <c r="AR135" s="410"/>
      <c r="AS135" s="411"/>
      <c r="AT135" s="410"/>
      <c r="AU135" s="411"/>
      <c r="AV135" s="412">
        <f t="shared" ref="AV135:AV198" si="48">SUM(AN135,AP135,AR135,AT135)</f>
        <v>0</v>
      </c>
      <c r="AW135" s="412">
        <f t="shared" ref="AW135:AW198" si="49">+AV135/24</f>
        <v>0</v>
      </c>
      <c r="AX135" s="413">
        <f t="shared" ref="AX135:AX198" si="50">SUM(AO135,AQ135,AS135,AU135)</f>
        <v>0</v>
      </c>
      <c r="AY135" s="413">
        <f t="shared" ref="AY135:AY198" si="51">+AX135/24</f>
        <v>0</v>
      </c>
      <c r="AZ135" s="412">
        <f t="shared" ref="AZ135:AZ198" si="52">SUM(Q135,AG135,AW135)</f>
        <v>671.46033333333332</v>
      </c>
      <c r="BA135" s="413">
        <f t="shared" ref="BA135:BA198" si="53">SUM(S135,AI135,AY135)</f>
        <v>0</v>
      </c>
    </row>
    <row r="136" spans="1:53">
      <c r="A136" s="567" t="s">
        <v>159</v>
      </c>
      <c r="B136" s="568" t="s">
        <v>186</v>
      </c>
      <c r="C136" s="559"/>
      <c r="D136" s="569">
        <v>138682</v>
      </c>
      <c r="E136" s="570">
        <v>12</v>
      </c>
      <c r="F136" s="542" t="s">
        <v>74</v>
      </c>
      <c r="G136" s="411" t="s">
        <v>74</v>
      </c>
      <c r="H136" s="542"/>
      <c r="I136" s="411"/>
      <c r="J136" s="542">
        <v>27469</v>
      </c>
      <c r="K136" s="411">
        <v>27462</v>
      </c>
      <c r="L136" s="542">
        <v>19358</v>
      </c>
      <c r="M136" s="411">
        <v>17995</v>
      </c>
      <c r="N136" s="542">
        <v>30143</v>
      </c>
      <c r="O136" s="411">
        <v>31178</v>
      </c>
      <c r="P136" s="412">
        <f t="shared" si="36"/>
        <v>76970</v>
      </c>
      <c r="Q136" s="412">
        <f t="shared" si="37"/>
        <v>2565.6666666666665</v>
      </c>
      <c r="R136" s="413">
        <f t="shared" si="38"/>
        <v>76635</v>
      </c>
      <c r="S136" s="413">
        <f t="shared" si="39"/>
        <v>2554.5</v>
      </c>
      <c r="T136" s="542">
        <v>8759</v>
      </c>
      <c r="U136" s="411">
        <v>11006</v>
      </c>
      <c r="V136" s="412">
        <f t="shared" si="40"/>
        <v>76970</v>
      </c>
      <c r="W136" s="413">
        <f t="shared" si="41"/>
        <v>76635</v>
      </c>
      <c r="X136" s="542"/>
      <c r="Y136" s="411"/>
      <c r="Z136" s="542"/>
      <c r="AA136" s="411"/>
      <c r="AB136" s="542"/>
      <c r="AC136" s="411"/>
      <c r="AD136" s="542"/>
      <c r="AE136" s="411"/>
      <c r="AF136" s="412">
        <f t="shared" si="42"/>
        <v>0</v>
      </c>
      <c r="AG136" s="412">
        <f t="shared" si="43"/>
        <v>0</v>
      </c>
      <c r="AH136" s="413">
        <f t="shared" si="44"/>
        <v>0</v>
      </c>
      <c r="AI136" s="413">
        <f t="shared" si="45"/>
        <v>0</v>
      </c>
      <c r="AJ136" s="542"/>
      <c r="AK136" s="411"/>
      <c r="AL136" s="412">
        <f t="shared" si="46"/>
        <v>0</v>
      </c>
      <c r="AM136" s="413">
        <f t="shared" si="47"/>
        <v>0</v>
      </c>
      <c r="AN136" s="542"/>
      <c r="AO136" s="411"/>
      <c r="AP136" s="542"/>
      <c r="AQ136" s="411"/>
      <c r="AR136" s="542"/>
      <c r="AS136" s="411"/>
      <c r="AT136" s="542"/>
      <c r="AU136" s="411"/>
      <c r="AV136" s="412">
        <f t="shared" si="48"/>
        <v>0</v>
      </c>
      <c r="AW136" s="412">
        <f t="shared" si="49"/>
        <v>0</v>
      </c>
      <c r="AX136" s="413">
        <f t="shared" si="50"/>
        <v>0</v>
      </c>
      <c r="AY136" s="413">
        <f t="shared" si="51"/>
        <v>0</v>
      </c>
      <c r="AZ136" s="412">
        <f t="shared" si="52"/>
        <v>2565.6666666666665</v>
      </c>
      <c r="BA136" s="413">
        <f t="shared" si="53"/>
        <v>2554.5</v>
      </c>
    </row>
    <row r="137" spans="1:53">
      <c r="A137" s="567" t="s">
        <v>159</v>
      </c>
      <c r="B137" s="568" t="s">
        <v>187</v>
      </c>
      <c r="C137" s="559"/>
      <c r="D137" s="569">
        <v>246813</v>
      </c>
      <c r="E137" s="570">
        <v>12</v>
      </c>
      <c r="F137" s="542" t="s">
        <v>74</v>
      </c>
      <c r="G137" s="411" t="s">
        <v>74</v>
      </c>
      <c r="H137" s="542"/>
      <c r="I137" s="411"/>
      <c r="J137" s="542">
        <v>33086</v>
      </c>
      <c r="K137" s="411">
        <v>33812</v>
      </c>
      <c r="L137" s="542">
        <v>15525</v>
      </c>
      <c r="M137" s="411">
        <v>15486</v>
      </c>
      <c r="N137" s="542">
        <v>37526</v>
      </c>
      <c r="O137" s="411">
        <v>36996</v>
      </c>
      <c r="P137" s="412">
        <f t="shared" si="36"/>
        <v>86137</v>
      </c>
      <c r="Q137" s="412">
        <f t="shared" si="37"/>
        <v>2871.2333333333331</v>
      </c>
      <c r="R137" s="413">
        <f t="shared" si="38"/>
        <v>86294</v>
      </c>
      <c r="S137" s="413">
        <f t="shared" si="39"/>
        <v>2876.4666666666667</v>
      </c>
      <c r="T137" s="542">
        <v>9462</v>
      </c>
      <c r="U137" s="411">
        <v>11811</v>
      </c>
      <c r="V137" s="412">
        <f t="shared" si="40"/>
        <v>86137</v>
      </c>
      <c r="W137" s="413">
        <f t="shared" si="41"/>
        <v>86294</v>
      </c>
      <c r="X137" s="542"/>
      <c r="Y137" s="411"/>
      <c r="Z137" s="542"/>
      <c r="AA137" s="411"/>
      <c r="AB137" s="542"/>
      <c r="AC137" s="411"/>
      <c r="AD137" s="542"/>
      <c r="AE137" s="411"/>
      <c r="AF137" s="412">
        <f t="shared" si="42"/>
        <v>0</v>
      </c>
      <c r="AG137" s="412">
        <f t="shared" si="43"/>
        <v>0</v>
      </c>
      <c r="AH137" s="413">
        <f t="shared" si="44"/>
        <v>0</v>
      </c>
      <c r="AI137" s="413">
        <f t="shared" si="45"/>
        <v>0</v>
      </c>
      <c r="AJ137" s="542"/>
      <c r="AK137" s="411"/>
      <c r="AL137" s="412">
        <f t="shared" si="46"/>
        <v>0</v>
      </c>
      <c r="AM137" s="413">
        <f t="shared" si="47"/>
        <v>0</v>
      </c>
      <c r="AN137" s="542"/>
      <c r="AO137" s="411"/>
      <c r="AP137" s="542"/>
      <c r="AQ137" s="411"/>
      <c r="AR137" s="542"/>
      <c r="AS137" s="411"/>
      <c r="AT137" s="542"/>
      <c r="AU137" s="411"/>
      <c r="AV137" s="412">
        <f t="shared" si="48"/>
        <v>0</v>
      </c>
      <c r="AW137" s="412">
        <f t="shared" si="49"/>
        <v>0</v>
      </c>
      <c r="AX137" s="413">
        <f t="shared" si="50"/>
        <v>0</v>
      </c>
      <c r="AY137" s="413">
        <f t="shared" si="51"/>
        <v>0</v>
      </c>
      <c r="AZ137" s="412">
        <f t="shared" si="52"/>
        <v>2871.2333333333331</v>
      </c>
      <c r="BA137" s="413">
        <f t="shared" si="53"/>
        <v>2876.4666666666667</v>
      </c>
    </row>
    <row r="138" spans="1:53">
      <c r="A138" s="567" t="s">
        <v>159</v>
      </c>
      <c r="B138" s="568" t="s">
        <v>188</v>
      </c>
      <c r="C138" s="559"/>
      <c r="D138" s="569">
        <v>138840</v>
      </c>
      <c r="E138" s="570">
        <v>12</v>
      </c>
      <c r="F138" s="542" t="s">
        <v>74</v>
      </c>
      <c r="G138" s="411" t="s">
        <v>74</v>
      </c>
      <c r="H138" s="542"/>
      <c r="I138" s="411"/>
      <c r="J138" s="542">
        <v>35168</v>
      </c>
      <c r="K138" s="411">
        <v>34432</v>
      </c>
      <c r="L138" s="542">
        <v>17390</v>
      </c>
      <c r="M138" s="411">
        <v>18347</v>
      </c>
      <c r="N138" s="542">
        <v>34001</v>
      </c>
      <c r="O138" s="411">
        <v>34831</v>
      </c>
      <c r="P138" s="412">
        <f t="shared" si="36"/>
        <v>86559</v>
      </c>
      <c r="Q138" s="412">
        <f t="shared" si="37"/>
        <v>2885.3</v>
      </c>
      <c r="R138" s="413">
        <f t="shared" si="38"/>
        <v>87610</v>
      </c>
      <c r="S138" s="413">
        <f t="shared" si="39"/>
        <v>2920.3333333333335</v>
      </c>
      <c r="T138" s="542">
        <v>2592</v>
      </c>
      <c r="U138" s="411">
        <v>3905</v>
      </c>
      <c r="V138" s="412">
        <f t="shared" si="40"/>
        <v>86559</v>
      </c>
      <c r="W138" s="413">
        <f t="shared" si="41"/>
        <v>87610</v>
      </c>
      <c r="X138" s="542"/>
      <c r="Y138" s="411"/>
      <c r="Z138" s="542"/>
      <c r="AA138" s="411"/>
      <c r="AB138" s="542"/>
      <c r="AC138" s="411"/>
      <c r="AD138" s="542"/>
      <c r="AE138" s="411"/>
      <c r="AF138" s="412">
        <f t="shared" si="42"/>
        <v>0</v>
      </c>
      <c r="AG138" s="412">
        <f t="shared" si="43"/>
        <v>0</v>
      </c>
      <c r="AH138" s="413">
        <f t="shared" si="44"/>
        <v>0</v>
      </c>
      <c r="AI138" s="413">
        <f t="shared" si="45"/>
        <v>0</v>
      </c>
      <c r="AJ138" s="542"/>
      <c r="AK138" s="411"/>
      <c r="AL138" s="412">
        <f t="shared" si="46"/>
        <v>0</v>
      </c>
      <c r="AM138" s="413">
        <f t="shared" si="47"/>
        <v>0</v>
      </c>
      <c r="AN138" s="542"/>
      <c r="AO138" s="411"/>
      <c r="AP138" s="542"/>
      <c r="AQ138" s="411"/>
      <c r="AR138" s="542"/>
      <c r="AS138" s="411"/>
      <c r="AT138" s="542"/>
      <c r="AU138" s="411"/>
      <c r="AV138" s="412">
        <f t="shared" si="48"/>
        <v>0</v>
      </c>
      <c r="AW138" s="412">
        <f t="shared" si="49"/>
        <v>0</v>
      </c>
      <c r="AX138" s="413">
        <f t="shared" si="50"/>
        <v>0</v>
      </c>
      <c r="AY138" s="413">
        <f t="shared" si="51"/>
        <v>0</v>
      </c>
      <c r="AZ138" s="412">
        <f t="shared" si="52"/>
        <v>2885.3</v>
      </c>
      <c r="BA138" s="413">
        <f t="shared" si="53"/>
        <v>2920.3333333333335</v>
      </c>
    </row>
    <row r="139" spans="1:53" ht="12.5">
      <c r="A139" s="567" t="s">
        <v>159</v>
      </c>
      <c r="B139" s="568" t="s">
        <v>189</v>
      </c>
      <c r="C139" s="568"/>
      <c r="D139" s="569">
        <v>138956</v>
      </c>
      <c r="E139" s="570">
        <v>12</v>
      </c>
      <c r="F139" s="542" t="s">
        <v>74</v>
      </c>
      <c r="G139" s="411" t="s">
        <v>74</v>
      </c>
      <c r="H139" s="542"/>
      <c r="I139" s="411"/>
      <c r="J139" s="542">
        <v>39056</v>
      </c>
      <c r="K139" s="411">
        <v>37560</v>
      </c>
      <c r="L139" s="542">
        <v>19749</v>
      </c>
      <c r="M139" s="411">
        <v>19099</v>
      </c>
      <c r="N139" s="542">
        <v>41682</v>
      </c>
      <c r="O139" s="411">
        <v>39567</v>
      </c>
      <c r="P139" s="412">
        <f t="shared" si="36"/>
        <v>100487</v>
      </c>
      <c r="Q139" s="412">
        <f t="shared" si="37"/>
        <v>3349.5666666666666</v>
      </c>
      <c r="R139" s="413">
        <f t="shared" si="38"/>
        <v>96226</v>
      </c>
      <c r="S139" s="413">
        <f t="shared" si="39"/>
        <v>3207.5333333333333</v>
      </c>
      <c r="T139" s="542">
        <v>6164</v>
      </c>
      <c r="U139" s="411">
        <v>7501</v>
      </c>
      <c r="V139" s="412">
        <f t="shared" si="40"/>
        <v>100487</v>
      </c>
      <c r="W139" s="413">
        <f t="shared" si="41"/>
        <v>96226</v>
      </c>
      <c r="X139" s="542"/>
      <c r="Y139" s="411"/>
      <c r="Z139" s="542"/>
      <c r="AA139" s="411"/>
      <c r="AB139" s="542"/>
      <c r="AC139" s="411"/>
      <c r="AD139" s="542"/>
      <c r="AE139" s="411"/>
      <c r="AF139" s="412">
        <f t="shared" si="42"/>
        <v>0</v>
      </c>
      <c r="AG139" s="412">
        <f t="shared" si="43"/>
        <v>0</v>
      </c>
      <c r="AH139" s="413">
        <f t="shared" si="44"/>
        <v>0</v>
      </c>
      <c r="AI139" s="413">
        <f t="shared" si="45"/>
        <v>0</v>
      </c>
      <c r="AJ139" s="542"/>
      <c r="AK139" s="411"/>
      <c r="AL139" s="412">
        <f t="shared" si="46"/>
        <v>0</v>
      </c>
      <c r="AM139" s="413">
        <f t="shared" si="47"/>
        <v>0</v>
      </c>
      <c r="AN139" s="542"/>
      <c r="AO139" s="411"/>
      <c r="AP139" s="542"/>
      <c r="AQ139" s="411"/>
      <c r="AR139" s="542"/>
      <c r="AS139" s="411"/>
      <c r="AT139" s="542"/>
      <c r="AU139" s="411"/>
      <c r="AV139" s="412">
        <f t="shared" si="48"/>
        <v>0</v>
      </c>
      <c r="AW139" s="412">
        <f t="shared" si="49"/>
        <v>0</v>
      </c>
      <c r="AX139" s="413">
        <f t="shared" si="50"/>
        <v>0</v>
      </c>
      <c r="AY139" s="413">
        <f t="shared" si="51"/>
        <v>0</v>
      </c>
      <c r="AZ139" s="412">
        <f t="shared" si="52"/>
        <v>3349.5666666666666</v>
      </c>
      <c r="BA139" s="413">
        <f t="shared" si="53"/>
        <v>3207.5333333333333</v>
      </c>
    </row>
    <row r="140" spans="1:53" ht="12.5">
      <c r="A140" s="567" t="s">
        <v>159</v>
      </c>
      <c r="B140" s="568" t="s">
        <v>190</v>
      </c>
      <c r="C140" s="568"/>
      <c r="D140" s="569">
        <v>483045</v>
      </c>
      <c r="E140" s="570">
        <v>12</v>
      </c>
      <c r="F140" s="542" t="s">
        <v>74</v>
      </c>
      <c r="G140" s="411" t="s">
        <v>74</v>
      </c>
      <c r="H140" s="542"/>
      <c r="I140" s="411"/>
      <c r="J140" s="542">
        <v>63810</v>
      </c>
      <c r="K140" s="411">
        <v>63676</v>
      </c>
      <c r="L140" s="542">
        <v>36568</v>
      </c>
      <c r="M140" s="411">
        <v>34123</v>
      </c>
      <c r="N140" s="542">
        <v>69639</v>
      </c>
      <c r="O140" s="411">
        <v>69761</v>
      </c>
      <c r="P140" s="412">
        <f t="shared" si="36"/>
        <v>170017</v>
      </c>
      <c r="Q140" s="412">
        <f t="shared" si="37"/>
        <v>5667.2333333333336</v>
      </c>
      <c r="R140" s="413">
        <f t="shared" si="38"/>
        <v>167560</v>
      </c>
      <c r="S140" s="413">
        <f t="shared" si="39"/>
        <v>5585.333333333333</v>
      </c>
      <c r="T140" s="542">
        <v>22417</v>
      </c>
      <c r="U140" s="411">
        <v>26969</v>
      </c>
      <c r="V140" s="412">
        <f t="shared" si="40"/>
        <v>170017</v>
      </c>
      <c r="W140" s="413">
        <f t="shared" si="41"/>
        <v>167560</v>
      </c>
      <c r="X140" s="542"/>
      <c r="Y140" s="411"/>
      <c r="Z140" s="542"/>
      <c r="AA140" s="411"/>
      <c r="AB140" s="542"/>
      <c r="AC140" s="411"/>
      <c r="AD140" s="542"/>
      <c r="AE140" s="411"/>
      <c r="AF140" s="412">
        <f t="shared" si="42"/>
        <v>0</v>
      </c>
      <c r="AG140" s="412">
        <f t="shared" si="43"/>
        <v>0</v>
      </c>
      <c r="AH140" s="413">
        <f t="shared" si="44"/>
        <v>0</v>
      </c>
      <c r="AI140" s="413">
        <f t="shared" si="45"/>
        <v>0</v>
      </c>
      <c r="AJ140" s="542"/>
      <c r="AK140" s="411"/>
      <c r="AL140" s="412">
        <f t="shared" si="46"/>
        <v>0</v>
      </c>
      <c r="AM140" s="413">
        <f t="shared" si="47"/>
        <v>0</v>
      </c>
      <c r="AN140" s="542"/>
      <c r="AO140" s="411"/>
      <c r="AP140" s="542"/>
      <c r="AQ140" s="411"/>
      <c r="AR140" s="542"/>
      <c r="AS140" s="411"/>
      <c r="AT140" s="542"/>
      <c r="AU140" s="411"/>
      <c r="AV140" s="412">
        <f t="shared" si="48"/>
        <v>0</v>
      </c>
      <c r="AW140" s="412">
        <f t="shared" si="49"/>
        <v>0</v>
      </c>
      <c r="AX140" s="413">
        <f t="shared" si="50"/>
        <v>0</v>
      </c>
      <c r="AY140" s="413">
        <f t="shared" si="51"/>
        <v>0</v>
      </c>
      <c r="AZ140" s="412">
        <f t="shared" si="52"/>
        <v>5667.2333333333336</v>
      </c>
      <c r="BA140" s="413">
        <f t="shared" si="53"/>
        <v>5585.333333333333</v>
      </c>
    </row>
    <row r="141" spans="1:53" ht="12.5">
      <c r="A141" s="567" t="s">
        <v>159</v>
      </c>
      <c r="B141" s="568" t="s">
        <v>191</v>
      </c>
      <c r="C141" s="568"/>
      <c r="D141" s="569">
        <v>140331</v>
      </c>
      <c r="E141" s="570">
        <v>12</v>
      </c>
      <c r="F141" s="542" t="s">
        <v>74</v>
      </c>
      <c r="G141" s="411" t="s">
        <v>74</v>
      </c>
      <c r="H141" s="542"/>
      <c r="I141" s="411"/>
      <c r="J141" s="542">
        <v>78396</v>
      </c>
      <c r="K141" s="411">
        <v>80430</v>
      </c>
      <c r="L141" s="542">
        <v>29544</v>
      </c>
      <c r="M141" s="411">
        <v>28075</v>
      </c>
      <c r="N141" s="542">
        <v>86552</v>
      </c>
      <c r="O141" s="411">
        <v>84859</v>
      </c>
      <c r="P141" s="412">
        <f t="shared" si="36"/>
        <v>194492</v>
      </c>
      <c r="Q141" s="412">
        <f t="shared" si="37"/>
        <v>6483.0666666666666</v>
      </c>
      <c r="R141" s="413">
        <f t="shared" si="38"/>
        <v>193364</v>
      </c>
      <c r="S141" s="413">
        <f t="shared" si="39"/>
        <v>6445.4666666666662</v>
      </c>
      <c r="T141" s="542">
        <v>27345.5</v>
      </c>
      <c r="U141" s="411">
        <v>28113</v>
      </c>
      <c r="V141" s="412">
        <f t="shared" si="40"/>
        <v>194492</v>
      </c>
      <c r="W141" s="413">
        <f t="shared" si="41"/>
        <v>193364</v>
      </c>
      <c r="X141" s="542"/>
      <c r="Y141" s="411"/>
      <c r="Z141" s="542"/>
      <c r="AA141" s="411"/>
      <c r="AB141" s="542"/>
      <c r="AC141" s="411"/>
      <c r="AD141" s="542"/>
      <c r="AE141" s="411"/>
      <c r="AF141" s="412">
        <f t="shared" si="42"/>
        <v>0</v>
      </c>
      <c r="AG141" s="412">
        <f t="shared" si="43"/>
        <v>0</v>
      </c>
      <c r="AH141" s="413">
        <f t="shared" si="44"/>
        <v>0</v>
      </c>
      <c r="AI141" s="413">
        <f t="shared" si="45"/>
        <v>0</v>
      </c>
      <c r="AJ141" s="542"/>
      <c r="AK141" s="411"/>
      <c r="AL141" s="412">
        <f t="shared" si="46"/>
        <v>0</v>
      </c>
      <c r="AM141" s="413">
        <f t="shared" si="47"/>
        <v>0</v>
      </c>
      <c r="AN141" s="542"/>
      <c r="AO141" s="411"/>
      <c r="AP141" s="542"/>
      <c r="AQ141" s="411"/>
      <c r="AR141" s="542"/>
      <c r="AS141" s="411"/>
      <c r="AT141" s="542"/>
      <c r="AU141" s="411"/>
      <c r="AV141" s="412">
        <f t="shared" si="48"/>
        <v>0</v>
      </c>
      <c r="AW141" s="412">
        <f t="shared" si="49"/>
        <v>0</v>
      </c>
      <c r="AX141" s="413">
        <f t="shared" si="50"/>
        <v>0</v>
      </c>
      <c r="AY141" s="413">
        <f t="shared" si="51"/>
        <v>0</v>
      </c>
      <c r="AZ141" s="412">
        <f t="shared" si="52"/>
        <v>6483.0666666666666</v>
      </c>
      <c r="BA141" s="413">
        <f t="shared" si="53"/>
        <v>6445.4666666666662</v>
      </c>
    </row>
    <row r="142" spans="1:53" ht="12.5">
      <c r="A142" s="569" t="s">
        <v>159</v>
      </c>
      <c r="B142" s="571" t="s">
        <v>192</v>
      </c>
      <c r="C142" s="568"/>
      <c r="D142" s="572">
        <v>485458</v>
      </c>
      <c r="E142" s="570">
        <v>12</v>
      </c>
      <c r="F142" s="542" t="s">
        <v>74</v>
      </c>
      <c r="G142" s="411" t="s">
        <v>74</v>
      </c>
      <c r="H142" s="542"/>
      <c r="I142" s="411"/>
      <c r="J142" s="542">
        <v>23988</v>
      </c>
      <c r="K142" s="411">
        <v>29018</v>
      </c>
      <c r="L142" s="542">
        <v>10419</v>
      </c>
      <c r="M142" s="411">
        <v>10783</v>
      </c>
      <c r="N142" s="542">
        <v>26459</v>
      </c>
      <c r="O142" s="411">
        <v>32337</v>
      </c>
      <c r="P142" s="412">
        <f t="shared" si="36"/>
        <v>60866</v>
      </c>
      <c r="Q142" s="412">
        <f t="shared" si="37"/>
        <v>2028.8666666666666</v>
      </c>
      <c r="R142" s="413">
        <f t="shared" si="38"/>
        <v>72138</v>
      </c>
      <c r="S142" s="413">
        <f t="shared" si="39"/>
        <v>2404.6</v>
      </c>
      <c r="T142" s="542">
        <v>22495</v>
      </c>
      <c r="U142" s="411">
        <v>31605</v>
      </c>
      <c r="V142" s="412">
        <f t="shared" si="40"/>
        <v>60866</v>
      </c>
      <c r="W142" s="413">
        <f t="shared" si="41"/>
        <v>72138</v>
      </c>
      <c r="X142" s="542"/>
      <c r="Y142" s="411"/>
      <c r="Z142" s="542"/>
      <c r="AA142" s="411"/>
      <c r="AB142" s="542"/>
      <c r="AC142" s="411"/>
      <c r="AD142" s="542"/>
      <c r="AE142" s="411"/>
      <c r="AF142" s="412">
        <f t="shared" si="42"/>
        <v>0</v>
      </c>
      <c r="AG142" s="412">
        <f t="shared" si="43"/>
        <v>0</v>
      </c>
      <c r="AH142" s="413">
        <f t="shared" si="44"/>
        <v>0</v>
      </c>
      <c r="AI142" s="413">
        <f t="shared" si="45"/>
        <v>0</v>
      </c>
      <c r="AJ142" s="542"/>
      <c r="AK142" s="411"/>
      <c r="AL142" s="412">
        <f t="shared" si="46"/>
        <v>0</v>
      </c>
      <c r="AM142" s="413">
        <f t="shared" si="47"/>
        <v>0</v>
      </c>
      <c r="AN142" s="542"/>
      <c r="AO142" s="411"/>
      <c r="AP142" s="542"/>
      <c r="AQ142" s="411"/>
      <c r="AR142" s="542"/>
      <c r="AS142" s="411"/>
      <c r="AT142" s="542"/>
      <c r="AU142" s="411"/>
      <c r="AV142" s="412">
        <f t="shared" si="48"/>
        <v>0</v>
      </c>
      <c r="AW142" s="412">
        <f t="shared" si="49"/>
        <v>0</v>
      </c>
      <c r="AX142" s="413">
        <f t="shared" si="50"/>
        <v>0</v>
      </c>
      <c r="AY142" s="413">
        <f t="shared" si="51"/>
        <v>0</v>
      </c>
      <c r="AZ142" s="412">
        <f t="shared" si="52"/>
        <v>2028.8666666666666</v>
      </c>
      <c r="BA142" s="413">
        <f t="shared" si="53"/>
        <v>2404.6</v>
      </c>
    </row>
    <row r="143" spans="1:53" ht="12.5">
      <c r="A143" s="567" t="s">
        <v>159</v>
      </c>
      <c r="B143" s="568" t="s">
        <v>193</v>
      </c>
      <c r="C143" s="568"/>
      <c r="D143" s="569">
        <v>139357</v>
      </c>
      <c r="E143" s="570">
        <v>12</v>
      </c>
      <c r="F143" s="542" t="s">
        <v>74</v>
      </c>
      <c r="G143" s="411" t="s">
        <v>74</v>
      </c>
      <c r="H143" s="542"/>
      <c r="I143" s="411"/>
      <c r="J143" s="542">
        <v>25662.400000000001</v>
      </c>
      <c r="K143" s="411">
        <v>27721</v>
      </c>
      <c r="L143" s="542">
        <v>15323.5</v>
      </c>
      <c r="M143" s="411">
        <v>14830</v>
      </c>
      <c r="N143" s="542">
        <v>29266.5</v>
      </c>
      <c r="O143" s="411">
        <v>30700</v>
      </c>
      <c r="P143" s="412">
        <f t="shared" si="36"/>
        <v>70252.399999999994</v>
      </c>
      <c r="Q143" s="412">
        <f t="shared" si="37"/>
        <v>2341.7466666666664</v>
      </c>
      <c r="R143" s="413">
        <f t="shared" si="38"/>
        <v>73251</v>
      </c>
      <c r="S143" s="413">
        <f t="shared" si="39"/>
        <v>2441.6999999999998</v>
      </c>
      <c r="T143" s="542">
        <v>6863</v>
      </c>
      <c r="U143" s="411">
        <v>9103</v>
      </c>
      <c r="V143" s="412">
        <f t="shared" si="40"/>
        <v>70252.399999999994</v>
      </c>
      <c r="W143" s="413">
        <f t="shared" si="41"/>
        <v>73251</v>
      </c>
      <c r="X143" s="542"/>
      <c r="Y143" s="411"/>
      <c r="Z143" s="542"/>
      <c r="AA143" s="411"/>
      <c r="AB143" s="542"/>
      <c r="AC143" s="411"/>
      <c r="AD143" s="542"/>
      <c r="AE143" s="411"/>
      <c r="AF143" s="412">
        <f t="shared" si="42"/>
        <v>0</v>
      </c>
      <c r="AG143" s="412">
        <f t="shared" si="43"/>
        <v>0</v>
      </c>
      <c r="AH143" s="413">
        <f t="shared" si="44"/>
        <v>0</v>
      </c>
      <c r="AI143" s="413">
        <f t="shared" si="45"/>
        <v>0</v>
      </c>
      <c r="AJ143" s="542"/>
      <c r="AK143" s="411"/>
      <c r="AL143" s="412">
        <f t="shared" si="46"/>
        <v>0</v>
      </c>
      <c r="AM143" s="413">
        <f t="shared" si="47"/>
        <v>0</v>
      </c>
      <c r="AN143" s="542"/>
      <c r="AO143" s="411"/>
      <c r="AP143" s="542"/>
      <c r="AQ143" s="411"/>
      <c r="AR143" s="542"/>
      <c r="AS143" s="411"/>
      <c r="AT143" s="542"/>
      <c r="AU143" s="411"/>
      <c r="AV143" s="412">
        <f t="shared" si="48"/>
        <v>0</v>
      </c>
      <c r="AW143" s="412">
        <f t="shared" si="49"/>
        <v>0</v>
      </c>
      <c r="AX143" s="413">
        <f t="shared" si="50"/>
        <v>0</v>
      </c>
      <c r="AY143" s="413">
        <f t="shared" si="51"/>
        <v>0</v>
      </c>
      <c r="AZ143" s="412">
        <f t="shared" si="52"/>
        <v>2341.7466666666664</v>
      </c>
      <c r="BA143" s="413">
        <f t="shared" si="53"/>
        <v>2441.6999999999998</v>
      </c>
    </row>
    <row r="144" spans="1:53" ht="12.5">
      <c r="A144" s="567" t="s">
        <v>159</v>
      </c>
      <c r="B144" s="568" t="s">
        <v>194</v>
      </c>
      <c r="C144" s="568"/>
      <c r="D144" s="569">
        <v>139384</v>
      </c>
      <c r="E144" s="570">
        <v>12</v>
      </c>
      <c r="F144" s="542" t="s">
        <v>74</v>
      </c>
      <c r="G144" s="411" t="s">
        <v>74</v>
      </c>
      <c r="H144" s="542"/>
      <c r="I144" s="411"/>
      <c r="J144" s="542">
        <v>44887</v>
      </c>
      <c r="K144" s="411">
        <v>45881</v>
      </c>
      <c r="L144" s="542">
        <v>17808</v>
      </c>
      <c r="M144" s="411">
        <v>18691</v>
      </c>
      <c r="N144" s="542">
        <v>49125</v>
      </c>
      <c r="O144" s="411">
        <v>55379</v>
      </c>
      <c r="P144" s="412">
        <f t="shared" ref="P144:P207" si="54">SUM(H144,J144,L144,N144)</f>
        <v>111820</v>
      </c>
      <c r="Q144" s="412">
        <f t="shared" ref="Q144:Q207" si="55">+P144/30</f>
        <v>3727.3333333333335</v>
      </c>
      <c r="R144" s="413">
        <f t="shared" ref="R144:R207" si="56">SUM(I144,K144,M144,O144)</f>
        <v>119951</v>
      </c>
      <c r="S144" s="413">
        <f t="shared" ref="S144:S207" si="57">+R144/30</f>
        <v>3998.3666666666668</v>
      </c>
      <c r="T144" s="542">
        <v>24846</v>
      </c>
      <c r="U144" s="411">
        <v>29929</v>
      </c>
      <c r="V144" s="412">
        <f t="shared" ref="V144:V207" si="58">IF(ISBLANK(T144),0,P144)</f>
        <v>111820</v>
      </c>
      <c r="W144" s="413">
        <f t="shared" ref="W144:W207" si="59">IF(ISBLANK(U144),0,R144)</f>
        <v>119951</v>
      </c>
      <c r="X144" s="542"/>
      <c r="Y144" s="411"/>
      <c r="Z144" s="542"/>
      <c r="AA144" s="411"/>
      <c r="AB144" s="542"/>
      <c r="AC144" s="411"/>
      <c r="AD144" s="542"/>
      <c r="AE144" s="411"/>
      <c r="AF144" s="412">
        <f t="shared" ref="AF144:AF207" si="60">SUM(X144,Z144,AB144,AD144)</f>
        <v>0</v>
      </c>
      <c r="AG144" s="412">
        <f t="shared" ref="AG144:AG207" si="61">+AF144/900</f>
        <v>0</v>
      </c>
      <c r="AH144" s="413">
        <f t="shared" ref="AH144:AH207" si="62">SUM(Y144,AA144,AC144,AE144)</f>
        <v>0</v>
      </c>
      <c r="AI144" s="413">
        <f t="shared" ref="AI144:AI207" si="63">+AH144/900</f>
        <v>0</v>
      </c>
      <c r="AJ144" s="542"/>
      <c r="AK144" s="411"/>
      <c r="AL144" s="412">
        <f t="shared" si="46"/>
        <v>0</v>
      </c>
      <c r="AM144" s="413">
        <f t="shared" si="47"/>
        <v>0</v>
      </c>
      <c r="AN144" s="542"/>
      <c r="AO144" s="411"/>
      <c r="AP144" s="542"/>
      <c r="AQ144" s="411"/>
      <c r="AR144" s="542"/>
      <c r="AS144" s="411"/>
      <c r="AT144" s="542"/>
      <c r="AU144" s="411"/>
      <c r="AV144" s="412">
        <f t="shared" si="48"/>
        <v>0</v>
      </c>
      <c r="AW144" s="412">
        <f t="shared" si="49"/>
        <v>0</v>
      </c>
      <c r="AX144" s="413">
        <f t="shared" si="50"/>
        <v>0</v>
      </c>
      <c r="AY144" s="413">
        <f t="shared" si="51"/>
        <v>0</v>
      </c>
      <c r="AZ144" s="412">
        <f t="shared" si="52"/>
        <v>3727.3333333333335</v>
      </c>
      <c r="BA144" s="413">
        <f t="shared" si="53"/>
        <v>3998.3666666666668</v>
      </c>
    </row>
    <row r="145" spans="1:53" ht="12.5">
      <c r="A145" s="567" t="s">
        <v>159</v>
      </c>
      <c r="B145" s="568" t="s">
        <v>195</v>
      </c>
      <c r="C145" s="568"/>
      <c r="D145" s="569">
        <v>244446</v>
      </c>
      <c r="E145" s="570">
        <v>12</v>
      </c>
      <c r="F145" s="542" t="s">
        <v>74</v>
      </c>
      <c r="G145" s="411" t="s">
        <v>74</v>
      </c>
      <c r="H145" s="542"/>
      <c r="I145" s="411"/>
      <c r="J145" s="542">
        <v>33612.5</v>
      </c>
      <c r="K145" s="411">
        <v>27028</v>
      </c>
      <c r="L145" s="542">
        <v>16660</v>
      </c>
      <c r="M145" s="411">
        <v>13707</v>
      </c>
      <c r="N145" s="542">
        <v>29133.5</v>
      </c>
      <c r="O145" s="411">
        <v>28735</v>
      </c>
      <c r="P145" s="412">
        <f t="shared" si="54"/>
        <v>79406</v>
      </c>
      <c r="Q145" s="412">
        <f t="shared" si="55"/>
        <v>2646.8666666666668</v>
      </c>
      <c r="R145" s="413">
        <f t="shared" si="56"/>
        <v>69470</v>
      </c>
      <c r="S145" s="413">
        <f t="shared" si="57"/>
        <v>2315.6666666666665</v>
      </c>
      <c r="T145" s="542">
        <v>16817</v>
      </c>
      <c r="U145" s="411">
        <v>16569</v>
      </c>
      <c r="V145" s="412">
        <f t="shared" si="58"/>
        <v>79406</v>
      </c>
      <c r="W145" s="413">
        <f t="shared" si="59"/>
        <v>69470</v>
      </c>
      <c r="X145" s="542"/>
      <c r="Y145" s="411"/>
      <c r="Z145" s="542"/>
      <c r="AA145" s="411"/>
      <c r="AB145" s="542"/>
      <c r="AC145" s="411"/>
      <c r="AD145" s="542"/>
      <c r="AE145" s="411"/>
      <c r="AF145" s="412">
        <f t="shared" si="60"/>
        <v>0</v>
      </c>
      <c r="AG145" s="412">
        <f t="shared" si="61"/>
        <v>0</v>
      </c>
      <c r="AH145" s="413">
        <f t="shared" si="62"/>
        <v>0</v>
      </c>
      <c r="AI145" s="413">
        <f t="shared" si="63"/>
        <v>0</v>
      </c>
      <c r="AJ145" s="542"/>
      <c r="AK145" s="411"/>
      <c r="AL145" s="412">
        <f t="shared" si="46"/>
        <v>0</v>
      </c>
      <c r="AM145" s="413">
        <f t="shared" si="47"/>
        <v>0</v>
      </c>
      <c r="AN145" s="542"/>
      <c r="AO145" s="411"/>
      <c r="AP145" s="542"/>
      <c r="AQ145" s="411"/>
      <c r="AR145" s="542"/>
      <c r="AS145" s="411"/>
      <c r="AT145" s="542"/>
      <c r="AU145" s="411"/>
      <c r="AV145" s="412">
        <f t="shared" si="48"/>
        <v>0</v>
      </c>
      <c r="AW145" s="412">
        <f t="shared" si="49"/>
        <v>0</v>
      </c>
      <c r="AX145" s="413">
        <f t="shared" si="50"/>
        <v>0</v>
      </c>
      <c r="AY145" s="413">
        <f t="shared" si="51"/>
        <v>0</v>
      </c>
      <c r="AZ145" s="412">
        <f t="shared" si="52"/>
        <v>2646.8666666666668</v>
      </c>
      <c r="BA145" s="413">
        <f t="shared" si="53"/>
        <v>2315.6666666666665</v>
      </c>
    </row>
    <row r="146" spans="1:53" ht="12.5">
      <c r="A146" s="567" t="s">
        <v>159</v>
      </c>
      <c r="B146" s="568" t="s">
        <v>196</v>
      </c>
      <c r="C146" s="568"/>
      <c r="D146" s="569">
        <v>140012</v>
      </c>
      <c r="E146" s="570">
        <v>12</v>
      </c>
      <c r="F146" s="542" t="s">
        <v>74</v>
      </c>
      <c r="G146" s="411" t="s">
        <v>74</v>
      </c>
      <c r="H146" s="542"/>
      <c r="I146" s="411"/>
      <c r="J146" s="542">
        <v>69935</v>
      </c>
      <c r="K146" s="411">
        <v>71637</v>
      </c>
      <c r="L146" s="542">
        <v>23885</v>
      </c>
      <c r="M146" s="411">
        <v>23880</v>
      </c>
      <c r="N146" s="542">
        <v>73428</v>
      </c>
      <c r="O146" s="411">
        <v>76574</v>
      </c>
      <c r="P146" s="412">
        <f t="shared" si="54"/>
        <v>167248</v>
      </c>
      <c r="Q146" s="412">
        <f t="shared" si="55"/>
        <v>5574.9333333333334</v>
      </c>
      <c r="R146" s="413">
        <f t="shared" si="56"/>
        <v>172091</v>
      </c>
      <c r="S146" s="413">
        <f t="shared" si="57"/>
        <v>5736.3666666666668</v>
      </c>
      <c r="T146" s="542">
        <v>22163</v>
      </c>
      <c r="U146" s="411">
        <v>24431</v>
      </c>
      <c r="V146" s="412">
        <f t="shared" si="58"/>
        <v>167248</v>
      </c>
      <c r="W146" s="413">
        <f t="shared" si="59"/>
        <v>172091</v>
      </c>
      <c r="X146" s="542"/>
      <c r="Y146" s="411"/>
      <c r="Z146" s="542"/>
      <c r="AA146" s="411"/>
      <c r="AB146" s="542"/>
      <c r="AC146" s="411"/>
      <c r="AD146" s="542"/>
      <c r="AE146" s="411"/>
      <c r="AF146" s="412">
        <f t="shared" si="60"/>
        <v>0</v>
      </c>
      <c r="AG146" s="412">
        <f t="shared" si="61"/>
        <v>0</v>
      </c>
      <c r="AH146" s="413">
        <f t="shared" si="62"/>
        <v>0</v>
      </c>
      <c r="AI146" s="413">
        <f t="shared" si="63"/>
        <v>0</v>
      </c>
      <c r="AJ146" s="542"/>
      <c r="AK146" s="411"/>
      <c r="AL146" s="412">
        <f t="shared" si="46"/>
        <v>0</v>
      </c>
      <c r="AM146" s="413">
        <f t="shared" si="47"/>
        <v>0</v>
      </c>
      <c r="AN146" s="542"/>
      <c r="AO146" s="411"/>
      <c r="AP146" s="542"/>
      <c r="AQ146" s="411"/>
      <c r="AR146" s="542"/>
      <c r="AS146" s="411"/>
      <c r="AT146" s="542"/>
      <c r="AU146" s="411"/>
      <c r="AV146" s="412">
        <f t="shared" si="48"/>
        <v>0</v>
      </c>
      <c r="AW146" s="412">
        <f t="shared" si="49"/>
        <v>0</v>
      </c>
      <c r="AX146" s="413">
        <f t="shared" si="50"/>
        <v>0</v>
      </c>
      <c r="AY146" s="413">
        <f t="shared" si="51"/>
        <v>0</v>
      </c>
      <c r="AZ146" s="412">
        <f t="shared" si="52"/>
        <v>5574.9333333333334</v>
      </c>
      <c r="BA146" s="413">
        <f t="shared" si="53"/>
        <v>5736.3666666666668</v>
      </c>
    </row>
    <row r="147" spans="1:53" ht="12.5">
      <c r="A147" s="567" t="s">
        <v>159</v>
      </c>
      <c r="B147" s="568" t="s">
        <v>197</v>
      </c>
      <c r="C147" s="568"/>
      <c r="D147" s="569">
        <v>140243</v>
      </c>
      <c r="E147" s="570">
        <v>12</v>
      </c>
      <c r="F147" s="542" t="s">
        <v>74</v>
      </c>
      <c r="G147" s="411" t="s">
        <v>74</v>
      </c>
      <c r="H147" s="542"/>
      <c r="I147" s="411"/>
      <c r="J147" s="542">
        <v>28565</v>
      </c>
      <c r="K147" s="411">
        <v>33187</v>
      </c>
      <c r="L147" s="542">
        <v>12293</v>
      </c>
      <c r="M147" s="411">
        <v>14072</v>
      </c>
      <c r="N147" s="542">
        <v>33880</v>
      </c>
      <c r="O147" s="411">
        <v>38405</v>
      </c>
      <c r="P147" s="412">
        <f t="shared" si="54"/>
        <v>74738</v>
      </c>
      <c r="Q147" s="412">
        <f t="shared" si="55"/>
        <v>2491.2666666666669</v>
      </c>
      <c r="R147" s="413">
        <f t="shared" si="56"/>
        <v>85664</v>
      </c>
      <c r="S147" s="413">
        <f t="shared" si="57"/>
        <v>2855.4666666666667</v>
      </c>
      <c r="T147" s="542">
        <v>10212</v>
      </c>
      <c r="U147" s="411">
        <v>14447</v>
      </c>
      <c r="V147" s="412">
        <f t="shared" si="58"/>
        <v>74738</v>
      </c>
      <c r="W147" s="413">
        <f t="shared" si="59"/>
        <v>85664</v>
      </c>
      <c r="X147" s="542"/>
      <c r="Y147" s="411"/>
      <c r="Z147" s="542"/>
      <c r="AA147" s="411"/>
      <c r="AB147" s="542"/>
      <c r="AC147" s="411"/>
      <c r="AD147" s="542"/>
      <c r="AE147" s="411"/>
      <c r="AF147" s="412">
        <f t="shared" si="60"/>
        <v>0</v>
      </c>
      <c r="AG147" s="412">
        <f t="shared" si="61"/>
        <v>0</v>
      </c>
      <c r="AH147" s="413">
        <f t="shared" si="62"/>
        <v>0</v>
      </c>
      <c r="AI147" s="413">
        <f t="shared" si="63"/>
        <v>0</v>
      </c>
      <c r="AJ147" s="542"/>
      <c r="AK147" s="411"/>
      <c r="AL147" s="412">
        <f t="shared" si="46"/>
        <v>0</v>
      </c>
      <c r="AM147" s="413">
        <f t="shared" si="47"/>
        <v>0</v>
      </c>
      <c r="AN147" s="542"/>
      <c r="AO147" s="411"/>
      <c r="AP147" s="542"/>
      <c r="AQ147" s="411"/>
      <c r="AR147" s="542"/>
      <c r="AS147" s="411"/>
      <c r="AT147" s="542"/>
      <c r="AU147" s="411"/>
      <c r="AV147" s="412">
        <f t="shared" si="48"/>
        <v>0</v>
      </c>
      <c r="AW147" s="412">
        <f t="shared" si="49"/>
        <v>0</v>
      </c>
      <c r="AX147" s="413">
        <f t="shared" si="50"/>
        <v>0</v>
      </c>
      <c r="AY147" s="413">
        <f t="shared" si="51"/>
        <v>0</v>
      </c>
      <c r="AZ147" s="412">
        <f t="shared" si="52"/>
        <v>2491.2666666666669</v>
      </c>
      <c r="BA147" s="413">
        <f t="shared" si="53"/>
        <v>2855.4666666666667</v>
      </c>
    </row>
    <row r="148" spans="1:53" ht="12.5">
      <c r="A148" s="567" t="s">
        <v>159</v>
      </c>
      <c r="B148" s="568" t="s">
        <v>198</v>
      </c>
      <c r="C148" s="568"/>
      <c r="D148" s="569">
        <v>140678</v>
      </c>
      <c r="E148" s="570">
        <v>12</v>
      </c>
      <c r="F148" s="542" t="s">
        <v>74</v>
      </c>
      <c r="G148" s="411" t="s">
        <v>74</v>
      </c>
      <c r="H148" s="542"/>
      <c r="I148" s="411"/>
      <c r="J148" s="542">
        <v>21024</v>
      </c>
      <c r="K148" s="411">
        <v>21619</v>
      </c>
      <c r="L148" s="542">
        <v>9452</v>
      </c>
      <c r="M148" s="411">
        <v>9732</v>
      </c>
      <c r="N148" s="542">
        <v>23427</v>
      </c>
      <c r="O148" s="411">
        <v>23608</v>
      </c>
      <c r="P148" s="412">
        <f t="shared" si="54"/>
        <v>53903</v>
      </c>
      <c r="Q148" s="412">
        <f t="shared" si="55"/>
        <v>1796.7666666666667</v>
      </c>
      <c r="R148" s="413">
        <f t="shared" si="56"/>
        <v>54959</v>
      </c>
      <c r="S148" s="413">
        <f t="shared" si="57"/>
        <v>1831.9666666666667</v>
      </c>
      <c r="T148" s="542">
        <v>5804</v>
      </c>
      <c r="U148" s="411">
        <v>6225</v>
      </c>
      <c r="V148" s="412">
        <f t="shared" si="58"/>
        <v>53903</v>
      </c>
      <c r="W148" s="413">
        <f t="shared" si="59"/>
        <v>54959</v>
      </c>
      <c r="X148" s="542"/>
      <c r="Y148" s="411"/>
      <c r="Z148" s="542"/>
      <c r="AA148" s="411"/>
      <c r="AB148" s="542"/>
      <c r="AC148" s="411"/>
      <c r="AD148" s="542"/>
      <c r="AE148" s="411"/>
      <c r="AF148" s="412">
        <f t="shared" si="60"/>
        <v>0</v>
      </c>
      <c r="AG148" s="412">
        <f t="shared" si="61"/>
        <v>0</v>
      </c>
      <c r="AH148" s="413">
        <f t="shared" si="62"/>
        <v>0</v>
      </c>
      <c r="AI148" s="413">
        <f t="shared" si="63"/>
        <v>0</v>
      </c>
      <c r="AJ148" s="542"/>
      <c r="AK148" s="411"/>
      <c r="AL148" s="412">
        <f t="shared" si="46"/>
        <v>0</v>
      </c>
      <c r="AM148" s="413">
        <f t="shared" si="47"/>
        <v>0</v>
      </c>
      <c r="AN148" s="542"/>
      <c r="AO148" s="411"/>
      <c r="AP148" s="542"/>
      <c r="AQ148" s="411"/>
      <c r="AR148" s="542"/>
      <c r="AS148" s="411"/>
      <c r="AT148" s="542"/>
      <c r="AU148" s="411"/>
      <c r="AV148" s="412">
        <f t="shared" si="48"/>
        <v>0</v>
      </c>
      <c r="AW148" s="412">
        <f t="shared" si="49"/>
        <v>0</v>
      </c>
      <c r="AX148" s="413">
        <f t="shared" si="50"/>
        <v>0</v>
      </c>
      <c r="AY148" s="413">
        <f t="shared" si="51"/>
        <v>0</v>
      </c>
      <c r="AZ148" s="412">
        <f t="shared" si="52"/>
        <v>1796.7666666666667</v>
      </c>
      <c r="BA148" s="413">
        <f t="shared" si="53"/>
        <v>1831.9666666666667</v>
      </c>
    </row>
    <row r="149" spans="1:53">
      <c r="A149" s="569" t="s">
        <v>159</v>
      </c>
      <c r="B149" s="568" t="s">
        <v>199</v>
      </c>
      <c r="C149" s="559"/>
      <c r="D149" s="569">
        <v>420431</v>
      </c>
      <c r="E149" s="570">
        <v>12</v>
      </c>
      <c r="F149" s="542" t="s">
        <v>74</v>
      </c>
      <c r="G149" s="411" t="s">
        <v>74</v>
      </c>
      <c r="H149" s="542"/>
      <c r="I149" s="411"/>
      <c r="J149" s="542">
        <v>11367</v>
      </c>
      <c r="K149" s="411">
        <v>11673</v>
      </c>
      <c r="L149" s="542">
        <v>6446</v>
      </c>
      <c r="M149" s="411">
        <v>7566</v>
      </c>
      <c r="N149" s="542">
        <v>11819</v>
      </c>
      <c r="O149" s="411">
        <v>15184</v>
      </c>
      <c r="P149" s="412">
        <f t="shared" si="54"/>
        <v>29632</v>
      </c>
      <c r="Q149" s="412">
        <f t="shared" si="55"/>
        <v>987.73333333333335</v>
      </c>
      <c r="R149" s="413">
        <f t="shared" si="56"/>
        <v>34423</v>
      </c>
      <c r="S149" s="413">
        <f t="shared" si="57"/>
        <v>1147.4333333333334</v>
      </c>
      <c r="T149" s="542">
        <v>3947</v>
      </c>
      <c r="U149" s="411">
        <v>4182</v>
      </c>
      <c r="V149" s="412">
        <f t="shared" si="58"/>
        <v>29632</v>
      </c>
      <c r="W149" s="413">
        <f t="shared" si="59"/>
        <v>34423</v>
      </c>
      <c r="X149" s="542"/>
      <c r="Y149" s="411"/>
      <c r="Z149" s="542"/>
      <c r="AA149" s="411"/>
      <c r="AB149" s="542"/>
      <c r="AC149" s="411"/>
      <c r="AD149" s="542"/>
      <c r="AE149" s="411"/>
      <c r="AF149" s="412">
        <f t="shared" si="60"/>
        <v>0</v>
      </c>
      <c r="AG149" s="412">
        <f t="shared" si="61"/>
        <v>0</v>
      </c>
      <c r="AH149" s="413">
        <f t="shared" si="62"/>
        <v>0</v>
      </c>
      <c r="AI149" s="413">
        <f t="shared" si="63"/>
        <v>0</v>
      </c>
      <c r="AJ149" s="542"/>
      <c r="AK149" s="411"/>
      <c r="AL149" s="412">
        <f t="shared" si="46"/>
        <v>0</v>
      </c>
      <c r="AM149" s="413">
        <f t="shared" si="47"/>
        <v>0</v>
      </c>
      <c r="AN149" s="542"/>
      <c r="AO149" s="411"/>
      <c r="AP149" s="542"/>
      <c r="AQ149" s="411"/>
      <c r="AR149" s="542"/>
      <c r="AS149" s="411"/>
      <c r="AT149" s="542"/>
      <c r="AU149" s="411"/>
      <c r="AV149" s="412">
        <f t="shared" si="48"/>
        <v>0</v>
      </c>
      <c r="AW149" s="412">
        <f t="shared" si="49"/>
        <v>0</v>
      </c>
      <c r="AX149" s="413">
        <f t="shared" si="50"/>
        <v>0</v>
      </c>
      <c r="AY149" s="413">
        <f t="shared" si="51"/>
        <v>0</v>
      </c>
      <c r="AZ149" s="412">
        <f t="shared" si="52"/>
        <v>987.73333333333335</v>
      </c>
      <c r="BA149" s="413">
        <f t="shared" si="53"/>
        <v>1147.4333333333334</v>
      </c>
    </row>
    <row r="150" spans="1:53" ht="12.5">
      <c r="A150" s="569" t="s">
        <v>159</v>
      </c>
      <c r="B150" s="568" t="s">
        <v>200</v>
      </c>
      <c r="C150" s="568"/>
      <c r="D150" s="569">
        <v>366465</v>
      </c>
      <c r="E150" s="570">
        <v>12</v>
      </c>
      <c r="F150" s="542" t="s">
        <v>74</v>
      </c>
      <c r="G150" s="411" t="s">
        <v>74</v>
      </c>
      <c r="H150" s="542"/>
      <c r="I150" s="411"/>
      <c r="J150" s="542">
        <v>18174</v>
      </c>
      <c r="K150" s="411">
        <v>19715</v>
      </c>
      <c r="L150" s="542">
        <v>9446</v>
      </c>
      <c r="M150" s="411">
        <v>10295</v>
      </c>
      <c r="N150" s="542">
        <v>19464</v>
      </c>
      <c r="O150" s="411">
        <v>20123</v>
      </c>
      <c r="P150" s="412">
        <f t="shared" si="54"/>
        <v>47084</v>
      </c>
      <c r="Q150" s="412">
        <f t="shared" si="55"/>
        <v>1569.4666666666667</v>
      </c>
      <c r="R150" s="413">
        <f t="shared" si="56"/>
        <v>50133</v>
      </c>
      <c r="S150" s="413">
        <f t="shared" si="57"/>
        <v>1671.1</v>
      </c>
      <c r="T150" s="542">
        <v>3794</v>
      </c>
      <c r="U150" s="411">
        <v>4438</v>
      </c>
      <c r="V150" s="412">
        <f t="shared" si="58"/>
        <v>47084</v>
      </c>
      <c r="W150" s="413">
        <f t="shared" si="59"/>
        <v>50133</v>
      </c>
      <c r="X150" s="542"/>
      <c r="Y150" s="411"/>
      <c r="Z150" s="542"/>
      <c r="AA150" s="411"/>
      <c r="AB150" s="542"/>
      <c r="AC150" s="411"/>
      <c r="AD150" s="542"/>
      <c r="AE150" s="411"/>
      <c r="AF150" s="412">
        <f t="shared" si="60"/>
        <v>0</v>
      </c>
      <c r="AG150" s="412">
        <f t="shared" si="61"/>
        <v>0</v>
      </c>
      <c r="AH150" s="413">
        <f t="shared" si="62"/>
        <v>0</v>
      </c>
      <c r="AI150" s="413">
        <f t="shared" si="63"/>
        <v>0</v>
      </c>
      <c r="AJ150" s="542"/>
      <c r="AK150" s="411"/>
      <c r="AL150" s="412">
        <f t="shared" si="46"/>
        <v>0</v>
      </c>
      <c r="AM150" s="413">
        <f t="shared" si="47"/>
        <v>0</v>
      </c>
      <c r="AN150" s="542"/>
      <c r="AO150" s="411"/>
      <c r="AP150" s="542"/>
      <c r="AQ150" s="411"/>
      <c r="AR150" s="542"/>
      <c r="AS150" s="411"/>
      <c r="AT150" s="542"/>
      <c r="AU150" s="411"/>
      <c r="AV150" s="412">
        <f t="shared" si="48"/>
        <v>0</v>
      </c>
      <c r="AW150" s="412">
        <f t="shared" si="49"/>
        <v>0</v>
      </c>
      <c r="AX150" s="413">
        <f t="shared" si="50"/>
        <v>0</v>
      </c>
      <c r="AY150" s="413">
        <f t="shared" si="51"/>
        <v>0</v>
      </c>
      <c r="AZ150" s="412">
        <f t="shared" si="52"/>
        <v>1569.4666666666667</v>
      </c>
      <c r="BA150" s="413">
        <f t="shared" si="53"/>
        <v>1671.1</v>
      </c>
    </row>
    <row r="151" spans="1:53" ht="12.5">
      <c r="A151" s="569" t="s">
        <v>159</v>
      </c>
      <c r="B151" s="568" t="s">
        <v>201</v>
      </c>
      <c r="C151" s="568"/>
      <c r="D151" s="569">
        <v>140942</v>
      </c>
      <c r="E151" s="570">
        <v>12</v>
      </c>
      <c r="F151" s="542" t="s">
        <v>74</v>
      </c>
      <c r="G151" s="411" t="s">
        <v>74</v>
      </c>
      <c r="H151" s="542"/>
      <c r="I151" s="411"/>
      <c r="J151" s="542">
        <v>35464</v>
      </c>
      <c r="K151" s="411">
        <v>34150</v>
      </c>
      <c r="L151" s="542">
        <v>15104</v>
      </c>
      <c r="M151" s="411">
        <v>15277</v>
      </c>
      <c r="N151" s="542">
        <v>36301</v>
      </c>
      <c r="O151" s="411">
        <v>38073</v>
      </c>
      <c r="P151" s="412">
        <f t="shared" si="54"/>
        <v>86869</v>
      </c>
      <c r="Q151" s="412">
        <f t="shared" si="55"/>
        <v>2895.6333333333332</v>
      </c>
      <c r="R151" s="413">
        <f t="shared" si="56"/>
        <v>87500</v>
      </c>
      <c r="S151" s="413">
        <f t="shared" si="57"/>
        <v>2916.6666666666665</v>
      </c>
      <c r="T151" s="542">
        <v>7093</v>
      </c>
      <c r="U151" s="411">
        <v>8475</v>
      </c>
      <c r="V151" s="412">
        <f t="shared" si="58"/>
        <v>86869</v>
      </c>
      <c r="W151" s="413">
        <f t="shared" si="59"/>
        <v>87500</v>
      </c>
      <c r="X151" s="542"/>
      <c r="Y151" s="411"/>
      <c r="Z151" s="542"/>
      <c r="AA151" s="411"/>
      <c r="AB151" s="542"/>
      <c r="AC151" s="411"/>
      <c r="AD151" s="542"/>
      <c r="AE151" s="411"/>
      <c r="AF151" s="412">
        <f t="shared" si="60"/>
        <v>0</v>
      </c>
      <c r="AG151" s="412">
        <f t="shared" si="61"/>
        <v>0</v>
      </c>
      <c r="AH151" s="413">
        <f t="shared" si="62"/>
        <v>0</v>
      </c>
      <c r="AI151" s="413">
        <f t="shared" si="63"/>
        <v>0</v>
      </c>
      <c r="AJ151" s="542"/>
      <c r="AK151" s="411"/>
      <c r="AL151" s="412">
        <f t="shared" si="46"/>
        <v>0</v>
      </c>
      <c r="AM151" s="413">
        <f t="shared" si="47"/>
        <v>0</v>
      </c>
      <c r="AN151" s="542"/>
      <c r="AO151" s="411"/>
      <c r="AP151" s="542"/>
      <c r="AQ151" s="411"/>
      <c r="AR151" s="542"/>
      <c r="AS151" s="411"/>
      <c r="AT151" s="542"/>
      <c r="AU151" s="411"/>
      <c r="AV151" s="412">
        <f t="shared" si="48"/>
        <v>0</v>
      </c>
      <c r="AW151" s="412">
        <f t="shared" si="49"/>
        <v>0</v>
      </c>
      <c r="AX151" s="413">
        <f t="shared" si="50"/>
        <v>0</v>
      </c>
      <c r="AY151" s="413">
        <f t="shared" si="51"/>
        <v>0</v>
      </c>
      <c r="AZ151" s="412">
        <f t="shared" si="52"/>
        <v>2895.6333333333332</v>
      </c>
      <c r="BA151" s="413">
        <f t="shared" si="53"/>
        <v>2916.6666666666665</v>
      </c>
    </row>
    <row r="152" spans="1:53" ht="12.5">
      <c r="A152" s="569" t="s">
        <v>159</v>
      </c>
      <c r="B152" s="568" t="s">
        <v>202</v>
      </c>
      <c r="C152" s="568"/>
      <c r="D152" s="569">
        <v>141006</v>
      </c>
      <c r="E152" s="570">
        <v>12</v>
      </c>
      <c r="F152" s="542" t="s">
        <v>74</v>
      </c>
      <c r="G152" s="411" t="s">
        <v>74</v>
      </c>
      <c r="H152" s="542"/>
      <c r="I152" s="411"/>
      <c r="J152" s="542">
        <v>18961</v>
      </c>
      <c r="K152" s="411">
        <v>20432</v>
      </c>
      <c r="L152" s="542">
        <v>9442</v>
      </c>
      <c r="M152" s="411">
        <v>10127</v>
      </c>
      <c r="N152" s="542">
        <v>21469</v>
      </c>
      <c r="O152" s="411">
        <v>21354</v>
      </c>
      <c r="P152" s="412">
        <f t="shared" si="54"/>
        <v>49872</v>
      </c>
      <c r="Q152" s="412">
        <f t="shared" si="55"/>
        <v>1662.4</v>
      </c>
      <c r="R152" s="413">
        <f t="shared" si="56"/>
        <v>51913</v>
      </c>
      <c r="S152" s="413">
        <f t="shared" si="57"/>
        <v>1730.4333333333334</v>
      </c>
      <c r="T152" s="542">
        <v>6702</v>
      </c>
      <c r="U152" s="411">
        <v>6525</v>
      </c>
      <c r="V152" s="412">
        <f t="shared" si="58"/>
        <v>49872</v>
      </c>
      <c r="W152" s="413">
        <f t="shared" si="59"/>
        <v>51913</v>
      </c>
      <c r="X152" s="542"/>
      <c r="Y152" s="411"/>
      <c r="Z152" s="542"/>
      <c r="AA152" s="411"/>
      <c r="AB152" s="542"/>
      <c r="AC152" s="411"/>
      <c r="AD152" s="542"/>
      <c r="AE152" s="411"/>
      <c r="AF152" s="412">
        <f t="shared" si="60"/>
        <v>0</v>
      </c>
      <c r="AG152" s="412">
        <f t="shared" si="61"/>
        <v>0</v>
      </c>
      <c r="AH152" s="413">
        <f t="shared" si="62"/>
        <v>0</v>
      </c>
      <c r="AI152" s="413">
        <f t="shared" si="63"/>
        <v>0</v>
      </c>
      <c r="AJ152" s="542"/>
      <c r="AK152" s="411"/>
      <c r="AL152" s="412">
        <f t="shared" si="46"/>
        <v>0</v>
      </c>
      <c r="AM152" s="413">
        <f t="shared" si="47"/>
        <v>0</v>
      </c>
      <c r="AN152" s="542"/>
      <c r="AO152" s="411"/>
      <c r="AP152" s="542"/>
      <c r="AQ152" s="411"/>
      <c r="AR152" s="542"/>
      <c r="AS152" s="411"/>
      <c r="AT152" s="542"/>
      <c r="AU152" s="411"/>
      <c r="AV152" s="412">
        <f t="shared" si="48"/>
        <v>0</v>
      </c>
      <c r="AW152" s="412">
        <f t="shared" si="49"/>
        <v>0</v>
      </c>
      <c r="AX152" s="413">
        <f t="shared" si="50"/>
        <v>0</v>
      </c>
      <c r="AY152" s="413">
        <f t="shared" si="51"/>
        <v>0</v>
      </c>
      <c r="AZ152" s="412">
        <f t="shared" si="52"/>
        <v>1662.4</v>
      </c>
      <c r="BA152" s="413">
        <f t="shared" si="53"/>
        <v>1730.4333333333334</v>
      </c>
    </row>
    <row r="153" spans="1:53" ht="12.5">
      <c r="A153" s="569" t="s">
        <v>159</v>
      </c>
      <c r="B153" s="568" t="s">
        <v>203</v>
      </c>
      <c r="C153" s="568"/>
      <c r="D153" s="569">
        <v>368911</v>
      </c>
      <c r="E153" s="570">
        <v>12</v>
      </c>
      <c r="F153" s="542" t="s">
        <v>74</v>
      </c>
      <c r="G153" s="411" t="s">
        <v>74</v>
      </c>
      <c r="H153" s="542"/>
      <c r="I153" s="411"/>
      <c r="J153" s="542">
        <v>12864</v>
      </c>
      <c r="K153" s="411">
        <v>14094</v>
      </c>
      <c r="L153" s="542">
        <v>6704</v>
      </c>
      <c r="M153" s="411">
        <v>6711</v>
      </c>
      <c r="N153" s="542">
        <v>14838</v>
      </c>
      <c r="O153" s="411">
        <v>15724</v>
      </c>
      <c r="P153" s="412">
        <f t="shared" si="54"/>
        <v>34406</v>
      </c>
      <c r="Q153" s="412">
        <f t="shared" si="55"/>
        <v>1146.8666666666666</v>
      </c>
      <c r="R153" s="413">
        <f t="shared" si="56"/>
        <v>36529</v>
      </c>
      <c r="S153" s="413">
        <f t="shared" si="57"/>
        <v>1217.6333333333334</v>
      </c>
      <c r="T153" s="542">
        <v>6760</v>
      </c>
      <c r="U153" s="411">
        <v>8280</v>
      </c>
      <c r="V153" s="412">
        <f t="shared" si="58"/>
        <v>34406</v>
      </c>
      <c r="W153" s="413">
        <f t="shared" si="59"/>
        <v>36529</v>
      </c>
      <c r="X153" s="542"/>
      <c r="Y153" s="411"/>
      <c r="Z153" s="542"/>
      <c r="AA153" s="411"/>
      <c r="AB153" s="542"/>
      <c r="AC153" s="411"/>
      <c r="AD153" s="542"/>
      <c r="AE153" s="411"/>
      <c r="AF153" s="412">
        <f t="shared" si="60"/>
        <v>0</v>
      </c>
      <c r="AG153" s="412">
        <f t="shared" si="61"/>
        <v>0</v>
      </c>
      <c r="AH153" s="413">
        <f t="shared" si="62"/>
        <v>0</v>
      </c>
      <c r="AI153" s="413">
        <f t="shared" si="63"/>
        <v>0</v>
      </c>
      <c r="AJ153" s="542"/>
      <c r="AK153" s="411"/>
      <c r="AL153" s="412">
        <f t="shared" si="46"/>
        <v>0</v>
      </c>
      <c r="AM153" s="413">
        <f t="shared" si="47"/>
        <v>0</v>
      </c>
      <c r="AN153" s="542"/>
      <c r="AO153" s="411"/>
      <c r="AP153" s="542"/>
      <c r="AQ153" s="411"/>
      <c r="AR153" s="542"/>
      <c r="AS153" s="411"/>
      <c r="AT153" s="542"/>
      <c r="AU153" s="411"/>
      <c r="AV153" s="412">
        <f t="shared" si="48"/>
        <v>0</v>
      </c>
      <c r="AW153" s="412">
        <f t="shared" si="49"/>
        <v>0</v>
      </c>
      <c r="AX153" s="413">
        <f t="shared" si="50"/>
        <v>0</v>
      </c>
      <c r="AY153" s="413">
        <f t="shared" si="51"/>
        <v>0</v>
      </c>
      <c r="AZ153" s="412">
        <f t="shared" si="52"/>
        <v>1146.8666666666666</v>
      </c>
      <c r="BA153" s="413">
        <f t="shared" si="53"/>
        <v>1217.6333333333334</v>
      </c>
    </row>
    <row r="154" spans="1:53" ht="12.5">
      <c r="A154" s="569" t="s">
        <v>159</v>
      </c>
      <c r="B154" s="568" t="s">
        <v>204</v>
      </c>
      <c r="C154" s="568"/>
      <c r="D154" s="569">
        <v>139986</v>
      </c>
      <c r="E154" s="570">
        <v>12</v>
      </c>
      <c r="F154" s="542" t="s">
        <v>74</v>
      </c>
      <c r="G154" s="411" t="s">
        <v>74</v>
      </c>
      <c r="H154" s="542"/>
      <c r="I154" s="411"/>
      <c r="J154" s="542">
        <v>40057</v>
      </c>
      <c r="K154" s="411">
        <v>40998</v>
      </c>
      <c r="L154" s="542">
        <v>18107</v>
      </c>
      <c r="M154" s="411">
        <v>19668</v>
      </c>
      <c r="N154" s="542">
        <v>41714</v>
      </c>
      <c r="O154" s="411">
        <v>44272</v>
      </c>
      <c r="P154" s="412">
        <f t="shared" si="54"/>
        <v>99878</v>
      </c>
      <c r="Q154" s="412">
        <f t="shared" si="55"/>
        <v>3329.2666666666669</v>
      </c>
      <c r="R154" s="413">
        <f t="shared" si="56"/>
        <v>104938</v>
      </c>
      <c r="S154" s="413">
        <f t="shared" si="57"/>
        <v>3497.9333333333334</v>
      </c>
      <c r="T154" s="542">
        <v>13449</v>
      </c>
      <c r="U154" s="411">
        <v>16553</v>
      </c>
      <c r="V154" s="412">
        <f t="shared" si="58"/>
        <v>99878</v>
      </c>
      <c r="W154" s="413">
        <f t="shared" si="59"/>
        <v>104938</v>
      </c>
      <c r="X154" s="542"/>
      <c r="Y154" s="411"/>
      <c r="Z154" s="542"/>
      <c r="AA154" s="411"/>
      <c r="AB154" s="542"/>
      <c r="AC154" s="411"/>
      <c r="AD154" s="542"/>
      <c r="AE154" s="411"/>
      <c r="AF154" s="412">
        <f t="shared" si="60"/>
        <v>0</v>
      </c>
      <c r="AG154" s="412">
        <f t="shared" si="61"/>
        <v>0</v>
      </c>
      <c r="AH154" s="413">
        <f t="shared" si="62"/>
        <v>0</v>
      </c>
      <c r="AI154" s="413">
        <f t="shared" si="63"/>
        <v>0</v>
      </c>
      <c r="AJ154" s="542"/>
      <c r="AK154" s="411"/>
      <c r="AL154" s="412">
        <f t="shared" si="46"/>
        <v>0</v>
      </c>
      <c r="AM154" s="413">
        <f t="shared" si="47"/>
        <v>0</v>
      </c>
      <c r="AN154" s="542"/>
      <c r="AO154" s="411"/>
      <c r="AP154" s="542"/>
      <c r="AQ154" s="411"/>
      <c r="AR154" s="542"/>
      <c r="AS154" s="411"/>
      <c r="AT154" s="542"/>
      <c r="AU154" s="411"/>
      <c r="AV154" s="412">
        <f t="shared" si="48"/>
        <v>0</v>
      </c>
      <c r="AW154" s="412">
        <f t="shared" si="49"/>
        <v>0</v>
      </c>
      <c r="AX154" s="413">
        <f t="shared" si="50"/>
        <v>0</v>
      </c>
      <c r="AY154" s="413">
        <f t="shared" si="51"/>
        <v>0</v>
      </c>
      <c r="AZ154" s="412">
        <f t="shared" si="52"/>
        <v>3329.2666666666669</v>
      </c>
      <c r="BA154" s="413">
        <f t="shared" si="53"/>
        <v>3497.9333333333334</v>
      </c>
    </row>
    <row r="155" spans="1:53" ht="12.5">
      <c r="A155" s="569" t="s">
        <v>159</v>
      </c>
      <c r="B155" s="571" t="s">
        <v>205</v>
      </c>
      <c r="C155" s="568"/>
      <c r="D155" s="572">
        <v>487162</v>
      </c>
      <c r="E155" s="570">
        <v>12</v>
      </c>
      <c r="F155" s="542" t="s">
        <v>74</v>
      </c>
      <c r="G155" s="411" t="s">
        <v>74</v>
      </c>
      <c r="H155" s="542"/>
      <c r="I155" s="411"/>
      <c r="J155" s="542">
        <v>31854</v>
      </c>
      <c r="K155" s="411">
        <v>37017</v>
      </c>
      <c r="L155" s="542">
        <v>16925</v>
      </c>
      <c r="M155" s="411">
        <v>19085</v>
      </c>
      <c r="N155" s="542">
        <v>40358</v>
      </c>
      <c r="O155" s="411">
        <v>43103</v>
      </c>
      <c r="P155" s="412">
        <f t="shared" si="54"/>
        <v>89137</v>
      </c>
      <c r="Q155" s="412">
        <f t="shared" si="55"/>
        <v>2971.2333333333331</v>
      </c>
      <c r="R155" s="413">
        <f t="shared" si="56"/>
        <v>99205</v>
      </c>
      <c r="S155" s="413">
        <f t="shared" si="57"/>
        <v>3306.8333333333335</v>
      </c>
      <c r="T155" s="542">
        <v>20236</v>
      </c>
      <c r="U155" s="411">
        <v>24245</v>
      </c>
      <c r="V155" s="412">
        <f t="shared" si="58"/>
        <v>89137</v>
      </c>
      <c r="W155" s="413">
        <f t="shared" si="59"/>
        <v>99205</v>
      </c>
      <c r="X155" s="542"/>
      <c r="Y155" s="411"/>
      <c r="Z155" s="542"/>
      <c r="AA155" s="411"/>
      <c r="AB155" s="542"/>
      <c r="AC155" s="411"/>
      <c r="AD155" s="542"/>
      <c r="AE155" s="411"/>
      <c r="AF155" s="412">
        <f t="shared" si="60"/>
        <v>0</v>
      </c>
      <c r="AG155" s="412">
        <f t="shared" si="61"/>
        <v>0</v>
      </c>
      <c r="AH155" s="413">
        <f t="shared" si="62"/>
        <v>0</v>
      </c>
      <c r="AI155" s="413">
        <f t="shared" si="63"/>
        <v>0</v>
      </c>
      <c r="AJ155" s="542"/>
      <c r="AK155" s="411"/>
      <c r="AL155" s="412">
        <f t="shared" si="46"/>
        <v>0</v>
      </c>
      <c r="AM155" s="413">
        <f t="shared" si="47"/>
        <v>0</v>
      </c>
      <c r="AN155" s="542"/>
      <c r="AO155" s="411"/>
      <c r="AP155" s="542"/>
      <c r="AQ155" s="411"/>
      <c r="AR155" s="542"/>
      <c r="AS155" s="411"/>
      <c r="AT155" s="542"/>
      <c r="AU155" s="411"/>
      <c r="AV155" s="412">
        <f t="shared" si="48"/>
        <v>0</v>
      </c>
      <c r="AW155" s="412">
        <f t="shared" si="49"/>
        <v>0</v>
      </c>
      <c r="AX155" s="413">
        <f t="shared" si="50"/>
        <v>0</v>
      </c>
      <c r="AY155" s="413">
        <f t="shared" si="51"/>
        <v>0</v>
      </c>
      <c r="AZ155" s="412">
        <f t="shared" si="52"/>
        <v>2971.2333333333331</v>
      </c>
      <c r="BA155" s="413">
        <f t="shared" si="53"/>
        <v>3306.8333333333335</v>
      </c>
    </row>
    <row r="156" spans="1:53" ht="12.5">
      <c r="A156" s="569" t="s">
        <v>159</v>
      </c>
      <c r="B156" s="568" t="s">
        <v>206</v>
      </c>
      <c r="C156" s="568"/>
      <c r="D156" s="569">
        <v>139278</v>
      </c>
      <c r="E156" s="570">
        <v>12</v>
      </c>
      <c r="F156" s="542" t="s">
        <v>74</v>
      </c>
      <c r="G156" s="411" t="s">
        <v>74</v>
      </c>
      <c r="H156" s="542"/>
      <c r="I156" s="411"/>
      <c r="J156" s="542">
        <v>53368</v>
      </c>
      <c r="K156" s="411">
        <v>56025</v>
      </c>
      <c r="L156" s="542">
        <v>20537</v>
      </c>
      <c r="M156" s="411">
        <v>21115</v>
      </c>
      <c r="N156" s="542">
        <v>58794</v>
      </c>
      <c r="O156" s="411">
        <v>57550</v>
      </c>
      <c r="P156" s="412">
        <f t="shared" si="54"/>
        <v>132699</v>
      </c>
      <c r="Q156" s="412">
        <f t="shared" si="55"/>
        <v>4423.3</v>
      </c>
      <c r="R156" s="413">
        <f t="shared" si="56"/>
        <v>134690</v>
      </c>
      <c r="S156" s="413">
        <f t="shared" si="57"/>
        <v>4489.666666666667</v>
      </c>
      <c r="T156" s="542">
        <v>25410</v>
      </c>
      <c r="U156" s="411">
        <v>26107</v>
      </c>
      <c r="V156" s="412">
        <f t="shared" si="58"/>
        <v>132699</v>
      </c>
      <c r="W156" s="413">
        <f t="shared" si="59"/>
        <v>134690</v>
      </c>
      <c r="X156" s="542"/>
      <c r="Y156" s="411"/>
      <c r="Z156" s="542"/>
      <c r="AA156" s="411"/>
      <c r="AB156" s="542"/>
      <c r="AC156" s="411"/>
      <c r="AD156" s="542"/>
      <c r="AE156" s="411"/>
      <c r="AF156" s="412">
        <f t="shared" si="60"/>
        <v>0</v>
      </c>
      <c r="AG156" s="412">
        <f t="shared" si="61"/>
        <v>0</v>
      </c>
      <c r="AH156" s="413">
        <f t="shared" si="62"/>
        <v>0</v>
      </c>
      <c r="AI156" s="413">
        <f t="shared" si="63"/>
        <v>0</v>
      </c>
      <c r="AJ156" s="542"/>
      <c r="AK156" s="411"/>
      <c r="AL156" s="412">
        <f t="shared" si="46"/>
        <v>0</v>
      </c>
      <c r="AM156" s="413">
        <f t="shared" si="47"/>
        <v>0</v>
      </c>
      <c r="AN156" s="542"/>
      <c r="AO156" s="411"/>
      <c r="AP156" s="542"/>
      <c r="AQ156" s="411"/>
      <c r="AR156" s="542"/>
      <c r="AS156" s="411"/>
      <c r="AT156" s="542"/>
      <c r="AU156" s="411"/>
      <c r="AV156" s="412">
        <f t="shared" si="48"/>
        <v>0</v>
      </c>
      <c r="AW156" s="412">
        <f t="shared" si="49"/>
        <v>0</v>
      </c>
      <c r="AX156" s="413">
        <f t="shared" si="50"/>
        <v>0</v>
      </c>
      <c r="AY156" s="413">
        <f t="shared" si="51"/>
        <v>0</v>
      </c>
      <c r="AZ156" s="412">
        <f t="shared" si="52"/>
        <v>4423.3</v>
      </c>
      <c r="BA156" s="413">
        <f t="shared" si="53"/>
        <v>4489.666666666667</v>
      </c>
    </row>
    <row r="157" spans="1:53" ht="12.5">
      <c r="A157" s="569" t="s">
        <v>159</v>
      </c>
      <c r="B157" s="568" t="s">
        <v>207</v>
      </c>
      <c r="C157" s="568"/>
      <c r="D157" s="569">
        <v>141255</v>
      </c>
      <c r="E157" s="570">
        <v>12</v>
      </c>
      <c r="F157" s="542" t="s">
        <v>74</v>
      </c>
      <c r="G157" s="411" t="s">
        <v>74</v>
      </c>
      <c r="H157" s="542"/>
      <c r="I157" s="411"/>
      <c r="J157" s="542">
        <v>30709</v>
      </c>
      <c r="K157" s="411">
        <v>34604</v>
      </c>
      <c r="L157" s="542">
        <v>14946</v>
      </c>
      <c r="M157" s="411">
        <v>13868</v>
      </c>
      <c r="N157" s="542">
        <v>35983</v>
      </c>
      <c r="O157" s="411">
        <v>35821</v>
      </c>
      <c r="P157" s="412">
        <f t="shared" si="54"/>
        <v>81638</v>
      </c>
      <c r="Q157" s="412">
        <f t="shared" si="55"/>
        <v>2721.2666666666669</v>
      </c>
      <c r="R157" s="413">
        <f t="shared" si="56"/>
        <v>84293</v>
      </c>
      <c r="S157" s="413">
        <f t="shared" si="57"/>
        <v>2809.7666666666669</v>
      </c>
      <c r="T157" s="542">
        <v>23573</v>
      </c>
      <c r="U157" s="411">
        <v>28513</v>
      </c>
      <c r="V157" s="412">
        <f t="shared" si="58"/>
        <v>81638</v>
      </c>
      <c r="W157" s="413">
        <f t="shared" si="59"/>
        <v>84293</v>
      </c>
      <c r="X157" s="542"/>
      <c r="Y157" s="411"/>
      <c r="Z157" s="542"/>
      <c r="AA157" s="411"/>
      <c r="AB157" s="542"/>
      <c r="AC157" s="411"/>
      <c r="AD157" s="542"/>
      <c r="AE157" s="411"/>
      <c r="AF157" s="412">
        <f t="shared" si="60"/>
        <v>0</v>
      </c>
      <c r="AG157" s="412">
        <f t="shared" si="61"/>
        <v>0</v>
      </c>
      <c r="AH157" s="413">
        <f t="shared" si="62"/>
        <v>0</v>
      </c>
      <c r="AI157" s="413">
        <f t="shared" si="63"/>
        <v>0</v>
      </c>
      <c r="AJ157" s="542"/>
      <c r="AK157" s="411"/>
      <c r="AL157" s="412">
        <f t="shared" si="46"/>
        <v>0</v>
      </c>
      <c r="AM157" s="413">
        <f t="shared" si="47"/>
        <v>0</v>
      </c>
      <c r="AN157" s="542"/>
      <c r="AO157" s="411"/>
      <c r="AP157" s="542"/>
      <c r="AQ157" s="411"/>
      <c r="AR157" s="542"/>
      <c r="AS157" s="411"/>
      <c r="AT157" s="542"/>
      <c r="AU157" s="411"/>
      <c r="AV157" s="412">
        <f t="shared" si="48"/>
        <v>0</v>
      </c>
      <c r="AW157" s="412">
        <f t="shared" si="49"/>
        <v>0</v>
      </c>
      <c r="AX157" s="413">
        <f t="shared" si="50"/>
        <v>0</v>
      </c>
      <c r="AY157" s="413">
        <f t="shared" si="51"/>
        <v>0</v>
      </c>
      <c r="AZ157" s="412">
        <f t="shared" si="52"/>
        <v>2721.2666666666669</v>
      </c>
      <c r="BA157" s="413">
        <f t="shared" si="53"/>
        <v>2809.7666666666669</v>
      </c>
    </row>
    <row r="158" spans="1:53">
      <c r="A158" s="11" t="s">
        <v>208</v>
      </c>
      <c r="B158" s="14" t="s">
        <v>209</v>
      </c>
      <c r="C158" s="529"/>
      <c r="D158" s="13">
        <v>157085</v>
      </c>
      <c r="E158" s="13">
        <v>1</v>
      </c>
      <c r="F158" s="410"/>
      <c r="G158" s="411"/>
      <c r="H158" s="410"/>
      <c r="I158" s="411"/>
      <c r="J158" s="410">
        <v>274842</v>
      </c>
      <c r="K158" s="573">
        <v>275771</v>
      </c>
      <c r="L158" s="410">
        <v>22864</v>
      </c>
      <c r="M158" s="573">
        <v>21426</v>
      </c>
      <c r="N158" s="410">
        <v>302856</v>
      </c>
      <c r="O158" s="573">
        <v>304171</v>
      </c>
      <c r="P158" s="412">
        <f t="shared" si="54"/>
        <v>600562</v>
      </c>
      <c r="Q158" s="412">
        <f t="shared" si="55"/>
        <v>20018.733333333334</v>
      </c>
      <c r="R158" s="413">
        <f t="shared" si="56"/>
        <v>601368</v>
      </c>
      <c r="S158" s="413">
        <f t="shared" si="57"/>
        <v>20045.599999999999</v>
      </c>
      <c r="T158" s="410">
        <v>697</v>
      </c>
      <c r="U158" s="574">
        <v>633</v>
      </c>
      <c r="V158" s="412">
        <f t="shared" si="58"/>
        <v>600562</v>
      </c>
      <c r="W158" s="413">
        <f t="shared" si="59"/>
        <v>601368</v>
      </c>
      <c r="X158" s="410"/>
      <c r="Y158" s="411"/>
      <c r="Z158" s="410"/>
      <c r="AA158" s="411"/>
      <c r="AB158" s="410"/>
      <c r="AC158" s="411"/>
      <c r="AD158" s="410"/>
      <c r="AE158" s="411"/>
      <c r="AF158" s="412">
        <f t="shared" si="60"/>
        <v>0</v>
      </c>
      <c r="AG158" s="412">
        <f t="shared" si="61"/>
        <v>0</v>
      </c>
      <c r="AH158" s="413">
        <f t="shared" si="62"/>
        <v>0</v>
      </c>
      <c r="AI158" s="413">
        <f t="shared" si="63"/>
        <v>0</v>
      </c>
      <c r="AJ158" s="410"/>
      <c r="AK158" s="411"/>
      <c r="AL158" s="412">
        <f t="shared" si="46"/>
        <v>0</v>
      </c>
      <c r="AM158" s="413">
        <f t="shared" si="47"/>
        <v>0</v>
      </c>
      <c r="AN158" s="410"/>
      <c r="AO158" s="411"/>
      <c r="AP158" s="410">
        <v>36515</v>
      </c>
      <c r="AQ158" s="411">
        <v>37086</v>
      </c>
      <c r="AR158" s="410">
        <v>5803</v>
      </c>
      <c r="AS158" s="573">
        <v>5593</v>
      </c>
      <c r="AT158" s="410">
        <v>37977</v>
      </c>
      <c r="AU158" s="574">
        <v>38387</v>
      </c>
      <c r="AV158" s="412">
        <f t="shared" si="48"/>
        <v>80295</v>
      </c>
      <c r="AW158" s="412">
        <f t="shared" si="49"/>
        <v>3345.625</v>
      </c>
      <c r="AX158" s="413">
        <f t="shared" si="50"/>
        <v>81066</v>
      </c>
      <c r="AY158" s="413">
        <f t="shared" si="51"/>
        <v>3377.75</v>
      </c>
      <c r="AZ158" s="412">
        <f t="shared" si="52"/>
        <v>23364.358333333334</v>
      </c>
      <c r="BA158" s="413">
        <f t="shared" si="53"/>
        <v>23423.35</v>
      </c>
    </row>
    <row r="159" spans="1:53">
      <c r="A159" s="11" t="s">
        <v>208</v>
      </c>
      <c r="B159" s="14" t="s">
        <v>210</v>
      </c>
      <c r="C159" s="529"/>
      <c r="D159" s="13">
        <v>157289</v>
      </c>
      <c r="E159" s="13">
        <v>1</v>
      </c>
      <c r="F159" s="410"/>
      <c r="G159" s="411"/>
      <c r="H159" s="410"/>
      <c r="I159" s="411"/>
      <c r="J159" s="410">
        <v>169488</v>
      </c>
      <c r="K159" s="573">
        <v>166792.5</v>
      </c>
      <c r="L159" s="410">
        <v>31660</v>
      </c>
      <c r="M159" s="573">
        <v>31258</v>
      </c>
      <c r="N159" s="410">
        <v>186731</v>
      </c>
      <c r="O159" s="573">
        <v>183361.5</v>
      </c>
      <c r="P159" s="412">
        <f t="shared" si="54"/>
        <v>387879</v>
      </c>
      <c r="Q159" s="412">
        <f t="shared" si="55"/>
        <v>12929.3</v>
      </c>
      <c r="R159" s="413">
        <f t="shared" si="56"/>
        <v>381412</v>
      </c>
      <c r="S159" s="413">
        <f t="shared" si="57"/>
        <v>12713.733333333334</v>
      </c>
      <c r="T159" s="410">
        <v>4214</v>
      </c>
      <c r="U159" s="574">
        <v>5128</v>
      </c>
      <c r="V159" s="412">
        <f t="shared" si="58"/>
        <v>387879</v>
      </c>
      <c r="W159" s="413">
        <f t="shared" si="59"/>
        <v>381412</v>
      </c>
      <c r="X159" s="410"/>
      <c r="Y159" s="411"/>
      <c r="Z159" s="410"/>
      <c r="AA159" s="411"/>
      <c r="AB159" s="410"/>
      <c r="AC159" s="411"/>
      <c r="AD159" s="410"/>
      <c r="AE159" s="411"/>
      <c r="AF159" s="412">
        <f t="shared" si="60"/>
        <v>0</v>
      </c>
      <c r="AG159" s="412">
        <f t="shared" si="61"/>
        <v>0</v>
      </c>
      <c r="AH159" s="413">
        <f t="shared" si="62"/>
        <v>0</v>
      </c>
      <c r="AI159" s="413">
        <f t="shared" si="63"/>
        <v>0</v>
      </c>
      <c r="AJ159" s="410"/>
      <c r="AK159" s="411"/>
      <c r="AL159" s="412">
        <f t="shared" si="46"/>
        <v>0</v>
      </c>
      <c r="AM159" s="413">
        <f t="shared" si="47"/>
        <v>0</v>
      </c>
      <c r="AN159" s="410"/>
      <c r="AO159" s="411"/>
      <c r="AP159" s="410">
        <v>33932</v>
      </c>
      <c r="AQ159" s="411">
        <v>32691</v>
      </c>
      <c r="AR159" s="410">
        <v>12361</v>
      </c>
      <c r="AS159" s="573">
        <v>12325</v>
      </c>
      <c r="AT159" s="410">
        <v>34057</v>
      </c>
      <c r="AU159" s="574">
        <v>33520.5</v>
      </c>
      <c r="AV159" s="412">
        <f t="shared" si="48"/>
        <v>80350</v>
      </c>
      <c r="AW159" s="412">
        <f t="shared" si="49"/>
        <v>3347.9166666666665</v>
      </c>
      <c r="AX159" s="413">
        <f t="shared" si="50"/>
        <v>78536.5</v>
      </c>
      <c r="AY159" s="413">
        <f t="shared" si="51"/>
        <v>3272.3541666666665</v>
      </c>
      <c r="AZ159" s="412">
        <f t="shared" si="52"/>
        <v>16277.216666666665</v>
      </c>
      <c r="BA159" s="413">
        <f t="shared" si="53"/>
        <v>15986.0875</v>
      </c>
    </row>
    <row r="160" spans="1:53">
      <c r="A160" s="11" t="s">
        <v>208</v>
      </c>
      <c r="B160" s="14" t="s">
        <v>211</v>
      </c>
      <c r="C160" s="529"/>
      <c r="D160" s="13">
        <v>156620</v>
      </c>
      <c r="E160" s="13">
        <v>3</v>
      </c>
      <c r="F160" s="410"/>
      <c r="G160" s="411"/>
      <c r="H160" s="410"/>
      <c r="I160" s="411"/>
      <c r="J160" s="410">
        <v>158011</v>
      </c>
      <c r="K160" s="573">
        <v>141294.5</v>
      </c>
      <c r="L160" s="410">
        <v>18205</v>
      </c>
      <c r="M160" s="573">
        <v>16414</v>
      </c>
      <c r="N160" s="410">
        <v>167388</v>
      </c>
      <c r="O160" s="573">
        <v>158165.5</v>
      </c>
      <c r="P160" s="412">
        <f t="shared" si="54"/>
        <v>343604</v>
      </c>
      <c r="Q160" s="412">
        <f t="shared" si="55"/>
        <v>11453.466666666667</v>
      </c>
      <c r="R160" s="413">
        <f t="shared" si="56"/>
        <v>315874</v>
      </c>
      <c r="S160" s="413">
        <f t="shared" si="57"/>
        <v>10529.133333333333</v>
      </c>
      <c r="T160" s="410">
        <v>10592</v>
      </c>
      <c r="U160" s="574">
        <v>9280.5</v>
      </c>
      <c r="V160" s="412">
        <f t="shared" si="58"/>
        <v>343604</v>
      </c>
      <c r="W160" s="413">
        <f t="shared" si="59"/>
        <v>315874</v>
      </c>
      <c r="X160" s="410"/>
      <c r="Y160" s="411"/>
      <c r="Z160" s="410"/>
      <c r="AA160" s="411"/>
      <c r="AB160" s="410"/>
      <c r="AC160" s="411"/>
      <c r="AD160" s="410"/>
      <c r="AE160" s="411"/>
      <c r="AF160" s="412">
        <f t="shared" si="60"/>
        <v>0</v>
      </c>
      <c r="AG160" s="412">
        <f t="shared" si="61"/>
        <v>0</v>
      </c>
      <c r="AH160" s="413">
        <f t="shared" si="62"/>
        <v>0</v>
      </c>
      <c r="AI160" s="413">
        <f t="shared" si="63"/>
        <v>0</v>
      </c>
      <c r="AJ160" s="410"/>
      <c r="AK160" s="411"/>
      <c r="AL160" s="412">
        <f t="shared" si="46"/>
        <v>0</v>
      </c>
      <c r="AM160" s="413">
        <f t="shared" si="47"/>
        <v>0</v>
      </c>
      <c r="AN160" s="410"/>
      <c r="AO160" s="411"/>
      <c r="AP160" s="410">
        <v>17021</v>
      </c>
      <c r="AQ160" s="411">
        <v>15295</v>
      </c>
      <c r="AR160" s="410">
        <v>9259</v>
      </c>
      <c r="AS160" s="573">
        <v>8241.5</v>
      </c>
      <c r="AT160" s="410">
        <v>16417</v>
      </c>
      <c r="AU160" s="574">
        <v>15386</v>
      </c>
      <c r="AV160" s="412">
        <f t="shared" si="48"/>
        <v>42697</v>
      </c>
      <c r="AW160" s="412">
        <f t="shared" si="49"/>
        <v>1779.0416666666667</v>
      </c>
      <c r="AX160" s="413">
        <f t="shared" si="50"/>
        <v>38922.5</v>
      </c>
      <c r="AY160" s="413">
        <f t="shared" si="51"/>
        <v>1621.7708333333333</v>
      </c>
      <c r="AZ160" s="412">
        <f t="shared" si="52"/>
        <v>13232.508333333333</v>
      </c>
      <c r="BA160" s="413">
        <f t="shared" si="53"/>
        <v>12150.904166666667</v>
      </c>
    </row>
    <row r="161" spans="1:53">
      <c r="A161" s="11" t="s">
        <v>208</v>
      </c>
      <c r="B161" s="14" t="s">
        <v>212</v>
      </c>
      <c r="C161" s="529"/>
      <c r="D161" s="13">
        <v>157386</v>
      </c>
      <c r="E161" s="13">
        <v>3</v>
      </c>
      <c r="F161" s="410"/>
      <c r="G161" s="411"/>
      <c r="H161" s="410"/>
      <c r="I161" s="411"/>
      <c r="J161" s="410">
        <v>92047</v>
      </c>
      <c r="K161" s="573">
        <v>87269</v>
      </c>
      <c r="L161" s="410">
        <v>7395</v>
      </c>
      <c r="M161" s="573">
        <v>6198</v>
      </c>
      <c r="N161" s="410">
        <v>101802</v>
      </c>
      <c r="O161" s="573">
        <v>96317</v>
      </c>
      <c r="P161" s="412">
        <f t="shared" si="54"/>
        <v>201244</v>
      </c>
      <c r="Q161" s="412">
        <f t="shared" si="55"/>
        <v>6708.1333333333332</v>
      </c>
      <c r="R161" s="413">
        <f t="shared" si="56"/>
        <v>189784</v>
      </c>
      <c r="S161" s="413">
        <f t="shared" si="57"/>
        <v>6326.1333333333332</v>
      </c>
      <c r="T161" s="410">
        <v>26244</v>
      </c>
      <c r="U161" s="574">
        <v>24261</v>
      </c>
      <c r="V161" s="412">
        <f t="shared" si="58"/>
        <v>201244</v>
      </c>
      <c r="W161" s="413">
        <f t="shared" si="59"/>
        <v>189784</v>
      </c>
      <c r="X161" s="410"/>
      <c r="Y161" s="411"/>
      <c r="Z161" s="410"/>
      <c r="AA161" s="411"/>
      <c r="AB161" s="410"/>
      <c r="AC161" s="411"/>
      <c r="AD161" s="410"/>
      <c r="AE161" s="411"/>
      <c r="AF161" s="412">
        <f t="shared" si="60"/>
        <v>0</v>
      </c>
      <c r="AG161" s="412">
        <f t="shared" si="61"/>
        <v>0</v>
      </c>
      <c r="AH161" s="413">
        <f t="shared" si="62"/>
        <v>0</v>
      </c>
      <c r="AI161" s="413">
        <f t="shared" si="63"/>
        <v>0</v>
      </c>
      <c r="AJ161" s="410"/>
      <c r="AK161" s="411"/>
      <c r="AL161" s="412">
        <f t="shared" si="46"/>
        <v>0</v>
      </c>
      <c r="AM161" s="413">
        <f t="shared" si="47"/>
        <v>0</v>
      </c>
      <c r="AN161" s="410"/>
      <c r="AO161" s="411"/>
      <c r="AP161" s="410">
        <v>5753</v>
      </c>
      <c r="AQ161" s="411">
        <v>4201</v>
      </c>
      <c r="AR161" s="410">
        <v>2529</v>
      </c>
      <c r="AS161" s="573">
        <v>2257</v>
      </c>
      <c r="AT161" s="410">
        <v>5142</v>
      </c>
      <c r="AU161" s="574">
        <v>4512</v>
      </c>
      <c r="AV161" s="412">
        <f t="shared" si="48"/>
        <v>13424</v>
      </c>
      <c r="AW161" s="412">
        <f t="shared" si="49"/>
        <v>559.33333333333337</v>
      </c>
      <c r="AX161" s="413">
        <f t="shared" si="50"/>
        <v>10970</v>
      </c>
      <c r="AY161" s="413">
        <f t="shared" si="51"/>
        <v>457.08333333333331</v>
      </c>
      <c r="AZ161" s="412">
        <f t="shared" si="52"/>
        <v>7267.4666666666662</v>
      </c>
      <c r="BA161" s="413">
        <f t="shared" si="53"/>
        <v>6783.2166666666662</v>
      </c>
    </row>
    <row r="162" spans="1:53">
      <c r="A162" s="11" t="s">
        <v>208</v>
      </c>
      <c r="B162" s="14" t="s">
        <v>213</v>
      </c>
      <c r="C162" s="529"/>
      <c r="D162" s="13">
        <v>157401</v>
      </c>
      <c r="E162" s="13">
        <v>3</v>
      </c>
      <c r="F162" s="410"/>
      <c r="G162" s="411"/>
      <c r="H162" s="410"/>
      <c r="I162" s="411"/>
      <c r="J162" s="410">
        <v>96274</v>
      </c>
      <c r="K162" s="573">
        <v>90962</v>
      </c>
      <c r="L162" s="410">
        <v>7645</v>
      </c>
      <c r="M162" s="573">
        <v>8202</v>
      </c>
      <c r="N162" s="410">
        <v>102171</v>
      </c>
      <c r="O162" s="573">
        <v>100724</v>
      </c>
      <c r="P162" s="412">
        <f t="shared" si="54"/>
        <v>206090</v>
      </c>
      <c r="Q162" s="412">
        <f t="shared" si="55"/>
        <v>6869.666666666667</v>
      </c>
      <c r="R162" s="413">
        <f t="shared" si="56"/>
        <v>199888</v>
      </c>
      <c r="S162" s="413">
        <f t="shared" si="57"/>
        <v>6662.9333333333334</v>
      </c>
      <c r="T162" s="410">
        <v>7910</v>
      </c>
      <c r="U162" s="574">
        <v>9437</v>
      </c>
      <c r="V162" s="412">
        <f t="shared" si="58"/>
        <v>206090</v>
      </c>
      <c r="W162" s="413">
        <f t="shared" si="59"/>
        <v>199888</v>
      </c>
      <c r="X162" s="410"/>
      <c r="Y162" s="411"/>
      <c r="Z162" s="410"/>
      <c r="AA162" s="411"/>
      <c r="AB162" s="410"/>
      <c r="AC162" s="411"/>
      <c r="AD162" s="410"/>
      <c r="AE162" s="411"/>
      <c r="AF162" s="412">
        <f t="shared" si="60"/>
        <v>0</v>
      </c>
      <c r="AG162" s="412">
        <f t="shared" si="61"/>
        <v>0</v>
      </c>
      <c r="AH162" s="413">
        <f t="shared" si="62"/>
        <v>0</v>
      </c>
      <c r="AI162" s="413">
        <f t="shared" si="63"/>
        <v>0</v>
      </c>
      <c r="AJ162" s="410"/>
      <c r="AK162" s="411"/>
      <c r="AL162" s="412">
        <f t="shared" si="46"/>
        <v>0</v>
      </c>
      <c r="AM162" s="413">
        <f t="shared" si="47"/>
        <v>0</v>
      </c>
      <c r="AN162" s="410"/>
      <c r="AO162" s="411"/>
      <c r="AP162" s="410">
        <v>7847</v>
      </c>
      <c r="AQ162" s="411">
        <v>8760</v>
      </c>
      <c r="AR162" s="410">
        <v>3962</v>
      </c>
      <c r="AS162" s="573">
        <v>4168</v>
      </c>
      <c r="AT162" s="410">
        <v>8324</v>
      </c>
      <c r="AU162" s="574">
        <v>8519</v>
      </c>
      <c r="AV162" s="412">
        <f t="shared" si="48"/>
        <v>20133</v>
      </c>
      <c r="AW162" s="412">
        <f t="shared" si="49"/>
        <v>838.875</v>
      </c>
      <c r="AX162" s="413">
        <f t="shared" si="50"/>
        <v>21447</v>
      </c>
      <c r="AY162" s="413">
        <f t="shared" si="51"/>
        <v>893.625</v>
      </c>
      <c r="AZ162" s="412">
        <f t="shared" si="52"/>
        <v>7708.541666666667</v>
      </c>
      <c r="BA162" s="413">
        <f t="shared" si="53"/>
        <v>7556.5583333333334</v>
      </c>
    </row>
    <row r="163" spans="1:53">
      <c r="A163" s="11" t="s">
        <v>208</v>
      </c>
      <c r="B163" s="14" t="s">
        <v>214</v>
      </c>
      <c r="C163" s="12"/>
      <c r="D163" s="13">
        <v>157447</v>
      </c>
      <c r="E163" s="13">
        <v>3</v>
      </c>
      <c r="F163" s="410"/>
      <c r="G163" s="411"/>
      <c r="H163" s="410"/>
      <c r="I163" s="411"/>
      <c r="J163" s="410">
        <v>135920</v>
      </c>
      <c r="K163" s="575">
        <v>130198</v>
      </c>
      <c r="L163" s="410">
        <v>13376</v>
      </c>
      <c r="M163" s="575">
        <v>13527</v>
      </c>
      <c r="N163" s="410">
        <v>146948</v>
      </c>
      <c r="O163" s="575">
        <v>143066</v>
      </c>
      <c r="P163" s="412">
        <f t="shared" si="54"/>
        <v>296244</v>
      </c>
      <c r="Q163" s="412">
        <f t="shared" si="55"/>
        <v>9874.7999999999993</v>
      </c>
      <c r="R163" s="413">
        <f t="shared" si="56"/>
        <v>286791</v>
      </c>
      <c r="S163" s="413">
        <f t="shared" si="57"/>
        <v>9559.7000000000007</v>
      </c>
      <c r="T163" s="410">
        <v>11973</v>
      </c>
      <c r="U163" s="574">
        <v>13849</v>
      </c>
      <c r="V163" s="412">
        <f t="shared" si="58"/>
        <v>296244</v>
      </c>
      <c r="W163" s="413">
        <f t="shared" si="59"/>
        <v>286791</v>
      </c>
      <c r="X163" s="410"/>
      <c r="Y163" s="411"/>
      <c r="Z163" s="410"/>
      <c r="AA163" s="411"/>
      <c r="AB163" s="410"/>
      <c r="AC163" s="411"/>
      <c r="AD163" s="410"/>
      <c r="AE163" s="411"/>
      <c r="AF163" s="412">
        <f t="shared" si="60"/>
        <v>0</v>
      </c>
      <c r="AG163" s="412">
        <f t="shared" si="61"/>
        <v>0</v>
      </c>
      <c r="AH163" s="413">
        <f t="shared" si="62"/>
        <v>0</v>
      </c>
      <c r="AI163" s="413">
        <f t="shared" si="63"/>
        <v>0</v>
      </c>
      <c r="AJ163" s="410"/>
      <c r="AK163" s="411"/>
      <c r="AL163" s="412">
        <f t="shared" si="46"/>
        <v>0</v>
      </c>
      <c r="AM163" s="413">
        <f t="shared" si="47"/>
        <v>0</v>
      </c>
      <c r="AN163" s="410"/>
      <c r="AO163" s="411"/>
      <c r="AP163" s="410">
        <v>20683</v>
      </c>
      <c r="AQ163" s="411">
        <v>26985</v>
      </c>
      <c r="AR163" s="410">
        <v>5238</v>
      </c>
      <c r="AS163" s="575">
        <v>12445</v>
      </c>
      <c r="AT163" s="410">
        <v>18614</v>
      </c>
      <c r="AU163" s="576">
        <v>24731</v>
      </c>
      <c r="AV163" s="412">
        <f t="shared" si="48"/>
        <v>44535</v>
      </c>
      <c r="AW163" s="412">
        <f t="shared" si="49"/>
        <v>1855.625</v>
      </c>
      <c r="AX163" s="413">
        <f t="shared" si="50"/>
        <v>64161</v>
      </c>
      <c r="AY163" s="413">
        <f t="shared" si="51"/>
        <v>2673.375</v>
      </c>
      <c r="AZ163" s="412">
        <f t="shared" si="52"/>
        <v>11730.424999999999</v>
      </c>
      <c r="BA163" s="413">
        <f t="shared" si="53"/>
        <v>12233.075000000001</v>
      </c>
    </row>
    <row r="164" spans="1:53">
      <c r="A164" s="11" t="s">
        <v>208</v>
      </c>
      <c r="B164" s="14" t="s">
        <v>215</v>
      </c>
      <c r="C164" s="529"/>
      <c r="D164" s="13">
        <v>157951</v>
      </c>
      <c r="E164" s="13">
        <v>3</v>
      </c>
      <c r="F164" s="410"/>
      <c r="G164" s="411"/>
      <c r="H164" s="410"/>
      <c r="I164" s="411"/>
      <c r="J164" s="410">
        <v>192178</v>
      </c>
      <c r="K164" s="573">
        <v>173682</v>
      </c>
      <c r="L164" s="410">
        <v>23022</v>
      </c>
      <c r="M164" s="573">
        <v>20814</v>
      </c>
      <c r="N164" s="410">
        <v>204181</v>
      </c>
      <c r="O164" s="573">
        <v>192870</v>
      </c>
      <c r="P164" s="412">
        <f t="shared" si="54"/>
        <v>419381</v>
      </c>
      <c r="Q164" s="412">
        <f t="shared" si="55"/>
        <v>13979.366666666667</v>
      </c>
      <c r="R164" s="413">
        <f t="shared" si="56"/>
        <v>387366</v>
      </c>
      <c r="S164" s="413">
        <f t="shared" si="57"/>
        <v>12912.2</v>
      </c>
      <c r="T164" s="410">
        <v>26680</v>
      </c>
      <c r="U164" s="574">
        <v>23832</v>
      </c>
      <c r="V164" s="412">
        <f t="shared" si="58"/>
        <v>419381</v>
      </c>
      <c r="W164" s="413">
        <f t="shared" si="59"/>
        <v>387366</v>
      </c>
      <c r="X164" s="410"/>
      <c r="Y164" s="411"/>
      <c r="Z164" s="410"/>
      <c r="AA164" s="411"/>
      <c r="AB164" s="410"/>
      <c r="AC164" s="411"/>
      <c r="AD164" s="410"/>
      <c r="AE164" s="411"/>
      <c r="AF164" s="412">
        <f t="shared" si="60"/>
        <v>0</v>
      </c>
      <c r="AG164" s="412">
        <f t="shared" si="61"/>
        <v>0</v>
      </c>
      <c r="AH164" s="413">
        <f t="shared" si="62"/>
        <v>0</v>
      </c>
      <c r="AI164" s="413">
        <f t="shared" si="63"/>
        <v>0</v>
      </c>
      <c r="AJ164" s="410"/>
      <c r="AK164" s="411"/>
      <c r="AL164" s="412">
        <f t="shared" si="46"/>
        <v>0</v>
      </c>
      <c r="AM164" s="413">
        <f t="shared" si="47"/>
        <v>0</v>
      </c>
      <c r="AN164" s="410"/>
      <c r="AO164" s="411"/>
      <c r="AP164" s="410">
        <v>16024</v>
      </c>
      <c r="AQ164" s="411">
        <v>14136</v>
      </c>
      <c r="AR164" s="410">
        <v>6641</v>
      </c>
      <c r="AS164" s="573">
        <v>6234</v>
      </c>
      <c r="AT164" s="410">
        <v>14743</v>
      </c>
      <c r="AU164" s="574">
        <v>13531</v>
      </c>
      <c r="AV164" s="412">
        <f t="shared" si="48"/>
        <v>37408</v>
      </c>
      <c r="AW164" s="412">
        <f t="shared" si="49"/>
        <v>1558.6666666666667</v>
      </c>
      <c r="AX164" s="413">
        <f t="shared" si="50"/>
        <v>33901</v>
      </c>
      <c r="AY164" s="413">
        <f t="shared" si="51"/>
        <v>1412.5416666666667</v>
      </c>
      <c r="AZ164" s="412">
        <f t="shared" si="52"/>
        <v>15538.033333333333</v>
      </c>
      <c r="BA164" s="413">
        <f t="shared" si="53"/>
        <v>14324.741666666667</v>
      </c>
    </row>
    <row r="165" spans="1:53">
      <c r="A165" s="11" t="s">
        <v>208</v>
      </c>
      <c r="B165" s="14" t="s">
        <v>216</v>
      </c>
      <c r="C165" s="529"/>
      <c r="D165" s="13">
        <v>157058</v>
      </c>
      <c r="E165" s="419">
        <v>4</v>
      </c>
      <c r="F165" s="410"/>
      <c r="G165" s="411"/>
      <c r="H165" s="410"/>
      <c r="I165" s="411"/>
      <c r="J165" s="410">
        <v>19935</v>
      </c>
      <c r="K165" s="573">
        <v>21886.5</v>
      </c>
      <c r="L165" s="410">
        <v>2227</v>
      </c>
      <c r="M165" s="573">
        <v>2253</v>
      </c>
      <c r="N165" s="410">
        <v>19658</v>
      </c>
      <c r="O165" s="573">
        <v>22244.5</v>
      </c>
      <c r="P165" s="412">
        <f t="shared" si="54"/>
        <v>41820</v>
      </c>
      <c r="Q165" s="412">
        <f t="shared" si="55"/>
        <v>1394</v>
      </c>
      <c r="R165" s="413">
        <f t="shared" si="56"/>
        <v>46384</v>
      </c>
      <c r="S165" s="413">
        <f t="shared" si="57"/>
        <v>1546.1333333333334</v>
      </c>
      <c r="T165" s="410">
        <v>6158</v>
      </c>
      <c r="U165" s="574">
        <v>6775</v>
      </c>
      <c r="V165" s="412">
        <f t="shared" si="58"/>
        <v>41820</v>
      </c>
      <c r="W165" s="413">
        <f t="shared" si="59"/>
        <v>46384</v>
      </c>
      <c r="X165" s="410"/>
      <c r="Y165" s="411"/>
      <c r="Z165" s="410"/>
      <c r="AA165" s="411"/>
      <c r="AB165" s="410"/>
      <c r="AC165" s="411"/>
      <c r="AD165" s="410"/>
      <c r="AE165" s="411"/>
      <c r="AF165" s="412">
        <f t="shared" si="60"/>
        <v>0</v>
      </c>
      <c r="AG165" s="412">
        <f t="shared" si="61"/>
        <v>0</v>
      </c>
      <c r="AH165" s="413">
        <f t="shared" si="62"/>
        <v>0</v>
      </c>
      <c r="AI165" s="413">
        <f t="shared" si="63"/>
        <v>0</v>
      </c>
      <c r="AJ165" s="410"/>
      <c r="AK165" s="411"/>
      <c r="AL165" s="412">
        <f t="shared" si="46"/>
        <v>0</v>
      </c>
      <c r="AM165" s="413">
        <f t="shared" si="47"/>
        <v>0</v>
      </c>
      <c r="AN165" s="410"/>
      <c r="AO165" s="411"/>
      <c r="AP165" s="410">
        <v>957</v>
      </c>
      <c r="AQ165" s="411">
        <v>857</v>
      </c>
      <c r="AR165" s="410">
        <v>137</v>
      </c>
      <c r="AS165" s="573">
        <v>103</v>
      </c>
      <c r="AT165" s="410">
        <v>782</v>
      </c>
      <c r="AU165" s="574">
        <v>889</v>
      </c>
      <c r="AV165" s="412">
        <f t="shared" si="48"/>
        <v>1876</v>
      </c>
      <c r="AW165" s="412">
        <f t="shared" si="49"/>
        <v>78.166666666666671</v>
      </c>
      <c r="AX165" s="413">
        <f t="shared" si="50"/>
        <v>1849</v>
      </c>
      <c r="AY165" s="413">
        <f t="shared" si="51"/>
        <v>77.041666666666671</v>
      </c>
      <c r="AZ165" s="412">
        <f t="shared" si="52"/>
        <v>1472.1666666666667</v>
      </c>
      <c r="BA165" s="413">
        <f t="shared" si="53"/>
        <v>1623.1750000000002</v>
      </c>
    </row>
    <row r="166" spans="1:53">
      <c r="A166" s="11" t="s">
        <v>208</v>
      </c>
      <c r="B166" s="14" t="s">
        <v>217</v>
      </c>
      <c r="C166" s="529"/>
      <c r="D166" s="13">
        <v>157173</v>
      </c>
      <c r="E166" s="419">
        <v>8</v>
      </c>
      <c r="F166" s="410"/>
      <c r="G166" s="411"/>
      <c r="H166" s="410"/>
      <c r="I166" s="411"/>
      <c r="J166" s="410">
        <v>80843</v>
      </c>
      <c r="K166" s="574">
        <v>88616</v>
      </c>
      <c r="L166" s="410">
        <v>17327</v>
      </c>
      <c r="M166" s="411">
        <v>17584</v>
      </c>
      <c r="N166" s="410">
        <v>90938</v>
      </c>
      <c r="O166" s="574">
        <v>96875</v>
      </c>
      <c r="P166" s="412">
        <f t="shared" si="54"/>
        <v>189108</v>
      </c>
      <c r="Q166" s="412">
        <f t="shared" si="55"/>
        <v>6303.6</v>
      </c>
      <c r="R166" s="413">
        <f t="shared" si="56"/>
        <v>203075</v>
      </c>
      <c r="S166" s="413">
        <f t="shared" si="57"/>
        <v>6769.166666666667</v>
      </c>
      <c r="T166" s="410">
        <v>10027</v>
      </c>
      <c r="U166" s="574">
        <v>11685</v>
      </c>
      <c r="V166" s="412">
        <f t="shared" si="58"/>
        <v>189108</v>
      </c>
      <c r="W166" s="413">
        <f t="shared" si="59"/>
        <v>203075</v>
      </c>
      <c r="X166" s="410"/>
      <c r="Y166" s="411"/>
      <c r="Z166" s="410"/>
      <c r="AA166" s="411"/>
      <c r="AB166" s="410"/>
      <c r="AC166" s="411"/>
      <c r="AD166" s="410"/>
      <c r="AE166" s="411"/>
      <c r="AF166" s="412">
        <f t="shared" si="60"/>
        <v>0</v>
      </c>
      <c r="AG166" s="412">
        <f t="shared" si="61"/>
        <v>0</v>
      </c>
      <c r="AH166" s="413">
        <f t="shared" si="62"/>
        <v>0</v>
      </c>
      <c r="AI166" s="413">
        <f t="shared" si="63"/>
        <v>0</v>
      </c>
      <c r="AJ166" s="410"/>
      <c r="AK166" s="411"/>
      <c r="AL166" s="412">
        <f t="shared" si="46"/>
        <v>0</v>
      </c>
      <c r="AM166" s="413">
        <f t="shared" si="47"/>
        <v>0</v>
      </c>
      <c r="AN166" s="410"/>
      <c r="AO166" s="411"/>
      <c r="AP166" s="410"/>
      <c r="AQ166" s="411"/>
      <c r="AR166" s="410"/>
      <c r="AS166" s="411"/>
      <c r="AT166" s="410"/>
      <c r="AU166" s="411"/>
      <c r="AV166" s="412">
        <f t="shared" si="48"/>
        <v>0</v>
      </c>
      <c r="AW166" s="412">
        <f t="shared" si="49"/>
        <v>0</v>
      </c>
      <c r="AX166" s="413">
        <f t="shared" si="50"/>
        <v>0</v>
      </c>
      <c r="AY166" s="413">
        <f t="shared" si="51"/>
        <v>0</v>
      </c>
      <c r="AZ166" s="412">
        <f t="shared" si="52"/>
        <v>6303.6</v>
      </c>
      <c r="BA166" s="413">
        <f t="shared" si="53"/>
        <v>6769.166666666667</v>
      </c>
    </row>
    <row r="167" spans="1:53">
      <c r="A167" s="11" t="s">
        <v>208</v>
      </c>
      <c r="B167" s="14" t="s">
        <v>218</v>
      </c>
      <c r="C167" s="529"/>
      <c r="D167" s="13">
        <v>156921</v>
      </c>
      <c r="E167" s="419">
        <v>8</v>
      </c>
      <c r="F167" s="410"/>
      <c r="G167" s="411"/>
      <c r="H167" s="410"/>
      <c r="I167" s="411"/>
      <c r="J167" s="410">
        <v>84482</v>
      </c>
      <c r="K167" s="574">
        <v>85730.4</v>
      </c>
      <c r="L167" s="410">
        <v>13353</v>
      </c>
      <c r="M167" s="411">
        <v>13230</v>
      </c>
      <c r="N167" s="410">
        <v>93198</v>
      </c>
      <c r="O167" s="574">
        <v>94065.7</v>
      </c>
      <c r="P167" s="412">
        <f t="shared" si="54"/>
        <v>191033</v>
      </c>
      <c r="Q167" s="412">
        <f t="shared" si="55"/>
        <v>6367.7666666666664</v>
      </c>
      <c r="R167" s="413">
        <f t="shared" si="56"/>
        <v>193026.09999999998</v>
      </c>
      <c r="S167" s="413">
        <f t="shared" si="57"/>
        <v>6434.2033333333329</v>
      </c>
      <c r="T167" s="410">
        <v>21988</v>
      </c>
      <c r="U167" s="574">
        <v>27799.5</v>
      </c>
      <c r="V167" s="412">
        <f t="shared" si="58"/>
        <v>191033</v>
      </c>
      <c r="W167" s="413">
        <f t="shared" si="59"/>
        <v>193026.09999999998</v>
      </c>
      <c r="X167" s="410"/>
      <c r="Y167" s="411"/>
      <c r="Z167" s="410"/>
      <c r="AA167" s="411"/>
      <c r="AB167" s="410"/>
      <c r="AC167" s="411"/>
      <c r="AD167" s="410"/>
      <c r="AE167" s="411"/>
      <c r="AF167" s="412">
        <f t="shared" si="60"/>
        <v>0</v>
      </c>
      <c r="AG167" s="412">
        <f t="shared" si="61"/>
        <v>0</v>
      </c>
      <c r="AH167" s="413">
        <f t="shared" si="62"/>
        <v>0</v>
      </c>
      <c r="AI167" s="413">
        <f t="shared" si="63"/>
        <v>0</v>
      </c>
      <c r="AJ167" s="410"/>
      <c r="AK167" s="411"/>
      <c r="AL167" s="412">
        <f t="shared" si="46"/>
        <v>0</v>
      </c>
      <c r="AM167" s="413">
        <f t="shared" si="47"/>
        <v>0</v>
      </c>
      <c r="AN167" s="410"/>
      <c r="AO167" s="411"/>
      <c r="AP167" s="410"/>
      <c r="AQ167" s="411"/>
      <c r="AR167" s="410"/>
      <c r="AS167" s="411"/>
      <c r="AT167" s="410"/>
      <c r="AU167" s="411"/>
      <c r="AV167" s="412">
        <f t="shared" si="48"/>
        <v>0</v>
      </c>
      <c r="AW167" s="412">
        <f t="shared" si="49"/>
        <v>0</v>
      </c>
      <c r="AX167" s="413">
        <f t="shared" si="50"/>
        <v>0</v>
      </c>
      <c r="AY167" s="413">
        <f t="shared" si="51"/>
        <v>0</v>
      </c>
      <c r="AZ167" s="412">
        <f t="shared" si="52"/>
        <v>6367.7666666666664</v>
      </c>
      <c r="BA167" s="413">
        <f t="shared" si="53"/>
        <v>6434.2033333333329</v>
      </c>
    </row>
    <row r="168" spans="1:53">
      <c r="A168" s="11" t="s">
        <v>208</v>
      </c>
      <c r="B168" s="14" t="s">
        <v>219</v>
      </c>
      <c r="C168" s="418" t="s">
        <v>932</v>
      </c>
      <c r="D168" s="13">
        <v>156231</v>
      </c>
      <c r="E168" s="420">
        <v>10</v>
      </c>
      <c r="F168" s="410"/>
      <c r="G168" s="411"/>
      <c r="H168" s="410"/>
      <c r="I168" s="411"/>
      <c r="J168" s="410">
        <v>24595</v>
      </c>
      <c r="K168" s="574">
        <v>24315</v>
      </c>
      <c r="L168" s="410">
        <v>5229</v>
      </c>
      <c r="M168" s="411">
        <v>4890</v>
      </c>
      <c r="N168" s="410">
        <v>25626</v>
      </c>
      <c r="O168" s="574">
        <v>26500</v>
      </c>
      <c r="P168" s="412">
        <f t="shared" si="54"/>
        <v>55450</v>
      </c>
      <c r="Q168" s="412">
        <f t="shared" si="55"/>
        <v>1848.3333333333333</v>
      </c>
      <c r="R168" s="413">
        <f t="shared" si="56"/>
        <v>55705</v>
      </c>
      <c r="S168" s="413">
        <f t="shared" si="57"/>
        <v>1856.8333333333333</v>
      </c>
      <c r="T168" s="410">
        <v>3216</v>
      </c>
      <c r="U168" s="574">
        <v>3239</v>
      </c>
      <c r="V168" s="412">
        <f t="shared" si="58"/>
        <v>55450</v>
      </c>
      <c r="W168" s="413">
        <f t="shared" si="59"/>
        <v>55705</v>
      </c>
      <c r="X168" s="410"/>
      <c r="Y168" s="411"/>
      <c r="Z168" s="410"/>
      <c r="AA168" s="411"/>
      <c r="AB168" s="410"/>
      <c r="AC168" s="411"/>
      <c r="AD168" s="410"/>
      <c r="AE168" s="411"/>
      <c r="AF168" s="412">
        <f t="shared" si="60"/>
        <v>0</v>
      </c>
      <c r="AG168" s="412">
        <f t="shared" si="61"/>
        <v>0</v>
      </c>
      <c r="AH168" s="413">
        <f t="shared" si="62"/>
        <v>0</v>
      </c>
      <c r="AI168" s="413">
        <f t="shared" si="63"/>
        <v>0</v>
      </c>
      <c r="AJ168" s="410"/>
      <c r="AK168" s="411"/>
      <c r="AL168" s="412">
        <f t="shared" si="46"/>
        <v>0</v>
      </c>
      <c r="AM168" s="413">
        <f t="shared" si="47"/>
        <v>0</v>
      </c>
      <c r="AN168" s="410"/>
      <c r="AO168" s="411"/>
      <c r="AP168" s="410"/>
      <c r="AQ168" s="411"/>
      <c r="AR168" s="410"/>
      <c r="AS168" s="411"/>
      <c r="AT168" s="410"/>
      <c r="AU168" s="411"/>
      <c r="AV168" s="412">
        <f t="shared" si="48"/>
        <v>0</v>
      </c>
      <c r="AW168" s="412">
        <f t="shared" si="49"/>
        <v>0</v>
      </c>
      <c r="AX168" s="413">
        <f t="shared" si="50"/>
        <v>0</v>
      </c>
      <c r="AY168" s="413">
        <f t="shared" si="51"/>
        <v>0</v>
      </c>
      <c r="AZ168" s="412">
        <f t="shared" si="52"/>
        <v>1848.3333333333333</v>
      </c>
      <c r="BA168" s="413">
        <f t="shared" si="53"/>
        <v>1856.8333333333333</v>
      </c>
    </row>
    <row r="169" spans="1:53">
      <c r="A169" s="11" t="s">
        <v>208</v>
      </c>
      <c r="B169" s="14" t="s">
        <v>220</v>
      </c>
      <c r="C169" s="416" t="s">
        <v>933</v>
      </c>
      <c r="D169" s="13">
        <v>157553</v>
      </c>
      <c r="E169" s="419">
        <v>9</v>
      </c>
      <c r="F169" s="410"/>
      <c r="G169" s="411"/>
      <c r="H169" s="410"/>
      <c r="I169" s="411"/>
      <c r="J169" s="410">
        <v>30516</v>
      </c>
      <c r="K169" s="574">
        <v>24952.9</v>
      </c>
      <c r="L169" s="410">
        <v>3452</v>
      </c>
      <c r="M169" s="411">
        <v>3727</v>
      </c>
      <c r="N169" s="410">
        <v>31887</v>
      </c>
      <c r="O169" s="574">
        <v>28954.1</v>
      </c>
      <c r="P169" s="412">
        <f t="shared" si="54"/>
        <v>65855</v>
      </c>
      <c r="Q169" s="412">
        <f t="shared" si="55"/>
        <v>2195.1666666666665</v>
      </c>
      <c r="R169" s="413">
        <f t="shared" si="56"/>
        <v>57634</v>
      </c>
      <c r="S169" s="413">
        <f t="shared" si="57"/>
        <v>1921.1333333333334</v>
      </c>
      <c r="T169" s="410">
        <v>4478</v>
      </c>
      <c r="U169" s="574">
        <v>3736</v>
      </c>
      <c r="V169" s="412">
        <f t="shared" si="58"/>
        <v>65855</v>
      </c>
      <c r="W169" s="413">
        <f t="shared" si="59"/>
        <v>57634</v>
      </c>
      <c r="X169" s="410"/>
      <c r="Y169" s="411"/>
      <c r="Z169" s="410"/>
      <c r="AA169" s="411"/>
      <c r="AB169" s="410"/>
      <c r="AC169" s="411"/>
      <c r="AD169" s="410"/>
      <c r="AE169" s="411"/>
      <c r="AF169" s="412">
        <f t="shared" si="60"/>
        <v>0</v>
      </c>
      <c r="AG169" s="412">
        <f t="shared" si="61"/>
        <v>0</v>
      </c>
      <c r="AH169" s="413">
        <f t="shared" si="62"/>
        <v>0</v>
      </c>
      <c r="AI169" s="413">
        <f t="shared" si="63"/>
        <v>0</v>
      </c>
      <c r="AJ169" s="410"/>
      <c r="AK169" s="411"/>
      <c r="AL169" s="412">
        <f t="shared" si="46"/>
        <v>0</v>
      </c>
      <c r="AM169" s="413">
        <f t="shared" si="47"/>
        <v>0</v>
      </c>
      <c r="AN169" s="410"/>
      <c r="AO169" s="411"/>
      <c r="AP169" s="410"/>
      <c r="AQ169" s="411"/>
      <c r="AR169" s="410"/>
      <c r="AS169" s="411"/>
      <c r="AT169" s="410"/>
      <c r="AU169" s="411"/>
      <c r="AV169" s="412">
        <f t="shared" si="48"/>
        <v>0</v>
      </c>
      <c r="AW169" s="412">
        <f t="shared" si="49"/>
        <v>0</v>
      </c>
      <c r="AX169" s="413">
        <f t="shared" si="50"/>
        <v>0</v>
      </c>
      <c r="AY169" s="413">
        <f t="shared" si="51"/>
        <v>0</v>
      </c>
      <c r="AZ169" s="412">
        <f t="shared" si="52"/>
        <v>2195.1666666666665</v>
      </c>
      <c r="BA169" s="413">
        <f t="shared" si="53"/>
        <v>1921.1333333333334</v>
      </c>
    </row>
    <row r="170" spans="1:53">
      <c r="A170" s="11" t="s">
        <v>208</v>
      </c>
      <c r="B170" s="14" t="s">
        <v>221</v>
      </c>
      <c r="C170" s="529"/>
      <c r="D170" s="13">
        <v>156648</v>
      </c>
      <c r="E170" s="419">
        <v>9</v>
      </c>
      <c r="F170" s="410"/>
      <c r="G170" s="411"/>
      <c r="H170" s="410"/>
      <c r="I170" s="411"/>
      <c r="J170" s="410">
        <v>45278</v>
      </c>
      <c r="K170" s="574">
        <v>44960.800000000003</v>
      </c>
      <c r="L170" s="410">
        <v>9427</v>
      </c>
      <c r="M170" s="411">
        <v>8943</v>
      </c>
      <c r="N170" s="410">
        <v>52368</v>
      </c>
      <c r="O170" s="574">
        <v>52319.6</v>
      </c>
      <c r="P170" s="412">
        <f t="shared" si="54"/>
        <v>107073</v>
      </c>
      <c r="Q170" s="412">
        <f t="shared" si="55"/>
        <v>3569.1</v>
      </c>
      <c r="R170" s="413">
        <f t="shared" si="56"/>
        <v>106223.4</v>
      </c>
      <c r="S170" s="413">
        <f t="shared" si="57"/>
        <v>3540.7799999999997</v>
      </c>
      <c r="T170" s="410">
        <v>11834</v>
      </c>
      <c r="U170" s="574">
        <v>14608.6</v>
      </c>
      <c r="V170" s="412">
        <f t="shared" si="58"/>
        <v>107073</v>
      </c>
      <c r="W170" s="413">
        <f t="shared" si="59"/>
        <v>106223.4</v>
      </c>
      <c r="X170" s="410"/>
      <c r="Y170" s="411"/>
      <c r="Z170" s="410"/>
      <c r="AA170" s="411"/>
      <c r="AB170" s="410"/>
      <c r="AC170" s="411"/>
      <c r="AD170" s="410"/>
      <c r="AE170" s="411"/>
      <c r="AF170" s="412">
        <f t="shared" si="60"/>
        <v>0</v>
      </c>
      <c r="AG170" s="412">
        <f t="shared" si="61"/>
        <v>0</v>
      </c>
      <c r="AH170" s="413">
        <f t="shared" si="62"/>
        <v>0</v>
      </c>
      <c r="AI170" s="413">
        <f t="shared" si="63"/>
        <v>0</v>
      </c>
      <c r="AJ170" s="410"/>
      <c r="AK170" s="411"/>
      <c r="AL170" s="412">
        <f t="shared" si="46"/>
        <v>0</v>
      </c>
      <c r="AM170" s="413">
        <f t="shared" si="47"/>
        <v>0</v>
      </c>
      <c r="AN170" s="410"/>
      <c r="AO170" s="411"/>
      <c r="AP170" s="410"/>
      <c r="AQ170" s="411"/>
      <c r="AR170" s="410"/>
      <c r="AS170" s="411"/>
      <c r="AT170" s="410"/>
      <c r="AU170" s="411"/>
      <c r="AV170" s="412">
        <f t="shared" si="48"/>
        <v>0</v>
      </c>
      <c r="AW170" s="412">
        <f t="shared" si="49"/>
        <v>0</v>
      </c>
      <c r="AX170" s="413">
        <f t="shared" si="50"/>
        <v>0</v>
      </c>
      <c r="AY170" s="413">
        <f t="shared" si="51"/>
        <v>0</v>
      </c>
      <c r="AZ170" s="412">
        <f t="shared" si="52"/>
        <v>3569.1</v>
      </c>
      <c r="BA170" s="413">
        <f t="shared" si="53"/>
        <v>3540.7799999999997</v>
      </c>
    </row>
    <row r="171" spans="1:53">
      <c r="A171" s="11" t="s">
        <v>208</v>
      </c>
      <c r="B171" s="14" t="s">
        <v>225</v>
      </c>
      <c r="C171" s="529"/>
      <c r="D171" s="13">
        <v>157331</v>
      </c>
      <c r="E171" s="419">
        <v>9</v>
      </c>
      <c r="F171" s="410"/>
      <c r="G171" s="411"/>
      <c r="H171" s="410"/>
      <c r="I171" s="411"/>
      <c r="J171" s="410">
        <v>29238</v>
      </c>
      <c r="K171" s="574">
        <v>26671</v>
      </c>
      <c r="L171" s="410">
        <v>4943</v>
      </c>
      <c r="M171" s="411">
        <v>4064</v>
      </c>
      <c r="N171" s="410">
        <v>34638</v>
      </c>
      <c r="O171" s="574">
        <v>32450.799999999999</v>
      </c>
      <c r="P171" s="412">
        <f t="shared" si="54"/>
        <v>68819</v>
      </c>
      <c r="Q171" s="412">
        <f t="shared" si="55"/>
        <v>2293.9666666666667</v>
      </c>
      <c r="R171" s="413">
        <f t="shared" si="56"/>
        <v>63185.8</v>
      </c>
      <c r="S171" s="413">
        <f t="shared" si="57"/>
        <v>2106.1933333333336</v>
      </c>
      <c r="T171" s="410">
        <v>11827</v>
      </c>
      <c r="U171" s="574">
        <v>10506</v>
      </c>
      <c r="V171" s="412">
        <f t="shared" si="58"/>
        <v>68819</v>
      </c>
      <c r="W171" s="413">
        <f t="shared" si="59"/>
        <v>63185.8</v>
      </c>
      <c r="X171" s="410"/>
      <c r="Y171" s="411"/>
      <c r="Z171" s="410"/>
      <c r="AA171" s="411"/>
      <c r="AB171" s="410"/>
      <c r="AC171" s="411"/>
      <c r="AD171" s="410"/>
      <c r="AE171" s="411"/>
      <c r="AF171" s="412">
        <f t="shared" si="60"/>
        <v>0</v>
      </c>
      <c r="AG171" s="412">
        <f t="shared" si="61"/>
        <v>0</v>
      </c>
      <c r="AH171" s="413">
        <f t="shared" si="62"/>
        <v>0</v>
      </c>
      <c r="AI171" s="413">
        <f t="shared" si="63"/>
        <v>0</v>
      </c>
      <c r="AJ171" s="410"/>
      <c r="AK171" s="411"/>
      <c r="AL171" s="412">
        <f t="shared" si="46"/>
        <v>0</v>
      </c>
      <c r="AM171" s="413">
        <f t="shared" si="47"/>
        <v>0</v>
      </c>
      <c r="AN171" s="410"/>
      <c r="AO171" s="411"/>
      <c r="AP171" s="410"/>
      <c r="AQ171" s="411"/>
      <c r="AR171" s="410"/>
      <c r="AS171" s="411"/>
      <c r="AT171" s="410"/>
      <c r="AU171" s="411"/>
      <c r="AV171" s="412">
        <f t="shared" si="48"/>
        <v>0</v>
      </c>
      <c r="AW171" s="412">
        <f t="shared" si="49"/>
        <v>0</v>
      </c>
      <c r="AX171" s="413">
        <f t="shared" si="50"/>
        <v>0</v>
      </c>
      <c r="AY171" s="413">
        <f t="shared" si="51"/>
        <v>0</v>
      </c>
      <c r="AZ171" s="412">
        <f t="shared" si="52"/>
        <v>2293.9666666666667</v>
      </c>
      <c r="BA171" s="413">
        <f t="shared" si="53"/>
        <v>2106.1933333333336</v>
      </c>
    </row>
    <row r="172" spans="1:53">
      <c r="A172" s="11" t="s">
        <v>208</v>
      </c>
      <c r="B172" s="14" t="s">
        <v>226</v>
      </c>
      <c r="C172" s="529"/>
      <c r="D172" s="13">
        <v>247940</v>
      </c>
      <c r="E172" s="419">
        <v>9</v>
      </c>
      <c r="F172" s="410"/>
      <c r="G172" s="411"/>
      <c r="H172" s="410"/>
      <c r="I172" s="411"/>
      <c r="J172" s="410">
        <v>28784</v>
      </c>
      <c r="K172" s="574">
        <v>32508.5</v>
      </c>
      <c r="L172" s="410">
        <v>4870</v>
      </c>
      <c r="M172" s="411">
        <v>4747</v>
      </c>
      <c r="N172" s="410">
        <v>33846</v>
      </c>
      <c r="O172" s="574">
        <v>35311.699999999997</v>
      </c>
      <c r="P172" s="412">
        <f t="shared" si="54"/>
        <v>67500</v>
      </c>
      <c r="Q172" s="412">
        <f t="shared" si="55"/>
        <v>2250</v>
      </c>
      <c r="R172" s="413">
        <f t="shared" si="56"/>
        <v>72567.199999999997</v>
      </c>
      <c r="S172" s="413">
        <f t="shared" si="57"/>
        <v>2418.9066666666668</v>
      </c>
      <c r="T172" s="410">
        <v>12790</v>
      </c>
      <c r="U172" s="574">
        <v>15123.3</v>
      </c>
      <c r="V172" s="412">
        <f t="shared" si="58"/>
        <v>67500</v>
      </c>
      <c r="W172" s="413">
        <f t="shared" si="59"/>
        <v>72567.199999999997</v>
      </c>
      <c r="X172" s="410"/>
      <c r="Y172" s="411"/>
      <c r="Z172" s="410"/>
      <c r="AA172" s="411"/>
      <c r="AB172" s="410"/>
      <c r="AC172" s="411"/>
      <c r="AD172" s="410"/>
      <c r="AE172" s="411"/>
      <c r="AF172" s="412">
        <f t="shared" si="60"/>
        <v>0</v>
      </c>
      <c r="AG172" s="412">
        <f t="shared" si="61"/>
        <v>0</v>
      </c>
      <c r="AH172" s="413">
        <f t="shared" si="62"/>
        <v>0</v>
      </c>
      <c r="AI172" s="413">
        <f t="shared" si="63"/>
        <v>0</v>
      </c>
      <c r="AJ172" s="410"/>
      <c r="AK172" s="411"/>
      <c r="AL172" s="412">
        <f t="shared" si="46"/>
        <v>0</v>
      </c>
      <c r="AM172" s="413">
        <f t="shared" si="47"/>
        <v>0</v>
      </c>
      <c r="AN172" s="410"/>
      <c r="AO172" s="411"/>
      <c r="AP172" s="410"/>
      <c r="AQ172" s="411"/>
      <c r="AR172" s="410"/>
      <c r="AS172" s="411"/>
      <c r="AT172" s="410"/>
      <c r="AU172" s="411"/>
      <c r="AV172" s="412">
        <f t="shared" si="48"/>
        <v>0</v>
      </c>
      <c r="AW172" s="412">
        <f t="shared" si="49"/>
        <v>0</v>
      </c>
      <c r="AX172" s="413">
        <f t="shared" si="50"/>
        <v>0</v>
      </c>
      <c r="AY172" s="413">
        <f t="shared" si="51"/>
        <v>0</v>
      </c>
      <c r="AZ172" s="412">
        <f t="shared" si="52"/>
        <v>2250</v>
      </c>
      <c r="BA172" s="413">
        <f t="shared" si="53"/>
        <v>2418.9066666666668</v>
      </c>
    </row>
    <row r="173" spans="1:53">
      <c r="A173" s="11" t="s">
        <v>208</v>
      </c>
      <c r="B173" s="14" t="s">
        <v>227</v>
      </c>
      <c r="C173" s="529"/>
      <c r="D173" s="13">
        <v>157711</v>
      </c>
      <c r="E173" s="419">
        <v>9</v>
      </c>
      <c r="F173" s="410"/>
      <c r="G173" s="411"/>
      <c r="H173" s="410"/>
      <c r="I173" s="411"/>
      <c r="J173" s="410">
        <v>46791</v>
      </c>
      <c r="K173" s="574">
        <v>41715.5</v>
      </c>
      <c r="L173" s="410">
        <v>8692</v>
      </c>
      <c r="M173" s="411">
        <v>7765</v>
      </c>
      <c r="N173" s="410">
        <v>53780</v>
      </c>
      <c r="O173" s="574">
        <v>49358.2</v>
      </c>
      <c r="P173" s="412">
        <f t="shared" si="54"/>
        <v>109263</v>
      </c>
      <c r="Q173" s="412">
        <f t="shared" si="55"/>
        <v>3642.1</v>
      </c>
      <c r="R173" s="413">
        <f t="shared" si="56"/>
        <v>98838.7</v>
      </c>
      <c r="S173" s="413">
        <f t="shared" si="57"/>
        <v>3294.6233333333334</v>
      </c>
      <c r="T173" s="410">
        <v>9099</v>
      </c>
      <c r="U173" s="574">
        <v>9303.6</v>
      </c>
      <c r="V173" s="412">
        <f t="shared" si="58"/>
        <v>109263</v>
      </c>
      <c r="W173" s="413">
        <f t="shared" si="59"/>
        <v>98838.7</v>
      </c>
      <c r="X173" s="410"/>
      <c r="Y173" s="411"/>
      <c r="Z173" s="410"/>
      <c r="AA173" s="411"/>
      <c r="AB173" s="410"/>
      <c r="AC173" s="411"/>
      <c r="AD173" s="410"/>
      <c r="AE173" s="411"/>
      <c r="AF173" s="412">
        <f t="shared" si="60"/>
        <v>0</v>
      </c>
      <c r="AG173" s="412">
        <f t="shared" si="61"/>
        <v>0</v>
      </c>
      <c r="AH173" s="413">
        <f t="shared" si="62"/>
        <v>0</v>
      </c>
      <c r="AI173" s="413">
        <f t="shared" si="63"/>
        <v>0</v>
      </c>
      <c r="AJ173" s="410"/>
      <c r="AK173" s="411"/>
      <c r="AL173" s="412">
        <f t="shared" si="46"/>
        <v>0</v>
      </c>
      <c r="AM173" s="413">
        <f t="shared" si="47"/>
        <v>0</v>
      </c>
      <c r="AN173" s="410"/>
      <c r="AO173" s="411"/>
      <c r="AP173" s="410"/>
      <c r="AQ173" s="411"/>
      <c r="AR173" s="410"/>
      <c r="AS173" s="411"/>
      <c r="AT173" s="410"/>
      <c r="AU173" s="411"/>
      <c r="AV173" s="412">
        <f t="shared" si="48"/>
        <v>0</v>
      </c>
      <c r="AW173" s="412">
        <f t="shared" si="49"/>
        <v>0</v>
      </c>
      <c r="AX173" s="413">
        <f t="shared" si="50"/>
        <v>0</v>
      </c>
      <c r="AY173" s="413">
        <f t="shared" si="51"/>
        <v>0</v>
      </c>
      <c r="AZ173" s="412">
        <f t="shared" si="52"/>
        <v>3642.1</v>
      </c>
      <c r="BA173" s="413">
        <f t="shared" si="53"/>
        <v>3294.6233333333334</v>
      </c>
    </row>
    <row r="174" spans="1:53">
      <c r="A174" s="11" t="s">
        <v>208</v>
      </c>
      <c r="B174" s="14" t="s">
        <v>229</v>
      </c>
      <c r="C174" s="529"/>
      <c r="D174" s="13">
        <v>157483</v>
      </c>
      <c r="E174" s="419">
        <v>9</v>
      </c>
      <c r="F174" s="410"/>
      <c r="G174" s="411"/>
      <c r="H174" s="410"/>
      <c r="I174" s="411"/>
      <c r="J174" s="410">
        <v>42159</v>
      </c>
      <c r="K174" s="574">
        <v>39758.400000000001</v>
      </c>
      <c r="L174" s="410">
        <v>8666</v>
      </c>
      <c r="M174" s="411">
        <v>7280</v>
      </c>
      <c r="N174" s="410">
        <v>46158</v>
      </c>
      <c r="O174" s="574">
        <v>45707.9</v>
      </c>
      <c r="P174" s="412">
        <f t="shared" si="54"/>
        <v>96983</v>
      </c>
      <c r="Q174" s="412">
        <f t="shared" si="55"/>
        <v>3232.7666666666669</v>
      </c>
      <c r="R174" s="413">
        <f t="shared" si="56"/>
        <v>92746.3</v>
      </c>
      <c r="S174" s="413">
        <f t="shared" si="57"/>
        <v>3091.5433333333335</v>
      </c>
      <c r="T174" s="410">
        <v>7840</v>
      </c>
      <c r="U174" s="574">
        <v>8208.2999999999993</v>
      </c>
      <c r="V174" s="412">
        <f t="shared" si="58"/>
        <v>96983</v>
      </c>
      <c r="W174" s="413">
        <f t="shared" si="59"/>
        <v>92746.3</v>
      </c>
      <c r="X174" s="410"/>
      <c r="Y174" s="411"/>
      <c r="Z174" s="410"/>
      <c r="AA174" s="411"/>
      <c r="AB174" s="410"/>
      <c r="AC174" s="411"/>
      <c r="AD174" s="410"/>
      <c r="AE174" s="411"/>
      <c r="AF174" s="412">
        <f t="shared" si="60"/>
        <v>0</v>
      </c>
      <c r="AG174" s="412">
        <f t="shared" si="61"/>
        <v>0</v>
      </c>
      <c r="AH174" s="413">
        <f t="shared" si="62"/>
        <v>0</v>
      </c>
      <c r="AI174" s="413">
        <f t="shared" si="63"/>
        <v>0</v>
      </c>
      <c r="AJ174" s="410"/>
      <c r="AK174" s="411"/>
      <c r="AL174" s="412">
        <f t="shared" si="46"/>
        <v>0</v>
      </c>
      <c r="AM174" s="413">
        <f t="shared" si="47"/>
        <v>0</v>
      </c>
      <c r="AN174" s="410"/>
      <c r="AO174" s="411"/>
      <c r="AP174" s="410"/>
      <c r="AQ174" s="411"/>
      <c r="AR174" s="410"/>
      <c r="AS174" s="411"/>
      <c r="AT174" s="410"/>
      <c r="AU174" s="411"/>
      <c r="AV174" s="412">
        <f t="shared" si="48"/>
        <v>0</v>
      </c>
      <c r="AW174" s="412">
        <f t="shared" si="49"/>
        <v>0</v>
      </c>
      <c r="AX174" s="413">
        <f t="shared" si="50"/>
        <v>0</v>
      </c>
      <c r="AY174" s="413">
        <f t="shared" si="51"/>
        <v>0</v>
      </c>
      <c r="AZ174" s="412">
        <f t="shared" si="52"/>
        <v>3232.7666666666669</v>
      </c>
      <c r="BA174" s="413">
        <f t="shared" si="53"/>
        <v>3091.5433333333335</v>
      </c>
    </row>
    <row r="175" spans="1:53">
      <c r="A175" s="11" t="s">
        <v>208</v>
      </c>
      <c r="B175" s="14" t="s">
        <v>222</v>
      </c>
      <c r="C175" s="12"/>
      <c r="D175" s="13">
        <v>156790</v>
      </c>
      <c r="E175" s="419">
        <v>10</v>
      </c>
      <c r="F175" s="410"/>
      <c r="G175" s="411"/>
      <c r="H175" s="410"/>
      <c r="I175" s="411"/>
      <c r="J175" s="410">
        <v>22851</v>
      </c>
      <c r="K175" s="574">
        <v>23361.3</v>
      </c>
      <c r="L175" s="410">
        <v>5506</v>
      </c>
      <c r="M175" s="411">
        <v>5706</v>
      </c>
      <c r="N175" s="410">
        <v>26682</v>
      </c>
      <c r="O175" s="574">
        <v>26283</v>
      </c>
      <c r="P175" s="412">
        <f t="shared" si="54"/>
        <v>55039</v>
      </c>
      <c r="Q175" s="412">
        <f t="shared" si="55"/>
        <v>1834.6333333333334</v>
      </c>
      <c r="R175" s="413">
        <f t="shared" si="56"/>
        <v>55350.3</v>
      </c>
      <c r="S175" s="413">
        <f t="shared" si="57"/>
        <v>1845.01</v>
      </c>
      <c r="T175" s="410">
        <v>6285</v>
      </c>
      <c r="U175" s="574">
        <v>8211.7999999999993</v>
      </c>
      <c r="V175" s="412">
        <f t="shared" si="58"/>
        <v>55039</v>
      </c>
      <c r="W175" s="413">
        <f t="shared" si="59"/>
        <v>55350.3</v>
      </c>
      <c r="X175" s="410"/>
      <c r="Y175" s="411"/>
      <c r="Z175" s="410"/>
      <c r="AA175" s="411"/>
      <c r="AB175" s="410"/>
      <c r="AC175" s="411"/>
      <c r="AD175" s="410"/>
      <c r="AE175" s="411"/>
      <c r="AF175" s="412">
        <f t="shared" si="60"/>
        <v>0</v>
      </c>
      <c r="AG175" s="412">
        <f t="shared" si="61"/>
        <v>0</v>
      </c>
      <c r="AH175" s="413">
        <f t="shared" si="62"/>
        <v>0</v>
      </c>
      <c r="AI175" s="413">
        <f t="shared" si="63"/>
        <v>0</v>
      </c>
      <c r="AJ175" s="410"/>
      <c r="AK175" s="411"/>
      <c r="AL175" s="412">
        <f t="shared" si="46"/>
        <v>0</v>
      </c>
      <c r="AM175" s="413">
        <f t="shared" si="47"/>
        <v>0</v>
      </c>
      <c r="AN175" s="410"/>
      <c r="AO175" s="411"/>
      <c r="AP175" s="410"/>
      <c r="AQ175" s="411"/>
      <c r="AR175" s="410"/>
      <c r="AS175" s="411"/>
      <c r="AT175" s="410"/>
      <c r="AU175" s="411"/>
      <c r="AV175" s="412">
        <f t="shared" si="48"/>
        <v>0</v>
      </c>
      <c r="AW175" s="412">
        <f t="shared" si="49"/>
        <v>0</v>
      </c>
      <c r="AX175" s="413">
        <f t="shared" si="50"/>
        <v>0</v>
      </c>
      <c r="AY175" s="413">
        <f t="shared" si="51"/>
        <v>0</v>
      </c>
      <c r="AZ175" s="412">
        <f t="shared" si="52"/>
        <v>1834.6333333333334</v>
      </c>
      <c r="BA175" s="413">
        <f t="shared" si="53"/>
        <v>1845.01</v>
      </c>
    </row>
    <row r="176" spans="1:53">
      <c r="A176" s="11" t="s">
        <v>208</v>
      </c>
      <c r="B176" s="14" t="s">
        <v>230</v>
      </c>
      <c r="C176" s="529"/>
      <c r="D176" s="13">
        <v>156851</v>
      </c>
      <c r="E176" s="419">
        <v>10</v>
      </c>
      <c r="F176" s="410"/>
      <c r="G176" s="411"/>
      <c r="H176" s="410"/>
      <c r="I176" s="411"/>
      <c r="J176" s="410">
        <v>11819</v>
      </c>
      <c r="K176" s="574">
        <v>10242</v>
      </c>
      <c r="L176" s="410">
        <v>1726</v>
      </c>
      <c r="M176" s="411">
        <v>1722</v>
      </c>
      <c r="N176" s="410">
        <v>13875</v>
      </c>
      <c r="O176" s="574">
        <v>12972</v>
      </c>
      <c r="P176" s="412">
        <f t="shared" si="54"/>
        <v>27420</v>
      </c>
      <c r="Q176" s="412">
        <f t="shared" si="55"/>
        <v>914</v>
      </c>
      <c r="R176" s="413">
        <f t="shared" si="56"/>
        <v>24936</v>
      </c>
      <c r="S176" s="413">
        <f t="shared" si="57"/>
        <v>831.2</v>
      </c>
      <c r="T176" s="410">
        <v>4379</v>
      </c>
      <c r="U176" s="574">
        <v>3690</v>
      </c>
      <c r="V176" s="412">
        <f t="shared" si="58"/>
        <v>27420</v>
      </c>
      <c r="W176" s="413">
        <f t="shared" si="59"/>
        <v>24936</v>
      </c>
      <c r="X176" s="410"/>
      <c r="Y176" s="411"/>
      <c r="Z176" s="410"/>
      <c r="AA176" s="411"/>
      <c r="AB176" s="410"/>
      <c r="AC176" s="411"/>
      <c r="AD176" s="410"/>
      <c r="AE176" s="411"/>
      <c r="AF176" s="412">
        <f t="shared" si="60"/>
        <v>0</v>
      </c>
      <c r="AG176" s="412">
        <f t="shared" si="61"/>
        <v>0</v>
      </c>
      <c r="AH176" s="413">
        <f t="shared" si="62"/>
        <v>0</v>
      </c>
      <c r="AI176" s="413">
        <f t="shared" si="63"/>
        <v>0</v>
      </c>
      <c r="AJ176" s="410"/>
      <c r="AK176" s="411"/>
      <c r="AL176" s="412">
        <f t="shared" si="46"/>
        <v>0</v>
      </c>
      <c r="AM176" s="413">
        <f t="shared" si="47"/>
        <v>0</v>
      </c>
      <c r="AN176" s="410"/>
      <c r="AO176" s="411"/>
      <c r="AP176" s="410"/>
      <c r="AQ176" s="411"/>
      <c r="AR176" s="410"/>
      <c r="AS176" s="411"/>
      <c r="AT176" s="410"/>
      <c r="AU176" s="411"/>
      <c r="AV176" s="412">
        <f t="shared" si="48"/>
        <v>0</v>
      </c>
      <c r="AW176" s="412">
        <f t="shared" si="49"/>
        <v>0</v>
      </c>
      <c r="AX176" s="413">
        <f t="shared" si="50"/>
        <v>0</v>
      </c>
      <c r="AY176" s="413">
        <f t="shared" si="51"/>
        <v>0</v>
      </c>
      <c r="AZ176" s="412">
        <f t="shared" si="52"/>
        <v>914</v>
      </c>
      <c r="BA176" s="413">
        <f t="shared" si="53"/>
        <v>831.2</v>
      </c>
    </row>
    <row r="177" spans="1:53">
      <c r="A177" s="11" t="s">
        <v>208</v>
      </c>
      <c r="B177" s="14" t="s">
        <v>223</v>
      </c>
      <c r="C177" s="12"/>
      <c r="D177" s="13">
        <v>156860</v>
      </c>
      <c r="E177" s="419">
        <v>10</v>
      </c>
      <c r="F177" s="410"/>
      <c r="G177" s="411"/>
      <c r="H177" s="410"/>
      <c r="I177" s="411"/>
      <c r="J177" s="410">
        <v>19816</v>
      </c>
      <c r="K177" s="574">
        <v>19380</v>
      </c>
      <c r="L177" s="410">
        <v>4253</v>
      </c>
      <c r="M177" s="411">
        <v>4493</v>
      </c>
      <c r="N177" s="410">
        <v>22883</v>
      </c>
      <c r="O177" s="574">
        <v>21635</v>
      </c>
      <c r="P177" s="412">
        <f t="shared" si="54"/>
        <v>46952</v>
      </c>
      <c r="Q177" s="412">
        <f t="shared" si="55"/>
        <v>1565.0666666666666</v>
      </c>
      <c r="R177" s="413">
        <f t="shared" si="56"/>
        <v>45508</v>
      </c>
      <c r="S177" s="413">
        <f t="shared" si="57"/>
        <v>1516.9333333333334</v>
      </c>
      <c r="T177" s="410">
        <v>3821</v>
      </c>
      <c r="U177" s="574">
        <v>4355</v>
      </c>
      <c r="V177" s="412">
        <f t="shared" si="58"/>
        <v>46952</v>
      </c>
      <c r="W177" s="413">
        <f t="shared" si="59"/>
        <v>45508</v>
      </c>
      <c r="X177" s="410"/>
      <c r="Y177" s="411"/>
      <c r="Z177" s="410"/>
      <c r="AA177" s="411"/>
      <c r="AB177" s="410"/>
      <c r="AC177" s="411"/>
      <c r="AD177" s="410"/>
      <c r="AE177" s="411"/>
      <c r="AF177" s="412">
        <f t="shared" si="60"/>
        <v>0</v>
      </c>
      <c r="AG177" s="412">
        <f t="shared" si="61"/>
        <v>0</v>
      </c>
      <c r="AH177" s="413">
        <f t="shared" si="62"/>
        <v>0</v>
      </c>
      <c r="AI177" s="413">
        <f t="shared" si="63"/>
        <v>0</v>
      </c>
      <c r="AJ177" s="410"/>
      <c r="AK177" s="411"/>
      <c r="AL177" s="412">
        <f t="shared" si="46"/>
        <v>0</v>
      </c>
      <c r="AM177" s="413">
        <f t="shared" si="47"/>
        <v>0</v>
      </c>
      <c r="AN177" s="410"/>
      <c r="AO177" s="411"/>
      <c r="AP177" s="410"/>
      <c r="AQ177" s="411"/>
      <c r="AR177" s="410"/>
      <c r="AS177" s="411"/>
      <c r="AT177" s="410"/>
      <c r="AU177" s="411"/>
      <c r="AV177" s="412">
        <f t="shared" si="48"/>
        <v>0</v>
      </c>
      <c r="AW177" s="412">
        <f t="shared" si="49"/>
        <v>0</v>
      </c>
      <c r="AX177" s="413">
        <f t="shared" si="50"/>
        <v>0</v>
      </c>
      <c r="AY177" s="413">
        <f t="shared" si="51"/>
        <v>0</v>
      </c>
      <c r="AZ177" s="412">
        <f t="shared" si="52"/>
        <v>1565.0666666666666</v>
      </c>
      <c r="BA177" s="413">
        <f t="shared" si="53"/>
        <v>1516.9333333333334</v>
      </c>
    </row>
    <row r="178" spans="1:53">
      <c r="A178" s="11" t="s">
        <v>208</v>
      </c>
      <c r="B178" s="14" t="s">
        <v>224</v>
      </c>
      <c r="C178" s="12"/>
      <c r="D178" s="13">
        <v>157304</v>
      </c>
      <c r="E178" s="419">
        <v>10</v>
      </c>
      <c r="F178" s="410"/>
      <c r="G178" s="411"/>
      <c r="H178" s="410"/>
      <c r="I178" s="411"/>
      <c r="J178" s="410">
        <v>21275</v>
      </c>
      <c r="K178" s="574">
        <v>21936.2</v>
      </c>
      <c r="L178" s="410">
        <v>2999</v>
      </c>
      <c r="M178" s="411">
        <v>3624</v>
      </c>
      <c r="N178" s="410">
        <v>25709</v>
      </c>
      <c r="O178" s="574">
        <v>26664.1</v>
      </c>
      <c r="P178" s="412">
        <f t="shared" si="54"/>
        <v>49983</v>
      </c>
      <c r="Q178" s="412">
        <f t="shared" si="55"/>
        <v>1666.1</v>
      </c>
      <c r="R178" s="413">
        <f t="shared" si="56"/>
        <v>52224.3</v>
      </c>
      <c r="S178" s="413">
        <f t="shared" si="57"/>
        <v>1740.8100000000002</v>
      </c>
      <c r="T178" s="410">
        <v>8252</v>
      </c>
      <c r="U178" s="574">
        <v>9777</v>
      </c>
      <c r="V178" s="412">
        <f t="shared" si="58"/>
        <v>49983</v>
      </c>
      <c r="W178" s="413">
        <f t="shared" si="59"/>
        <v>52224.3</v>
      </c>
      <c r="X178" s="410"/>
      <c r="Y178" s="411"/>
      <c r="Z178" s="410"/>
      <c r="AA178" s="411"/>
      <c r="AB178" s="410"/>
      <c r="AC178" s="411"/>
      <c r="AD178" s="410"/>
      <c r="AE178" s="411"/>
      <c r="AF178" s="412">
        <f t="shared" si="60"/>
        <v>0</v>
      </c>
      <c r="AG178" s="412">
        <f t="shared" si="61"/>
        <v>0</v>
      </c>
      <c r="AH178" s="413">
        <f t="shared" si="62"/>
        <v>0</v>
      </c>
      <c r="AI178" s="413">
        <f t="shared" si="63"/>
        <v>0</v>
      </c>
      <c r="AJ178" s="410"/>
      <c r="AK178" s="411"/>
      <c r="AL178" s="412">
        <f t="shared" si="46"/>
        <v>0</v>
      </c>
      <c r="AM178" s="413">
        <f t="shared" si="47"/>
        <v>0</v>
      </c>
      <c r="AN178" s="410"/>
      <c r="AO178" s="411"/>
      <c r="AP178" s="410"/>
      <c r="AQ178" s="411"/>
      <c r="AR178" s="410"/>
      <c r="AS178" s="411"/>
      <c r="AT178" s="410"/>
      <c r="AU178" s="411"/>
      <c r="AV178" s="412">
        <f t="shared" si="48"/>
        <v>0</v>
      </c>
      <c r="AW178" s="412">
        <f t="shared" si="49"/>
        <v>0</v>
      </c>
      <c r="AX178" s="413">
        <f t="shared" si="50"/>
        <v>0</v>
      </c>
      <c r="AY178" s="413">
        <f t="shared" si="51"/>
        <v>0</v>
      </c>
      <c r="AZ178" s="412">
        <f t="shared" si="52"/>
        <v>1666.1</v>
      </c>
      <c r="BA178" s="413">
        <f t="shared" si="53"/>
        <v>1740.8100000000002</v>
      </c>
    </row>
    <row r="179" spans="1:53">
      <c r="A179" s="11" t="s">
        <v>208</v>
      </c>
      <c r="B179" s="14" t="s">
        <v>228</v>
      </c>
      <c r="C179" s="12"/>
      <c r="D179" s="13">
        <v>157739</v>
      </c>
      <c r="E179" s="419">
        <v>10</v>
      </c>
      <c r="F179" s="410"/>
      <c r="G179" s="411"/>
      <c r="H179" s="410"/>
      <c r="I179" s="411"/>
      <c r="J179" s="410">
        <v>24213</v>
      </c>
      <c r="K179" s="574">
        <v>21918.6</v>
      </c>
      <c r="L179" s="410">
        <v>3843</v>
      </c>
      <c r="M179" s="411">
        <v>3450</v>
      </c>
      <c r="N179" s="410">
        <v>26846</v>
      </c>
      <c r="O179" s="574">
        <v>27700.3</v>
      </c>
      <c r="P179" s="412">
        <f t="shared" si="54"/>
        <v>54902</v>
      </c>
      <c r="Q179" s="412">
        <f t="shared" si="55"/>
        <v>1830.0666666666666</v>
      </c>
      <c r="R179" s="413">
        <f t="shared" si="56"/>
        <v>53068.899999999994</v>
      </c>
      <c r="S179" s="413">
        <f t="shared" si="57"/>
        <v>1768.9633333333331</v>
      </c>
      <c r="T179" s="410">
        <v>6663</v>
      </c>
      <c r="U179" s="574">
        <v>7467.2</v>
      </c>
      <c r="V179" s="412">
        <f t="shared" si="58"/>
        <v>54902</v>
      </c>
      <c r="W179" s="413">
        <f t="shared" si="59"/>
        <v>53068.899999999994</v>
      </c>
      <c r="X179" s="410"/>
      <c r="Y179" s="411"/>
      <c r="Z179" s="410"/>
      <c r="AA179" s="411"/>
      <c r="AB179" s="410"/>
      <c r="AC179" s="411"/>
      <c r="AD179" s="410"/>
      <c r="AE179" s="411"/>
      <c r="AF179" s="412">
        <f t="shared" si="60"/>
        <v>0</v>
      </c>
      <c r="AG179" s="412">
        <f t="shared" si="61"/>
        <v>0</v>
      </c>
      <c r="AH179" s="413">
        <f t="shared" si="62"/>
        <v>0</v>
      </c>
      <c r="AI179" s="413">
        <f t="shared" si="63"/>
        <v>0</v>
      </c>
      <c r="AJ179" s="410"/>
      <c r="AK179" s="411"/>
      <c r="AL179" s="412">
        <f t="shared" si="46"/>
        <v>0</v>
      </c>
      <c r="AM179" s="413">
        <f t="shared" si="47"/>
        <v>0</v>
      </c>
      <c r="AN179" s="410"/>
      <c r="AO179" s="411"/>
      <c r="AP179" s="410"/>
      <c r="AQ179" s="411"/>
      <c r="AR179" s="410"/>
      <c r="AS179" s="411"/>
      <c r="AT179" s="410"/>
      <c r="AU179" s="411"/>
      <c r="AV179" s="412">
        <f t="shared" si="48"/>
        <v>0</v>
      </c>
      <c r="AW179" s="412">
        <f t="shared" si="49"/>
        <v>0</v>
      </c>
      <c r="AX179" s="413">
        <f t="shared" si="50"/>
        <v>0</v>
      </c>
      <c r="AY179" s="413">
        <f t="shared" si="51"/>
        <v>0</v>
      </c>
      <c r="AZ179" s="412">
        <f t="shared" si="52"/>
        <v>1830.0666666666666</v>
      </c>
      <c r="BA179" s="413">
        <f t="shared" si="53"/>
        <v>1768.9633333333331</v>
      </c>
    </row>
    <row r="180" spans="1:53">
      <c r="A180" s="415" t="s">
        <v>208</v>
      </c>
      <c r="B180" s="14" t="s">
        <v>231</v>
      </c>
      <c r="C180" s="529"/>
      <c r="D180" s="13">
        <v>157438</v>
      </c>
      <c r="E180" s="419">
        <v>12</v>
      </c>
      <c r="F180" s="410"/>
      <c r="G180" s="411"/>
      <c r="H180" s="410"/>
      <c r="I180" s="411"/>
      <c r="J180" s="410">
        <v>30797</v>
      </c>
      <c r="K180" s="574">
        <v>32837.800000000003</v>
      </c>
      <c r="L180" s="410">
        <v>6036</v>
      </c>
      <c r="M180" s="411">
        <v>6496</v>
      </c>
      <c r="N180" s="410">
        <v>33583</v>
      </c>
      <c r="O180" s="574">
        <v>36568.199999999997</v>
      </c>
      <c r="P180" s="412">
        <f t="shared" si="54"/>
        <v>70416</v>
      </c>
      <c r="Q180" s="412">
        <f t="shared" si="55"/>
        <v>2347.1999999999998</v>
      </c>
      <c r="R180" s="413">
        <f t="shared" si="56"/>
        <v>75902</v>
      </c>
      <c r="S180" s="413">
        <f t="shared" si="57"/>
        <v>2530.0666666666666</v>
      </c>
      <c r="T180" s="410">
        <v>9474</v>
      </c>
      <c r="U180" s="574">
        <v>11804.5</v>
      </c>
      <c r="V180" s="412">
        <f t="shared" si="58"/>
        <v>70416</v>
      </c>
      <c r="W180" s="413">
        <f t="shared" si="59"/>
        <v>75902</v>
      </c>
      <c r="X180" s="410"/>
      <c r="Y180" s="411"/>
      <c r="Z180" s="410"/>
      <c r="AA180" s="411"/>
      <c r="AB180" s="410"/>
      <c r="AC180" s="411"/>
      <c r="AD180" s="410"/>
      <c r="AE180" s="411"/>
      <c r="AF180" s="412">
        <f t="shared" si="60"/>
        <v>0</v>
      </c>
      <c r="AG180" s="412">
        <f t="shared" si="61"/>
        <v>0</v>
      </c>
      <c r="AH180" s="413">
        <f t="shared" si="62"/>
        <v>0</v>
      </c>
      <c r="AI180" s="413">
        <f t="shared" si="63"/>
        <v>0</v>
      </c>
      <c r="AJ180" s="410"/>
      <c r="AK180" s="411"/>
      <c r="AL180" s="412">
        <f t="shared" si="46"/>
        <v>0</v>
      </c>
      <c r="AM180" s="413">
        <f t="shared" si="47"/>
        <v>0</v>
      </c>
      <c r="AN180" s="410"/>
      <c r="AO180" s="411"/>
      <c r="AP180" s="410"/>
      <c r="AQ180" s="411"/>
      <c r="AR180" s="410"/>
      <c r="AS180" s="411"/>
      <c r="AT180" s="410"/>
      <c r="AU180" s="411"/>
      <c r="AV180" s="412">
        <f t="shared" si="48"/>
        <v>0</v>
      </c>
      <c r="AW180" s="412">
        <f t="shared" si="49"/>
        <v>0</v>
      </c>
      <c r="AX180" s="413">
        <f t="shared" si="50"/>
        <v>0</v>
      </c>
      <c r="AY180" s="413">
        <f t="shared" si="51"/>
        <v>0</v>
      </c>
      <c r="AZ180" s="412">
        <f t="shared" si="52"/>
        <v>2347.1999999999998</v>
      </c>
      <c r="BA180" s="413">
        <f t="shared" si="53"/>
        <v>2530.0666666666666</v>
      </c>
    </row>
    <row r="181" spans="1:53">
      <c r="A181" s="415" t="s">
        <v>208</v>
      </c>
      <c r="B181" s="14" t="s">
        <v>232</v>
      </c>
      <c r="C181" s="529"/>
      <c r="D181" s="13">
        <v>156338</v>
      </c>
      <c r="E181" s="419">
        <v>12</v>
      </c>
      <c r="F181" s="410"/>
      <c r="G181" s="411"/>
      <c r="H181" s="410"/>
      <c r="I181" s="411"/>
      <c r="J181" s="410">
        <v>34390</v>
      </c>
      <c r="K181" s="576">
        <v>35020</v>
      </c>
      <c r="L181" s="410">
        <v>5482</v>
      </c>
      <c r="M181" s="411">
        <v>5356</v>
      </c>
      <c r="N181" s="410">
        <v>39672</v>
      </c>
      <c r="O181" s="576">
        <v>39600.699999999997</v>
      </c>
      <c r="P181" s="412">
        <f t="shared" si="54"/>
        <v>79544</v>
      </c>
      <c r="Q181" s="412">
        <f t="shared" si="55"/>
        <v>2651.4666666666667</v>
      </c>
      <c r="R181" s="413">
        <f t="shared" si="56"/>
        <v>79976.7</v>
      </c>
      <c r="S181" s="413">
        <f t="shared" si="57"/>
        <v>2665.89</v>
      </c>
      <c r="T181" s="410">
        <v>8570</v>
      </c>
      <c r="U181" s="574">
        <v>8476</v>
      </c>
      <c r="V181" s="412">
        <f t="shared" si="58"/>
        <v>79544</v>
      </c>
      <c r="W181" s="413">
        <f t="shared" si="59"/>
        <v>79976.7</v>
      </c>
      <c r="X181" s="410"/>
      <c r="Y181" s="411"/>
      <c r="Z181" s="410"/>
      <c r="AA181" s="411"/>
      <c r="AB181" s="410"/>
      <c r="AC181" s="411"/>
      <c r="AD181" s="410"/>
      <c r="AE181" s="411"/>
      <c r="AF181" s="412">
        <f t="shared" si="60"/>
        <v>0</v>
      </c>
      <c r="AG181" s="412">
        <f t="shared" si="61"/>
        <v>0</v>
      </c>
      <c r="AH181" s="413">
        <f t="shared" si="62"/>
        <v>0</v>
      </c>
      <c r="AI181" s="413">
        <f t="shared" si="63"/>
        <v>0</v>
      </c>
      <c r="AJ181" s="410"/>
      <c r="AK181" s="411"/>
      <c r="AL181" s="412">
        <f t="shared" si="46"/>
        <v>0</v>
      </c>
      <c r="AM181" s="413">
        <f t="shared" si="47"/>
        <v>0</v>
      </c>
      <c r="AN181" s="410"/>
      <c r="AO181" s="411"/>
      <c r="AP181" s="410"/>
      <c r="AQ181" s="411"/>
      <c r="AR181" s="410"/>
      <c r="AS181" s="411"/>
      <c r="AT181" s="410"/>
      <c r="AU181" s="411"/>
      <c r="AV181" s="412">
        <f t="shared" si="48"/>
        <v>0</v>
      </c>
      <c r="AW181" s="412">
        <f t="shared" si="49"/>
        <v>0</v>
      </c>
      <c r="AX181" s="413">
        <f t="shared" si="50"/>
        <v>0</v>
      </c>
      <c r="AY181" s="413">
        <f t="shared" si="51"/>
        <v>0</v>
      </c>
      <c r="AZ181" s="412">
        <f t="shared" si="52"/>
        <v>2651.4666666666667</v>
      </c>
      <c r="BA181" s="413">
        <f t="shared" si="53"/>
        <v>2665.89</v>
      </c>
    </row>
    <row r="182" spans="1:53">
      <c r="A182" s="432" t="s">
        <v>481</v>
      </c>
      <c r="B182" s="50" t="s">
        <v>482</v>
      </c>
      <c r="C182" s="51"/>
      <c r="D182" s="52">
        <v>159391</v>
      </c>
      <c r="E182" s="52">
        <v>1</v>
      </c>
      <c r="F182" s="410"/>
      <c r="G182" s="411"/>
      <c r="H182" s="410"/>
      <c r="I182" s="522"/>
      <c r="J182" s="410">
        <v>316305</v>
      </c>
      <c r="K182" s="522">
        <v>319146</v>
      </c>
      <c r="L182" s="410">
        <v>32275</v>
      </c>
      <c r="M182" s="522">
        <v>28240</v>
      </c>
      <c r="N182" s="410">
        <v>348772</v>
      </c>
      <c r="O182" s="522">
        <v>354136</v>
      </c>
      <c r="P182" s="412">
        <f t="shared" si="54"/>
        <v>697352</v>
      </c>
      <c r="Q182" s="412">
        <f t="shared" si="55"/>
        <v>23245.066666666666</v>
      </c>
      <c r="R182" s="413">
        <f t="shared" si="56"/>
        <v>701522</v>
      </c>
      <c r="S182" s="413">
        <f t="shared" si="57"/>
        <v>23384.066666666666</v>
      </c>
      <c r="T182" s="410">
        <v>10766</v>
      </c>
      <c r="U182" s="522">
        <v>13261</v>
      </c>
      <c r="V182" s="412">
        <f t="shared" si="58"/>
        <v>697352</v>
      </c>
      <c r="W182" s="413">
        <f t="shared" si="59"/>
        <v>701522</v>
      </c>
      <c r="X182" s="410"/>
      <c r="Y182" s="411"/>
      <c r="Z182" s="410"/>
      <c r="AA182" s="411"/>
      <c r="AB182" s="410"/>
      <c r="AC182" s="411"/>
      <c r="AD182" s="410"/>
      <c r="AE182" s="411"/>
      <c r="AF182" s="412">
        <f t="shared" si="60"/>
        <v>0</v>
      </c>
      <c r="AG182" s="412">
        <f t="shared" si="61"/>
        <v>0</v>
      </c>
      <c r="AH182" s="413">
        <f t="shared" si="62"/>
        <v>0</v>
      </c>
      <c r="AI182" s="413">
        <f t="shared" si="63"/>
        <v>0</v>
      </c>
      <c r="AJ182" s="410"/>
      <c r="AK182" s="411"/>
      <c r="AL182" s="412">
        <f t="shared" si="46"/>
        <v>0</v>
      </c>
      <c r="AM182" s="413">
        <f t="shared" si="47"/>
        <v>0</v>
      </c>
      <c r="AN182" s="410"/>
      <c r="AO182" s="522"/>
      <c r="AP182" s="410">
        <v>57509</v>
      </c>
      <c r="AQ182" s="522">
        <v>60091</v>
      </c>
      <c r="AR182" s="410">
        <v>15173</v>
      </c>
      <c r="AS182" s="522">
        <v>15984</v>
      </c>
      <c r="AT182" s="410">
        <v>64987.5</v>
      </c>
      <c r="AU182" s="522">
        <v>67908.5</v>
      </c>
      <c r="AV182" s="412">
        <f t="shared" si="48"/>
        <v>137669.5</v>
      </c>
      <c r="AW182" s="412">
        <f t="shared" si="49"/>
        <v>5736.229166666667</v>
      </c>
      <c r="AX182" s="413">
        <f t="shared" si="50"/>
        <v>143983.5</v>
      </c>
      <c r="AY182" s="413">
        <f t="shared" si="51"/>
        <v>5999.3125</v>
      </c>
      <c r="AZ182" s="412">
        <f t="shared" si="52"/>
        <v>28981.295833333334</v>
      </c>
      <c r="BA182" s="413">
        <f t="shared" si="53"/>
        <v>29383.379166666666</v>
      </c>
    </row>
    <row r="183" spans="1:53">
      <c r="A183" s="432" t="s">
        <v>481</v>
      </c>
      <c r="B183" s="50" t="s">
        <v>483</v>
      </c>
      <c r="C183" s="51"/>
      <c r="D183" s="52">
        <v>159647</v>
      </c>
      <c r="E183" s="52">
        <v>2</v>
      </c>
      <c r="F183" s="410"/>
      <c r="G183" s="411"/>
      <c r="H183" s="410">
        <v>80134</v>
      </c>
      <c r="I183" s="522">
        <v>78585</v>
      </c>
      <c r="J183" s="410">
        <v>84152</v>
      </c>
      <c r="K183" s="522">
        <v>82208</v>
      </c>
      <c r="L183" s="410">
        <v>14169</v>
      </c>
      <c r="M183" s="522">
        <v>13356</v>
      </c>
      <c r="N183" s="410">
        <v>95345</v>
      </c>
      <c r="O183" s="522">
        <v>92816</v>
      </c>
      <c r="P183" s="412">
        <f t="shared" si="54"/>
        <v>273800</v>
      </c>
      <c r="Q183" s="412">
        <f t="shared" si="55"/>
        <v>9126.6666666666661</v>
      </c>
      <c r="R183" s="413">
        <f t="shared" si="56"/>
        <v>266965</v>
      </c>
      <c r="S183" s="413">
        <f t="shared" si="57"/>
        <v>8898.8333333333339</v>
      </c>
      <c r="T183" s="410">
        <v>24555</v>
      </c>
      <c r="U183" s="522">
        <v>19972</v>
      </c>
      <c r="V183" s="412">
        <f t="shared" si="58"/>
        <v>273800</v>
      </c>
      <c r="W183" s="413">
        <f t="shared" si="59"/>
        <v>266965</v>
      </c>
      <c r="X183" s="410"/>
      <c r="Y183" s="411"/>
      <c r="Z183" s="410"/>
      <c r="AA183" s="411"/>
      <c r="AB183" s="410"/>
      <c r="AC183" s="411"/>
      <c r="AD183" s="410"/>
      <c r="AE183" s="411"/>
      <c r="AF183" s="412">
        <f t="shared" si="60"/>
        <v>0</v>
      </c>
      <c r="AG183" s="412">
        <f t="shared" si="61"/>
        <v>0</v>
      </c>
      <c r="AH183" s="413">
        <f t="shared" si="62"/>
        <v>0</v>
      </c>
      <c r="AI183" s="413">
        <f t="shared" si="63"/>
        <v>0</v>
      </c>
      <c r="AJ183" s="410"/>
      <c r="AK183" s="411"/>
      <c r="AL183" s="412">
        <f t="shared" si="46"/>
        <v>0</v>
      </c>
      <c r="AM183" s="413">
        <f t="shared" si="47"/>
        <v>0</v>
      </c>
      <c r="AN183" s="410">
        <v>6418</v>
      </c>
      <c r="AO183" s="522">
        <v>5909</v>
      </c>
      <c r="AP183" s="410">
        <v>6098</v>
      </c>
      <c r="AQ183" s="522">
        <v>6127</v>
      </c>
      <c r="AR183" s="410">
        <v>3998</v>
      </c>
      <c r="AS183" s="522">
        <v>3571</v>
      </c>
      <c r="AT183" s="410">
        <v>6564</v>
      </c>
      <c r="AU183" s="522">
        <v>6431</v>
      </c>
      <c r="AV183" s="412">
        <f t="shared" si="48"/>
        <v>23078</v>
      </c>
      <c r="AW183" s="412">
        <f t="shared" si="49"/>
        <v>961.58333333333337</v>
      </c>
      <c r="AX183" s="413">
        <f t="shared" si="50"/>
        <v>22038</v>
      </c>
      <c r="AY183" s="413">
        <f t="shared" si="51"/>
        <v>918.25</v>
      </c>
      <c r="AZ183" s="412">
        <f t="shared" si="52"/>
        <v>10088.25</v>
      </c>
      <c r="BA183" s="413">
        <f t="shared" si="53"/>
        <v>9817.0833333333339</v>
      </c>
    </row>
    <row r="184" spans="1:53">
      <c r="A184" s="432" t="s">
        <v>481</v>
      </c>
      <c r="B184" s="50" t="s">
        <v>484</v>
      </c>
      <c r="C184" s="51"/>
      <c r="D184" s="52">
        <v>160658</v>
      </c>
      <c r="E184" s="52">
        <v>2</v>
      </c>
      <c r="F184" s="410"/>
      <c r="G184" s="411"/>
      <c r="H184" s="410"/>
      <c r="I184" s="522"/>
      <c r="J184" s="410">
        <v>185695</v>
      </c>
      <c r="K184" s="522">
        <v>177885</v>
      </c>
      <c r="L184" s="410">
        <v>19040</v>
      </c>
      <c r="M184" s="522">
        <v>17740</v>
      </c>
      <c r="N184" s="410">
        <v>198161</v>
      </c>
      <c r="O184" s="522">
        <v>190623</v>
      </c>
      <c r="P184" s="412">
        <f t="shared" si="54"/>
        <v>402896</v>
      </c>
      <c r="Q184" s="412">
        <f t="shared" si="55"/>
        <v>13429.866666666667</v>
      </c>
      <c r="R184" s="413">
        <f t="shared" si="56"/>
        <v>386248</v>
      </c>
      <c r="S184" s="413">
        <f t="shared" si="57"/>
        <v>12874.933333333332</v>
      </c>
      <c r="T184" s="410">
        <v>4956</v>
      </c>
      <c r="U184" s="522">
        <v>5307</v>
      </c>
      <c r="V184" s="412">
        <f t="shared" si="58"/>
        <v>402896</v>
      </c>
      <c r="W184" s="413">
        <f t="shared" si="59"/>
        <v>386248</v>
      </c>
      <c r="X184" s="410"/>
      <c r="Y184" s="411"/>
      <c r="Z184" s="410"/>
      <c r="AA184" s="411"/>
      <c r="AB184" s="410"/>
      <c r="AC184" s="411"/>
      <c r="AD184" s="410"/>
      <c r="AE184" s="411"/>
      <c r="AF184" s="412">
        <f t="shared" si="60"/>
        <v>0</v>
      </c>
      <c r="AG184" s="412">
        <f t="shared" si="61"/>
        <v>0</v>
      </c>
      <c r="AH184" s="413">
        <f t="shared" si="62"/>
        <v>0</v>
      </c>
      <c r="AI184" s="413">
        <f t="shared" si="63"/>
        <v>0</v>
      </c>
      <c r="AJ184" s="410"/>
      <c r="AK184" s="411"/>
      <c r="AL184" s="412">
        <f t="shared" si="46"/>
        <v>0</v>
      </c>
      <c r="AM184" s="413">
        <f t="shared" si="47"/>
        <v>0</v>
      </c>
      <c r="AN184" s="410"/>
      <c r="AO184" s="522"/>
      <c r="AP184" s="410">
        <v>12914</v>
      </c>
      <c r="AQ184" s="522">
        <v>15803</v>
      </c>
      <c r="AR184" s="410">
        <v>3975</v>
      </c>
      <c r="AS184" s="522">
        <v>5192</v>
      </c>
      <c r="AT184" s="410">
        <v>15713</v>
      </c>
      <c r="AU184" s="522">
        <v>17724</v>
      </c>
      <c r="AV184" s="412">
        <f t="shared" si="48"/>
        <v>32602</v>
      </c>
      <c r="AW184" s="412">
        <f t="shared" si="49"/>
        <v>1358.4166666666667</v>
      </c>
      <c r="AX184" s="413">
        <f t="shared" si="50"/>
        <v>38719</v>
      </c>
      <c r="AY184" s="413">
        <f t="shared" si="51"/>
        <v>1613.2916666666667</v>
      </c>
      <c r="AZ184" s="412">
        <f t="shared" si="52"/>
        <v>14788.283333333333</v>
      </c>
      <c r="BA184" s="413">
        <f t="shared" si="53"/>
        <v>14488.224999999999</v>
      </c>
    </row>
    <row r="185" spans="1:53">
      <c r="A185" s="432" t="s">
        <v>481</v>
      </c>
      <c r="B185" s="50" t="s">
        <v>485</v>
      </c>
      <c r="C185" s="51"/>
      <c r="D185" s="52">
        <v>159939</v>
      </c>
      <c r="E185" s="52">
        <v>2</v>
      </c>
      <c r="F185" s="410"/>
      <c r="G185" s="411"/>
      <c r="H185" s="410"/>
      <c r="I185" s="522"/>
      <c r="J185" s="410">
        <v>71024</v>
      </c>
      <c r="K185" s="522">
        <v>72248</v>
      </c>
      <c r="L185" s="410">
        <v>12647</v>
      </c>
      <c r="M185" s="522">
        <v>13044</v>
      </c>
      <c r="N185" s="410">
        <v>79972</v>
      </c>
      <c r="O185" s="522">
        <v>80373</v>
      </c>
      <c r="P185" s="412">
        <f t="shared" si="54"/>
        <v>163643</v>
      </c>
      <c r="Q185" s="412">
        <f t="shared" si="55"/>
        <v>5454.7666666666664</v>
      </c>
      <c r="R185" s="413">
        <f t="shared" si="56"/>
        <v>165665</v>
      </c>
      <c r="S185" s="413">
        <f t="shared" si="57"/>
        <v>5522.166666666667</v>
      </c>
      <c r="T185" s="410">
        <v>3451</v>
      </c>
      <c r="U185" s="522">
        <v>4929</v>
      </c>
      <c r="V185" s="412">
        <f t="shared" si="58"/>
        <v>163643</v>
      </c>
      <c r="W185" s="413">
        <f t="shared" si="59"/>
        <v>165665</v>
      </c>
      <c r="X185" s="410"/>
      <c r="Y185" s="411"/>
      <c r="Z185" s="410"/>
      <c r="AA185" s="411"/>
      <c r="AB185" s="410"/>
      <c r="AC185" s="411"/>
      <c r="AD185" s="410"/>
      <c r="AE185" s="411"/>
      <c r="AF185" s="412">
        <f t="shared" si="60"/>
        <v>0</v>
      </c>
      <c r="AG185" s="412">
        <f t="shared" si="61"/>
        <v>0</v>
      </c>
      <c r="AH185" s="413">
        <f t="shared" si="62"/>
        <v>0</v>
      </c>
      <c r="AI185" s="413">
        <f t="shared" si="63"/>
        <v>0</v>
      </c>
      <c r="AJ185" s="410"/>
      <c r="AK185" s="411"/>
      <c r="AL185" s="412">
        <f t="shared" si="46"/>
        <v>0</v>
      </c>
      <c r="AM185" s="413">
        <f t="shared" si="47"/>
        <v>0</v>
      </c>
      <c r="AN185" s="410"/>
      <c r="AO185" s="522"/>
      <c r="AP185" s="410">
        <v>9439</v>
      </c>
      <c r="AQ185" s="522">
        <v>10099</v>
      </c>
      <c r="AR185" s="410">
        <v>2441</v>
      </c>
      <c r="AS185" s="522">
        <v>2402</v>
      </c>
      <c r="AT185" s="410">
        <v>10963</v>
      </c>
      <c r="AU185" s="522">
        <v>10810</v>
      </c>
      <c r="AV185" s="412">
        <f t="shared" si="48"/>
        <v>22843</v>
      </c>
      <c r="AW185" s="412">
        <f t="shared" si="49"/>
        <v>951.79166666666663</v>
      </c>
      <c r="AX185" s="413">
        <f t="shared" si="50"/>
        <v>23311</v>
      </c>
      <c r="AY185" s="413">
        <f t="shared" si="51"/>
        <v>971.29166666666663</v>
      </c>
      <c r="AZ185" s="412">
        <f t="shared" si="52"/>
        <v>6406.5583333333334</v>
      </c>
      <c r="BA185" s="413">
        <f t="shared" si="53"/>
        <v>6493.4583333333339</v>
      </c>
    </row>
    <row r="186" spans="1:53">
      <c r="A186" s="432" t="s">
        <v>481</v>
      </c>
      <c r="B186" s="50" t="s">
        <v>491</v>
      </c>
      <c r="C186" s="53"/>
      <c r="D186" s="52">
        <v>159717</v>
      </c>
      <c r="E186" s="52">
        <v>3</v>
      </c>
      <c r="F186" s="410"/>
      <c r="G186" s="411"/>
      <c r="H186" s="410"/>
      <c r="I186" s="522"/>
      <c r="J186" s="410">
        <v>82529</v>
      </c>
      <c r="K186" s="522">
        <v>83295</v>
      </c>
      <c r="L186" s="410">
        <v>9745</v>
      </c>
      <c r="M186" s="522">
        <v>9599</v>
      </c>
      <c r="N186" s="410">
        <v>94065</v>
      </c>
      <c r="O186" s="522">
        <v>89545</v>
      </c>
      <c r="P186" s="412">
        <f t="shared" si="54"/>
        <v>186339</v>
      </c>
      <c r="Q186" s="412">
        <f t="shared" si="55"/>
        <v>6211.3</v>
      </c>
      <c r="R186" s="413">
        <f t="shared" si="56"/>
        <v>182439</v>
      </c>
      <c r="S186" s="413">
        <f t="shared" si="57"/>
        <v>6081.3</v>
      </c>
      <c r="T186" s="410">
        <v>11291</v>
      </c>
      <c r="U186" s="522">
        <v>10902</v>
      </c>
      <c r="V186" s="412">
        <f t="shared" si="58"/>
        <v>186339</v>
      </c>
      <c r="W186" s="413">
        <f t="shared" si="59"/>
        <v>182439</v>
      </c>
      <c r="X186" s="410"/>
      <c r="Y186" s="411"/>
      <c r="Z186" s="410"/>
      <c r="AA186" s="411"/>
      <c r="AB186" s="410"/>
      <c r="AC186" s="411"/>
      <c r="AD186" s="410"/>
      <c r="AE186" s="411"/>
      <c r="AF186" s="412">
        <f t="shared" si="60"/>
        <v>0</v>
      </c>
      <c r="AG186" s="412">
        <f t="shared" si="61"/>
        <v>0</v>
      </c>
      <c r="AH186" s="413">
        <f t="shared" si="62"/>
        <v>0</v>
      </c>
      <c r="AI186" s="413">
        <f t="shared" si="63"/>
        <v>0</v>
      </c>
      <c r="AJ186" s="410"/>
      <c r="AK186" s="411"/>
      <c r="AL186" s="412">
        <f t="shared" si="46"/>
        <v>0</v>
      </c>
      <c r="AM186" s="413">
        <f t="shared" si="47"/>
        <v>0</v>
      </c>
      <c r="AN186" s="410"/>
      <c r="AO186" s="522"/>
      <c r="AP186" s="410">
        <v>4703</v>
      </c>
      <c r="AQ186" s="522">
        <v>4575</v>
      </c>
      <c r="AR186" s="410">
        <v>1076</v>
      </c>
      <c r="AS186" s="522">
        <v>1131</v>
      </c>
      <c r="AT186" s="410">
        <v>4856</v>
      </c>
      <c r="AU186" s="522">
        <v>4897</v>
      </c>
      <c r="AV186" s="412">
        <f t="shared" si="48"/>
        <v>10635</v>
      </c>
      <c r="AW186" s="412">
        <f t="shared" si="49"/>
        <v>443.125</v>
      </c>
      <c r="AX186" s="413">
        <f t="shared" si="50"/>
        <v>10603</v>
      </c>
      <c r="AY186" s="413">
        <f t="shared" si="51"/>
        <v>441.79166666666669</v>
      </c>
      <c r="AZ186" s="412">
        <f t="shared" si="52"/>
        <v>6654.4250000000002</v>
      </c>
      <c r="BA186" s="413">
        <f t="shared" si="53"/>
        <v>6523.0916666666672</v>
      </c>
    </row>
    <row r="187" spans="1:53">
      <c r="A187" s="432" t="s">
        <v>481</v>
      </c>
      <c r="B187" s="50" t="s">
        <v>486</v>
      </c>
      <c r="C187" s="51"/>
      <c r="D187" s="52">
        <v>160612</v>
      </c>
      <c r="E187" s="52">
        <v>3</v>
      </c>
      <c r="F187" s="410"/>
      <c r="G187" s="411"/>
      <c r="H187" s="410"/>
      <c r="I187" s="522"/>
      <c r="J187" s="410">
        <v>149604</v>
      </c>
      <c r="K187" s="522">
        <v>149827</v>
      </c>
      <c r="L187" s="410">
        <v>17163</v>
      </c>
      <c r="M187" s="522">
        <v>17379</v>
      </c>
      <c r="N187" s="410">
        <v>158253</v>
      </c>
      <c r="O187" s="522">
        <v>159246</v>
      </c>
      <c r="P187" s="412">
        <f t="shared" si="54"/>
        <v>325020</v>
      </c>
      <c r="Q187" s="412">
        <f t="shared" si="55"/>
        <v>10834</v>
      </c>
      <c r="R187" s="413">
        <f t="shared" si="56"/>
        <v>326452</v>
      </c>
      <c r="S187" s="413">
        <f t="shared" si="57"/>
        <v>10881.733333333334</v>
      </c>
      <c r="T187" s="410">
        <v>23996</v>
      </c>
      <c r="U187" s="522">
        <v>21710</v>
      </c>
      <c r="V187" s="412">
        <f t="shared" si="58"/>
        <v>325020</v>
      </c>
      <c r="W187" s="413">
        <f t="shared" si="59"/>
        <v>326452</v>
      </c>
      <c r="X187" s="410"/>
      <c r="Y187" s="411"/>
      <c r="Z187" s="410"/>
      <c r="AA187" s="411"/>
      <c r="AB187" s="410"/>
      <c r="AC187" s="411"/>
      <c r="AD187" s="410"/>
      <c r="AE187" s="411"/>
      <c r="AF187" s="412">
        <f t="shared" si="60"/>
        <v>0</v>
      </c>
      <c r="AG187" s="412">
        <f t="shared" si="61"/>
        <v>0</v>
      </c>
      <c r="AH187" s="413">
        <f t="shared" si="62"/>
        <v>0</v>
      </c>
      <c r="AI187" s="413">
        <f t="shared" si="63"/>
        <v>0</v>
      </c>
      <c r="AJ187" s="410"/>
      <c r="AK187" s="411"/>
      <c r="AL187" s="412">
        <f t="shared" si="46"/>
        <v>0</v>
      </c>
      <c r="AM187" s="413">
        <f t="shared" si="47"/>
        <v>0</v>
      </c>
      <c r="AN187" s="410"/>
      <c r="AO187" s="522"/>
      <c r="AP187" s="410">
        <v>6686</v>
      </c>
      <c r="AQ187" s="522">
        <v>6654</v>
      </c>
      <c r="AR187" s="410">
        <v>3185</v>
      </c>
      <c r="AS187" s="522">
        <v>3221</v>
      </c>
      <c r="AT187" s="410">
        <v>6796</v>
      </c>
      <c r="AU187" s="522">
        <v>6941</v>
      </c>
      <c r="AV187" s="412">
        <f t="shared" si="48"/>
        <v>16667</v>
      </c>
      <c r="AW187" s="412">
        <f t="shared" si="49"/>
        <v>694.45833333333337</v>
      </c>
      <c r="AX187" s="413">
        <f t="shared" si="50"/>
        <v>16816</v>
      </c>
      <c r="AY187" s="413">
        <f t="shared" si="51"/>
        <v>700.66666666666663</v>
      </c>
      <c r="AZ187" s="412">
        <f t="shared" si="52"/>
        <v>11528.458333333334</v>
      </c>
      <c r="BA187" s="413">
        <f t="shared" si="53"/>
        <v>11582.4</v>
      </c>
    </row>
    <row r="188" spans="1:53">
      <c r="A188" s="432" t="s">
        <v>481</v>
      </c>
      <c r="B188" s="50" t="s">
        <v>487</v>
      </c>
      <c r="C188" s="51"/>
      <c r="D188" s="52">
        <v>160621</v>
      </c>
      <c r="E188" s="52">
        <v>3</v>
      </c>
      <c r="F188" s="410"/>
      <c r="G188" s="411"/>
      <c r="H188" s="410"/>
      <c r="I188" s="522"/>
      <c r="J188" s="410">
        <v>67250</v>
      </c>
      <c r="K188" s="522">
        <v>70114</v>
      </c>
      <c r="L188" s="410">
        <v>8759</v>
      </c>
      <c r="M188" s="522">
        <v>9215</v>
      </c>
      <c r="N188" s="410">
        <v>78310</v>
      </c>
      <c r="O188" s="522">
        <v>79480</v>
      </c>
      <c r="P188" s="412">
        <f t="shared" si="54"/>
        <v>154319</v>
      </c>
      <c r="Q188" s="412">
        <f t="shared" si="55"/>
        <v>5143.9666666666662</v>
      </c>
      <c r="R188" s="413">
        <f t="shared" si="56"/>
        <v>158809</v>
      </c>
      <c r="S188" s="413">
        <f t="shared" si="57"/>
        <v>5293.6333333333332</v>
      </c>
      <c r="T188" s="410">
        <v>1698</v>
      </c>
      <c r="U188" s="522">
        <v>2513</v>
      </c>
      <c r="V188" s="412">
        <f t="shared" si="58"/>
        <v>154319</v>
      </c>
      <c r="W188" s="413">
        <f t="shared" si="59"/>
        <v>158809</v>
      </c>
      <c r="X188" s="410"/>
      <c r="Y188" s="411"/>
      <c r="Z188" s="410"/>
      <c r="AA188" s="411"/>
      <c r="AB188" s="410"/>
      <c r="AC188" s="411"/>
      <c r="AD188" s="410"/>
      <c r="AE188" s="411"/>
      <c r="AF188" s="412">
        <f t="shared" si="60"/>
        <v>0</v>
      </c>
      <c r="AG188" s="412">
        <f t="shared" si="61"/>
        <v>0</v>
      </c>
      <c r="AH188" s="413">
        <f t="shared" si="62"/>
        <v>0</v>
      </c>
      <c r="AI188" s="413">
        <f t="shared" si="63"/>
        <v>0</v>
      </c>
      <c r="AJ188" s="410"/>
      <c r="AK188" s="411"/>
      <c r="AL188" s="412">
        <f t="shared" si="46"/>
        <v>0</v>
      </c>
      <c r="AM188" s="413">
        <f t="shared" si="47"/>
        <v>0</v>
      </c>
      <c r="AN188" s="410"/>
      <c r="AO188" s="522"/>
      <c r="AP188" s="410">
        <v>7547</v>
      </c>
      <c r="AQ188" s="522">
        <v>6976</v>
      </c>
      <c r="AR188" s="410">
        <v>2005</v>
      </c>
      <c r="AS188" s="522">
        <v>1950</v>
      </c>
      <c r="AT188" s="410">
        <v>7040</v>
      </c>
      <c r="AU188" s="522">
        <v>6845</v>
      </c>
      <c r="AV188" s="412">
        <f t="shared" si="48"/>
        <v>16592</v>
      </c>
      <c r="AW188" s="412">
        <f t="shared" si="49"/>
        <v>691.33333333333337</v>
      </c>
      <c r="AX188" s="413">
        <f t="shared" si="50"/>
        <v>15771</v>
      </c>
      <c r="AY188" s="413">
        <f t="shared" si="51"/>
        <v>657.125</v>
      </c>
      <c r="AZ188" s="412">
        <f t="shared" si="52"/>
        <v>5835.2999999999993</v>
      </c>
      <c r="BA188" s="413">
        <f t="shared" si="53"/>
        <v>5950.7583333333332</v>
      </c>
    </row>
    <row r="189" spans="1:53">
      <c r="A189" s="432" t="s">
        <v>481</v>
      </c>
      <c r="B189" s="50" t="s">
        <v>488</v>
      </c>
      <c r="C189" s="51"/>
      <c r="D189" s="52">
        <v>159993</v>
      </c>
      <c r="E189" s="52">
        <v>3</v>
      </c>
      <c r="F189" s="410"/>
      <c r="G189" s="411"/>
      <c r="H189" s="410"/>
      <c r="I189" s="522"/>
      <c r="J189" s="410">
        <v>89035</v>
      </c>
      <c r="K189" s="522">
        <v>85595</v>
      </c>
      <c r="L189" s="410">
        <v>9075</v>
      </c>
      <c r="M189" s="522">
        <v>8257</v>
      </c>
      <c r="N189" s="410">
        <v>93200</v>
      </c>
      <c r="O189" s="522">
        <v>86786</v>
      </c>
      <c r="P189" s="412">
        <f t="shared" si="54"/>
        <v>191310</v>
      </c>
      <c r="Q189" s="412">
        <f t="shared" si="55"/>
        <v>6377</v>
      </c>
      <c r="R189" s="413">
        <f t="shared" si="56"/>
        <v>180638</v>
      </c>
      <c r="S189" s="413">
        <f t="shared" si="57"/>
        <v>6021.2666666666664</v>
      </c>
      <c r="T189" s="410">
        <v>15582</v>
      </c>
      <c r="U189" s="522">
        <v>12605</v>
      </c>
      <c r="V189" s="412">
        <f t="shared" si="58"/>
        <v>191310</v>
      </c>
      <c r="W189" s="413">
        <f t="shared" si="59"/>
        <v>180638</v>
      </c>
      <c r="X189" s="410"/>
      <c r="Y189" s="411"/>
      <c r="Z189" s="410"/>
      <c r="AA189" s="411"/>
      <c r="AB189" s="410"/>
      <c r="AC189" s="411"/>
      <c r="AD189" s="410"/>
      <c r="AE189" s="411"/>
      <c r="AF189" s="412">
        <f t="shared" si="60"/>
        <v>0</v>
      </c>
      <c r="AG189" s="412">
        <f t="shared" si="61"/>
        <v>0</v>
      </c>
      <c r="AH189" s="413">
        <f t="shared" si="62"/>
        <v>0</v>
      </c>
      <c r="AI189" s="413">
        <f t="shared" si="63"/>
        <v>0</v>
      </c>
      <c r="AJ189" s="410"/>
      <c r="AK189" s="411"/>
      <c r="AL189" s="412">
        <f t="shared" si="46"/>
        <v>0</v>
      </c>
      <c r="AM189" s="413">
        <f t="shared" si="47"/>
        <v>0</v>
      </c>
      <c r="AN189" s="410"/>
      <c r="AO189" s="522"/>
      <c r="AP189" s="410">
        <v>12987</v>
      </c>
      <c r="AQ189" s="522">
        <v>15700</v>
      </c>
      <c r="AR189" s="410">
        <v>4700</v>
      </c>
      <c r="AS189" s="522">
        <v>5754</v>
      </c>
      <c r="AT189" s="410">
        <v>15331</v>
      </c>
      <c r="AU189" s="522">
        <v>17415</v>
      </c>
      <c r="AV189" s="412">
        <f t="shared" si="48"/>
        <v>33018</v>
      </c>
      <c r="AW189" s="412">
        <f t="shared" si="49"/>
        <v>1375.75</v>
      </c>
      <c r="AX189" s="413">
        <f t="shared" si="50"/>
        <v>38869</v>
      </c>
      <c r="AY189" s="413">
        <f t="shared" si="51"/>
        <v>1619.5416666666667</v>
      </c>
      <c r="AZ189" s="412">
        <f t="shared" si="52"/>
        <v>7752.75</v>
      </c>
      <c r="BA189" s="413">
        <f t="shared" si="53"/>
        <v>7640.8083333333334</v>
      </c>
    </row>
    <row r="190" spans="1:53">
      <c r="A190" s="432" t="s">
        <v>481</v>
      </c>
      <c r="B190" s="50" t="s">
        <v>489</v>
      </c>
      <c r="C190" s="51"/>
      <c r="D190" s="52">
        <v>159009</v>
      </c>
      <c r="E190" s="52">
        <v>4</v>
      </c>
      <c r="F190" s="410"/>
      <c r="G190" s="411"/>
      <c r="H190" s="410"/>
      <c r="I190" s="522"/>
      <c r="J190" s="410">
        <v>52306</v>
      </c>
      <c r="K190" s="522">
        <v>52125</v>
      </c>
      <c r="L190" s="410">
        <v>10159</v>
      </c>
      <c r="M190" s="522">
        <v>9509</v>
      </c>
      <c r="N190" s="410">
        <v>58800</v>
      </c>
      <c r="O190" s="522">
        <v>58761</v>
      </c>
      <c r="P190" s="412">
        <f t="shared" si="54"/>
        <v>121265</v>
      </c>
      <c r="Q190" s="412">
        <f t="shared" si="55"/>
        <v>4042.1666666666665</v>
      </c>
      <c r="R190" s="413">
        <f t="shared" si="56"/>
        <v>120395</v>
      </c>
      <c r="S190" s="413">
        <f t="shared" si="57"/>
        <v>4013.1666666666665</v>
      </c>
      <c r="T190" s="410">
        <v>219</v>
      </c>
      <c r="U190" s="522">
        <v>201</v>
      </c>
      <c r="V190" s="412">
        <f t="shared" si="58"/>
        <v>121265</v>
      </c>
      <c r="W190" s="413">
        <f t="shared" si="59"/>
        <v>120395</v>
      </c>
      <c r="X190" s="410"/>
      <c r="Y190" s="411"/>
      <c r="Z190" s="410"/>
      <c r="AA190" s="411"/>
      <c r="AB190" s="410"/>
      <c r="AC190" s="411"/>
      <c r="AD190" s="410"/>
      <c r="AE190" s="411"/>
      <c r="AF190" s="412">
        <f t="shared" si="60"/>
        <v>0</v>
      </c>
      <c r="AG190" s="412">
        <f t="shared" si="61"/>
        <v>0</v>
      </c>
      <c r="AH190" s="413">
        <f t="shared" si="62"/>
        <v>0</v>
      </c>
      <c r="AI190" s="413">
        <f t="shared" si="63"/>
        <v>0</v>
      </c>
      <c r="AJ190" s="410"/>
      <c r="AK190" s="411"/>
      <c r="AL190" s="412">
        <f t="shared" si="46"/>
        <v>0</v>
      </c>
      <c r="AM190" s="413">
        <f t="shared" si="47"/>
        <v>0</v>
      </c>
      <c r="AN190" s="410"/>
      <c r="AO190" s="522"/>
      <c r="AP190" s="410">
        <v>7753</v>
      </c>
      <c r="AQ190" s="522">
        <v>7289</v>
      </c>
      <c r="AR190" s="410">
        <v>3452</v>
      </c>
      <c r="AS190" s="522">
        <v>3168</v>
      </c>
      <c r="AT190" s="410">
        <v>7909</v>
      </c>
      <c r="AU190" s="522">
        <v>7639</v>
      </c>
      <c r="AV190" s="412">
        <f t="shared" si="48"/>
        <v>19114</v>
      </c>
      <c r="AW190" s="412">
        <f t="shared" si="49"/>
        <v>796.41666666666663</v>
      </c>
      <c r="AX190" s="413">
        <f t="shared" si="50"/>
        <v>18096</v>
      </c>
      <c r="AY190" s="413">
        <f t="shared" si="51"/>
        <v>754</v>
      </c>
      <c r="AZ190" s="412">
        <f t="shared" si="52"/>
        <v>4838.583333333333</v>
      </c>
      <c r="BA190" s="413">
        <f t="shared" si="53"/>
        <v>4767.1666666666661</v>
      </c>
    </row>
    <row r="191" spans="1:53">
      <c r="A191" s="432" t="s">
        <v>481</v>
      </c>
      <c r="B191" s="50" t="s">
        <v>490</v>
      </c>
      <c r="C191" s="51"/>
      <c r="D191" s="52">
        <v>159416</v>
      </c>
      <c r="E191" s="52">
        <v>4</v>
      </c>
      <c r="F191" s="410"/>
      <c r="G191" s="411"/>
      <c r="H191" s="410"/>
      <c r="I191" s="522"/>
      <c r="J191" s="410">
        <v>27052</v>
      </c>
      <c r="K191" s="522">
        <v>26007</v>
      </c>
      <c r="L191" s="410">
        <v>4272</v>
      </c>
      <c r="M191" s="522">
        <v>4865</v>
      </c>
      <c r="N191" s="410">
        <v>27633</v>
      </c>
      <c r="O191" s="522">
        <v>28983</v>
      </c>
      <c r="P191" s="412">
        <f t="shared" si="54"/>
        <v>58957</v>
      </c>
      <c r="Q191" s="412">
        <f t="shared" si="55"/>
        <v>1965.2333333333333</v>
      </c>
      <c r="R191" s="413">
        <f t="shared" si="56"/>
        <v>59855</v>
      </c>
      <c r="S191" s="413">
        <f t="shared" si="57"/>
        <v>1995.1666666666667</v>
      </c>
      <c r="T191" s="410">
        <v>3518</v>
      </c>
      <c r="U191" s="522">
        <v>2506</v>
      </c>
      <c r="V191" s="412">
        <f t="shared" si="58"/>
        <v>58957</v>
      </c>
      <c r="W191" s="413">
        <f t="shared" si="59"/>
        <v>59855</v>
      </c>
      <c r="X191" s="410"/>
      <c r="Y191" s="411"/>
      <c r="Z191" s="410"/>
      <c r="AA191" s="411"/>
      <c r="AB191" s="410"/>
      <c r="AC191" s="411"/>
      <c r="AD191" s="410"/>
      <c r="AE191" s="411"/>
      <c r="AF191" s="412">
        <f t="shared" si="60"/>
        <v>0</v>
      </c>
      <c r="AG191" s="412">
        <f t="shared" si="61"/>
        <v>0</v>
      </c>
      <c r="AH191" s="413">
        <f t="shared" si="62"/>
        <v>0</v>
      </c>
      <c r="AI191" s="413">
        <f t="shared" si="63"/>
        <v>0</v>
      </c>
      <c r="AJ191" s="410"/>
      <c r="AK191" s="411"/>
      <c r="AL191" s="412">
        <f t="shared" si="46"/>
        <v>0</v>
      </c>
      <c r="AM191" s="413">
        <f t="shared" si="47"/>
        <v>0</v>
      </c>
      <c r="AN191" s="410"/>
      <c r="AO191" s="522"/>
      <c r="AP191" s="410">
        <v>22755</v>
      </c>
      <c r="AQ191" s="522">
        <v>32137</v>
      </c>
      <c r="AR191" s="410">
        <v>19538</v>
      </c>
      <c r="AS191" s="522">
        <v>28466</v>
      </c>
      <c r="AT191" s="410">
        <v>27913</v>
      </c>
      <c r="AU191" s="522">
        <v>36813</v>
      </c>
      <c r="AV191" s="412">
        <f t="shared" si="48"/>
        <v>70206</v>
      </c>
      <c r="AW191" s="412">
        <f t="shared" si="49"/>
        <v>2925.25</v>
      </c>
      <c r="AX191" s="413">
        <f t="shared" si="50"/>
        <v>97416</v>
      </c>
      <c r="AY191" s="413">
        <f t="shared" si="51"/>
        <v>4059</v>
      </c>
      <c r="AZ191" s="412">
        <f t="shared" si="52"/>
        <v>4890.4833333333336</v>
      </c>
      <c r="BA191" s="413">
        <f t="shared" si="53"/>
        <v>6054.166666666667</v>
      </c>
    </row>
    <row r="192" spans="1:53">
      <c r="A192" s="432" t="s">
        <v>481</v>
      </c>
      <c r="B192" s="50" t="s">
        <v>492</v>
      </c>
      <c r="C192" s="51"/>
      <c r="D192" s="52">
        <v>159966</v>
      </c>
      <c r="E192" s="52">
        <v>4</v>
      </c>
      <c r="F192" s="410"/>
      <c r="G192" s="411"/>
      <c r="H192" s="410"/>
      <c r="I192" s="522"/>
      <c r="J192" s="410">
        <v>68990</v>
      </c>
      <c r="K192" s="522">
        <v>71653</v>
      </c>
      <c r="L192" s="410">
        <v>7890</v>
      </c>
      <c r="M192" s="522">
        <v>7849</v>
      </c>
      <c r="N192" s="410">
        <v>78544</v>
      </c>
      <c r="O192" s="522">
        <v>79340</v>
      </c>
      <c r="P192" s="412">
        <f t="shared" si="54"/>
        <v>155424</v>
      </c>
      <c r="Q192" s="412">
        <f t="shared" si="55"/>
        <v>5180.8</v>
      </c>
      <c r="R192" s="413">
        <f t="shared" si="56"/>
        <v>158842</v>
      </c>
      <c r="S192" s="413">
        <f t="shared" si="57"/>
        <v>5294.7333333333336</v>
      </c>
      <c r="T192" s="410">
        <v>2079</v>
      </c>
      <c r="U192" s="522">
        <v>1792</v>
      </c>
      <c r="V192" s="412">
        <f t="shared" si="58"/>
        <v>155424</v>
      </c>
      <c r="W192" s="413">
        <f t="shared" si="59"/>
        <v>158842</v>
      </c>
      <c r="X192" s="410"/>
      <c r="Y192" s="411"/>
      <c r="Z192" s="410"/>
      <c r="AA192" s="411"/>
      <c r="AB192" s="410"/>
      <c r="AC192" s="411"/>
      <c r="AD192" s="410"/>
      <c r="AE192" s="411"/>
      <c r="AF192" s="412">
        <f t="shared" si="60"/>
        <v>0</v>
      </c>
      <c r="AG192" s="412">
        <f t="shared" si="61"/>
        <v>0</v>
      </c>
      <c r="AH192" s="413">
        <f t="shared" si="62"/>
        <v>0</v>
      </c>
      <c r="AI192" s="413">
        <f t="shared" si="63"/>
        <v>0</v>
      </c>
      <c r="AJ192" s="410"/>
      <c r="AK192" s="411"/>
      <c r="AL192" s="412">
        <f t="shared" si="46"/>
        <v>0</v>
      </c>
      <c r="AM192" s="413">
        <f t="shared" si="47"/>
        <v>0</v>
      </c>
      <c r="AN192" s="410"/>
      <c r="AO192" s="522"/>
      <c r="AP192" s="410">
        <v>4090</v>
      </c>
      <c r="AQ192" s="522">
        <v>4247</v>
      </c>
      <c r="AR192" s="410">
        <v>1797</v>
      </c>
      <c r="AS192" s="522">
        <v>1698</v>
      </c>
      <c r="AT192" s="410">
        <v>4188</v>
      </c>
      <c r="AU192" s="522">
        <v>4363</v>
      </c>
      <c r="AV192" s="412">
        <f t="shared" si="48"/>
        <v>10075</v>
      </c>
      <c r="AW192" s="412">
        <f t="shared" si="49"/>
        <v>419.79166666666669</v>
      </c>
      <c r="AX192" s="413">
        <f t="shared" si="50"/>
        <v>10308</v>
      </c>
      <c r="AY192" s="413">
        <f t="shared" si="51"/>
        <v>429.5</v>
      </c>
      <c r="AZ192" s="412">
        <f t="shared" si="52"/>
        <v>5600.5916666666672</v>
      </c>
      <c r="BA192" s="413">
        <f t="shared" si="53"/>
        <v>5724.2333333333336</v>
      </c>
    </row>
    <row r="193" spans="1:53">
      <c r="A193" s="432" t="s">
        <v>481</v>
      </c>
      <c r="B193" s="50" t="s">
        <v>493</v>
      </c>
      <c r="C193" s="51"/>
      <c r="D193" s="52">
        <v>160038</v>
      </c>
      <c r="E193" s="52">
        <v>4</v>
      </c>
      <c r="F193" s="410"/>
      <c r="G193" s="411"/>
      <c r="H193" s="410"/>
      <c r="I193" s="522"/>
      <c r="J193" s="410">
        <v>105552</v>
      </c>
      <c r="K193" s="522">
        <v>107797</v>
      </c>
      <c r="L193" s="410">
        <v>15890</v>
      </c>
      <c r="M193" s="522">
        <v>15708</v>
      </c>
      <c r="N193" s="410">
        <v>117830</v>
      </c>
      <c r="O193" s="522">
        <v>117171</v>
      </c>
      <c r="P193" s="412">
        <f t="shared" si="54"/>
        <v>239272</v>
      </c>
      <c r="Q193" s="412">
        <f t="shared" si="55"/>
        <v>7975.7333333333336</v>
      </c>
      <c r="R193" s="413">
        <f t="shared" si="56"/>
        <v>240676</v>
      </c>
      <c r="S193" s="413">
        <f t="shared" si="57"/>
        <v>8022.5333333333338</v>
      </c>
      <c r="T193" s="410">
        <v>8629</v>
      </c>
      <c r="U193" s="522">
        <v>18051</v>
      </c>
      <c r="V193" s="412">
        <f t="shared" si="58"/>
        <v>239272</v>
      </c>
      <c r="W193" s="413">
        <f t="shared" si="59"/>
        <v>240676</v>
      </c>
      <c r="X193" s="410"/>
      <c r="Y193" s="411"/>
      <c r="Z193" s="410"/>
      <c r="AA193" s="411"/>
      <c r="AB193" s="410"/>
      <c r="AC193" s="411"/>
      <c r="AD193" s="410"/>
      <c r="AE193" s="411"/>
      <c r="AF193" s="412">
        <f t="shared" si="60"/>
        <v>0</v>
      </c>
      <c r="AG193" s="412">
        <f t="shared" si="61"/>
        <v>0</v>
      </c>
      <c r="AH193" s="413">
        <f t="shared" si="62"/>
        <v>0</v>
      </c>
      <c r="AI193" s="413">
        <f t="shared" si="63"/>
        <v>0</v>
      </c>
      <c r="AJ193" s="410"/>
      <c r="AK193" s="411"/>
      <c r="AL193" s="412">
        <f t="shared" si="46"/>
        <v>0</v>
      </c>
      <c r="AM193" s="413">
        <f t="shared" si="47"/>
        <v>0</v>
      </c>
      <c r="AN193" s="410"/>
      <c r="AO193" s="522"/>
      <c r="AP193" s="410">
        <v>5923</v>
      </c>
      <c r="AQ193" s="522">
        <v>5408</v>
      </c>
      <c r="AR193" s="410">
        <v>3342</v>
      </c>
      <c r="AS193" s="522">
        <v>3154</v>
      </c>
      <c r="AT193" s="410">
        <v>6010</v>
      </c>
      <c r="AU193" s="522">
        <v>5967</v>
      </c>
      <c r="AV193" s="412">
        <f t="shared" si="48"/>
        <v>15275</v>
      </c>
      <c r="AW193" s="412">
        <f t="shared" si="49"/>
        <v>636.45833333333337</v>
      </c>
      <c r="AX193" s="413">
        <f t="shared" si="50"/>
        <v>14529</v>
      </c>
      <c r="AY193" s="413">
        <f t="shared" si="51"/>
        <v>605.375</v>
      </c>
      <c r="AZ193" s="412">
        <f t="shared" si="52"/>
        <v>8612.1916666666675</v>
      </c>
      <c r="BA193" s="413">
        <f t="shared" si="53"/>
        <v>8627.9083333333328</v>
      </c>
    </row>
    <row r="194" spans="1:53">
      <c r="A194" s="523" t="s">
        <v>481</v>
      </c>
      <c r="B194" s="50" t="s">
        <v>494</v>
      </c>
      <c r="C194" s="53"/>
      <c r="D194" s="52">
        <v>160630</v>
      </c>
      <c r="E194" s="52">
        <v>5</v>
      </c>
      <c r="F194" s="410"/>
      <c r="G194" s="411"/>
      <c r="H194" s="410"/>
      <c r="I194" s="522"/>
      <c r="J194" s="410">
        <v>23637</v>
      </c>
      <c r="K194" s="522">
        <v>22074</v>
      </c>
      <c r="L194" s="410">
        <v>2224</v>
      </c>
      <c r="M194" s="522">
        <v>1939</v>
      </c>
      <c r="N194" s="410">
        <v>22704</v>
      </c>
      <c r="O194" s="522">
        <v>22264</v>
      </c>
      <c r="P194" s="412">
        <f t="shared" si="54"/>
        <v>48565</v>
      </c>
      <c r="Q194" s="412">
        <f t="shared" si="55"/>
        <v>1618.8333333333333</v>
      </c>
      <c r="R194" s="413">
        <f t="shared" si="56"/>
        <v>46277</v>
      </c>
      <c r="S194" s="413">
        <f t="shared" si="57"/>
        <v>1542.5666666666666</v>
      </c>
      <c r="T194" s="410">
        <v>1392</v>
      </c>
      <c r="U194" s="522">
        <v>1494</v>
      </c>
      <c r="V194" s="412">
        <f t="shared" si="58"/>
        <v>48565</v>
      </c>
      <c r="W194" s="413">
        <f t="shared" si="59"/>
        <v>46277</v>
      </c>
      <c r="X194" s="410"/>
      <c r="Y194" s="411"/>
      <c r="Z194" s="410"/>
      <c r="AA194" s="411"/>
      <c r="AB194" s="410"/>
      <c r="AC194" s="411"/>
      <c r="AD194" s="410"/>
      <c r="AE194" s="411"/>
      <c r="AF194" s="412">
        <f t="shared" si="60"/>
        <v>0</v>
      </c>
      <c r="AG194" s="412">
        <f t="shared" si="61"/>
        <v>0</v>
      </c>
      <c r="AH194" s="413">
        <f t="shared" si="62"/>
        <v>0</v>
      </c>
      <c r="AI194" s="413">
        <f t="shared" si="63"/>
        <v>0</v>
      </c>
      <c r="AJ194" s="410"/>
      <c r="AK194" s="411"/>
      <c r="AL194" s="412">
        <f t="shared" si="46"/>
        <v>0</v>
      </c>
      <c r="AM194" s="413">
        <f t="shared" si="47"/>
        <v>0</v>
      </c>
      <c r="AN194" s="410"/>
      <c r="AO194" s="522"/>
      <c r="AP194" s="410">
        <v>4392</v>
      </c>
      <c r="AQ194" s="522">
        <v>4383</v>
      </c>
      <c r="AR194" s="410">
        <v>735</v>
      </c>
      <c r="AS194" s="522">
        <v>651</v>
      </c>
      <c r="AT194" s="410">
        <v>4359</v>
      </c>
      <c r="AU194" s="522">
        <v>3840</v>
      </c>
      <c r="AV194" s="412">
        <f t="shared" si="48"/>
        <v>9486</v>
      </c>
      <c r="AW194" s="412">
        <f t="shared" si="49"/>
        <v>395.25</v>
      </c>
      <c r="AX194" s="413">
        <f t="shared" si="50"/>
        <v>8874</v>
      </c>
      <c r="AY194" s="413">
        <f t="shared" si="51"/>
        <v>369.75</v>
      </c>
      <c r="AZ194" s="412">
        <f t="shared" si="52"/>
        <v>2014.0833333333333</v>
      </c>
      <c r="BA194" s="413">
        <f t="shared" si="53"/>
        <v>1912.3166666666666</v>
      </c>
    </row>
    <row r="195" spans="1:53">
      <c r="A195" s="432" t="s">
        <v>481</v>
      </c>
      <c r="B195" s="50" t="s">
        <v>495</v>
      </c>
      <c r="C195" s="53"/>
      <c r="D195" s="52">
        <v>159382</v>
      </c>
      <c r="E195" s="55">
        <v>6</v>
      </c>
      <c r="F195" s="410"/>
      <c r="G195" s="411"/>
      <c r="H195" s="410"/>
      <c r="I195" s="522"/>
      <c r="J195" s="410">
        <v>31745</v>
      </c>
      <c r="K195" s="522">
        <v>30627</v>
      </c>
      <c r="L195" s="410">
        <v>8094</v>
      </c>
      <c r="M195" s="522">
        <v>8421</v>
      </c>
      <c r="N195" s="410">
        <v>34601</v>
      </c>
      <c r="O195" s="522">
        <v>35962</v>
      </c>
      <c r="P195" s="412">
        <f t="shared" si="54"/>
        <v>74440</v>
      </c>
      <c r="Q195" s="412">
        <f t="shared" si="55"/>
        <v>2481.3333333333335</v>
      </c>
      <c r="R195" s="413">
        <f t="shared" si="56"/>
        <v>75010</v>
      </c>
      <c r="S195" s="413">
        <f t="shared" si="57"/>
        <v>2500.3333333333335</v>
      </c>
      <c r="T195" s="410">
        <v>6297</v>
      </c>
      <c r="U195" s="522">
        <v>5600</v>
      </c>
      <c r="V195" s="412">
        <f t="shared" si="58"/>
        <v>74440</v>
      </c>
      <c r="W195" s="413">
        <f t="shared" si="59"/>
        <v>75010</v>
      </c>
      <c r="X195" s="410"/>
      <c r="Y195" s="411"/>
      <c r="Z195" s="410"/>
      <c r="AA195" s="411"/>
      <c r="AB195" s="410"/>
      <c r="AC195" s="411"/>
      <c r="AD195" s="410"/>
      <c r="AE195" s="411"/>
      <c r="AF195" s="412">
        <f t="shared" si="60"/>
        <v>0</v>
      </c>
      <c r="AG195" s="412">
        <f t="shared" si="61"/>
        <v>0</v>
      </c>
      <c r="AH195" s="413">
        <f t="shared" si="62"/>
        <v>0</v>
      </c>
      <c r="AI195" s="413">
        <f t="shared" si="63"/>
        <v>0</v>
      </c>
      <c r="AJ195" s="410"/>
      <c r="AK195" s="411"/>
      <c r="AL195" s="412">
        <f t="shared" si="46"/>
        <v>0</v>
      </c>
      <c r="AM195" s="413">
        <f t="shared" si="47"/>
        <v>0</v>
      </c>
      <c r="AN195" s="410"/>
      <c r="AO195" s="522"/>
      <c r="AP195" s="410">
        <v>0</v>
      </c>
      <c r="AQ195" s="522">
        <v>0</v>
      </c>
      <c r="AR195" s="410">
        <v>0</v>
      </c>
      <c r="AS195" s="522">
        <v>0</v>
      </c>
      <c r="AT195" s="410">
        <v>0</v>
      </c>
      <c r="AU195" s="522">
        <v>0</v>
      </c>
      <c r="AV195" s="412">
        <f t="shared" si="48"/>
        <v>0</v>
      </c>
      <c r="AW195" s="412">
        <f t="shared" si="49"/>
        <v>0</v>
      </c>
      <c r="AX195" s="413">
        <f t="shared" si="50"/>
        <v>0</v>
      </c>
      <c r="AY195" s="413">
        <f t="shared" si="51"/>
        <v>0</v>
      </c>
      <c r="AZ195" s="412">
        <f t="shared" si="52"/>
        <v>2481.3333333333335</v>
      </c>
      <c r="BA195" s="413">
        <f t="shared" si="53"/>
        <v>2500.3333333333335</v>
      </c>
    </row>
    <row r="196" spans="1:53">
      <c r="A196" s="432" t="s">
        <v>481</v>
      </c>
      <c r="B196" s="524" t="s">
        <v>496</v>
      </c>
      <c r="C196" s="433"/>
      <c r="D196" s="52">
        <v>437103</v>
      </c>
      <c r="E196" s="55">
        <v>8</v>
      </c>
      <c r="F196" s="410"/>
      <c r="G196" s="411"/>
      <c r="H196" s="410"/>
      <c r="I196" s="522"/>
      <c r="J196" s="410">
        <v>70184</v>
      </c>
      <c r="K196" s="522">
        <v>72063</v>
      </c>
      <c r="L196" s="410">
        <v>16709</v>
      </c>
      <c r="M196" s="522">
        <v>16546</v>
      </c>
      <c r="N196" s="410">
        <v>80684</v>
      </c>
      <c r="O196" s="522">
        <v>78188</v>
      </c>
      <c r="P196" s="412">
        <f t="shared" si="54"/>
        <v>167577</v>
      </c>
      <c r="Q196" s="412">
        <f t="shared" si="55"/>
        <v>5585.9</v>
      </c>
      <c r="R196" s="413">
        <f t="shared" si="56"/>
        <v>166797</v>
      </c>
      <c r="S196" s="413">
        <f t="shared" si="57"/>
        <v>5559.9</v>
      </c>
      <c r="T196" s="410">
        <v>3398</v>
      </c>
      <c r="U196" s="522">
        <v>3641</v>
      </c>
      <c r="V196" s="412">
        <f t="shared" si="58"/>
        <v>167577</v>
      </c>
      <c r="W196" s="413">
        <f t="shared" si="59"/>
        <v>166797</v>
      </c>
      <c r="X196" s="410"/>
      <c r="Y196" s="411"/>
      <c r="Z196" s="410"/>
      <c r="AA196" s="411"/>
      <c r="AB196" s="410"/>
      <c r="AC196" s="411"/>
      <c r="AD196" s="410"/>
      <c r="AE196" s="411"/>
      <c r="AF196" s="412">
        <f t="shared" si="60"/>
        <v>0</v>
      </c>
      <c r="AG196" s="412">
        <f t="shared" si="61"/>
        <v>0</v>
      </c>
      <c r="AH196" s="413">
        <f t="shared" si="62"/>
        <v>0</v>
      </c>
      <c r="AI196" s="413">
        <f t="shared" si="63"/>
        <v>0</v>
      </c>
      <c r="AJ196" s="410"/>
      <c r="AK196" s="411"/>
      <c r="AL196" s="412">
        <f t="shared" si="46"/>
        <v>0</v>
      </c>
      <c r="AM196" s="413">
        <f t="shared" si="47"/>
        <v>0</v>
      </c>
      <c r="AN196" s="410"/>
      <c r="AO196" s="522"/>
      <c r="AP196" s="410">
        <v>0</v>
      </c>
      <c r="AQ196" s="522">
        <v>0</v>
      </c>
      <c r="AR196" s="410">
        <v>0</v>
      </c>
      <c r="AS196" s="522">
        <v>0</v>
      </c>
      <c r="AT196" s="410">
        <v>0</v>
      </c>
      <c r="AU196" s="522">
        <v>0</v>
      </c>
      <c r="AV196" s="412">
        <f t="shared" si="48"/>
        <v>0</v>
      </c>
      <c r="AW196" s="412">
        <f t="shared" si="49"/>
        <v>0</v>
      </c>
      <c r="AX196" s="413">
        <f t="shared" si="50"/>
        <v>0</v>
      </c>
      <c r="AY196" s="413">
        <f t="shared" si="51"/>
        <v>0</v>
      </c>
      <c r="AZ196" s="412">
        <f t="shared" si="52"/>
        <v>5585.9</v>
      </c>
      <c r="BA196" s="413">
        <f t="shared" si="53"/>
        <v>5559.9</v>
      </c>
    </row>
    <row r="197" spans="1:53">
      <c r="A197" s="432" t="s">
        <v>481</v>
      </c>
      <c r="B197" s="50" t="s">
        <v>497</v>
      </c>
      <c r="C197" s="53" t="s">
        <v>934</v>
      </c>
      <c r="D197" s="52">
        <v>158431</v>
      </c>
      <c r="E197" s="445">
        <v>9</v>
      </c>
      <c r="F197" s="410"/>
      <c r="G197" s="411"/>
      <c r="H197" s="410">
        <v>0</v>
      </c>
      <c r="I197" s="522">
        <v>0</v>
      </c>
      <c r="J197" s="410">
        <v>62699</v>
      </c>
      <c r="K197" s="522">
        <v>59337</v>
      </c>
      <c r="L197" s="410">
        <v>12759</v>
      </c>
      <c r="M197" s="522">
        <v>12059</v>
      </c>
      <c r="N197" s="410">
        <v>65488</v>
      </c>
      <c r="O197" s="522">
        <v>62994</v>
      </c>
      <c r="P197" s="412">
        <f t="shared" si="54"/>
        <v>140946</v>
      </c>
      <c r="Q197" s="412">
        <f t="shared" si="55"/>
        <v>4698.2</v>
      </c>
      <c r="R197" s="413">
        <f t="shared" si="56"/>
        <v>134390</v>
      </c>
      <c r="S197" s="413">
        <f t="shared" si="57"/>
        <v>4479.666666666667</v>
      </c>
      <c r="T197" s="410">
        <v>4338</v>
      </c>
      <c r="U197" s="522">
        <v>4854</v>
      </c>
      <c r="V197" s="412">
        <f t="shared" si="58"/>
        <v>140946</v>
      </c>
      <c r="W197" s="413">
        <f t="shared" si="59"/>
        <v>134390</v>
      </c>
      <c r="X197" s="410"/>
      <c r="Y197" s="411"/>
      <c r="Z197" s="410"/>
      <c r="AA197" s="411"/>
      <c r="AB197" s="410"/>
      <c r="AC197" s="411"/>
      <c r="AD197" s="410"/>
      <c r="AE197" s="411"/>
      <c r="AF197" s="412">
        <f t="shared" si="60"/>
        <v>0</v>
      </c>
      <c r="AG197" s="412">
        <f t="shared" si="61"/>
        <v>0</v>
      </c>
      <c r="AH197" s="413">
        <f t="shared" si="62"/>
        <v>0</v>
      </c>
      <c r="AI197" s="413">
        <f t="shared" si="63"/>
        <v>0</v>
      </c>
      <c r="AJ197" s="410"/>
      <c r="AK197" s="411"/>
      <c r="AL197" s="412">
        <f t="shared" si="46"/>
        <v>0</v>
      </c>
      <c r="AM197" s="413">
        <f t="shared" si="47"/>
        <v>0</v>
      </c>
      <c r="AN197" s="410">
        <v>0</v>
      </c>
      <c r="AO197" s="522"/>
      <c r="AP197" s="410">
        <v>0</v>
      </c>
      <c r="AQ197" s="522">
        <v>0</v>
      </c>
      <c r="AR197" s="410">
        <v>0</v>
      </c>
      <c r="AS197" s="522">
        <v>0</v>
      </c>
      <c r="AT197" s="410">
        <v>0</v>
      </c>
      <c r="AU197" s="522">
        <v>0</v>
      </c>
      <c r="AV197" s="412">
        <f t="shared" si="48"/>
        <v>0</v>
      </c>
      <c r="AW197" s="412">
        <f t="shared" si="49"/>
        <v>0</v>
      </c>
      <c r="AX197" s="413">
        <f t="shared" si="50"/>
        <v>0</v>
      </c>
      <c r="AY197" s="413">
        <f t="shared" si="51"/>
        <v>0</v>
      </c>
      <c r="AZ197" s="412">
        <f t="shared" si="52"/>
        <v>4698.2</v>
      </c>
      <c r="BA197" s="413">
        <f t="shared" si="53"/>
        <v>4479.666666666667</v>
      </c>
    </row>
    <row r="198" spans="1:53">
      <c r="A198" s="432" t="s">
        <v>481</v>
      </c>
      <c r="B198" s="524" t="s">
        <v>498</v>
      </c>
      <c r="C198" s="433"/>
      <c r="D198" s="52">
        <v>158662</v>
      </c>
      <c r="E198" s="55">
        <v>8</v>
      </c>
      <c r="F198" s="410"/>
      <c r="G198" s="411"/>
      <c r="H198" s="410"/>
      <c r="I198" s="522"/>
      <c r="J198" s="410">
        <v>120475</v>
      </c>
      <c r="K198" s="522">
        <v>119342</v>
      </c>
      <c r="L198" s="410">
        <v>25124</v>
      </c>
      <c r="M198" s="522">
        <v>25668</v>
      </c>
      <c r="N198" s="410">
        <v>130349</v>
      </c>
      <c r="O198" s="522">
        <v>128503</v>
      </c>
      <c r="P198" s="412">
        <f t="shared" si="54"/>
        <v>275948</v>
      </c>
      <c r="Q198" s="412">
        <f t="shared" si="55"/>
        <v>9198.2666666666664</v>
      </c>
      <c r="R198" s="413">
        <f t="shared" si="56"/>
        <v>273513</v>
      </c>
      <c r="S198" s="413">
        <f t="shared" si="57"/>
        <v>9117.1</v>
      </c>
      <c r="T198" s="410">
        <v>6172</v>
      </c>
      <c r="U198" s="522">
        <v>6961</v>
      </c>
      <c r="V198" s="412">
        <f t="shared" si="58"/>
        <v>275948</v>
      </c>
      <c r="W198" s="413">
        <f t="shared" si="59"/>
        <v>273513</v>
      </c>
      <c r="X198" s="410"/>
      <c r="Y198" s="411"/>
      <c r="Z198" s="410"/>
      <c r="AA198" s="411"/>
      <c r="AB198" s="410"/>
      <c r="AC198" s="411"/>
      <c r="AD198" s="410"/>
      <c r="AE198" s="411"/>
      <c r="AF198" s="412">
        <f t="shared" si="60"/>
        <v>0</v>
      </c>
      <c r="AG198" s="412">
        <f t="shared" si="61"/>
        <v>0</v>
      </c>
      <c r="AH198" s="413">
        <f t="shared" si="62"/>
        <v>0</v>
      </c>
      <c r="AI198" s="413">
        <f t="shared" si="63"/>
        <v>0</v>
      </c>
      <c r="AJ198" s="410"/>
      <c r="AK198" s="411"/>
      <c r="AL198" s="412">
        <f t="shared" si="46"/>
        <v>0</v>
      </c>
      <c r="AM198" s="413">
        <f t="shared" si="47"/>
        <v>0</v>
      </c>
      <c r="AN198" s="410"/>
      <c r="AO198" s="522"/>
      <c r="AP198" s="410">
        <v>0</v>
      </c>
      <c r="AQ198" s="522">
        <v>0</v>
      </c>
      <c r="AR198" s="410">
        <v>0</v>
      </c>
      <c r="AS198" s="522">
        <v>0</v>
      </c>
      <c r="AT198" s="410">
        <v>0</v>
      </c>
      <c r="AU198" s="522">
        <v>0</v>
      </c>
      <c r="AV198" s="412">
        <f t="shared" si="48"/>
        <v>0</v>
      </c>
      <c r="AW198" s="412">
        <f t="shared" si="49"/>
        <v>0</v>
      </c>
      <c r="AX198" s="413">
        <f t="shared" si="50"/>
        <v>0</v>
      </c>
      <c r="AY198" s="413">
        <f t="shared" si="51"/>
        <v>0</v>
      </c>
      <c r="AZ198" s="412">
        <f t="shared" si="52"/>
        <v>9198.2666666666664</v>
      </c>
      <c r="BA198" s="413">
        <f t="shared" si="53"/>
        <v>9117.1</v>
      </c>
    </row>
    <row r="199" spans="1:53">
      <c r="A199" s="432" t="s">
        <v>481</v>
      </c>
      <c r="B199" s="50" t="s">
        <v>499</v>
      </c>
      <c r="C199" s="53"/>
      <c r="D199" s="52">
        <v>483212</v>
      </c>
      <c r="E199" s="55">
        <v>9</v>
      </c>
      <c r="F199" s="410"/>
      <c r="G199" s="411"/>
      <c r="H199" s="410"/>
      <c r="I199" s="522"/>
      <c r="J199" s="410">
        <v>33475</v>
      </c>
      <c r="K199" s="522">
        <v>37133</v>
      </c>
      <c r="L199" s="410">
        <v>9777</v>
      </c>
      <c r="M199" s="522">
        <v>12240</v>
      </c>
      <c r="N199" s="410">
        <v>37048</v>
      </c>
      <c r="O199" s="522">
        <v>42692.5</v>
      </c>
      <c r="P199" s="412">
        <f t="shared" si="54"/>
        <v>80300</v>
      </c>
      <c r="Q199" s="412">
        <f t="shared" si="55"/>
        <v>2676.6666666666665</v>
      </c>
      <c r="R199" s="413">
        <f t="shared" si="56"/>
        <v>92065.5</v>
      </c>
      <c r="S199" s="413">
        <f t="shared" si="57"/>
        <v>3068.85</v>
      </c>
      <c r="T199" s="410">
        <v>4640</v>
      </c>
      <c r="U199" s="522">
        <v>4869</v>
      </c>
      <c r="V199" s="412">
        <f t="shared" si="58"/>
        <v>80300</v>
      </c>
      <c r="W199" s="413">
        <f t="shared" si="59"/>
        <v>92065.5</v>
      </c>
      <c r="X199" s="410"/>
      <c r="Y199" s="411"/>
      <c r="Z199" s="410"/>
      <c r="AA199" s="411"/>
      <c r="AB199" s="410"/>
      <c r="AC199" s="411"/>
      <c r="AD199" s="410"/>
      <c r="AE199" s="411"/>
      <c r="AF199" s="412">
        <f t="shared" si="60"/>
        <v>0</v>
      </c>
      <c r="AG199" s="412">
        <f t="shared" si="61"/>
        <v>0</v>
      </c>
      <c r="AH199" s="413">
        <f t="shared" si="62"/>
        <v>0</v>
      </c>
      <c r="AI199" s="413">
        <f t="shared" si="63"/>
        <v>0</v>
      </c>
      <c r="AJ199" s="410"/>
      <c r="AK199" s="411"/>
      <c r="AL199" s="412">
        <f t="shared" ref="AL199:AL262" si="64">IF(ISBLANK(AJ199),0,AF199)</f>
        <v>0</v>
      </c>
      <c r="AM199" s="413">
        <f t="shared" ref="AM199:AM262" si="65">IF(ISBLANK(AK199),0,AH199)</f>
        <v>0</v>
      </c>
      <c r="AN199" s="410"/>
      <c r="AO199" s="522"/>
      <c r="AP199" s="410">
        <v>0</v>
      </c>
      <c r="AQ199" s="522">
        <v>0</v>
      </c>
      <c r="AR199" s="410">
        <v>0</v>
      </c>
      <c r="AS199" s="522">
        <v>0</v>
      </c>
      <c r="AT199" s="410">
        <v>0</v>
      </c>
      <c r="AU199" s="522">
        <v>0</v>
      </c>
      <c r="AV199" s="412">
        <f t="shared" ref="AV199:AV262" si="66">SUM(AN199,AP199,AR199,AT199)</f>
        <v>0</v>
      </c>
      <c r="AW199" s="412">
        <f t="shared" ref="AW199:AW262" si="67">+AV199/24</f>
        <v>0</v>
      </c>
      <c r="AX199" s="413">
        <f t="shared" ref="AX199:AX262" si="68">SUM(AO199,AQ199,AS199,AU199)</f>
        <v>0</v>
      </c>
      <c r="AY199" s="413">
        <f t="shared" ref="AY199:AY262" si="69">+AX199/24</f>
        <v>0</v>
      </c>
      <c r="AZ199" s="412">
        <f t="shared" ref="AZ199:AZ262" si="70">SUM(Q199,AG199,AW199)</f>
        <v>2676.6666666666665</v>
      </c>
      <c r="BA199" s="413">
        <f t="shared" ref="BA199:BA262" si="71">SUM(S199,AI199,AY199)</f>
        <v>3068.85</v>
      </c>
    </row>
    <row r="200" spans="1:53">
      <c r="A200" s="432" t="s">
        <v>481</v>
      </c>
      <c r="B200" s="50" t="s">
        <v>500</v>
      </c>
      <c r="C200" s="433"/>
      <c r="D200" s="52">
        <v>434061</v>
      </c>
      <c r="E200" s="55">
        <v>9</v>
      </c>
      <c r="F200" s="410"/>
      <c r="G200" s="411"/>
      <c r="H200" s="410"/>
      <c r="I200" s="522"/>
      <c r="J200" s="410">
        <v>60478</v>
      </c>
      <c r="K200" s="522">
        <v>58167</v>
      </c>
      <c r="L200" s="410">
        <v>13905</v>
      </c>
      <c r="M200" s="522">
        <v>15709</v>
      </c>
      <c r="N200" s="410">
        <v>64028</v>
      </c>
      <c r="O200" s="522">
        <v>69068</v>
      </c>
      <c r="P200" s="412">
        <f t="shared" si="54"/>
        <v>138411</v>
      </c>
      <c r="Q200" s="412">
        <f t="shared" si="55"/>
        <v>4613.7</v>
      </c>
      <c r="R200" s="413">
        <f t="shared" si="56"/>
        <v>142944</v>
      </c>
      <c r="S200" s="413">
        <f t="shared" si="57"/>
        <v>4764.8</v>
      </c>
      <c r="T200" s="410">
        <v>10338</v>
      </c>
      <c r="U200" s="522">
        <v>12335</v>
      </c>
      <c r="V200" s="412">
        <f t="shared" si="58"/>
        <v>138411</v>
      </c>
      <c r="W200" s="413">
        <f t="shared" si="59"/>
        <v>142944</v>
      </c>
      <c r="X200" s="410"/>
      <c r="Y200" s="411"/>
      <c r="Z200" s="410"/>
      <c r="AA200" s="411"/>
      <c r="AB200" s="410"/>
      <c r="AC200" s="411"/>
      <c r="AD200" s="410"/>
      <c r="AE200" s="411"/>
      <c r="AF200" s="412">
        <f t="shared" si="60"/>
        <v>0</v>
      </c>
      <c r="AG200" s="412">
        <f t="shared" si="61"/>
        <v>0</v>
      </c>
      <c r="AH200" s="413">
        <f t="shared" si="62"/>
        <v>0</v>
      </c>
      <c r="AI200" s="413">
        <f t="shared" si="63"/>
        <v>0</v>
      </c>
      <c r="AJ200" s="410"/>
      <c r="AK200" s="411"/>
      <c r="AL200" s="412">
        <f t="shared" si="64"/>
        <v>0</v>
      </c>
      <c r="AM200" s="413">
        <f t="shared" si="65"/>
        <v>0</v>
      </c>
      <c r="AN200" s="410"/>
      <c r="AO200" s="522"/>
      <c r="AP200" s="410">
        <v>0</v>
      </c>
      <c r="AQ200" s="522">
        <v>0</v>
      </c>
      <c r="AR200" s="410">
        <v>0</v>
      </c>
      <c r="AS200" s="522">
        <v>0</v>
      </c>
      <c r="AT200" s="410">
        <v>0</v>
      </c>
      <c r="AU200" s="522">
        <v>0</v>
      </c>
      <c r="AV200" s="412">
        <f t="shared" si="66"/>
        <v>0</v>
      </c>
      <c r="AW200" s="412">
        <f t="shared" si="67"/>
        <v>0</v>
      </c>
      <c r="AX200" s="413">
        <f t="shared" si="68"/>
        <v>0</v>
      </c>
      <c r="AY200" s="413">
        <f t="shared" si="69"/>
        <v>0</v>
      </c>
      <c r="AZ200" s="412">
        <f t="shared" si="70"/>
        <v>4613.7</v>
      </c>
      <c r="BA200" s="413">
        <f t="shared" si="71"/>
        <v>4764.8</v>
      </c>
    </row>
    <row r="201" spans="1:53">
      <c r="A201" s="432" t="s">
        <v>481</v>
      </c>
      <c r="B201" s="50" t="s">
        <v>501</v>
      </c>
      <c r="C201" s="53"/>
      <c r="D201" s="52">
        <v>160649</v>
      </c>
      <c r="E201" s="55">
        <v>9</v>
      </c>
      <c r="F201" s="410"/>
      <c r="G201" s="411"/>
      <c r="H201" s="410"/>
      <c r="I201" s="522"/>
      <c r="J201" s="410">
        <v>24085</v>
      </c>
      <c r="K201" s="522">
        <v>24894</v>
      </c>
      <c r="L201" s="410">
        <v>9150</v>
      </c>
      <c r="M201" s="522">
        <v>9753</v>
      </c>
      <c r="N201" s="410">
        <v>27062</v>
      </c>
      <c r="O201" s="522">
        <v>31001</v>
      </c>
      <c r="P201" s="412">
        <f t="shared" si="54"/>
        <v>60297</v>
      </c>
      <c r="Q201" s="412">
        <f t="shared" si="55"/>
        <v>2009.9</v>
      </c>
      <c r="R201" s="413">
        <f t="shared" si="56"/>
        <v>65648</v>
      </c>
      <c r="S201" s="413">
        <f t="shared" si="57"/>
        <v>2188.2666666666669</v>
      </c>
      <c r="T201" s="410">
        <v>4403</v>
      </c>
      <c r="U201" s="522">
        <v>4219</v>
      </c>
      <c r="V201" s="412">
        <f t="shared" si="58"/>
        <v>60297</v>
      </c>
      <c r="W201" s="413">
        <f t="shared" si="59"/>
        <v>65648</v>
      </c>
      <c r="X201" s="410"/>
      <c r="Y201" s="411"/>
      <c r="Z201" s="410"/>
      <c r="AA201" s="411"/>
      <c r="AB201" s="410"/>
      <c r="AC201" s="411"/>
      <c r="AD201" s="410"/>
      <c r="AE201" s="411"/>
      <c r="AF201" s="412">
        <f t="shared" si="60"/>
        <v>0</v>
      </c>
      <c r="AG201" s="412">
        <f t="shared" si="61"/>
        <v>0</v>
      </c>
      <c r="AH201" s="413">
        <f t="shared" si="62"/>
        <v>0</v>
      </c>
      <c r="AI201" s="413">
        <f t="shared" si="63"/>
        <v>0</v>
      </c>
      <c r="AJ201" s="410"/>
      <c r="AK201" s="411"/>
      <c r="AL201" s="412">
        <f t="shared" si="64"/>
        <v>0</v>
      </c>
      <c r="AM201" s="413">
        <f t="shared" si="65"/>
        <v>0</v>
      </c>
      <c r="AN201" s="410"/>
      <c r="AO201" s="522"/>
      <c r="AP201" s="410">
        <v>0</v>
      </c>
      <c r="AQ201" s="522">
        <v>0</v>
      </c>
      <c r="AR201" s="410">
        <v>0</v>
      </c>
      <c r="AS201" s="522">
        <v>0</v>
      </c>
      <c r="AT201" s="410">
        <v>0</v>
      </c>
      <c r="AU201" s="522">
        <v>0</v>
      </c>
      <c r="AV201" s="412">
        <f t="shared" si="66"/>
        <v>0</v>
      </c>
      <c r="AW201" s="412">
        <f t="shared" si="67"/>
        <v>0</v>
      </c>
      <c r="AX201" s="413">
        <f t="shared" si="68"/>
        <v>0</v>
      </c>
      <c r="AY201" s="413">
        <f t="shared" si="69"/>
        <v>0</v>
      </c>
      <c r="AZ201" s="412">
        <f t="shared" si="70"/>
        <v>2009.9</v>
      </c>
      <c r="BA201" s="413">
        <f t="shared" si="71"/>
        <v>2188.2666666666669</v>
      </c>
    </row>
    <row r="202" spans="1:53">
      <c r="A202" s="432" t="s">
        <v>481</v>
      </c>
      <c r="B202" s="50" t="s">
        <v>502</v>
      </c>
      <c r="C202" s="51" t="s">
        <v>920</v>
      </c>
      <c r="D202" s="52">
        <v>159407</v>
      </c>
      <c r="E202" s="55">
        <v>10</v>
      </c>
      <c r="F202" s="410"/>
      <c r="G202" s="411"/>
      <c r="H202" s="410"/>
      <c r="I202" s="522"/>
      <c r="J202" s="410">
        <v>27271</v>
      </c>
      <c r="K202" s="522">
        <v>27806</v>
      </c>
      <c r="L202" s="410">
        <v>3678</v>
      </c>
      <c r="M202" s="522">
        <v>3542</v>
      </c>
      <c r="N202" s="410">
        <v>32229</v>
      </c>
      <c r="O202" s="522">
        <v>30533</v>
      </c>
      <c r="P202" s="412">
        <f t="shared" si="54"/>
        <v>63178</v>
      </c>
      <c r="Q202" s="412">
        <f t="shared" si="55"/>
        <v>2105.9333333333334</v>
      </c>
      <c r="R202" s="413">
        <f t="shared" si="56"/>
        <v>61881</v>
      </c>
      <c r="S202" s="413">
        <f t="shared" si="57"/>
        <v>2062.6999999999998</v>
      </c>
      <c r="T202" s="410">
        <v>5583</v>
      </c>
      <c r="U202" s="522">
        <v>5257</v>
      </c>
      <c r="V202" s="412">
        <f t="shared" si="58"/>
        <v>63178</v>
      </c>
      <c r="W202" s="413">
        <f t="shared" si="59"/>
        <v>61881</v>
      </c>
      <c r="X202" s="410"/>
      <c r="Y202" s="411"/>
      <c r="Z202" s="410"/>
      <c r="AA202" s="411"/>
      <c r="AB202" s="410"/>
      <c r="AC202" s="411"/>
      <c r="AD202" s="410"/>
      <c r="AE202" s="411"/>
      <c r="AF202" s="412">
        <f t="shared" si="60"/>
        <v>0</v>
      </c>
      <c r="AG202" s="412">
        <f t="shared" si="61"/>
        <v>0</v>
      </c>
      <c r="AH202" s="413">
        <f t="shared" si="62"/>
        <v>0</v>
      </c>
      <c r="AI202" s="413">
        <f t="shared" si="63"/>
        <v>0</v>
      </c>
      <c r="AJ202" s="410"/>
      <c r="AK202" s="411"/>
      <c r="AL202" s="412">
        <f t="shared" si="64"/>
        <v>0</v>
      </c>
      <c r="AM202" s="413">
        <f t="shared" si="65"/>
        <v>0</v>
      </c>
      <c r="AN202" s="410"/>
      <c r="AO202" s="522"/>
      <c r="AP202" s="410">
        <v>0</v>
      </c>
      <c r="AQ202" s="522">
        <v>0</v>
      </c>
      <c r="AR202" s="410">
        <v>0</v>
      </c>
      <c r="AS202" s="522">
        <v>0</v>
      </c>
      <c r="AT202" s="410">
        <v>0</v>
      </c>
      <c r="AU202" s="522">
        <v>0</v>
      </c>
      <c r="AV202" s="412">
        <f t="shared" si="66"/>
        <v>0</v>
      </c>
      <c r="AW202" s="412">
        <f t="shared" si="67"/>
        <v>0</v>
      </c>
      <c r="AX202" s="413">
        <f t="shared" si="68"/>
        <v>0</v>
      </c>
      <c r="AY202" s="413">
        <f t="shared" si="69"/>
        <v>0</v>
      </c>
      <c r="AZ202" s="412">
        <f t="shared" si="70"/>
        <v>2105.9333333333334</v>
      </c>
      <c r="BA202" s="413">
        <f t="shared" si="71"/>
        <v>2062.6999999999998</v>
      </c>
    </row>
    <row r="203" spans="1:53">
      <c r="A203" s="432" t="s">
        <v>481</v>
      </c>
      <c r="B203" s="50" t="s">
        <v>503</v>
      </c>
      <c r="C203" s="51"/>
      <c r="D203" s="52">
        <v>158884</v>
      </c>
      <c r="E203" s="55">
        <v>10</v>
      </c>
      <c r="F203" s="410"/>
      <c r="G203" s="411"/>
      <c r="H203" s="410"/>
      <c r="I203" s="522"/>
      <c r="J203" s="410">
        <v>20227</v>
      </c>
      <c r="K203" s="522">
        <v>19433</v>
      </c>
      <c r="L203" s="410">
        <v>4120</v>
      </c>
      <c r="M203" s="522">
        <v>4101</v>
      </c>
      <c r="N203" s="410">
        <v>21173</v>
      </c>
      <c r="O203" s="522">
        <v>20306</v>
      </c>
      <c r="P203" s="412">
        <f t="shared" si="54"/>
        <v>45520</v>
      </c>
      <c r="Q203" s="412">
        <f t="shared" si="55"/>
        <v>1517.3333333333333</v>
      </c>
      <c r="R203" s="413">
        <f t="shared" si="56"/>
        <v>43840</v>
      </c>
      <c r="S203" s="413">
        <f t="shared" si="57"/>
        <v>1461.3333333333333</v>
      </c>
      <c r="T203" s="410">
        <v>8426</v>
      </c>
      <c r="U203" s="522">
        <v>4571</v>
      </c>
      <c r="V203" s="412">
        <f t="shared" si="58"/>
        <v>45520</v>
      </c>
      <c r="W203" s="413">
        <f t="shared" si="59"/>
        <v>43840</v>
      </c>
      <c r="X203" s="410"/>
      <c r="Y203" s="411"/>
      <c r="Z203" s="410"/>
      <c r="AA203" s="411"/>
      <c r="AB203" s="410"/>
      <c r="AC203" s="411"/>
      <c r="AD203" s="410"/>
      <c r="AE203" s="411"/>
      <c r="AF203" s="412">
        <f t="shared" si="60"/>
        <v>0</v>
      </c>
      <c r="AG203" s="412">
        <f t="shared" si="61"/>
        <v>0</v>
      </c>
      <c r="AH203" s="413">
        <f t="shared" si="62"/>
        <v>0</v>
      </c>
      <c r="AI203" s="413">
        <f t="shared" si="63"/>
        <v>0</v>
      </c>
      <c r="AJ203" s="410"/>
      <c r="AK203" s="411"/>
      <c r="AL203" s="412">
        <f t="shared" si="64"/>
        <v>0</v>
      </c>
      <c r="AM203" s="413">
        <f t="shared" si="65"/>
        <v>0</v>
      </c>
      <c r="AN203" s="410"/>
      <c r="AO203" s="522"/>
      <c r="AP203" s="410">
        <v>0</v>
      </c>
      <c r="AQ203" s="522">
        <v>0</v>
      </c>
      <c r="AR203" s="410">
        <v>0</v>
      </c>
      <c r="AS203" s="522">
        <v>0</v>
      </c>
      <c r="AT203" s="410">
        <v>0</v>
      </c>
      <c r="AU203" s="522">
        <v>0</v>
      </c>
      <c r="AV203" s="412">
        <f t="shared" si="66"/>
        <v>0</v>
      </c>
      <c r="AW203" s="412">
        <f t="shared" si="67"/>
        <v>0</v>
      </c>
      <c r="AX203" s="413">
        <f t="shared" si="68"/>
        <v>0</v>
      </c>
      <c r="AY203" s="413">
        <f t="shared" si="69"/>
        <v>0</v>
      </c>
      <c r="AZ203" s="412">
        <f t="shared" si="70"/>
        <v>1517.3333333333333</v>
      </c>
      <c r="BA203" s="413">
        <f t="shared" si="71"/>
        <v>1461.3333333333333</v>
      </c>
    </row>
    <row r="204" spans="1:53">
      <c r="A204" s="523" t="s">
        <v>481</v>
      </c>
      <c r="B204" s="524" t="s">
        <v>504</v>
      </c>
      <c r="C204" s="51" t="s">
        <v>920</v>
      </c>
      <c r="D204" s="52">
        <v>436304</v>
      </c>
      <c r="E204" s="55">
        <v>10</v>
      </c>
      <c r="F204" s="410"/>
      <c r="G204" s="411"/>
      <c r="H204" s="410"/>
      <c r="I204" s="522"/>
      <c r="J204" s="410">
        <v>27519</v>
      </c>
      <c r="K204" s="522">
        <v>26604</v>
      </c>
      <c r="L204" s="410">
        <v>5771</v>
      </c>
      <c r="M204" s="522">
        <v>5434</v>
      </c>
      <c r="N204" s="410">
        <v>32014</v>
      </c>
      <c r="O204" s="522">
        <v>29482</v>
      </c>
      <c r="P204" s="412">
        <f t="shared" si="54"/>
        <v>65304</v>
      </c>
      <c r="Q204" s="412">
        <f t="shared" si="55"/>
        <v>2176.8000000000002</v>
      </c>
      <c r="R204" s="413">
        <f t="shared" si="56"/>
        <v>61520</v>
      </c>
      <c r="S204" s="413">
        <f t="shared" si="57"/>
        <v>2050.6666666666665</v>
      </c>
      <c r="T204" s="410">
        <v>11212</v>
      </c>
      <c r="U204" s="522">
        <v>9243</v>
      </c>
      <c r="V204" s="412">
        <f t="shared" si="58"/>
        <v>65304</v>
      </c>
      <c r="W204" s="413">
        <f t="shared" si="59"/>
        <v>61520</v>
      </c>
      <c r="X204" s="410"/>
      <c r="Y204" s="411"/>
      <c r="Z204" s="410"/>
      <c r="AA204" s="411"/>
      <c r="AB204" s="410"/>
      <c r="AC204" s="411"/>
      <c r="AD204" s="410"/>
      <c r="AE204" s="411"/>
      <c r="AF204" s="412">
        <f t="shared" si="60"/>
        <v>0</v>
      </c>
      <c r="AG204" s="412">
        <f t="shared" si="61"/>
        <v>0</v>
      </c>
      <c r="AH204" s="413">
        <f t="shared" si="62"/>
        <v>0</v>
      </c>
      <c r="AI204" s="413">
        <f t="shared" si="63"/>
        <v>0</v>
      </c>
      <c r="AJ204" s="410"/>
      <c r="AK204" s="411"/>
      <c r="AL204" s="412">
        <f t="shared" si="64"/>
        <v>0</v>
      </c>
      <c r="AM204" s="413">
        <f t="shared" si="65"/>
        <v>0</v>
      </c>
      <c r="AN204" s="410"/>
      <c r="AO204" s="522"/>
      <c r="AP204" s="410">
        <v>0</v>
      </c>
      <c r="AQ204" s="522">
        <v>0</v>
      </c>
      <c r="AR204" s="410">
        <v>0</v>
      </c>
      <c r="AS204" s="522">
        <v>0</v>
      </c>
      <c r="AT204" s="410">
        <v>0</v>
      </c>
      <c r="AU204" s="522">
        <v>0</v>
      </c>
      <c r="AV204" s="412">
        <f t="shared" si="66"/>
        <v>0</v>
      </c>
      <c r="AW204" s="412">
        <f t="shared" si="67"/>
        <v>0</v>
      </c>
      <c r="AX204" s="413">
        <f t="shared" si="68"/>
        <v>0</v>
      </c>
      <c r="AY204" s="413">
        <f t="shared" si="69"/>
        <v>0</v>
      </c>
      <c r="AZ204" s="412">
        <f t="shared" si="70"/>
        <v>2176.8000000000002</v>
      </c>
      <c r="BA204" s="413">
        <f t="shared" si="71"/>
        <v>2050.6666666666665</v>
      </c>
    </row>
    <row r="205" spans="1:53">
      <c r="A205" s="523" t="s">
        <v>481</v>
      </c>
      <c r="B205" s="56" t="s">
        <v>891</v>
      </c>
      <c r="C205" s="57"/>
      <c r="D205" s="52">
        <v>158088</v>
      </c>
      <c r="E205" s="55">
        <v>12</v>
      </c>
      <c r="F205" s="410"/>
      <c r="G205" s="411"/>
      <c r="H205" s="410"/>
      <c r="I205" s="522"/>
      <c r="J205" s="410">
        <v>15695</v>
      </c>
      <c r="K205" s="522">
        <v>18799</v>
      </c>
      <c r="L205" s="410">
        <v>3963</v>
      </c>
      <c r="M205" s="522">
        <v>3746</v>
      </c>
      <c r="N205" s="410">
        <v>23966</v>
      </c>
      <c r="O205" s="522">
        <v>22989</v>
      </c>
      <c r="P205" s="412">
        <f t="shared" si="54"/>
        <v>43624</v>
      </c>
      <c r="Q205" s="412">
        <f t="shared" si="55"/>
        <v>1454.1333333333334</v>
      </c>
      <c r="R205" s="413">
        <f t="shared" si="56"/>
        <v>45534</v>
      </c>
      <c r="S205" s="413">
        <f t="shared" si="57"/>
        <v>1517.8</v>
      </c>
      <c r="T205" s="410">
        <v>8689</v>
      </c>
      <c r="U205" s="522">
        <v>7479</v>
      </c>
      <c r="V205" s="412">
        <f t="shared" si="58"/>
        <v>43624</v>
      </c>
      <c r="W205" s="413">
        <f t="shared" si="59"/>
        <v>45534</v>
      </c>
      <c r="X205" s="410"/>
      <c r="Y205" s="411"/>
      <c r="Z205" s="410"/>
      <c r="AA205" s="411"/>
      <c r="AB205" s="410"/>
      <c r="AC205" s="411"/>
      <c r="AD205" s="410"/>
      <c r="AE205" s="411"/>
      <c r="AF205" s="412">
        <f t="shared" si="60"/>
        <v>0</v>
      </c>
      <c r="AG205" s="412">
        <f t="shared" si="61"/>
        <v>0</v>
      </c>
      <c r="AH205" s="413">
        <f t="shared" si="62"/>
        <v>0</v>
      </c>
      <c r="AI205" s="413">
        <f t="shared" si="63"/>
        <v>0</v>
      </c>
      <c r="AJ205" s="410"/>
      <c r="AK205" s="411"/>
      <c r="AL205" s="412">
        <f t="shared" si="64"/>
        <v>0</v>
      </c>
      <c r="AM205" s="413">
        <f t="shared" si="65"/>
        <v>0</v>
      </c>
      <c r="AN205" s="410"/>
      <c r="AO205" s="522"/>
      <c r="AP205" s="410">
        <v>0</v>
      </c>
      <c r="AQ205" s="522">
        <v>0</v>
      </c>
      <c r="AR205" s="410">
        <v>0</v>
      </c>
      <c r="AS205" s="522">
        <v>0</v>
      </c>
      <c r="AT205" s="410">
        <v>0</v>
      </c>
      <c r="AU205" s="522">
        <v>0</v>
      </c>
      <c r="AV205" s="412">
        <f t="shared" si="66"/>
        <v>0</v>
      </c>
      <c r="AW205" s="412">
        <f t="shared" si="67"/>
        <v>0</v>
      </c>
      <c r="AX205" s="413">
        <f t="shared" si="68"/>
        <v>0</v>
      </c>
      <c r="AY205" s="413">
        <f t="shared" si="69"/>
        <v>0</v>
      </c>
      <c r="AZ205" s="412">
        <f t="shared" si="70"/>
        <v>1454.1333333333334</v>
      </c>
      <c r="BA205" s="413">
        <f t="shared" si="71"/>
        <v>1517.8</v>
      </c>
    </row>
    <row r="206" spans="1:53">
      <c r="A206" s="523" t="s">
        <v>481</v>
      </c>
      <c r="B206" s="50" t="s">
        <v>505</v>
      </c>
      <c r="C206" s="53"/>
      <c r="D206" s="52">
        <v>160481</v>
      </c>
      <c r="E206" s="55">
        <v>12</v>
      </c>
      <c r="F206" s="410"/>
      <c r="G206" s="411"/>
      <c r="H206" s="410"/>
      <c r="I206" s="522"/>
      <c r="J206" s="410">
        <v>19423</v>
      </c>
      <c r="K206" s="522">
        <v>20445</v>
      </c>
      <c r="L206" s="410">
        <v>3705</v>
      </c>
      <c r="M206" s="522">
        <v>3635</v>
      </c>
      <c r="N206" s="410">
        <v>21347</v>
      </c>
      <c r="O206" s="522">
        <v>24164</v>
      </c>
      <c r="P206" s="412">
        <f t="shared" si="54"/>
        <v>44475</v>
      </c>
      <c r="Q206" s="412">
        <f t="shared" si="55"/>
        <v>1482.5</v>
      </c>
      <c r="R206" s="413">
        <f t="shared" si="56"/>
        <v>48244</v>
      </c>
      <c r="S206" s="413">
        <f t="shared" si="57"/>
        <v>1608.1333333333334</v>
      </c>
      <c r="T206" s="410">
        <v>2191</v>
      </c>
      <c r="U206" s="522">
        <v>2390</v>
      </c>
      <c r="V206" s="412">
        <f t="shared" si="58"/>
        <v>44475</v>
      </c>
      <c r="W206" s="413">
        <f t="shared" si="59"/>
        <v>48244</v>
      </c>
      <c r="X206" s="410"/>
      <c r="Y206" s="411"/>
      <c r="Z206" s="410"/>
      <c r="AA206" s="411"/>
      <c r="AB206" s="410"/>
      <c r="AC206" s="411"/>
      <c r="AD206" s="410"/>
      <c r="AE206" s="411"/>
      <c r="AF206" s="412">
        <f t="shared" si="60"/>
        <v>0</v>
      </c>
      <c r="AG206" s="412">
        <f t="shared" si="61"/>
        <v>0</v>
      </c>
      <c r="AH206" s="413">
        <f t="shared" si="62"/>
        <v>0</v>
      </c>
      <c r="AI206" s="413">
        <f t="shared" si="63"/>
        <v>0</v>
      </c>
      <c r="AJ206" s="410"/>
      <c r="AK206" s="411"/>
      <c r="AL206" s="412">
        <f t="shared" si="64"/>
        <v>0</v>
      </c>
      <c r="AM206" s="413">
        <f t="shared" si="65"/>
        <v>0</v>
      </c>
      <c r="AN206" s="410"/>
      <c r="AO206" s="522"/>
      <c r="AP206" s="410">
        <v>0</v>
      </c>
      <c r="AQ206" s="522">
        <v>0</v>
      </c>
      <c r="AR206" s="410">
        <v>0</v>
      </c>
      <c r="AS206" s="522">
        <v>0</v>
      </c>
      <c r="AT206" s="410">
        <v>0</v>
      </c>
      <c r="AU206" s="522">
        <v>0</v>
      </c>
      <c r="AV206" s="412">
        <f t="shared" si="66"/>
        <v>0</v>
      </c>
      <c r="AW206" s="412">
        <f t="shared" si="67"/>
        <v>0</v>
      </c>
      <c r="AX206" s="413">
        <f t="shared" si="68"/>
        <v>0</v>
      </c>
      <c r="AY206" s="413">
        <f t="shared" si="69"/>
        <v>0</v>
      </c>
      <c r="AZ206" s="412">
        <f t="shared" si="70"/>
        <v>1482.5</v>
      </c>
      <c r="BA206" s="413">
        <f t="shared" si="71"/>
        <v>1608.1333333333334</v>
      </c>
    </row>
    <row r="207" spans="1:53">
      <c r="A207" s="523" t="s">
        <v>481</v>
      </c>
      <c r="B207" s="56" t="s">
        <v>506</v>
      </c>
      <c r="C207" s="57"/>
      <c r="D207" s="52">
        <v>160667</v>
      </c>
      <c r="E207" s="55">
        <v>12</v>
      </c>
      <c r="F207" s="410"/>
      <c r="G207" s="411"/>
      <c r="H207" s="410"/>
      <c r="I207" s="522"/>
      <c r="J207" s="410">
        <v>29045</v>
      </c>
      <c r="K207" s="522">
        <v>30112</v>
      </c>
      <c r="L207" s="410">
        <v>5055</v>
      </c>
      <c r="M207" s="522">
        <v>4642</v>
      </c>
      <c r="N207" s="410">
        <v>34276</v>
      </c>
      <c r="O207" s="522">
        <v>33719</v>
      </c>
      <c r="P207" s="412">
        <f t="shared" si="54"/>
        <v>68376</v>
      </c>
      <c r="Q207" s="412">
        <f t="shared" si="55"/>
        <v>2279.1999999999998</v>
      </c>
      <c r="R207" s="413">
        <f t="shared" si="56"/>
        <v>68473</v>
      </c>
      <c r="S207" s="413">
        <f t="shared" si="57"/>
        <v>2282.4333333333334</v>
      </c>
      <c r="T207" s="410">
        <v>9506</v>
      </c>
      <c r="U207" s="522">
        <v>8635</v>
      </c>
      <c r="V207" s="412">
        <f t="shared" si="58"/>
        <v>68376</v>
      </c>
      <c r="W207" s="413">
        <f t="shared" si="59"/>
        <v>68473</v>
      </c>
      <c r="X207" s="410"/>
      <c r="Y207" s="411"/>
      <c r="Z207" s="410"/>
      <c r="AA207" s="411"/>
      <c r="AB207" s="410"/>
      <c r="AC207" s="411"/>
      <c r="AD207" s="410"/>
      <c r="AE207" s="411"/>
      <c r="AF207" s="412">
        <f t="shared" si="60"/>
        <v>0</v>
      </c>
      <c r="AG207" s="412">
        <f t="shared" si="61"/>
        <v>0</v>
      </c>
      <c r="AH207" s="413">
        <f t="shared" si="62"/>
        <v>0</v>
      </c>
      <c r="AI207" s="413">
        <f t="shared" si="63"/>
        <v>0</v>
      </c>
      <c r="AJ207" s="410"/>
      <c r="AK207" s="411"/>
      <c r="AL207" s="412">
        <f t="shared" si="64"/>
        <v>0</v>
      </c>
      <c r="AM207" s="413">
        <f t="shared" si="65"/>
        <v>0</v>
      </c>
      <c r="AN207" s="410"/>
      <c r="AO207" s="522"/>
      <c r="AP207" s="410">
        <v>0</v>
      </c>
      <c r="AQ207" s="522">
        <v>0</v>
      </c>
      <c r="AR207" s="410">
        <v>0</v>
      </c>
      <c r="AS207" s="522">
        <v>0</v>
      </c>
      <c r="AT207" s="410">
        <v>0</v>
      </c>
      <c r="AU207" s="522">
        <v>0</v>
      </c>
      <c r="AV207" s="412">
        <f t="shared" si="66"/>
        <v>0</v>
      </c>
      <c r="AW207" s="412">
        <f t="shared" si="67"/>
        <v>0</v>
      </c>
      <c r="AX207" s="413">
        <f t="shared" si="68"/>
        <v>0</v>
      </c>
      <c r="AY207" s="413">
        <f t="shared" si="69"/>
        <v>0</v>
      </c>
      <c r="AZ207" s="412">
        <f t="shared" si="70"/>
        <v>2279.1999999999998</v>
      </c>
      <c r="BA207" s="413">
        <f t="shared" si="71"/>
        <v>2282.4333333333334</v>
      </c>
    </row>
    <row r="208" spans="1:53">
      <c r="A208" s="523" t="s">
        <v>481</v>
      </c>
      <c r="B208" s="56" t="s">
        <v>507</v>
      </c>
      <c r="C208" s="53" t="s">
        <v>935</v>
      </c>
      <c r="D208" s="52">
        <v>160010</v>
      </c>
      <c r="E208" s="445">
        <v>13</v>
      </c>
      <c r="F208" s="410"/>
      <c r="G208" s="411"/>
      <c r="H208" s="410"/>
      <c r="I208" s="522"/>
      <c r="J208" s="410">
        <v>9375</v>
      </c>
      <c r="K208" s="522">
        <v>10079</v>
      </c>
      <c r="L208" s="410">
        <v>3612</v>
      </c>
      <c r="M208" s="522">
        <v>3517</v>
      </c>
      <c r="N208" s="410">
        <v>10330</v>
      </c>
      <c r="O208" s="522">
        <v>11022</v>
      </c>
      <c r="P208" s="412">
        <f t="shared" ref="P208:P271" si="72">SUM(H208,J208,L208,N208)</f>
        <v>23317</v>
      </c>
      <c r="Q208" s="412">
        <f t="shared" ref="Q208:Q271" si="73">+P208/30</f>
        <v>777.23333333333335</v>
      </c>
      <c r="R208" s="413">
        <f t="shared" ref="R208:R271" si="74">SUM(I208,K208,M208,O208)</f>
        <v>24618</v>
      </c>
      <c r="S208" s="413">
        <f t="shared" ref="S208:S271" si="75">+R208/30</f>
        <v>820.6</v>
      </c>
      <c r="T208" s="410">
        <v>1346</v>
      </c>
      <c r="U208" s="522">
        <v>1439</v>
      </c>
      <c r="V208" s="412">
        <f t="shared" ref="V208:V271" si="76">IF(ISBLANK(T208),0,P208)</f>
        <v>23317</v>
      </c>
      <c r="W208" s="413">
        <f t="shared" ref="W208:W271" si="77">IF(ISBLANK(U208),0,R208)</f>
        <v>24618</v>
      </c>
      <c r="X208" s="410"/>
      <c r="Y208" s="411"/>
      <c r="Z208" s="410"/>
      <c r="AA208" s="411"/>
      <c r="AB208" s="410"/>
      <c r="AC208" s="411"/>
      <c r="AD208" s="410"/>
      <c r="AE208" s="411"/>
      <c r="AF208" s="412">
        <f t="shared" ref="AF208:AF271" si="78">SUM(X208,Z208,AB208,AD208)</f>
        <v>0</v>
      </c>
      <c r="AG208" s="412">
        <f t="shared" ref="AG208:AG271" si="79">+AF208/900</f>
        <v>0</v>
      </c>
      <c r="AH208" s="413">
        <f t="shared" ref="AH208:AH271" si="80">SUM(Y208,AA208,AC208,AE208)</f>
        <v>0</v>
      </c>
      <c r="AI208" s="413">
        <f t="shared" ref="AI208:AI271" si="81">+AH208/900</f>
        <v>0</v>
      </c>
      <c r="AJ208" s="410"/>
      <c r="AK208" s="411"/>
      <c r="AL208" s="412">
        <f t="shared" si="64"/>
        <v>0</v>
      </c>
      <c r="AM208" s="413">
        <f t="shared" si="65"/>
        <v>0</v>
      </c>
      <c r="AN208" s="410"/>
      <c r="AO208" s="522"/>
      <c r="AP208" s="410">
        <v>0</v>
      </c>
      <c r="AQ208" s="522">
        <v>0</v>
      </c>
      <c r="AR208" s="410">
        <v>0</v>
      </c>
      <c r="AS208" s="522">
        <v>0</v>
      </c>
      <c r="AT208" s="410">
        <v>0</v>
      </c>
      <c r="AU208" s="522">
        <v>0</v>
      </c>
      <c r="AV208" s="412">
        <f t="shared" si="66"/>
        <v>0</v>
      </c>
      <c r="AW208" s="412">
        <f t="shared" si="67"/>
        <v>0</v>
      </c>
      <c r="AX208" s="413">
        <f t="shared" si="68"/>
        <v>0</v>
      </c>
      <c r="AY208" s="413">
        <f t="shared" si="69"/>
        <v>0</v>
      </c>
      <c r="AZ208" s="412">
        <f t="shared" si="70"/>
        <v>777.23333333333335</v>
      </c>
      <c r="BA208" s="413">
        <f t="shared" si="71"/>
        <v>820.6</v>
      </c>
    </row>
    <row r="209" spans="1:53">
      <c r="A209" s="523" t="s">
        <v>481</v>
      </c>
      <c r="B209" s="56" t="s">
        <v>508</v>
      </c>
      <c r="C209" s="57" t="s">
        <v>936</v>
      </c>
      <c r="D209" s="52">
        <v>160913</v>
      </c>
      <c r="E209" s="55">
        <v>12</v>
      </c>
      <c r="F209" s="410"/>
      <c r="G209" s="411"/>
      <c r="H209" s="410"/>
      <c r="I209" s="522"/>
      <c r="J209" s="410"/>
      <c r="K209" s="522"/>
      <c r="L209" s="410"/>
      <c r="M209" s="522"/>
      <c r="N209" s="410"/>
      <c r="O209" s="522"/>
      <c r="P209" s="412">
        <f t="shared" si="72"/>
        <v>0</v>
      </c>
      <c r="Q209" s="412">
        <f t="shared" si="73"/>
        <v>0</v>
      </c>
      <c r="R209" s="413">
        <f t="shared" si="74"/>
        <v>0</v>
      </c>
      <c r="S209" s="413">
        <f t="shared" si="75"/>
        <v>0</v>
      </c>
      <c r="T209" s="410"/>
      <c r="U209" s="522"/>
      <c r="V209" s="412">
        <f t="shared" si="76"/>
        <v>0</v>
      </c>
      <c r="W209" s="413">
        <f t="shared" si="77"/>
        <v>0</v>
      </c>
      <c r="X209" s="410"/>
      <c r="Y209" s="411"/>
      <c r="Z209" s="410"/>
      <c r="AA209" s="411"/>
      <c r="AB209" s="410"/>
      <c r="AC209" s="411"/>
      <c r="AD209" s="410"/>
      <c r="AE209" s="411"/>
      <c r="AF209" s="412">
        <f t="shared" si="78"/>
        <v>0</v>
      </c>
      <c r="AG209" s="412">
        <f t="shared" si="79"/>
        <v>0</v>
      </c>
      <c r="AH209" s="413">
        <f t="shared" si="80"/>
        <v>0</v>
      </c>
      <c r="AI209" s="413">
        <f t="shared" si="81"/>
        <v>0</v>
      </c>
      <c r="AJ209" s="410"/>
      <c r="AK209" s="411"/>
      <c r="AL209" s="412">
        <f t="shared" si="64"/>
        <v>0</v>
      </c>
      <c r="AM209" s="413">
        <f t="shared" si="65"/>
        <v>0</v>
      </c>
      <c r="AN209" s="410"/>
      <c r="AO209" s="522"/>
      <c r="AP209" s="410"/>
      <c r="AQ209" s="522"/>
      <c r="AR209" s="410"/>
      <c r="AS209" s="522"/>
      <c r="AT209" s="410"/>
      <c r="AU209" s="522"/>
      <c r="AV209" s="412">
        <f t="shared" si="66"/>
        <v>0</v>
      </c>
      <c r="AW209" s="412">
        <f t="shared" si="67"/>
        <v>0</v>
      </c>
      <c r="AX209" s="413">
        <f t="shared" si="68"/>
        <v>0</v>
      </c>
      <c r="AY209" s="413">
        <f t="shared" si="69"/>
        <v>0</v>
      </c>
      <c r="AZ209" s="412">
        <f t="shared" si="70"/>
        <v>0</v>
      </c>
      <c r="BA209" s="413">
        <f t="shared" si="71"/>
        <v>0</v>
      </c>
    </row>
    <row r="210" spans="1:53">
      <c r="A210" s="523" t="s">
        <v>481</v>
      </c>
      <c r="B210" s="50" t="s">
        <v>509</v>
      </c>
      <c r="C210" s="51"/>
      <c r="D210" s="52">
        <v>160579</v>
      </c>
      <c r="E210" s="55">
        <v>12</v>
      </c>
      <c r="F210" s="410"/>
      <c r="G210" s="411"/>
      <c r="H210" s="410"/>
      <c r="I210" s="522"/>
      <c r="J210" s="410">
        <v>30801</v>
      </c>
      <c r="K210" s="522">
        <v>31282</v>
      </c>
      <c r="L210" s="410">
        <v>5207</v>
      </c>
      <c r="M210" s="522">
        <v>5870</v>
      </c>
      <c r="N210" s="410">
        <v>34680</v>
      </c>
      <c r="O210" s="522">
        <v>37313.5</v>
      </c>
      <c r="P210" s="412">
        <f t="shared" si="72"/>
        <v>70688</v>
      </c>
      <c r="Q210" s="412">
        <f t="shared" si="73"/>
        <v>2356.2666666666669</v>
      </c>
      <c r="R210" s="413">
        <f t="shared" si="74"/>
        <v>74465.5</v>
      </c>
      <c r="S210" s="413">
        <f t="shared" si="75"/>
        <v>2482.1833333333334</v>
      </c>
      <c r="T210" s="410">
        <v>4884.5</v>
      </c>
      <c r="U210" s="522">
        <v>5305</v>
      </c>
      <c r="V210" s="412">
        <f t="shared" si="76"/>
        <v>70688</v>
      </c>
      <c r="W210" s="413">
        <f t="shared" si="77"/>
        <v>74465.5</v>
      </c>
      <c r="X210" s="410"/>
      <c r="Y210" s="411"/>
      <c r="Z210" s="410"/>
      <c r="AA210" s="411"/>
      <c r="AB210" s="410"/>
      <c r="AC210" s="411"/>
      <c r="AD210" s="410"/>
      <c r="AE210" s="411"/>
      <c r="AF210" s="412">
        <f t="shared" si="78"/>
        <v>0</v>
      </c>
      <c r="AG210" s="412">
        <f t="shared" si="79"/>
        <v>0</v>
      </c>
      <c r="AH210" s="413">
        <f t="shared" si="80"/>
        <v>0</v>
      </c>
      <c r="AI210" s="413">
        <f t="shared" si="81"/>
        <v>0</v>
      </c>
      <c r="AJ210" s="410"/>
      <c r="AK210" s="411"/>
      <c r="AL210" s="412">
        <f t="shared" si="64"/>
        <v>0</v>
      </c>
      <c r="AM210" s="413">
        <f t="shared" si="65"/>
        <v>0</v>
      </c>
      <c r="AN210" s="410"/>
      <c r="AO210" s="522"/>
      <c r="AP210" s="410"/>
      <c r="AQ210" s="522"/>
      <c r="AR210" s="410"/>
      <c r="AS210" s="522"/>
      <c r="AT210" s="410"/>
      <c r="AU210" s="522"/>
      <c r="AV210" s="412">
        <f t="shared" si="66"/>
        <v>0</v>
      </c>
      <c r="AW210" s="412">
        <f t="shared" si="67"/>
        <v>0</v>
      </c>
      <c r="AX210" s="413">
        <f t="shared" si="68"/>
        <v>0</v>
      </c>
      <c r="AY210" s="413">
        <f t="shared" si="69"/>
        <v>0</v>
      </c>
      <c r="AZ210" s="412">
        <f t="shared" si="70"/>
        <v>2356.2666666666669</v>
      </c>
      <c r="BA210" s="413">
        <f t="shared" si="71"/>
        <v>2482.1833333333334</v>
      </c>
    </row>
    <row r="211" spans="1:53">
      <c r="A211" s="523" t="s">
        <v>481</v>
      </c>
      <c r="B211" s="534" t="s">
        <v>937</v>
      </c>
      <c r="C211" s="51"/>
      <c r="D211" s="577">
        <v>440916</v>
      </c>
      <c r="E211" s="55">
        <v>15</v>
      </c>
      <c r="F211" s="410"/>
      <c r="G211" s="411"/>
      <c r="H211" s="410"/>
      <c r="I211" s="522"/>
      <c r="J211" s="410"/>
      <c r="K211" s="522"/>
      <c r="L211" s="410"/>
      <c r="M211" s="522"/>
      <c r="N211" s="410"/>
      <c r="O211" s="522"/>
      <c r="P211" s="412">
        <f t="shared" si="72"/>
        <v>0</v>
      </c>
      <c r="Q211" s="412">
        <f t="shared" si="73"/>
        <v>0</v>
      </c>
      <c r="R211" s="413">
        <f t="shared" si="74"/>
        <v>0</v>
      </c>
      <c r="S211" s="413">
        <f t="shared" si="75"/>
        <v>0</v>
      </c>
      <c r="T211" s="410"/>
      <c r="U211" s="522"/>
      <c r="V211" s="412">
        <f t="shared" si="76"/>
        <v>0</v>
      </c>
      <c r="W211" s="413">
        <f t="shared" si="77"/>
        <v>0</v>
      </c>
      <c r="X211" s="410"/>
      <c r="Y211" s="411"/>
      <c r="Z211" s="410"/>
      <c r="AA211" s="411"/>
      <c r="AB211" s="410"/>
      <c r="AC211" s="411"/>
      <c r="AD211" s="410"/>
      <c r="AE211" s="411"/>
      <c r="AF211" s="412">
        <f t="shared" si="78"/>
        <v>0</v>
      </c>
      <c r="AG211" s="412">
        <f t="shared" si="79"/>
        <v>0</v>
      </c>
      <c r="AH211" s="413">
        <f t="shared" si="80"/>
        <v>0</v>
      </c>
      <c r="AI211" s="413">
        <f t="shared" si="81"/>
        <v>0</v>
      </c>
      <c r="AJ211" s="410"/>
      <c r="AK211" s="411"/>
      <c r="AL211" s="412">
        <f t="shared" si="64"/>
        <v>0</v>
      </c>
      <c r="AM211" s="413">
        <f t="shared" si="65"/>
        <v>0</v>
      </c>
      <c r="AN211" s="410"/>
      <c r="AO211" s="522"/>
      <c r="AP211" s="410">
        <v>7044</v>
      </c>
      <c r="AQ211" s="522">
        <v>7299</v>
      </c>
      <c r="AR211" s="410">
        <v>1536</v>
      </c>
      <c r="AS211" s="522">
        <v>1553</v>
      </c>
      <c r="AT211" s="410">
        <v>8484</v>
      </c>
      <c r="AU211" s="522">
        <v>8936</v>
      </c>
      <c r="AV211" s="412">
        <f t="shared" si="66"/>
        <v>17064</v>
      </c>
      <c r="AW211" s="412">
        <f t="shared" si="67"/>
        <v>711</v>
      </c>
      <c r="AX211" s="413">
        <f t="shared" si="68"/>
        <v>17788</v>
      </c>
      <c r="AY211" s="413">
        <f t="shared" si="69"/>
        <v>741.16666666666663</v>
      </c>
      <c r="AZ211" s="412">
        <f t="shared" si="70"/>
        <v>711</v>
      </c>
      <c r="BA211" s="413">
        <f t="shared" si="71"/>
        <v>741.16666666666663</v>
      </c>
    </row>
    <row r="212" spans="1:53">
      <c r="A212" s="434" t="s">
        <v>510</v>
      </c>
      <c r="B212" s="43" t="s">
        <v>511</v>
      </c>
      <c r="C212" s="421"/>
      <c r="D212" s="45">
        <v>163286</v>
      </c>
      <c r="E212" s="45">
        <v>1</v>
      </c>
      <c r="F212" s="410" t="s">
        <v>74</v>
      </c>
      <c r="G212" s="411" t="s">
        <v>74</v>
      </c>
      <c r="H212" s="578">
        <v>11705</v>
      </c>
      <c r="I212" s="411">
        <v>11515</v>
      </c>
      <c r="J212" s="578">
        <v>399625</v>
      </c>
      <c r="K212" s="411">
        <v>407236</v>
      </c>
      <c r="L212" s="578">
        <v>33864</v>
      </c>
      <c r="M212" s="411">
        <v>33091</v>
      </c>
      <c r="N212" s="578">
        <v>418828</v>
      </c>
      <c r="O212" s="411">
        <v>420148</v>
      </c>
      <c r="P212" s="412">
        <f t="shared" si="72"/>
        <v>864022</v>
      </c>
      <c r="Q212" s="412">
        <f t="shared" si="73"/>
        <v>28800.733333333334</v>
      </c>
      <c r="R212" s="413">
        <f t="shared" si="74"/>
        <v>871990</v>
      </c>
      <c r="S212" s="413">
        <f t="shared" si="75"/>
        <v>29066.333333333332</v>
      </c>
      <c r="T212" s="578"/>
      <c r="U212" s="411"/>
      <c r="V212" s="412">
        <f t="shared" si="76"/>
        <v>0</v>
      </c>
      <c r="W212" s="413">
        <f t="shared" si="77"/>
        <v>0</v>
      </c>
      <c r="X212" s="578"/>
      <c r="Y212" s="411"/>
      <c r="Z212" s="578"/>
      <c r="AA212" s="411"/>
      <c r="AB212" s="578"/>
      <c r="AC212" s="411"/>
      <c r="AD212" s="578"/>
      <c r="AE212" s="411"/>
      <c r="AF212" s="412">
        <f t="shared" si="78"/>
        <v>0</v>
      </c>
      <c r="AG212" s="412">
        <f t="shared" si="79"/>
        <v>0</v>
      </c>
      <c r="AH212" s="413">
        <f t="shared" si="80"/>
        <v>0</v>
      </c>
      <c r="AI212" s="413">
        <f t="shared" si="81"/>
        <v>0</v>
      </c>
      <c r="AJ212" s="578"/>
      <c r="AK212" s="411"/>
      <c r="AL212" s="412">
        <f t="shared" si="64"/>
        <v>0</v>
      </c>
      <c r="AM212" s="413">
        <f t="shared" si="65"/>
        <v>0</v>
      </c>
      <c r="AN212" s="578">
        <v>3092</v>
      </c>
      <c r="AO212" s="411">
        <v>3085</v>
      </c>
      <c r="AP212" s="578">
        <v>68412</v>
      </c>
      <c r="AQ212" s="411">
        <v>66323</v>
      </c>
      <c r="AR212" s="578">
        <v>11675</v>
      </c>
      <c r="AS212" s="411">
        <v>11875</v>
      </c>
      <c r="AT212" s="578">
        <v>75836</v>
      </c>
      <c r="AU212" s="411">
        <v>72934</v>
      </c>
      <c r="AV212" s="412">
        <f t="shared" si="66"/>
        <v>159015</v>
      </c>
      <c r="AW212" s="412">
        <f t="shared" si="67"/>
        <v>6625.625</v>
      </c>
      <c r="AX212" s="413">
        <f t="shared" si="68"/>
        <v>154217</v>
      </c>
      <c r="AY212" s="413">
        <f t="shared" si="69"/>
        <v>6425.708333333333</v>
      </c>
      <c r="AZ212" s="412">
        <f t="shared" si="70"/>
        <v>35426.358333333337</v>
      </c>
      <c r="BA212" s="413">
        <f t="shared" si="71"/>
        <v>35492.041666666664</v>
      </c>
    </row>
    <row r="213" spans="1:53">
      <c r="A213" s="434" t="s">
        <v>510</v>
      </c>
      <c r="B213" s="43" t="s">
        <v>512</v>
      </c>
      <c r="C213" s="422"/>
      <c r="D213" s="45">
        <v>163453</v>
      </c>
      <c r="E213" s="45">
        <v>2</v>
      </c>
      <c r="F213" s="410" t="s">
        <v>74</v>
      </c>
      <c r="G213" s="411" t="s">
        <v>74</v>
      </c>
      <c r="H213" s="578">
        <v>2569</v>
      </c>
      <c r="I213" s="411">
        <v>2475</v>
      </c>
      <c r="J213" s="578">
        <v>86513</v>
      </c>
      <c r="K213" s="411">
        <v>83996</v>
      </c>
      <c r="L213" s="578">
        <v>8311</v>
      </c>
      <c r="M213" s="411">
        <v>9125</v>
      </c>
      <c r="N213" s="578">
        <v>92888</v>
      </c>
      <c r="O213" s="411">
        <v>88915</v>
      </c>
      <c r="P213" s="412">
        <f t="shared" si="72"/>
        <v>190281</v>
      </c>
      <c r="Q213" s="412">
        <f t="shared" si="73"/>
        <v>6342.7</v>
      </c>
      <c r="R213" s="413">
        <f t="shared" si="74"/>
        <v>184511</v>
      </c>
      <c r="S213" s="413">
        <f t="shared" si="75"/>
        <v>6150.3666666666668</v>
      </c>
      <c r="T213" s="578"/>
      <c r="U213" s="411"/>
      <c r="V213" s="412">
        <f t="shared" si="76"/>
        <v>0</v>
      </c>
      <c r="W213" s="413">
        <f t="shared" si="77"/>
        <v>0</v>
      </c>
      <c r="X213" s="578"/>
      <c r="Y213" s="411"/>
      <c r="Z213" s="578"/>
      <c r="AA213" s="411"/>
      <c r="AB213" s="578"/>
      <c r="AC213" s="411"/>
      <c r="AD213" s="578"/>
      <c r="AE213" s="411"/>
      <c r="AF213" s="412">
        <f t="shared" si="78"/>
        <v>0</v>
      </c>
      <c r="AG213" s="412">
        <f t="shared" si="79"/>
        <v>0</v>
      </c>
      <c r="AH213" s="413">
        <f t="shared" si="80"/>
        <v>0</v>
      </c>
      <c r="AI213" s="413">
        <f t="shared" si="81"/>
        <v>0</v>
      </c>
      <c r="AJ213" s="578"/>
      <c r="AK213" s="411"/>
      <c r="AL213" s="412">
        <f t="shared" si="64"/>
        <v>0</v>
      </c>
      <c r="AM213" s="413">
        <f t="shared" si="65"/>
        <v>0</v>
      </c>
      <c r="AN213" s="578">
        <v>14</v>
      </c>
      <c r="AO213" s="411">
        <v>46</v>
      </c>
      <c r="AP213" s="578">
        <v>11459</v>
      </c>
      <c r="AQ213" s="411">
        <v>11859</v>
      </c>
      <c r="AR213" s="578">
        <v>739</v>
      </c>
      <c r="AS213" s="411">
        <v>766</v>
      </c>
      <c r="AT213" s="578">
        <v>12110</v>
      </c>
      <c r="AU213" s="411">
        <v>11937</v>
      </c>
      <c r="AV213" s="412">
        <f t="shared" si="66"/>
        <v>24322</v>
      </c>
      <c r="AW213" s="412">
        <f t="shared" si="67"/>
        <v>1013.4166666666666</v>
      </c>
      <c r="AX213" s="413">
        <f t="shared" si="68"/>
        <v>24608</v>
      </c>
      <c r="AY213" s="413">
        <f t="shared" si="69"/>
        <v>1025.3333333333333</v>
      </c>
      <c r="AZ213" s="412">
        <f t="shared" si="70"/>
        <v>7356.1166666666668</v>
      </c>
      <c r="BA213" s="413">
        <f t="shared" si="71"/>
        <v>7175.7</v>
      </c>
    </row>
    <row r="214" spans="1:53">
      <c r="A214" s="434" t="s">
        <v>510</v>
      </c>
      <c r="B214" s="43" t="s">
        <v>513</v>
      </c>
      <c r="C214" s="562"/>
      <c r="D214" s="45">
        <v>163268</v>
      </c>
      <c r="E214" s="45">
        <v>2</v>
      </c>
      <c r="F214" s="410" t="s">
        <v>74</v>
      </c>
      <c r="G214" s="411" t="s">
        <v>74</v>
      </c>
      <c r="H214" s="578">
        <v>6707</v>
      </c>
      <c r="I214" s="411">
        <v>5503.5</v>
      </c>
      <c r="J214" s="578">
        <v>143359</v>
      </c>
      <c r="K214" s="411">
        <v>142356</v>
      </c>
      <c r="L214" s="578">
        <v>18810.5</v>
      </c>
      <c r="M214" s="411">
        <v>17117</v>
      </c>
      <c r="N214" s="578">
        <v>153546.5</v>
      </c>
      <c r="O214" s="411">
        <v>149312</v>
      </c>
      <c r="P214" s="412">
        <f t="shared" si="72"/>
        <v>322423</v>
      </c>
      <c r="Q214" s="412">
        <f t="shared" si="73"/>
        <v>10747.433333333332</v>
      </c>
      <c r="R214" s="413">
        <f t="shared" si="74"/>
        <v>314288.5</v>
      </c>
      <c r="S214" s="413">
        <f t="shared" si="75"/>
        <v>10476.283333333333</v>
      </c>
      <c r="T214" s="578"/>
      <c r="U214" s="411"/>
      <c r="V214" s="412">
        <f t="shared" si="76"/>
        <v>0</v>
      </c>
      <c r="W214" s="413">
        <f t="shared" si="77"/>
        <v>0</v>
      </c>
      <c r="X214" s="578"/>
      <c r="Y214" s="411"/>
      <c r="Z214" s="578"/>
      <c r="AA214" s="411"/>
      <c r="AB214" s="578"/>
      <c r="AC214" s="411"/>
      <c r="AD214" s="578"/>
      <c r="AE214" s="411"/>
      <c r="AF214" s="412">
        <f t="shared" si="78"/>
        <v>0</v>
      </c>
      <c r="AG214" s="412">
        <f t="shared" si="79"/>
        <v>0</v>
      </c>
      <c r="AH214" s="413">
        <f t="shared" si="80"/>
        <v>0</v>
      </c>
      <c r="AI214" s="413">
        <f t="shared" si="81"/>
        <v>0</v>
      </c>
      <c r="AJ214" s="578"/>
      <c r="AK214" s="411"/>
      <c r="AL214" s="412">
        <f t="shared" si="64"/>
        <v>0</v>
      </c>
      <c r="AM214" s="413">
        <f t="shared" si="65"/>
        <v>0</v>
      </c>
      <c r="AN214" s="578">
        <v>61</v>
      </c>
      <c r="AO214" s="411">
        <v>28</v>
      </c>
      <c r="AP214" s="578">
        <v>14717</v>
      </c>
      <c r="AQ214" s="411">
        <v>15774</v>
      </c>
      <c r="AR214" s="578">
        <v>2801</v>
      </c>
      <c r="AS214" s="411">
        <v>2531</v>
      </c>
      <c r="AT214" s="578">
        <v>16408</v>
      </c>
      <c r="AU214" s="411">
        <v>16491</v>
      </c>
      <c r="AV214" s="412">
        <f t="shared" si="66"/>
        <v>33987</v>
      </c>
      <c r="AW214" s="412">
        <f t="shared" si="67"/>
        <v>1416.125</v>
      </c>
      <c r="AX214" s="413">
        <f t="shared" si="68"/>
        <v>34824</v>
      </c>
      <c r="AY214" s="413">
        <f t="shared" si="69"/>
        <v>1451</v>
      </c>
      <c r="AZ214" s="412">
        <f t="shared" si="70"/>
        <v>12163.558333333332</v>
      </c>
      <c r="BA214" s="413">
        <f t="shared" si="71"/>
        <v>11927.283333333333</v>
      </c>
    </row>
    <row r="215" spans="1:53">
      <c r="A215" s="434" t="s">
        <v>510</v>
      </c>
      <c r="B215" s="43" t="s">
        <v>514</v>
      </c>
      <c r="C215" s="421"/>
      <c r="D215" s="45">
        <v>164076</v>
      </c>
      <c r="E215" s="45">
        <v>3</v>
      </c>
      <c r="F215" s="410" t="s">
        <v>74</v>
      </c>
      <c r="G215" s="411" t="s">
        <v>74</v>
      </c>
      <c r="H215" s="578">
        <v>7074</v>
      </c>
      <c r="I215" s="411">
        <v>7207</v>
      </c>
      <c r="J215" s="578">
        <v>250063.5</v>
      </c>
      <c r="K215" s="411">
        <v>251636</v>
      </c>
      <c r="L215" s="578">
        <v>24855</v>
      </c>
      <c r="M215" s="411">
        <v>23905</v>
      </c>
      <c r="N215" s="578">
        <v>268856</v>
      </c>
      <c r="O215" s="411">
        <v>266658.5</v>
      </c>
      <c r="P215" s="412">
        <f t="shared" si="72"/>
        <v>550848.5</v>
      </c>
      <c r="Q215" s="412">
        <f t="shared" si="73"/>
        <v>18361.616666666665</v>
      </c>
      <c r="R215" s="413">
        <f t="shared" si="74"/>
        <v>549406.5</v>
      </c>
      <c r="S215" s="413">
        <f t="shared" si="75"/>
        <v>18313.55</v>
      </c>
      <c r="T215" s="578"/>
      <c r="U215" s="411"/>
      <c r="V215" s="412">
        <f t="shared" si="76"/>
        <v>0</v>
      </c>
      <c r="W215" s="413">
        <f t="shared" si="77"/>
        <v>0</v>
      </c>
      <c r="X215" s="578"/>
      <c r="Y215" s="411"/>
      <c r="Z215" s="578"/>
      <c r="AA215" s="411"/>
      <c r="AB215" s="578"/>
      <c r="AC215" s="411"/>
      <c r="AD215" s="578"/>
      <c r="AE215" s="411"/>
      <c r="AF215" s="412">
        <f t="shared" si="78"/>
        <v>0</v>
      </c>
      <c r="AG215" s="412">
        <f t="shared" si="79"/>
        <v>0</v>
      </c>
      <c r="AH215" s="413">
        <f t="shared" si="80"/>
        <v>0</v>
      </c>
      <c r="AI215" s="413">
        <f t="shared" si="81"/>
        <v>0</v>
      </c>
      <c r="AJ215" s="578"/>
      <c r="AK215" s="411"/>
      <c r="AL215" s="412">
        <f t="shared" si="64"/>
        <v>0</v>
      </c>
      <c r="AM215" s="413">
        <f t="shared" si="65"/>
        <v>0</v>
      </c>
      <c r="AN215" s="578">
        <v>668.5</v>
      </c>
      <c r="AO215" s="411">
        <v>538</v>
      </c>
      <c r="AP215" s="578">
        <v>18840</v>
      </c>
      <c r="AQ215" s="411">
        <v>18775.5</v>
      </c>
      <c r="AR215" s="578">
        <v>6666</v>
      </c>
      <c r="AS215" s="411">
        <v>6145</v>
      </c>
      <c r="AT215" s="578">
        <v>19048.5</v>
      </c>
      <c r="AU215" s="411">
        <v>18925.5</v>
      </c>
      <c r="AV215" s="412">
        <f t="shared" si="66"/>
        <v>45223</v>
      </c>
      <c r="AW215" s="412">
        <f t="shared" si="67"/>
        <v>1884.2916666666667</v>
      </c>
      <c r="AX215" s="413">
        <f t="shared" si="68"/>
        <v>44384</v>
      </c>
      <c r="AY215" s="413">
        <f t="shared" si="69"/>
        <v>1849.3333333333333</v>
      </c>
      <c r="AZ215" s="412">
        <f t="shared" si="70"/>
        <v>20245.908333333333</v>
      </c>
      <c r="BA215" s="413">
        <f t="shared" si="71"/>
        <v>20162.883333333331</v>
      </c>
    </row>
    <row r="216" spans="1:53">
      <c r="A216" s="434" t="s">
        <v>510</v>
      </c>
      <c r="B216" s="43" t="s">
        <v>518</v>
      </c>
      <c r="C216" s="422"/>
      <c r="D216" s="45">
        <v>161873</v>
      </c>
      <c r="E216" s="45">
        <v>3</v>
      </c>
      <c r="F216" s="410" t="s">
        <v>74</v>
      </c>
      <c r="G216" s="411" t="s">
        <v>74</v>
      </c>
      <c r="H216" s="578">
        <v>335</v>
      </c>
      <c r="I216" s="411">
        <v>252</v>
      </c>
      <c r="J216" s="578">
        <v>28346</v>
      </c>
      <c r="K216" s="411">
        <v>24283</v>
      </c>
      <c r="L216" s="578">
        <v>3241</v>
      </c>
      <c r="M216" s="411">
        <v>2690</v>
      </c>
      <c r="N216" s="578">
        <v>26793</v>
      </c>
      <c r="O216" s="411">
        <v>21925</v>
      </c>
      <c r="P216" s="412">
        <f t="shared" si="72"/>
        <v>58715</v>
      </c>
      <c r="Q216" s="412">
        <f t="shared" si="73"/>
        <v>1957.1666666666667</v>
      </c>
      <c r="R216" s="413">
        <f t="shared" si="74"/>
        <v>49150</v>
      </c>
      <c r="S216" s="413">
        <f t="shared" si="75"/>
        <v>1638.3333333333333</v>
      </c>
      <c r="T216" s="578"/>
      <c r="U216" s="411"/>
      <c r="V216" s="412">
        <f t="shared" si="76"/>
        <v>0</v>
      </c>
      <c r="W216" s="413">
        <f t="shared" si="77"/>
        <v>0</v>
      </c>
      <c r="X216" s="578"/>
      <c r="Y216" s="411"/>
      <c r="Z216" s="578"/>
      <c r="AA216" s="411"/>
      <c r="AB216" s="578"/>
      <c r="AC216" s="411"/>
      <c r="AD216" s="578"/>
      <c r="AE216" s="411"/>
      <c r="AF216" s="412">
        <f t="shared" si="78"/>
        <v>0</v>
      </c>
      <c r="AG216" s="412">
        <f t="shared" si="79"/>
        <v>0</v>
      </c>
      <c r="AH216" s="413">
        <f t="shared" si="80"/>
        <v>0</v>
      </c>
      <c r="AI216" s="413">
        <f t="shared" si="81"/>
        <v>0</v>
      </c>
      <c r="AJ216" s="578"/>
      <c r="AK216" s="411"/>
      <c r="AL216" s="412">
        <f t="shared" si="64"/>
        <v>0</v>
      </c>
      <c r="AM216" s="413">
        <f t="shared" si="65"/>
        <v>0</v>
      </c>
      <c r="AN216" s="578">
        <v>219.5</v>
      </c>
      <c r="AO216" s="411">
        <v>229</v>
      </c>
      <c r="AP216" s="578">
        <v>19725.5</v>
      </c>
      <c r="AQ216" s="411">
        <v>18765.5</v>
      </c>
      <c r="AR216" s="578">
        <v>2852.5</v>
      </c>
      <c r="AS216" s="411">
        <v>2691.5</v>
      </c>
      <c r="AT216" s="578">
        <v>19939.5</v>
      </c>
      <c r="AU216" s="411">
        <v>19308.5</v>
      </c>
      <c r="AV216" s="412">
        <f t="shared" si="66"/>
        <v>42737</v>
      </c>
      <c r="AW216" s="412">
        <f t="shared" si="67"/>
        <v>1780.7083333333333</v>
      </c>
      <c r="AX216" s="413">
        <f t="shared" si="68"/>
        <v>40994.5</v>
      </c>
      <c r="AY216" s="413">
        <f t="shared" si="69"/>
        <v>1708.1041666666667</v>
      </c>
      <c r="AZ216" s="412">
        <f t="shared" si="70"/>
        <v>3737.875</v>
      </c>
      <c r="BA216" s="413">
        <f t="shared" si="71"/>
        <v>3346.4375</v>
      </c>
    </row>
    <row r="217" spans="1:53">
      <c r="A217" s="434" t="s">
        <v>510</v>
      </c>
      <c r="B217" s="43" t="s">
        <v>515</v>
      </c>
      <c r="C217" s="421" t="s">
        <v>915</v>
      </c>
      <c r="D217" s="45">
        <v>162007</v>
      </c>
      <c r="E217" s="45">
        <v>4</v>
      </c>
      <c r="F217" s="410" t="s">
        <v>74</v>
      </c>
      <c r="G217" s="411" t="s">
        <v>74</v>
      </c>
      <c r="H217" s="578">
        <v>1579</v>
      </c>
      <c r="I217" s="411">
        <v>1608</v>
      </c>
      <c r="J217" s="578">
        <v>64650</v>
      </c>
      <c r="K217" s="411">
        <v>62691</v>
      </c>
      <c r="L217" s="578">
        <v>6887</v>
      </c>
      <c r="M217" s="411">
        <v>7096</v>
      </c>
      <c r="N217" s="578">
        <v>71042</v>
      </c>
      <c r="O217" s="411">
        <v>70243</v>
      </c>
      <c r="P217" s="412">
        <f t="shared" si="72"/>
        <v>144158</v>
      </c>
      <c r="Q217" s="412">
        <f t="shared" si="73"/>
        <v>4805.2666666666664</v>
      </c>
      <c r="R217" s="413">
        <f t="shared" si="74"/>
        <v>141638</v>
      </c>
      <c r="S217" s="413">
        <f t="shared" si="75"/>
        <v>4721.2666666666664</v>
      </c>
      <c r="T217" s="578"/>
      <c r="U217" s="411"/>
      <c r="V217" s="412">
        <f t="shared" si="76"/>
        <v>0</v>
      </c>
      <c r="W217" s="413">
        <f t="shared" si="77"/>
        <v>0</v>
      </c>
      <c r="X217" s="578"/>
      <c r="Y217" s="411"/>
      <c r="Z217" s="578"/>
      <c r="AA217" s="411"/>
      <c r="AB217" s="578"/>
      <c r="AC217" s="411"/>
      <c r="AD217" s="578"/>
      <c r="AE217" s="411"/>
      <c r="AF217" s="412">
        <f t="shared" si="78"/>
        <v>0</v>
      </c>
      <c r="AG217" s="412">
        <f t="shared" si="79"/>
        <v>0</v>
      </c>
      <c r="AH217" s="413">
        <f t="shared" si="80"/>
        <v>0</v>
      </c>
      <c r="AI217" s="413">
        <f t="shared" si="81"/>
        <v>0</v>
      </c>
      <c r="AJ217" s="578"/>
      <c r="AK217" s="411"/>
      <c r="AL217" s="412">
        <f t="shared" si="64"/>
        <v>0</v>
      </c>
      <c r="AM217" s="413">
        <f t="shared" si="65"/>
        <v>0</v>
      </c>
      <c r="AN217" s="578">
        <v>189</v>
      </c>
      <c r="AO217" s="411">
        <v>189</v>
      </c>
      <c r="AP217" s="578">
        <v>6528</v>
      </c>
      <c r="AQ217" s="411">
        <v>6553</v>
      </c>
      <c r="AR217" s="578">
        <v>1034</v>
      </c>
      <c r="AS217" s="411">
        <v>1394</v>
      </c>
      <c r="AT217" s="578">
        <v>7267</v>
      </c>
      <c r="AU217" s="411">
        <v>6922</v>
      </c>
      <c r="AV217" s="412">
        <f t="shared" si="66"/>
        <v>15018</v>
      </c>
      <c r="AW217" s="412">
        <f t="shared" si="67"/>
        <v>625.75</v>
      </c>
      <c r="AX217" s="413">
        <f t="shared" si="68"/>
        <v>15058</v>
      </c>
      <c r="AY217" s="413">
        <f t="shared" si="69"/>
        <v>627.41666666666663</v>
      </c>
      <c r="AZ217" s="412">
        <f t="shared" si="70"/>
        <v>5431.0166666666664</v>
      </c>
      <c r="BA217" s="413">
        <f t="shared" si="71"/>
        <v>5348.6833333333334</v>
      </c>
    </row>
    <row r="218" spans="1:53">
      <c r="A218" s="434" t="s">
        <v>510</v>
      </c>
      <c r="B218" s="43" t="s">
        <v>516</v>
      </c>
      <c r="C218" s="421"/>
      <c r="D218" s="45">
        <v>162584</v>
      </c>
      <c r="E218" s="45">
        <v>4</v>
      </c>
      <c r="F218" s="410" t="s">
        <v>74</v>
      </c>
      <c r="G218" s="411" t="s">
        <v>74</v>
      </c>
      <c r="H218" s="578">
        <v>2353</v>
      </c>
      <c r="I218" s="411">
        <v>2368</v>
      </c>
      <c r="J218" s="578">
        <v>57445.5</v>
      </c>
      <c r="K218" s="411">
        <v>53759</v>
      </c>
      <c r="L218" s="578">
        <v>7105</v>
      </c>
      <c r="M218" s="411">
        <v>8272</v>
      </c>
      <c r="N218" s="578">
        <v>62083.5</v>
      </c>
      <c r="O218" s="411">
        <v>58494</v>
      </c>
      <c r="P218" s="412">
        <f t="shared" si="72"/>
        <v>128987</v>
      </c>
      <c r="Q218" s="412">
        <f t="shared" si="73"/>
        <v>4299.5666666666666</v>
      </c>
      <c r="R218" s="413">
        <f t="shared" si="74"/>
        <v>122893</v>
      </c>
      <c r="S218" s="413">
        <f t="shared" si="75"/>
        <v>4096.4333333333334</v>
      </c>
      <c r="T218" s="578"/>
      <c r="U218" s="411"/>
      <c r="V218" s="412">
        <f t="shared" si="76"/>
        <v>0</v>
      </c>
      <c r="W218" s="413">
        <f t="shared" si="77"/>
        <v>0</v>
      </c>
      <c r="X218" s="578"/>
      <c r="Y218" s="411"/>
      <c r="Z218" s="578"/>
      <c r="AA218" s="411"/>
      <c r="AB218" s="578"/>
      <c r="AC218" s="411"/>
      <c r="AD218" s="578"/>
      <c r="AE218" s="411"/>
      <c r="AF218" s="412">
        <f t="shared" si="78"/>
        <v>0</v>
      </c>
      <c r="AG218" s="412">
        <f t="shared" si="79"/>
        <v>0</v>
      </c>
      <c r="AH218" s="413">
        <f t="shared" si="80"/>
        <v>0</v>
      </c>
      <c r="AI218" s="413">
        <f t="shared" si="81"/>
        <v>0</v>
      </c>
      <c r="AJ218" s="578"/>
      <c r="AK218" s="411"/>
      <c r="AL218" s="412">
        <f t="shared" si="64"/>
        <v>0</v>
      </c>
      <c r="AM218" s="413">
        <f t="shared" si="65"/>
        <v>0</v>
      </c>
      <c r="AN218" s="578">
        <v>291</v>
      </c>
      <c r="AO218" s="411">
        <v>299</v>
      </c>
      <c r="AP218" s="578">
        <v>3612</v>
      </c>
      <c r="AQ218" s="411">
        <v>4107</v>
      </c>
      <c r="AR218" s="578">
        <v>1912</v>
      </c>
      <c r="AS218" s="411">
        <v>2804</v>
      </c>
      <c r="AT218" s="578">
        <v>4049</v>
      </c>
      <c r="AU218" s="411">
        <v>5032</v>
      </c>
      <c r="AV218" s="412">
        <f t="shared" si="66"/>
        <v>9864</v>
      </c>
      <c r="AW218" s="412">
        <f t="shared" si="67"/>
        <v>411</v>
      </c>
      <c r="AX218" s="413">
        <f t="shared" si="68"/>
        <v>12242</v>
      </c>
      <c r="AY218" s="413">
        <f t="shared" si="69"/>
        <v>510.08333333333331</v>
      </c>
      <c r="AZ218" s="412">
        <f t="shared" si="70"/>
        <v>4710.5666666666666</v>
      </c>
      <c r="BA218" s="413">
        <f t="shared" si="71"/>
        <v>4606.5166666666664</v>
      </c>
    </row>
    <row r="219" spans="1:53">
      <c r="A219" s="434" t="s">
        <v>510</v>
      </c>
      <c r="B219" s="43" t="s">
        <v>517</v>
      </c>
      <c r="C219" s="421"/>
      <c r="D219" s="45">
        <v>163851</v>
      </c>
      <c r="E219" s="45">
        <v>4</v>
      </c>
      <c r="F219" s="410" t="s">
        <v>74</v>
      </c>
      <c r="G219" s="411" t="s">
        <v>74</v>
      </c>
      <c r="H219" s="578">
        <v>5182</v>
      </c>
      <c r="I219" s="411">
        <v>5199</v>
      </c>
      <c r="J219" s="578">
        <v>106324</v>
      </c>
      <c r="K219" s="411">
        <v>104797</v>
      </c>
      <c r="L219" s="578">
        <v>6365</v>
      </c>
      <c r="M219" s="411">
        <v>6156</v>
      </c>
      <c r="N219" s="578">
        <v>110303</v>
      </c>
      <c r="O219" s="411">
        <v>110435</v>
      </c>
      <c r="P219" s="412">
        <f t="shared" si="72"/>
        <v>228174</v>
      </c>
      <c r="Q219" s="412">
        <f t="shared" si="73"/>
        <v>7605.8</v>
      </c>
      <c r="R219" s="413">
        <f t="shared" si="74"/>
        <v>226587</v>
      </c>
      <c r="S219" s="413">
        <f t="shared" si="75"/>
        <v>7552.9</v>
      </c>
      <c r="T219" s="578"/>
      <c r="U219" s="411"/>
      <c r="V219" s="412">
        <f t="shared" si="76"/>
        <v>0</v>
      </c>
      <c r="W219" s="413">
        <f t="shared" si="77"/>
        <v>0</v>
      </c>
      <c r="X219" s="578"/>
      <c r="Y219" s="411"/>
      <c r="Z219" s="578"/>
      <c r="AA219" s="411"/>
      <c r="AB219" s="578"/>
      <c r="AC219" s="411"/>
      <c r="AD219" s="578"/>
      <c r="AE219" s="411"/>
      <c r="AF219" s="412">
        <f t="shared" si="78"/>
        <v>0</v>
      </c>
      <c r="AG219" s="412">
        <f t="shared" si="79"/>
        <v>0</v>
      </c>
      <c r="AH219" s="413">
        <f t="shared" si="80"/>
        <v>0</v>
      </c>
      <c r="AI219" s="413">
        <f t="shared" si="81"/>
        <v>0</v>
      </c>
      <c r="AJ219" s="578"/>
      <c r="AK219" s="411"/>
      <c r="AL219" s="412">
        <f t="shared" si="64"/>
        <v>0</v>
      </c>
      <c r="AM219" s="413">
        <f t="shared" si="65"/>
        <v>0</v>
      </c>
      <c r="AN219" s="578">
        <v>300</v>
      </c>
      <c r="AO219" s="411">
        <v>266</v>
      </c>
      <c r="AP219" s="578">
        <v>6333</v>
      </c>
      <c r="AQ219" s="411">
        <v>6385</v>
      </c>
      <c r="AR219" s="578">
        <v>1787</v>
      </c>
      <c r="AS219" s="411">
        <v>1880</v>
      </c>
      <c r="AT219" s="578">
        <v>6985</v>
      </c>
      <c r="AU219" s="411">
        <v>7038</v>
      </c>
      <c r="AV219" s="412">
        <f t="shared" si="66"/>
        <v>15405</v>
      </c>
      <c r="AW219" s="412">
        <f t="shared" si="67"/>
        <v>641.875</v>
      </c>
      <c r="AX219" s="413">
        <f t="shared" si="68"/>
        <v>15569</v>
      </c>
      <c r="AY219" s="413">
        <f t="shared" si="69"/>
        <v>648.70833333333337</v>
      </c>
      <c r="AZ219" s="412">
        <f t="shared" si="70"/>
        <v>8247.6749999999993</v>
      </c>
      <c r="BA219" s="413">
        <f t="shared" si="71"/>
        <v>8201.6083333333336</v>
      </c>
    </row>
    <row r="220" spans="1:53">
      <c r="A220" s="434" t="s">
        <v>510</v>
      </c>
      <c r="B220" s="43" t="s">
        <v>519</v>
      </c>
      <c r="C220" s="562"/>
      <c r="D220" s="45">
        <v>163338</v>
      </c>
      <c r="E220" s="435">
        <v>4</v>
      </c>
      <c r="F220" s="410" t="s">
        <v>74</v>
      </c>
      <c r="G220" s="411" t="s">
        <v>74</v>
      </c>
      <c r="H220" s="578">
        <v>832</v>
      </c>
      <c r="I220" s="411">
        <v>778.5</v>
      </c>
      <c r="J220" s="578">
        <v>36644</v>
      </c>
      <c r="K220" s="411">
        <v>32036</v>
      </c>
      <c r="L220" s="578">
        <v>2882</v>
      </c>
      <c r="M220" s="411">
        <v>2400</v>
      </c>
      <c r="N220" s="578">
        <v>37852</v>
      </c>
      <c r="O220" s="411">
        <v>33546.5</v>
      </c>
      <c r="P220" s="412">
        <f t="shared" si="72"/>
        <v>78210</v>
      </c>
      <c r="Q220" s="412">
        <f t="shared" si="73"/>
        <v>2607</v>
      </c>
      <c r="R220" s="413">
        <f t="shared" si="74"/>
        <v>68761</v>
      </c>
      <c r="S220" s="413">
        <f t="shared" si="75"/>
        <v>2292.0333333333333</v>
      </c>
      <c r="T220" s="578"/>
      <c r="U220" s="411"/>
      <c r="V220" s="412">
        <f t="shared" si="76"/>
        <v>0</v>
      </c>
      <c r="W220" s="413">
        <f t="shared" si="77"/>
        <v>0</v>
      </c>
      <c r="X220" s="578"/>
      <c r="Y220" s="411"/>
      <c r="Z220" s="578"/>
      <c r="AA220" s="411"/>
      <c r="AB220" s="578"/>
      <c r="AC220" s="411"/>
      <c r="AD220" s="578"/>
      <c r="AE220" s="411"/>
      <c r="AF220" s="412">
        <f t="shared" si="78"/>
        <v>0</v>
      </c>
      <c r="AG220" s="412">
        <f t="shared" si="79"/>
        <v>0</v>
      </c>
      <c r="AH220" s="413">
        <f t="shared" si="80"/>
        <v>0</v>
      </c>
      <c r="AI220" s="413">
        <f t="shared" si="81"/>
        <v>0</v>
      </c>
      <c r="AJ220" s="578"/>
      <c r="AK220" s="411"/>
      <c r="AL220" s="412">
        <f t="shared" si="64"/>
        <v>0</v>
      </c>
      <c r="AM220" s="413">
        <f t="shared" si="65"/>
        <v>0</v>
      </c>
      <c r="AN220" s="578">
        <v>321</v>
      </c>
      <c r="AO220" s="411">
        <v>307</v>
      </c>
      <c r="AP220" s="578">
        <v>7598</v>
      </c>
      <c r="AQ220" s="411">
        <v>6664.5</v>
      </c>
      <c r="AR220" s="578">
        <v>1343</v>
      </c>
      <c r="AS220" s="411">
        <v>1344</v>
      </c>
      <c r="AT220" s="578">
        <v>7226.5</v>
      </c>
      <c r="AU220" s="411">
        <v>7096</v>
      </c>
      <c r="AV220" s="412">
        <f t="shared" si="66"/>
        <v>16488.5</v>
      </c>
      <c r="AW220" s="412">
        <f t="shared" si="67"/>
        <v>687.02083333333337</v>
      </c>
      <c r="AX220" s="413">
        <f t="shared" si="68"/>
        <v>15411.5</v>
      </c>
      <c r="AY220" s="413">
        <f t="shared" si="69"/>
        <v>642.14583333333337</v>
      </c>
      <c r="AZ220" s="412">
        <f t="shared" si="70"/>
        <v>3294.0208333333335</v>
      </c>
      <c r="BA220" s="413">
        <f t="shared" si="71"/>
        <v>2934.1791666666668</v>
      </c>
    </row>
    <row r="221" spans="1:53">
      <c r="A221" s="434" t="s">
        <v>510</v>
      </c>
      <c r="B221" s="43" t="s">
        <v>520</v>
      </c>
      <c r="C221" s="421" t="s">
        <v>938</v>
      </c>
      <c r="D221" s="45">
        <v>162283</v>
      </c>
      <c r="E221" s="435">
        <v>5</v>
      </c>
      <c r="F221" s="410" t="s">
        <v>74</v>
      </c>
      <c r="G221" s="411" t="s">
        <v>74</v>
      </c>
      <c r="H221" s="578">
        <v>255</v>
      </c>
      <c r="I221" s="411">
        <v>213</v>
      </c>
      <c r="J221" s="578">
        <v>29158</v>
      </c>
      <c r="K221" s="411">
        <v>27459</v>
      </c>
      <c r="L221" s="578">
        <v>1473</v>
      </c>
      <c r="M221" s="411">
        <v>1349</v>
      </c>
      <c r="N221" s="578">
        <v>30829</v>
      </c>
      <c r="O221" s="411">
        <v>31245</v>
      </c>
      <c r="P221" s="412">
        <f t="shared" si="72"/>
        <v>61715</v>
      </c>
      <c r="Q221" s="412">
        <f t="shared" si="73"/>
        <v>2057.1666666666665</v>
      </c>
      <c r="R221" s="413">
        <f t="shared" si="74"/>
        <v>60266</v>
      </c>
      <c r="S221" s="413">
        <f t="shared" si="75"/>
        <v>2008.8666666666666</v>
      </c>
      <c r="T221" s="578"/>
      <c r="U221" s="411"/>
      <c r="V221" s="412">
        <f t="shared" si="76"/>
        <v>0</v>
      </c>
      <c r="W221" s="413">
        <f t="shared" si="77"/>
        <v>0</v>
      </c>
      <c r="X221" s="578"/>
      <c r="Y221" s="411"/>
      <c r="Z221" s="578"/>
      <c r="AA221" s="411"/>
      <c r="AB221" s="578"/>
      <c r="AC221" s="411"/>
      <c r="AD221" s="578"/>
      <c r="AE221" s="411"/>
      <c r="AF221" s="412">
        <f t="shared" si="78"/>
        <v>0</v>
      </c>
      <c r="AG221" s="412">
        <f t="shared" si="79"/>
        <v>0</v>
      </c>
      <c r="AH221" s="413">
        <f t="shared" si="80"/>
        <v>0</v>
      </c>
      <c r="AI221" s="413">
        <f t="shared" si="81"/>
        <v>0</v>
      </c>
      <c r="AJ221" s="578"/>
      <c r="AK221" s="411"/>
      <c r="AL221" s="412">
        <f t="shared" si="64"/>
        <v>0</v>
      </c>
      <c r="AM221" s="413">
        <f t="shared" si="65"/>
        <v>0</v>
      </c>
      <c r="AN221" s="578">
        <v>55</v>
      </c>
      <c r="AO221" s="411">
        <v>27</v>
      </c>
      <c r="AP221" s="578">
        <v>2722</v>
      </c>
      <c r="AQ221" s="411">
        <v>2375</v>
      </c>
      <c r="AR221" s="578">
        <v>163</v>
      </c>
      <c r="AS221" s="411">
        <v>143</v>
      </c>
      <c r="AT221" s="578">
        <v>2261</v>
      </c>
      <c r="AU221" s="411">
        <v>2046</v>
      </c>
      <c r="AV221" s="412">
        <f t="shared" si="66"/>
        <v>5201</v>
      </c>
      <c r="AW221" s="412">
        <f t="shared" si="67"/>
        <v>216.70833333333334</v>
      </c>
      <c r="AX221" s="413">
        <f t="shared" si="68"/>
        <v>4591</v>
      </c>
      <c r="AY221" s="413">
        <f t="shared" si="69"/>
        <v>191.29166666666666</v>
      </c>
      <c r="AZ221" s="412">
        <f t="shared" si="70"/>
        <v>2273.875</v>
      </c>
      <c r="BA221" s="413">
        <f t="shared" si="71"/>
        <v>2200.1583333333333</v>
      </c>
    </row>
    <row r="222" spans="1:53">
      <c r="A222" s="434" t="s">
        <v>510</v>
      </c>
      <c r="B222" s="43" t="s">
        <v>521</v>
      </c>
      <c r="C222" s="421"/>
      <c r="D222" s="45">
        <v>163912</v>
      </c>
      <c r="E222" s="435">
        <v>6</v>
      </c>
      <c r="F222" s="410" t="s">
        <v>74</v>
      </c>
      <c r="G222" s="411" t="s">
        <v>74</v>
      </c>
      <c r="H222" s="578">
        <v>0</v>
      </c>
      <c r="I222" s="411">
        <v>0</v>
      </c>
      <c r="J222" s="578">
        <v>22726.5</v>
      </c>
      <c r="K222" s="411">
        <v>22736.5</v>
      </c>
      <c r="L222" s="578">
        <v>1131</v>
      </c>
      <c r="M222" s="411">
        <v>1409</v>
      </c>
      <c r="N222" s="578">
        <v>24228</v>
      </c>
      <c r="O222" s="411">
        <v>22716.5</v>
      </c>
      <c r="P222" s="412">
        <f t="shared" si="72"/>
        <v>48085.5</v>
      </c>
      <c r="Q222" s="412">
        <f t="shared" si="73"/>
        <v>1602.85</v>
      </c>
      <c r="R222" s="413">
        <f t="shared" si="74"/>
        <v>46862</v>
      </c>
      <c r="S222" s="413">
        <f t="shared" si="75"/>
        <v>1562.0666666666666</v>
      </c>
      <c r="T222" s="578"/>
      <c r="U222" s="411"/>
      <c r="V222" s="412">
        <f t="shared" si="76"/>
        <v>0</v>
      </c>
      <c r="W222" s="413">
        <f t="shared" si="77"/>
        <v>0</v>
      </c>
      <c r="X222" s="578"/>
      <c r="Y222" s="411"/>
      <c r="Z222" s="578"/>
      <c r="AA222" s="411"/>
      <c r="AB222" s="578"/>
      <c r="AC222" s="411"/>
      <c r="AD222" s="578"/>
      <c r="AE222" s="411"/>
      <c r="AF222" s="412">
        <f t="shared" si="78"/>
        <v>0</v>
      </c>
      <c r="AG222" s="412">
        <f t="shared" si="79"/>
        <v>0</v>
      </c>
      <c r="AH222" s="413">
        <f t="shared" si="80"/>
        <v>0</v>
      </c>
      <c r="AI222" s="413">
        <f t="shared" si="81"/>
        <v>0</v>
      </c>
      <c r="AJ222" s="578"/>
      <c r="AK222" s="411"/>
      <c r="AL222" s="412">
        <f t="shared" si="64"/>
        <v>0</v>
      </c>
      <c r="AM222" s="413">
        <f t="shared" si="65"/>
        <v>0</v>
      </c>
      <c r="AN222" s="578">
        <v>0</v>
      </c>
      <c r="AO222" s="411">
        <v>0</v>
      </c>
      <c r="AP222" s="578">
        <v>437</v>
      </c>
      <c r="AQ222" s="411">
        <v>458</v>
      </c>
      <c r="AR222" s="578">
        <v>468</v>
      </c>
      <c r="AS222" s="411">
        <v>375</v>
      </c>
      <c r="AT222" s="578">
        <v>428</v>
      </c>
      <c r="AU222" s="411">
        <v>289</v>
      </c>
      <c r="AV222" s="412">
        <f t="shared" si="66"/>
        <v>1333</v>
      </c>
      <c r="AW222" s="412">
        <f t="shared" si="67"/>
        <v>55.541666666666664</v>
      </c>
      <c r="AX222" s="413">
        <f t="shared" si="68"/>
        <v>1122</v>
      </c>
      <c r="AY222" s="413">
        <f t="shared" si="69"/>
        <v>46.75</v>
      </c>
      <c r="AZ222" s="412">
        <f t="shared" si="70"/>
        <v>1658.3916666666667</v>
      </c>
      <c r="BA222" s="413">
        <f t="shared" si="71"/>
        <v>1608.8166666666666</v>
      </c>
    </row>
    <row r="223" spans="1:53">
      <c r="A223" s="434" t="s">
        <v>510</v>
      </c>
      <c r="B223" s="43" t="s">
        <v>522</v>
      </c>
      <c r="C223" s="562"/>
      <c r="D223" s="45">
        <v>161767</v>
      </c>
      <c r="E223" s="435">
        <v>8</v>
      </c>
      <c r="F223" s="410" t="s">
        <v>74</v>
      </c>
      <c r="G223" s="411" t="s">
        <v>74</v>
      </c>
      <c r="H223" s="578">
        <v>5003</v>
      </c>
      <c r="I223" s="411">
        <v>4968</v>
      </c>
      <c r="J223" s="578">
        <v>96663</v>
      </c>
      <c r="K223" s="411">
        <v>93417</v>
      </c>
      <c r="L223" s="578">
        <v>25311</v>
      </c>
      <c r="M223" s="411">
        <v>25001</v>
      </c>
      <c r="N223" s="578">
        <v>106526</v>
      </c>
      <c r="O223" s="411">
        <v>103748</v>
      </c>
      <c r="P223" s="412">
        <f t="shared" si="72"/>
        <v>233503</v>
      </c>
      <c r="Q223" s="412">
        <f t="shared" si="73"/>
        <v>7783.4333333333334</v>
      </c>
      <c r="R223" s="413">
        <f t="shared" si="74"/>
        <v>227134</v>
      </c>
      <c r="S223" s="413">
        <f t="shared" si="75"/>
        <v>7571.1333333333332</v>
      </c>
      <c r="T223" s="578"/>
      <c r="U223" s="411"/>
      <c r="V223" s="412">
        <f t="shared" si="76"/>
        <v>0</v>
      </c>
      <c r="W223" s="413">
        <f t="shared" si="77"/>
        <v>0</v>
      </c>
      <c r="X223" s="578"/>
      <c r="Y223" s="411"/>
      <c r="Z223" s="578"/>
      <c r="AA223" s="411"/>
      <c r="AB223" s="578"/>
      <c r="AC223" s="411"/>
      <c r="AD223" s="578"/>
      <c r="AE223" s="411"/>
      <c r="AF223" s="412">
        <f t="shared" si="78"/>
        <v>0</v>
      </c>
      <c r="AG223" s="412">
        <f t="shared" si="79"/>
        <v>0</v>
      </c>
      <c r="AH223" s="413">
        <f t="shared" si="80"/>
        <v>0</v>
      </c>
      <c r="AI223" s="413">
        <f t="shared" si="81"/>
        <v>0</v>
      </c>
      <c r="AJ223" s="578"/>
      <c r="AK223" s="411"/>
      <c r="AL223" s="412">
        <f t="shared" si="64"/>
        <v>0</v>
      </c>
      <c r="AM223" s="413">
        <f t="shared" si="65"/>
        <v>0</v>
      </c>
      <c r="AN223" s="578">
        <v>0</v>
      </c>
      <c r="AO223" s="411">
        <v>0</v>
      </c>
      <c r="AP223" s="578">
        <v>0</v>
      </c>
      <c r="AQ223" s="411">
        <v>0</v>
      </c>
      <c r="AR223" s="578">
        <v>0</v>
      </c>
      <c r="AS223" s="411">
        <v>0</v>
      </c>
      <c r="AT223" s="578">
        <v>0</v>
      </c>
      <c r="AU223" s="411">
        <v>0</v>
      </c>
      <c r="AV223" s="412">
        <f t="shared" si="66"/>
        <v>0</v>
      </c>
      <c r="AW223" s="412">
        <f t="shared" si="67"/>
        <v>0</v>
      </c>
      <c r="AX223" s="413">
        <f t="shared" si="68"/>
        <v>0</v>
      </c>
      <c r="AY223" s="413">
        <f t="shared" si="69"/>
        <v>0</v>
      </c>
      <c r="AZ223" s="412">
        <f t="shared" si="70"/>
        <v>7783.4333333333334</v>
      </c>
      <c r="BA223" s="413">
        <f t="shared" si="71"/>
        <v>7571.1333333333332</v>
      </c>
    </row>
    <row r="224" spans="1:53">
      <c r="A224" s="434" t="s">
        <v>510</v>
      </c>
      <c r="B224" s="43" t="s">
        <v>523</v>
      </c>
      <c r="C224" s="422" t="s">
        <v>934</v>
      </c>
      <c r="D224" s="45">
        <v>162122</v>
      </c>
      <c r="E224" s="525">
        <v>9</v>
      </c>
      <c r="F224" s="410" t="s">
        <v>74</v>
      </c>
      <c r="G224" s="411" t="s">
        <v>74</v>
      </c>
      <c r="H224" s="578">
        <v>0</v>
      </c>
      <c r="I224" s="411">
        <v>0</v>
      </c>
      <c r="J224" s="578">
        <v>60172</v>
      </c>
      <c r="K224" s="411">
        <v>56368</v>
      </c>
      <c r="L224" s="578">
        <v>12536</v>
      </c>
      <c r="M224" s="411">
        <v>11755</v>
      </c>
      <c r="N224" s="578">
        <v>61024</v>
      </c>
      <c r="O224" s="411">
        <v>55258</v>
      </c>
      <c r="P224" s="412">
        <f t="shared" si="72"/>
        <v>133732</v>
      </c>
      <c r="Q224" s="412">
        <f t="shared" si="73"/>
        <v>4457.7333333333336</v>
      </c>
      <c r="R224" s="413">
        <f t="shared" si="74"/>
        <v>123381</v>
      </c>
      <c r="S224" s="413">
        <f t="shared" si="75"/>
        <v>4112.7</v>
      </c>
      <c r="T224" s="578"/>
      <c r="U224" s="411"/>
      <c r="V224" s="412">
        <f t="shared" si="76"/>
        <v>0</v>
      </c>
      <c r="W224" s="413">
        <f t="shared" si="77"/>
        <v>0</v>
      </c>
      <c r="X224" s="578"/>
      <c r="Y224" s="411"/>
      <c r="Z224" s="578"/>
      <c r="AA224" s="411"/>
      <c r="AB224" s="578"/>
      <c r="AC224" s="411"/>
      <c r="AD224" s="578"/>
      <c r="AE224" s="411"/>
      <c r="AF224" s="412">
        <f t="shared" si="78"/>
        <v>0</v>
      </c>
      <c r="AG224" s="412">
        <f t="shared" si="79"/>
        <v>0</v>
      </c>
      <c r="AH224" s="413">
        <f t="shared" si="80"/>
        <v>0</v>
      </c>
      <c r="AI224" s="413">
        <f t="shared" si="81"/>
        <v>0</v>
      </c>
      <c r="AJ224" s="578"/>
      <c r="AK224" s="411"/>
      <c r="AL224" s="412">
        <f t="shared" si="64"/>
        <v>0</v>
      </c>
      <c r="AM224" s="413">
        <f t="shared" si="65"/>
        <v>0</v>
      </c>
      <c r="AN224" s="578">
        <v>0</v>
      </c>
      <c r="AO224" s="411">
        <v>0</v>
      </c>
      <c r="AP224" s="578">
        <v>0</v>
      </c>
      <c r="AQ224" s="411">
        <v>0</v>
      </c>
      <c r="AR224" s="578">
        <v>0</v>
      </c>
      <c r="AS224" s="411">
        <v>0</v>
      </c>
      <c r="AT224" s="578">
        <v>0</v>
      </c>
      <c r="AU224" s="411">
        <v>0</v>
      </c>
      <c r="AV224" s="412">
        <f t="shared" si="66"/>
        <v>0</v>
      </c>
      <c r="AW224" s="412">
        <f t="shared" si="67"/>
        <v>0</v>
      </c>
      <c r="AX224" s="413">
        <f t="shared" si="68"/>
        <v>0</v>
      </c>
      <c r="AY224" s="413">
        <f t="shared" si="69"/>
        <v>0</v>
      </c>
      <c r="AZ224" s="412">
        <f t="shared" si="70"/>
        <v>4457.7333333333336</v>
      </c>
      <c r="BA224" s="413">
        <f t="shared" si="71"/>
        <v>4112.7</v>
      </c>
    </row>
    <row r="225" spans="1:53">
      <c r="A225" s="434" t="s">
        <v>510</v>
      </c>
      <c r="B225" s="43" t="s">
        <v>524</v>
      </c>
      <c r="C225" s="421"/>
      <c r="D225" s="45">
        <v>434672</v>
      </c>
      <c r="E225" s="435">
        <v>8</v>
      </c>
      <c r="F225" s="410" t="s">
        <v>74</v>
      </c>
      <c r="G225" s="411" t="s">
        <v>74</v>
      </c>
      <c r="H225" s="578">
        <v>9742</v>
      </c>
      <c r="I225" s="411">
        <v>9415</v>
      </c>
      <c r="J225" s="578">
        <v>144180</v>
      </c>
      <c r="K225" s="411">
        <v>132304</v>
      </c>
      <c r="L225" s="578">
        <v>32225</v>
      </c>
      <c r="M225" s="411">
        <v>30120</v>
      </c>
      <c r="N225" s="578">
        <v>158375</v>
      </c>
      <c r="O225" s="411">
        <v>146813</v>
      </c>
      <c r="P225" s="412">
        <f t="shared" si="72"/>
        <v>344522</v>
      </c>
      <c r="Q225" s="412">
        <f t="shared" si="73"/>
        <v>11484.066666666668</v>
      </c>
      <c r="R225" s="413">
        <f t="shared" si="74"/>
        <v>318652</v>
      </c>
      <c r="S225" s="413">
        <f t="shared" si="75"/>
        <v>10621.733333333334</v>
      </c>
      <c r="T225" s="578"/>
      <c r="U225" s="411"/>
      <c r="V225" s="412">
        <f t="shared" si="76"/>
        <v>0</v>
      </c>
      <c r="W225" s="413">
        <f t="shared" si="77"/>
        <v>0</v>
      </c>
      <c r="X225" s="578"/>
      <c r="Y225" s="411"/>
      <c r="Z225" s="578"/>
      <c r="AA225" s="411"/>
      <c r="AB225" s="578"/>
      <c r="AC225" s="411"/>
      <c r="AD225" s="578"/>
      <c r="AE225" s="411"/>
      <c r="AF225" s="412">
        <f t="shared" si="78"/>
        <v>0</v>
      </c>
      <c r="AG225" s="412">
        <f t="shared" si="79"/>
        <v>0</v>
      </c>
      <c r="AH225" s="413">
        <f t="shared" si="80"/>
        <v>0</v>
      </c>
      <c r="AI225" s="413">
        <f t="shared" si="81"/>
        <v>0</v>
      </c>
      <c r="AJ225" s="578"/>
      <c r="AK225" s="411"/>
      <c r="AL225" s="412">
        <f t="shared" si="64"/>
        <v>0</v>
      </c>
      <c r="AM225" s="413">
        <f t="shared" si="65"/>
        <v>0</v>
      </c>
      <c r="AN225" s="578">
        <v>0</v>
      </c>
      <c r="AO225" s="411">
        <v>0</v>
      </c>
      <c r="AP225" s="578">
        <v>0</v>
      </c>
      <c r="AQ225" s="411">
        <v>0</v>
      </c>
      <c r="AR225" s="578">
        <v>0</v>
      </c>
      <c r="AS225" s="411">
        <v>0</v>
      </c>
      <c r="AT225" s="578">
        <v>0</v>
      </c>
      <c r="AU225" s="411">
        <v>0</v>
      </c>
      <c r="AV225" s="412">
        <f t="shared" si="66"/>
        <v>0</v>
      </c>
      <c r="AW225" s="412">
        <f t="shared" si="67"/>
        <v>0</v>
      </c>
      <c r="AX225" s="413">
        <f t="shared" si="68"/>
        <v>0</v>
      </c>
      <c r="AY225" s="413">
        <f t="shared" si="69"/>
        <v>0</v>
      </c>
      <c r="AZ225" s="412">
        <f t="shared" si="70"/>
        <v>11484.066666666668</v>
      </c>
      <c r="BA225" s="413">
        <f t="shared" si="71"/>
        <v>10621.733333333334</v>
      </c>
    </row>
    <row r="226" spans="1:53">
      <c r="A226" s="434" t="s">
        <v>510</v>
      </c>
      <c r="B226" s="43" t="s">
        <v>525</v>
      </c>
      <c r="C226" s="421"/>
      <c r="D226" s="45">
        <v>162779</v>
      </c>
      <c r="E226" s="435">
        <v>8</v>
      </c>
      <c r="F226" s="410" t="s">
        <v>74</v>
      </c>
      <c r="G226" s="411" t="s">
        <v>74</v>
      </c>
      <c r="H226" s="578">
        <v>6018</v>
      </c>
      <c r="I226" s="411">
        <v>5493</v>
      </c>
      <c r="J226" s="578">
        <v>76807</v>
      </c>
      <c r="K226" s="411">
        <v>73747</v>
      </c>
      <c r="L226" s="578">
        <v>19431</v>
      </c>
      <c r="M226" s="411">
        <v>17921</v>
      </c>
      <c r="N226" s="578">
        <v>82396</v>
      </c>
      <c r="O226" s="411">
        <v>77773</v>
      </c>
      <c r="P226" s="412">
        <f t="shared" si="72"/>
        <v>184652</v>
      </c>
      <c r="Q226" s="412">
        <f t="shared" si="73"/>
        <v>6155.0666666666666</v>
      </c>
      <c r="R226" s="413">
        <f t="shared" si="74"/>
        <v>174934</v>
      </c>
      <c r="S226" s="413">
        <f t="shared" si="75"/>
        <v>5831.1333333333332</v>
      </c>
      <c r="T226" s="578"/>
      <c r="U226" s="411"/>
      <c r="V226" s="412">
        <f t="shared" si="76"/>
        <v>0</v>
      </c>
      <c r="W226" s="413">
        <f t="shared" si="77"/>
        <v>0</v>
      </c>
      <c r="X226" s="578"/>
      <c r="Y226" s="411"/>
      <c r="Z226" s="578"/>
      <c r="AA226" s="411"/>
      <c r="AB226" s="578"/>
      <c r="AC226" s="411"/>
      <c r="AD226" s="578"/>
      <c r="AE226" s="411"/>
      <c r="AF226" s="412">
        <f t="shared" si="78"/>
        <v>0</v>
      </c>
      <c r="AG226" s="412">
        <f t="shared" si="79"/>
        <v>0</v>
      </c>
      <c r="AH226" s="413">
        <f t="shared" si="80"/>
        <v>0</v>
      </c>
      <c r="AI226" s="413">
        <f t="shared" si="81"/>
        <v>0</v>
      </c>
      <c r="AJ226" s="578"/>
      <c r="AK226" s="411"/>
      <c r="AL226" s="412">
        <f t="shared" si="64"/>
        <v>0</v>
      </c>
      <c r="AM226" s="413">
        <f t="shared" si="65"/>
        <v>0</v>
      </c>
      <c r="AN226" s="578">
        <v>0</v>
      </c>
      <c r="AO226" s="411">
        <v>0</v>
      </c>
      <c r="AP226" s="578">
        <v>0</v>
      </c>
      <c r="AQ226" s="411">
        <v>0</v>
      </c>
      <c r="AR226" s="578">
        <v>0</v>
      </c>
      <c r="AS226" s="411">
        <v>0</v>
      </c>
      <c r="AT226" s="578">
        <v>0</v>
      </c>
      <c r="AU226" s="411">
        <v>0</v>
      </c>
      <c r="AV226" s="412">
        <f t="shared" si="66"/>
        <v>0</v>
      </c>
      <c r="AW226" s="412">
        <f t="shared" si="67"/>
        <v>0</v>
      </c>
      <c r="AX226" s="413">
        <f t="shared" si="68"/>
        <v>0</v>
      </c>
      <c r="AY226" s="413">
        <f t="shared" si="69"/>
        <v>0</v>
      </c>
      <c r="AZ226" s="412">
        <f t="shared" si="70"/>
        <v>6155.0666666666666</v>
      </c>
      <c r="BA226" s="413">
        <f t="shared" si="71"/>
        <v>5831.1333333333332</v>
      </c>
    </row>
    <row r="227" spans="1:53">
      <c r="A227" s="434" t="s">
        <v>510</v>
      </c>
      <c r="B227" s="43" t="s">
        <v>526</v>
      </c>
      <c r="C227" s="421"/>
      <c r="D227" s="45">
        <v>163426</v>
      </c>
      <c r="E227" s="435">
        <v>8</v>
      </c>
      <c r="F227" s="410" t="s">
        <v>74</v>
      </c>
      <c r="G227" s="411" t="s">
        <v>74</v>
      </c>
      <c r="H227" s="578">
        <v>5344</v>
      </c>
      <c r="I227" s="411">
        <v>6715</v>
      </c>
      <c r="J227" s="578">
        <v>246854</v>
      </c>
      <c r="K227" s="411">
        <v>241915.5</v>
      </c>
      <c r="L227" s="578">
        <v>152292</v>
      </c>
      <c r="M227" s="411">
        <v>158532</v>
      </c>
      <c r="N227" s="578">
        <v>245358</v>
      </c>
      <c r="O227" s="411">
        <v>244043</v>
      </c>
      <c r="P227" s="412">
        <f t="shared" si="72"/>
        <v>649848</v>
      </c>
      <c r="Q227" s="412">
        <f t="shared" si="73"/>
        <v>21661.599999999999</v>
      </c>
      <c r="R227" s="413">
        <f t="shared" si="74"/>
        <v>651205.5</v>
      </c>
      <c r="S227" s="413">
        <f t="shared" si="75"/>
        <v>21706.85</v>
      </c>
      <c r="T227" s="578"/>
      <c r="U227" s="411"/>
      <c r="V227" s="412">
        <f t="shared" si="76"/>
        <v>0</v>
      </c>
      <c r="W227" s="413">
        <f t="shared" si="77"/>
        <v>0</v>
      </c>
      <c r="X227" s="578"/>
      <c r="Y227" s="411"/>
      <c r="Z227" s="578"/>
      <c r="AA227" s="411"/>
      <c r="AB227" s="578"/>
      <c r="AC227" s="411"/>
      <c r="AD227" s="578"/>
      <c r="AE227" s="411"/>
      <c r="AF227" s="412">
        <f t="shared" si="78"/>
        <v>0</v>
      </c>
      <c r="AG227" s="412">
        <f t="shared" si="79"/>
        <v>0</v>
      </c>
      <c r="AH227" s="413">
        <f t="shared" si="80"/>
        <v>0</v>
      </c>
      <c r="AI227" s="413">
        <f t="shared" si="81"/>
        <v>0</v>
      </c>
      <c r="AJ227" s="578"/>
      <c r="AK227" s="411"/>
      <c r="AL227" s="412">
        <f t="shared" si="64"/>
        <v>0</v>
      </c>
      <c r="AM227" s="413">
        <f t="shared" si="65"/>
        <v>0</v>
      </c>
      <c r="AN227" s="578">
        <v>0</v>
      </c>
      <c r="AO227" s="411">
        <v>0</v>
      </c>
      <c r="AP227" s="578">
        <v>0</v>
      </c>
      <c r="AQ227" s="411">
        <v>0</v>
      </c>
      <c r="AR227" s="578">
        <v>0</v>
      </c>
      <c r="AS227" s="411">
        <v>0</v>
      </c>
      <c r="AT227" s="578">
        <v>0</v>
      </c>
      <c r="AU227" s="411">
        <v>0</v>
      </c>
      <c r="AV227" s="412">
        <f t="shared" si="66"/>
        <v>0</v>
      </c>
      <c r="AW227" s="412">
        <f t="shared" si="67"/>
        <v>0</v>
      </c>
      <c r="AX227" s="413">
        <f t="shared" si="68"/>
        <v>0</v>
      </c>
      <c r="AY227" s="413">
        <f t="shared" si="69"/>
        <v>0</v>
      </c>
      <c r="AZ227" s="412">
        <f t="shared" si="70"/>
        <v>21661.599999999999</v>
      </c>
      <c r="BA227" s="413">
        <f t="shared" si="71"/>
        <v>21706.85</v>
      </c>
    </row>
    <row r="228" spans="1:53">
      <c r="A228" s="434" t="s">
        <v>510</v>
      </c>
      <c r="B228" s="43" t="s">
        <v>527</v>
      </c>
      <c r="C228" s="421"/>
      <c r="D228" s="45">
        <v>163657</v>
      </c>
      <c r="E228" s="435">
        <v>8</v>
      </c>
      <c r="F228" s="410" t="s">
        <v>74</v>
      </c>
      <c r="G228" s="411" t="s">
        <v>74</v>
      </c>
      <c r="H228" s="578">
        <v>0</v>
      </c>
      <c r="I228" s="411">
        <v>978</v>
      </c>
      <c r="J228" s="578">
        <v>161540</v>
      </c>
      <c r="K228" s="411">
        <v>168618</v>
      </c>
      <c r="L228" s="578">
        <v>69197</v>
      </c>
      <c r="M228" s="411">
        <v>69917</v>
      </c>
      <c r="N228" s="578">
        <v>160958</v>
      </c>
      <c r="O228" s="411">
        <v>164595</v>
      </c>
      <c r="P228" s="412">
        <f t="shared" si="72"/>
        <v>391695</v>
      </c>
      <c r="Q228" s="412">
        <f t="shared" si="73"/>
        <v>13056.5</v>
      </c>
      <c r="R228" s="413">
        <f t="shared" si="74"/>
        <v>404108</v>
      </c>
      <c r="S228" s="413">
        <f t="shared" si="75"/>
        <v>13470.266666666666</v>
      </c>
      <c r="T228" s="578"/>
      <c r="U228" s="411"/>
      <c r="V228" s="412">
        <f t="shared" si="76"/>
        <v>0</v>
      </c>
      <c r="W228" s="413">
        <f t="shared" si="77"/>
        <v>0</v>
      </c>
      <c r="X228" s="578"/>
      <c r="Y228" s="411"/>
      <c r="Z228" s="578"/>
      <c r="AA228" s="411"/>
      <c r="AB228" s="578"/>
      <c r="AC228" s="411"/>
      <c r="AD228" s="578"/>
      <c r="AE228" s="411"/>
      <c r="AF228" s="412">
        <f t="shared" si="78"/>
        <v>0</v>
      </c>
      <c r="AG228" s="412">
        <f t="shared" si="79"/>
        <v>0</v>
      </c>
      <c r="AH228" s="413">
        <f t="shared" si="80"/>
        <v>0</v>
      </c>
      <c r="AI228" s="413">
        <f t="shared" si="81"/>
        <v>0</v>
      </c>
      <c r="AJ228" s="578"/>
      <c r="AK228" s="411"/>
      <c r="AL228" s="412">
        <f t="shared" si="64"/>
        <v>0</v>
      </c>
      <c r="AM228" s="413">
        <f t="shared" si="65"/>
        <v>0</v>
      </c>
      <c r="AN228" s="578">
        <v>0</v>
      </c>
      <c r="AO228" s="411">
        <v>0</v>
      </c>
      <c r="AP228" s="578">
        <v>0</v>
      </c>
      <c r="AQ228" s="411">
        <v>0</v>
      </c>
      <c r="AR228" s="578">
        <v>0</v>
      </c>
      <c r="AS228" s="411">
        <v>0</v>
      </c>
      <c r="AT228" s="578">
        <v>0</v>
      </c>
      <c r="AU228" s="411">
        <v>0</v>
      </c>
      <c r="AV228" s="412">
        <f t="shared" si="66"/>
        <v>0</v>
      </c>
      <c r="AW228" s="412">
        <f t="shared" si="67"/>
        <v>0</v>
      </c>
      <c r="AX228" s="413">
        <f t="shared" si="68"/>
        <v>0</v>
      </c>
      <c r="AY228" s="413">
        <f t="shared" si="69"/>
        <v>0</v>
      </c>
      <c r="AZ228" s="412">
        <f t="shared" si="70"/>
        <v>13056.5</v>
      </c>
      <c r="BA228" s="413">
        <f t="shared" si="71"/>
        <v>13470.266666666666</v>
      </c>
    </row>
    <row r="229" spans="1:53">
      <c r="A229" s="434" t="s">
        <v>510</v>
      </c>
      <c r="B229" s="43" t="s">
        <v>529</v>
      </c>
      <c r="C229" s="421"/>
      <c r="D229" s="45">
        <v>161864</v>
      </c>
      <c r="E229" s="435">
        <v>9</v>
      </c>
      <c r="F229" s="410" t="s">
        <v>74</v>
      </c>
      <c r="G229" s="411" t="s">
        <v>74</v>
      </c>
      <c r="H229" s="578">
        <v>210</v>
      </c>
      <c r="I229" s="411">
        <v>86</v>
      </c>
      <c r="J229" s="578">
        <v>34636.5</v>
      </c>
      <c r="K229" s="411">
        <v>36214</v>
      </c>
      <c r="L229" s="578">
        <v>7396</v>
      </c>
      <c r="M229" s="411">
        <v>7432</v>
      </c>
      <c r="N229" s="578">
        <v>40748.9</v>
      </c>
      <c r="O229" s="411">
        <v>41555</v>
      </c>
      <c r="P229" s="412">
        <f t="shared" si="72"/>
        <v>82991.399999999994</v>
      </c>
      <c r="Q229" s="412">
        <f t="shared" si="73"/>
        <v>2766.3799999999997</v>
      </c>
      <c r="R229" s="413">
        <f t="shared" si="74"/>
        <v>85287</v>
      </c>
      <c r="S229" s="413">
        <f t="shared" si="75"/>
        <v>2842.9</v>
      </c>
      <c r="T229" s="578"/>
      <c r="U229" s="411"/>
      <c r="V229" s="412">
        <f t="shared" si="76"/>
        <v>0</v>
      </c>
      <c r="W229" s="413">
        <f t="shared" si="77"/>
        <v>0</v>
      </c>
      <c r="X229" s="578"/>
      <c r="Y229" s="411"/>
      <c r="Z229" s="578"/>
      <c r="AA229" s="411"/>
      <c r="AB229" s="578"/>
      <c r="AC229" s="411"/>
      <c r="AD229" s="578"/>
      <c r="AE229" s="411"/>
      <c r="AF229" s="412">
        <f t="shared" si="78"/>
        <v>0</v>
      </c>
      <c r="AG229" s="412">
        <f t="shared" si="79"/>
        <v>0</v>
      </c>
      <c r="AH229" s="413">
        <f t="shared" si="80"/>
        <v>0</v>
      </c>
      <c r="AI229" s="413">
        <f t="shared" si="81"/>
        <v>0</v>
      </c>
      <c r="AJ229" s="578"/>
      <c r="AK229" s="411"/>
      <c r="AL229" s="412">
        <f t="shared" si="64"/>
        <v>0</v>
      </c>
      <c r="AM229" s="413">
        <f t="shared" si="65"/>
        <v>0</v>
      </c>
      <c r="AN229" s="578">
        <v>0</v>
      </c>
      <c r="AO229" s="411">
        <v>0</v>
      </c>
      <c r="AP229" s="578">
        <v>0</v>
      </c>
      <c r="AQ229" s="411">
        <v>0</v>
      </c>
      <c r="AR229" s="578">
        <v>0</v>
      </c>
      <c r="AS229" s="411">
        <v>0</v>
      </c>
      <c r="AT229" s="578">
        <v>0</v>
      </c>
      <c r="AU229" s="411">
        <v>0</v>
      </c>
      <c r="AV229" s="412">
        <f t="shared" si="66"/>
        <v>0</v>
      </c>
      <c r="AW229" s="412">
        <f t="shared" si="67"/>
        <v>0</v>
      </c>
      <c r="AX229" s="413">
        <f t="shared" si="68"/>
        <v>0</v>
      </c>
      <c r="AY229" s="413">
        <f t="shared" si="69"/>
        <v>0</v>
      </c>
      <c r="AZ229" s="412">
        <f t="shared" si="70"/>
        <v>2766.3799999999997</v>
      </c>
      <c r="BA229" s="413">
        <f t="shared" si="71"/>
        <v>2842.9</v>
      </c>
    </row>
    <row r="230" spans="1:53">
      <c r="A230" s="434" t="s">
        <v>510</v>
      </c>
      <c r="B230" s="43" t="s">
        <v>530</v>
      </c>
      <c r="C230" s="421" t="s">
        <v>939</v>
      </c>
      <c r="D230" s="45">
        <v>405872</v>
      </c>
      <c r="E230" s="435">
        <v>9</v>
      </c>
      <c r="F230" s="410" t="s">
        <v>74</v>
      </c>
      <c r="G230" s="411" t="s">
        <v>74</v>
      </c>
      <c r="H230" s="578">
        <v>2787</v>
      </c>
      <c r="I230" s="411">
        <v>26243</v>
      </c>
      <c r="J230" s="578">
        <v>23838</v>
      </c>
      <c r="K230" s="411">
        <v>22950.5</v>
      </c>
      <c r="L230" s="578">
        <v>4992</v>
      </c>
      <c r="M230" s="411">
        <v>4661</v>
      </c>
      <c r="N230" s="578">
        <v>26972.5</v>
      </c>
      <c r="O230" s="411">
        <v>2178</v>
      </c>
      <c r="P230" s="412">
        <f t="shared" si="72"/>
        <v>58589.5</v>
      </c>
      <c r="Q230" s="412">
        <f t="shared" si="73"/>
        <v>1952.9833333333333</v>
      </c>
      <c r="R230" s="413">
        <f t="shared" si="74"/>
        <v>56032.5</v>
      </c>
      <c r="S230" s="413">
        <f t="shared" si="75"/>
        <v>1867.75</v>
      </c>
      <c r="T230" s="578"/>
      <c r="U230" s="411"/>
      <c r="V230" s="412">
        <f t="shared" si="76"/>
        <v>0</v>
      </c>
      <c r="W230" s="413">
        <f t="shared" si="77"/>
        <v>0</v>
      </c>
      <c r="X230" s="578"/>
      <c r="Y230" s="411"/>
      <c r="Z230" s="578"/>
      <c r="AA230" s="411"/>
      <c r="AB230" s="578"/>
      <c r="AC230" s="411"/>
      <c r="AD230" s="578"/>
      <c r="AE230" s="411"/>
      <c r="AF230" s="412">
        <f t="shared" si="78"/>
        <v>0</v>
      </c>
      <c r="AG230" s="412">
        <f t="shared" si="79"/>
        <v>0</v>
      </c>
      <c r="AH230" s="413">
        <f t="shared" si="80"/>
        <v>0</v>
      </c>
      <c r="AI230" s="413">
        <f t="shared" si="81"/>
        <v>0</v>
      </c>
      <c r="AJ230" s="578"/>
      <c r="AK230" s="411"/>
      <c r="AL230" s="412">
        <f t="shared" si="64"/>
        <v>0</v>
      </c>
      <c r="AM230" s="413">
        <f t="shared" si="65"/>
        <v>0</v>
      </c>
      <c r="AN230" s="578">
        <v>0</v>
      </c>
      <c r="AO230" s="411">
        <v>0</v>
      </c>
      <c r="AP230" s="578">
        <v>0</v>
      </c>
      <c r="AQ230" s="411">
        <v>0</v>
      </c>
      <c r="AR230" s="578">
        <v>0</v>
      </c>
      <c r="AS230" s="411">
        <v>0</v>
      </c>
      <c r="AT230" s="578">
        <v>0</v>
      </c>
      <c r="AU230" s="411">
        <v>0</v>
      </c>
      <c r="AV230" s="412">
        <f t="shared" si="66"/>
        <v>0</v>
      </c>
      <c r="AW230" s="412">
        <f t="shared" si="67"/>
        <v>0</v>
      </c>
      <c r="AX230" s="413">
        <f t="shared" si="68"/>
        <v>0</v>
      </c>
      <c r="AY230" s="413">
        <f t="shared" si="69"/>
        <v>0</v>
      </c>
      <c r="AZ230" s="412">
        <f t="shared" si="70"/>
        <v>1952.9833333333333</v>
      </c>
      <c r="BA230" s="413">
        <f t="shared" si="71"/>
        <v>1867.75</v>
      </c>
    </row>
    <row r="231" spans="1:53">
      <c r="A231" s="434" t="s">
        <v>510</v>
      </c>
      <c r="B231" s="43" t="s">
        <v>531</v>
      </c>
      <c r="C231" s="562"/>
      <c r="D231" s="45">
        <v>162557</v>
      </c>
      <c r="E231" s="435">
        <v>9</v>
      </c>
      <c r="F231" s="410" t="s">
        <v>74</v>
      </c>
      <c r="G231" s="411" t="s">
        <v>74</v>
      </c>
      <c r="H231" s="578">
        <v>1363</v>
      </c>
      <c r="I231" s="411">
        <v>1389</v>
      </c>
      <c r="J231" s="578">
        <v>46865</v>
      </c>
      <c r="K231" s="411">
        <v>46713</v>
      </c>
      <c r="L231" s="578">
        <v>9326</v>
      </c>
      <c r="M231" s="411">
        <v>9000</v>
      </c>
      <c r="N231" s="578">
        <v>50148</v>
      </c>
      <c r="O231" s="411">
        <v>50384</v>
      </c>
      <c r="P231" s="412">
        <f t="shared" si="72"/>
        <v>107702</v>
      </c>
      <c r="Q231" s="412">
        <f t="shared" si="73"/>
        <v>3590.0666666666666</v>
      </c>
      <c r="R231" s="413">
        <f t="shared" si="74"/>
        <v>107486</v>
      </c>
      <c r="S231" s="413">
        <f t="shared" si="75"/>
        <v>3582.8666666666668</v>
      </c>
      <c r="T231" s="578"/>
      <c r="U231" s="411"/>
      <c r="V231" s="412">
        <f t="shared" si="76"/>
        <v>0</v>
      </c>
      <c r="W231" s="413">
        <f t="shared" si="77"/>
        <v>0</v>
      </c>
      <c r="X231" s="578"/>
      <c r="Y231" s="411"/>
      <c r="Z231" s="578"/>
      <c r="AA231" s="411"/>
      <c r="AB231" s="578"/>
      <c r="AC231" s="411"/>
      <c r="AD231" s="578"/>
      <c r="AE231" s="411"/>
      <c r="AF231" s="412">
        <f t="shared" si="78"/>
        <v>0</v>
      </c>
      <c r="AG231" s="412">
        <f t="shared" si="79"/>
        <v>0</v>
      </c>
      <c r="AH231" s="413">
        <f t="shared" si="80"/>
        <v>0</v>
      </c>
      <c r="AI231" s="413">
        <f t="shared" si="81"/>
        <v>0</v>
      </c>
      <c r="AJ231" s="578"/>
      <c r="AK231" s="411"/>
      <c r="AL231" s="412">
        <f t="shared" si="64"/>
        <v>0</v>
      </c>
      <c r="AM231" s="413">
        <f t="shared" si="65"/>
        <v>0</v>
      </c>
      <c r="AN231" s="578">
        <v>0</v>
      </c>
      <c r="AO231" s="411">
        <v>0</v>
      </c>
      <c r="AP231" s="578">
        <v>0</v>
      </c>
      <c r="AQ231" s="411">
        <v>0</v>
      </c>
      <c r="AR231" s="578">
        <v>0</v>
      </c>
      <c r="AS231" s="411">
        <v>0</v>
      </c>
      <c r="AT231" s="578">
        <v>0</v>
      </c>
      <c r="AU231" s="411">
        <v>0</v>
      </c>
      <c r="AV231" s="412">
        <f t="shared" si="66"/>
        <v>0</v>
      </c>
      <c r="AW231" s="412">
        <f t="shared" si="67"/>
        <v>0</v>
      </c>
      <c r="AX231" s="413">
        <f t="shared" si="68"/>
        <v>0</v>
      </c>
      <c r="AY231" s="413">
        <f t="shared" si="69"/>
        <v>0</v>
      </c>
      <c r="AZ231" s="412">
        <f t="shared" si="70"/>
        <v>3590.0666666666666</v>
      </c>
      <c r="BA231" s="413">
        <f t="shared" si="71"/>
        <v>3582.8666666666668</v>
      </c>
    </row>
    <row r="232" spans="1:53">
      <c r="A232" s="434" t="s">
        <v>510</v>
      </c>
      <c r="B232" s="43" t="s">
        <v>532</v>
      </c>
      <c r="C232" s="421"/>
      <c r="D232" s="45">
        <v>162690</v>
      </c>
      <c r="E232" s="435">
        <v>9</v>
      </c>
      <c r="F232" s="410" t="s">
        <v>74</v>
      </c>
      <c r="G232" s="411" t="s">
        <v>74</v>
      </c>
      <c r="H232" s="578">
        <v>0</v>
      </c>
      <c r="I232" s="411">
        <v>0</v>
      </c>
      <c r="J232" s="578">
        <v>33184</v>
      </c>
      <c r="K232" s="411">
        <v>30094</v>
      </c>
      <c r="L232" s="578">
        <v>9511</v>
      </c>
      <c r="M232" s="411">
        <v>9102</v>
      </c>
      <c r="N232" s="578">
        <v>36849</v>
      </c>
      <c r="O232" s="411">
        <v>32333</v>
      </c>
      <c r="P232" s="412">
        <f t="shared" si="72"/>
        <v>79544</v>
      </c>
      <c r="Q232" s="412">
        <f t="shared" si="73"/>
        <v>2651.4666666666667</v>
      </c>
      <c r="R232" s="413">
        <f t="shared" si="74"/>
        <v>71529</v>
      </c>
      <c r="S232" s="413">
        <f t="shared" si="75"/>
        <v>2384.3000000000002</v>
      </c>
      <c r="T232" s="578"/>
      <c r="U232" s="411"/>
      <c r="V232" s="412">
        <f t="shared" si="76"/>
        <v>0</v>
      </c>
      <c r="W232" s="413">
        <f t="shared" si="77"/>
        <v>0</v>
      </c>
      <c r="X232" s="578"/>
      <c r="Y232" s="411"/>
      <c r="Z232" s="578"/>
      <c r="AA232" s="411"/>
      <c r="AB232" s="578"/>
      <c r="AC232" s="411"/>
      <c r="AD232" s="578"/>
      <c r="AE232" s="411"/>
      <c r="AF232" s="412">
        <f t="shared" si="78"/>
        <v>0</v>
      </c>
      <c r="AG232" s="412">
        <f t="shared" si="79"/>
        <v>0</v>
      </c>
      <c r="AH232" s="413">
        <f t="shared" si="80"/>
        <v>0</v>
      </c>
      <c r="AI232" s="413">
        <f t="shared" si="81"/>
        <v>0</v>
      </c>
      <c r="AJ232" s="578"/>
      <c r="AK232" s="411"/>
      <c r="AL232" s="412">
        <f t="shared" si="64"/>
        <v>0</v>
      </c>
      <c r="AM232" s="413">
        <f t="shared" si="65"/>
        <v>0</v>
      </c>
      <c r="AN232" s="578">
        <v>0</v>
      </c>
      <c r="AO232" s="411">
        <v>0</v>
      </c>
      <c r="AP232" s="578">
        <v>0</v>
      </c>
      <c r="AQ232" s="411">
        <v>0</v>
      </c>
      <c r="AR232" s="578">
        <v>0</v>
      </c>
      <c r="AS232" s="411">
        <v>0</v>
      </c>
      <c r="AT232" s="578">
        <v>0</v>
      </c>
      <c r="AU232" s="411">
        <v>0</v>
      </c>
      <c r="AV232" s="412">
        <f t="shared" si="66"/>
        <v>0</v>
      </c>
      <c r="AW232" s="412">
        <f t="shared" si="67"/>
        <v>0</v>
      </c>
      <c r="AX232" s="413">
        <f t="shared" si="68"/>
        <v>0</v>
      </c>
      <c r="AY232" s="413">
        <f t="shared" si="69"/>
        <v>0</v>
      </c>
      <c r="AZ232" s="412">
        <f t="shared" si="70"/>
        <v>2651.4666666666667</v>
      </c>
      <c r="BA232" s="413">
        <f t="shared" si="71"/>
        <v>2384.3000000000002</v>
      </c>
    </row>
    <row r="233" spans="1:53">
      <c r="A233" s="434" t="s">
        <v>510</v>
      </c>
      <c r="B233" s="43" t="s">
        <v>533</v>
      </c>
      <c r="C233" s="422"/>
      <c r="D233" s="45">
        <v>162706</v>
      </c>
      <c r="E233" s="435">
        <v>9</v>
      </c>
      <c r="F233" s="410" t="s">
        <v>74</v>
      </c>
      <c r="G233" s="411" t="s">
        <v>74</v>
      </c>
      <c r="H233" s="578">
        <v>3148</v>
      </c>
      <c r="I233" s="411">
        <v>3546</v>
      </c>
      <c r="J233" s="578">
        <v>44050</v>
      </c>
      <c r="K233" s="411">
        <v>44045.5</v>
      </c>
      <c r="L233" s="578">
        <v>9781</v>
      </c>
      <c r="M233" s="411">
        <v>9408</v>
      </c>
      <c r="N233" s="578">
        <v>48989</v>
      </c>
      <c r="O233" s="411">
        <v>46258.5</v>
      </c>
      <c r="P233" s="412">
        <f t="shared" si="72"/>
        <v>105968</v>
      </c>
      <c r="Q233" s="412">
        <f t="shared" si="73"/>
        <v>3532.2666666666669</v>
      </c>
      <c r="R233" s="413">
        <f t="shared" si="74"/>
        <v>103258</v>
      </c>
      <c r="S233" s="413">
        <f t="shared" si="75"/>
        <v>3441.9333333333334</v>
      </c>
      <c r="T233" s="578"/>
      <c r="U233" s="411"/>
      <c r="V233" s="412">
        <f t="shared" si="76"/>
        <v>0</v>
      </c>
      <c r="W233" s="413">
        <f t="shared" si="77"/>
        <v>0</v>
      </c>
      <c r="X233" s="578"/>
      <c r="Y233" s="411"/>
      <c r="Z233" s="578"/>
      <c r="AA233" s="411"/>
      <c r="AB233" s="578"/>
      <c r="AC233" s="411"/>
      <c r="AD233" s="578"/>
      <c r="AE233" s="411"/>
      <c r="AF233" s="412">
        <f t="shared" si="78"/>
        <v>0</v>
      </c>
      <c r="AG233" s="412">
        <f t="shared" si="79"/>
        <v>0</v>
      </c>
      <c r="AH233" s="413">
        <f t="shared" si="80"/>
        <v>0</v>
      </c>
      <c r="AI233" s="413">
        <f t="shared" si="81"/>
        <v>0</v>
      </c>
      <c r="AJ233" s="578"/>
      <c r="AK233" s="411"/>
      <c r="AL233" s="412">
        <f t="shared" si="64"/>
        <v>0</v>
      </c>
      <c r="AM233" s="413">
        <f t="shared" si="65"/>
        <v>0</v>
      </c>
      <c r="AN233" s="578">
        <v>0</v>
      </c>
      <c r="AO233" s="411">
        <v>0</v>
      </c>
      <c r="AP233" s="578">
        <v>0</v>
      </c>
      <c r="AQ233" s="411">
        <v>0</v>
      </c>
      <c r="AR233" s="578">
        <v>0</v>
      </c>
      <c r="AS233" s="411">
        <v>0</v>
      </c>
      <c r="AT233" s="578">
        <v>0</v>
      </c>
      <c r="AU233" s="411">
        <v>0</v>
      </c>
      <c r="AV233" s="412">
        <f t="shared" si="66"/>
        <v>0</v>
      </c>
      <c r="AW233" s="412">
        <f t="shared" si="67"/>
        <v>0</v>
      </c>
      <c r="AX233" s="413">
        <f t="shared" si="68"/>
        <v>0</v>
      </c>
      <c r="AY233" s="413">
        <f t="shared" si="69"/>
        <v>0</v>
      </c>
      <c r="AZ233" s="412">
        <f t="shared" si="70"/>
        <v>3532.2666666666669</v>
      </c>
      <c r="BA233" s="413">
        <f t="shared" si="71"/>
        <v>3441.9333333333334</v>
      </c>
    </row>
    <row r="234" spans="1:53">
      <c r="A234" s="434" t="s">
        <v>510</v>
      </c>
      <c r="B234" s="43" t="s">
        <v>528</v>
      </c>
      <c r="C234" s="422"/>
      <c r="D234" s="45">
        <v>161688</v>
      </c>
      <c r="E234" s="435">
        <v>10</v>
      </c>
      <c r="F234" s="410" t="s">
        <v>74</v>
      </c>
      <c r="G234" s="411" t="s">
        <v>74</v>
      </c>
      <c r="H234" s="578">
        <v>0</v>
      </c>
      <c r="I234" s="411">
        <v>0</v>
      </c>
      <c r="J234" s="578">
        <v>22674</v>
      </c>
      <c r="K234" s="411">
        <v>20882</v>
      </c>
      <c r="L234" s="578">
        <v>3182</v>
      </c>
      <c r="M234" s="411">
        <v>3506</v>
      </c>
      <c r="N234" s="578">
        <v>23737</v>
      </c>
      <c r="O234" s="411">
        <v>23347</v>
      </c>
      <c r="P234" s="412">
        <f t="shared" si="72"/>
        <v>49593</v>
      </c>
      <c r="Q234" s="412">
        <f t="shared" si="73"/>
        <v>1653.1</v>
      </c>
      <c r="R234" s="413">
        <f t="shared" si="74"/>
        <v>47735</v>
      </c>
      <c r="S234" s="413">
        <f t="shared" si="75"/>
        <v>1591.1666666666667</v>
      </c>
      <c r="T234" s="578"/>
      <c r="U234" s="411"/>
      <c r="V234" s="412">
        <f t="shared" si="76"/>
        <v>0</v>
      </c>
      <c r="W234" s="413">
        <f t="shared" si="77"/>
        <v>0</v>
      </c>
      <c r="X234" s="578"/>
      <c r="Y234" s="411"/>
      <c r="Z234" s="578"/>
      <c r="AA234" s="411"/>
      <c r="AB234" s="578"/>
      <c r="AC234" s="411"/>
      <c r="AD234" s="578"/>
      <c r="AE234" s="411"/>
      <c r="AF234" s="412">
        <f t="shared" si="78"/>
        <v>0</v>
      </c>
      <c r="AG234" s="412">
        <f t="shared" si="79"/>
        <v>0</v>
      </c>
      <c r="AH234" s="413">
        <f t="shared" si="80"/>
        <v>0</v>
      </c>
      <c r="AI234" s="413">
        <f t="shared" si="81"/>
        <v>0</v>
      </c>
      <c r="AJ234" s="578"/>
      <c r="AK234" s="411"/>
      <c r="AL234" s="412">
        <f t="shared" si="64"/>
        <v>0</v>
      </c>
      <c r="AM234" s="413">
        <f t="shared" si="65"/>
        <v>0</v>
      </c>
      <c r="AN234" s="578">
        <v>0</v>
      </c>
      <c r="AO234" s="411">
        <v>0</v>
      </c>
      <c r="AP234" s="578">
        <v>0</v>
      </c>
      <c r="AQ234" s="411">
        <v>0</v>
      </c>
      <c r="AR234" s="578">
        <v>0</v>
      </c>
      <c r="AS234" s="411">
        <v>0</v>
      </c>
      <c r="AT234" s="578">
        <v>0</v>
      </c>
      <c r="AU234" s="411">
        <v>0</v>
      </c>
      <c r="AV234" s="412">
        <f t="shared" si="66"/>
        <v>0</v>
      </c>
      <c r="AW234" s="412">
        <f t="shared" si="67"/>
        <v>0</v>
      </c>
      <c r="AX234" s="413">
        <f t="shared" si="68"/>
        <v>0</v>
      </c>
      <c r="AY234" s="413">
        <f t="shared" si="69"/>
        <v>0</v>
      </c>
      <c r="AZ234" s="412">
        <f t="shared" si="70"/>
        <v>1653.1</v>
      </c>
      <c r="BA234" s="413">
        <f t="shared" si="71"/>
        <v>1591.1666666666667</v>
      </c>
    </row>
    <row r="235" spans="1:53">
      <c r="A235" s="434" t="s">
        <v>510</v>
      </c>
      <c r="B235" s="43" t="s">
        <v>535</v>
      </c>
      <c r="C235" s="421"/>
      <c r="D235" s="45">
        <v>162104</v>
      </c>
      <c r="E235" s="435">
        <v>10</v>
      </c>
      <c r="F235" s="410" t="s">
        <v>74</v>
      </c>
      <c r="G235" s="411" t="s">
        <v>74</v>
      </c>
      <c r="H235" s="578">
        <v>0</v>
      </c>
      <c r="I235" s="411">
        <v>0</v>
      </c>
      <c r="J235" s="578">
        <v>18979</v>
      </c>
      <c r="K235" s="411">
        <v>17820</v>
      </c>
      <c r="L235" s="578">
        <v>2972</v>
      </c>
      <c r="M235" s="411">
        <v>2977</v>
      </c>
      <c r="N235" s="578">
        <v>20457</v>
      </c>
      <c r="O235" s="411">
        <v>20137</v>
      </c>
      <c r="P235" s="412">
        <f t="shared" si="72"/>
        <v>42408</v>
      </c>
      <c r="Q235" s="412">
        <f t="shared" si="73"/>
        <v>1413.6</v>
      </c>
      <c r="R235" s="413">
        <f t="shared" si="74"/>
        <v>40934</v>
      </c>
      <c r="S235" s="413">
        <f t="shared" si="75"/>
        <v>1364.4666666666667</v>
      </c>
      <c r="T235" s="578"/>
      <c r="U235" s="411"/>
      <c r="V235" s="412">
        <f t="shared" si="76"/>
        <v>0</v>
      </c>
      <c r="W235" s="413">
        <f t="shared" si="77"/>
        <v>0</v>
      </c>
      <c r="X235" s="578"/>
      <c r="Y235" s="411"/>
      <c r="Z235" s="578"/>
      <c r="AA235" s="411"/>
      <c r="AB235" s="578"/>
      <c r="AC235" s="411"/>
      <c r="AD235" s="578"/>
      <c r="AE235" s="411"/>
      <c r="AF235" s="412">
        <f t="shared" si="78"/>
        <v>0</v>
      </c>
      <c r="AG235" s="412">
        <f t="shared" si="79"/>
        <v>0</v>
      </c>
      <c r="AH235" s="413">
        <f t="shared" si="80"/>
        <v>0</v>
      </c>
      <c r="AI235" s="413">
        <f t="shared" si="81"/>
        <v>0</v>
      </c>
      <c r="AJ235" s="578"/>
      <c r="AK235" s="411"/>
      <c r="AL235" s="412">
        <f t="shared" si="64"/>
        <v>0</v>
      </c>
      <c r="AM235" s="413">
        <f t="shared" si="65"/>
        <v>0</v>
      </c>
      <c r="AN235" s="578">
        <v>0</v>
      </c>
      <c r="AO235" s="411">
        <v>0</v>
      </c>
      <c r="AP235" s="578">
        <v>0</v>
      </c>
      <c r="AQ235" s="411">
        <v>0</v>
      </c>
      <c r="AR235" s="578">
        <v>0</v>
      </c>
      <c r="AS235" s="411">
        <v>0</v>
      </c>
      <c r="AT235" s="578">
        <v>0</v>
      </c>
      <c r="AU235" s="411">
        <v>0</v>
      </c>
      <c r="AV235" s="412">
        <f t="shared" si="66"/>
        <v>0</v>
      </c>
      <c r="AW235" s="412">
        <f t="shared" si="67"/>
        <v>0</v>
      </c>
      <c r="AX235" s="413">
        <f t="shared" si="68"/>
        <v>0</v>
      </c>
      <c r="AY235" s="413">
        <f t="shared" si="69"/>
        <v>0</v>
      </c>
      <c r="AZ235" s="412">
        <f t="shared" si="70"/>
        <v>1413.6</v>
      </c>
      <c r="BA235" s="413">
        <f t="shared" si="71"/>
        <v>1364.4666666666667</v>
      </c>
    </row>
    <row r="236" spans="1:53">
      <c r="A236" s="434" t="s">
        <v>510</v>
      </c>
      <c r="B236" s="43" t="s">
        <v>536</v>
      </c>
      <c r="C236" s="422"/>
      <c r="D236" s="45">
        <v>162168</v>
      </c>
      <c r="E236" s="435">
        <v>10</v>
      </c>
      <c r="F236" s="410" t="s">
        <v>74</v>
      </c>
      <c r="G236" s="411" t="s">
        <v>74</v>
      </c>
      <c r="H236" s="578">
        <v>474</v>
      </c>
      <c r="I236" s="411">
        <v>430</v>
      </c>
      <c r="J236" s="578">
        <v>15264</v>
      </c>
      <c r="K236" s="411">
        <v>15337</v>
      </c>
      <c r="L236" s="578">
        <v>1989</v>
      </c>
      <c r="M236" s="411">
        <v>2314</v>
      </c>
      <c r="N236" s="578">
        <v>16961</v>
      </c>
      <c r="O236" s="411">
        <v>17460</v>
      </c>
      <c r="P236" s="412">
        <f t="shared" si="72"/>
        <v>34688</v>
      </c>
      <c r="Q236" s="412">
        <f t="shared" si="73"/>
        <v>1156.2666666666667</v>
      </c>
      <c r="R236" s="413">
        <f t="shared" si="74"/>
        <v>35541</v>
      </c>
      <c r="S236" s="413">
        <f t="shared" si="75"/>
        <v>1184.7</v>
      </c>
      <c r="T236" s="578"/>
      <c r="U236" s="411"/>
      <c r="V236" s="412">
        <f t="shared" si="76"/>
        <v>0</v>
      </c>
      <c r="W236" s="413">
        <f t="shared" si="77"/>
        <v>0</v>
      </c>
      <c r="X236" s="578"/>
      <c r="Y236" s="411"/>
      <c r="Z236" s="578"/>
      <c r="AA236" s="411"/>
      <c r="AB236" s="578"/>
      <c r="AC236" s="411"/>
      <c r="AD236" s="578"/>
      <c r="AE236" s="411"/>
      <c r="AF236" s="412">
        <f t="shared" si="78"/>
        <v>0</v>
      </c>
      <c r="AG236" s="412">
        <f t="shared" si="79"/>
        <v>0</v>
      </c>
      <c r="AH236" s="413">
        <f t="shared" si="80"/>
        <v>0</v>
      </c>
      <c r="AI236" s="413">
        <f t="shared" si="81"/>
        <v>0</v>
      </c>
      <c r="AJ236" s="578"/>
      <c r="AK236" s="411"/>
      <c r="AL236" s="412">
        <f t="shared" si="64"/>
        <v>0</v>
      </c>
      <c r="AM236" s="413">
        <f t="shared" si="65"/>
        <v>0</v>
      </c>
      <c r="AN236" s="578">
        <v>0</v>
      </c>
      <c r="AO236" s="411">
        <v>0</v>
      </c>
      <c r="AP236" s="578">
        <v>0</v>
      </c>
      <c r="AQ236" s="411">
        <v>0</v>
      </c>
      <c r="AR236" s="578">
        <v>0</v>
      </c>
      <c r="AS236" s="411">
        <v>0</v>
      </c>
      <c r="AT236" s="578">
        <v>0</v>
      </c>
      <c r="AU236" s="411">
        <v>0</v>
      </c>
      <c r="AV236" s="412">
        <f t="shared" si="66"/>
        <v>0</v>
      </c>
      <c r="AW236" s="412">
        <f t="shared" si="67"/>
        <v>0</v>
      </c>
      <c r="AX236" s="413">
        <f t="shared" si="68"/>
        <v>0</v>
      </c>
      <c r="AY236" s="413">
        <f t="shared" si="69"/>
        <v>0</v>
      </c>
      <c r="AZ236" s="412">
        <f t="shared" si="70"/>
        <v>1156.2666666666667</v>
      </c>
      <c r="BA236" s="413">
        <f t="shared" si="71"/>
        <v>1184.7</v>
      </c>
    </row>
    <row r="237" spans="1:53">
      <c r="A237" s="434" t="s">
        <v>510</v>
      </c>
      <c r="B237" s="43" t="s">
        <v>537</v>
      </c>
      <c r="C237" s="562"/>
      <c r="D237" s="45">
        <v>162609</v>
      </c>
      <c r="E237" s="435">
        <v>10</v>
      </c>
      <c r="F237" s="410" t="s">
        <v>74</v>
      </c>
      <c r="G237" s="411" t="s">
        <v>74</v>
      </c>
      <c r="H237" s="578">
        <v>247</v>
      </c>
      <c r="I237" s="411">
        <v>290</v>
      </c>
      <c r="J237" s="578">
        <v>6413.5</v>
      </c>
      <c r="K237" s="411">
        <v>5883.75</v>
      </c>
      <c r="L237" s="578">
        <v>486</v>
      </c>
      <c r="M237" s="411">
        <v>597</v>
      </c>
      <c r="N237" s="578">
        <v>7435</v>
      </c>
      <c r="O237" s="411">
        <v>7275.25</v>
      </c>
      <c r="P237" s="412">
        <f t="shared" si="72"/>
        <v>14581.5</v>
      </c>
      <c r="Q237" s="412">
        <f t="shared" si="73"/>
        <v>486.05</v>
      </c>
      <c r="R237" s="413">
        <f t="shared" si="74"/>
        <v>14046</v>
      </c>
      <c r="S237" s="413">
        <f t="shared" si="75"/>
        <v>468.2</v>
      </c>
      <c r="T237" s="578"/>
      <c r="U237" s="411"/>
      <c r="V237" s="412">
        <f t="shared" si="76"/>
        <v>0</v>
      </c>
      <c r="W237" s="413">
        <f t="shared" si="77"/>
        <v>0</v>
      </c>
      <c r="X237" s="578"/>
      <c r="Y237" s="411"/>
      <c r="Z237" s="578"/>
      <c r="AA237" s="411"/>
      <c r="AB237" s="578"/>
      <c r="AC237" s="411"/>
      <c r="AD237" s="578"/>
      <c r="AE237" s="411"/>
      <c r="AF237" s="412">
        <f t="shared" si="78"/>
        <v>0</v>
      </c>
      <c r="AG237" s="412">
        <f t="shared" si="79"/>
        <v>0</v>
      </c>
      <c r="AH237" s="413">
        <f t="shared" si="80"/>
        <v>0</v>
      </c>
      <c r="AI237" s="413">
        <f t="shared" si="81"/>
        <v>0</v>
      </c>
      <c r="AJ237" s="578"/>
      <c r="AK237" s="411"/>
      <c r="AL237" s="412">
        <f t="shared" si="64"/>
        <v>0</v>
      </c>
      <c r="AM237" s="413">
        <f t="shared" si="65"/>
        <v>0</v>
      </c>
      <c r="AN237" s="578">
        <v>0</v>
      </c>
      <c r="AO237" s="411">
        <v>0</v>
      </c>
      <c r="AP237" s="578">
        <v>0</v>
      </c>
      <c r="AQ237" s="411">
        <v>0</v>
      </c>
      <c r="AR237" s="578">
        <v>0</v>
      </c>
      <c r="AS237" s="411">
        <v>0</v>
      </c>
      <c r="AT237" s="578">
        <v>0</v>
      </c>
      <c r="AU237" s="411">
        <v>0</v>
      </c>
      <c r="AV237" s="412">
        <f t="shared" si="66"/>
        <v>0</v>
      </c>
      <c r="AW237" s="412">
        <f t="shared" si="67"/>
        <v>0</v>
      </c>
      <c r="AX237" s="413">
        <f t="shared" si="68"/>
        <v>0</v>
      </c>
      <c r="AY237" s="413">
        <f t="shared" si="69"/>
        <v>0</v>
      </c>
      <c r="AZ237" s="412">
        <f t="shared" si="70"/>
        <v>486.05</v>
      </c>
      <c r="BA237" s="413">
        <f t="shared" si="71"/>
        <v>468.2</v>
      </c>
    </row>
    <row r="238" spans="1:53">
      <c r="A238" s="434" t="s">
        <v>510</v>
      </c>
      <c r="B238" s="526" t="s">
        <v>534</v>
      </c>
      <c r="C238" s="579"/>
      <c r="D238" s="45">
        <v>164313</v>
      </c>
      <c r="E238" s="435">
        <v>10</v>
      </c>
      <c r="F238" s="410" t="s">
        <v>74</v>
      </c>
      <c r="G238" s="411" t="s">
        <v>74</v>
      </c>
      <c r="H238" s="578">
        <v>0</v>
      </c>
      <c r="I238" s="411">
        <v>0</v>
      </c>
      <c r="J238" s="578">
        <v>21519.5</v>
      </c>
      <c r="K238" s="411">
        <v>20259.5</v>
      </c>
      <c r="L238" s="578">
        <v>5598.5</v>
      </c>
      <c r="M238" s="411">
        <v>5293.5</v>
      </c>
      <c r="N238" s="578">
        <v>25208.5</v>
      </c>
      <c r="O238" s="411">
        <v>23601.5</v>
      </c>
      <c r="P238" s="412">
        <f t="shared" si="72"/>
        <v>52326.5</v>
      </c>
      <c r="Q238" s="412">
        <f t="shared" si="73"/>
        <v>1744.2166666666667</v>
      </c>
      <c r="R238" s="413">
        <f t="shared" si="74"/>
        <v>49154.5</v>
      </c>
      <c r="S238" s="413">
        <f t="shared" si="75"/>
        <v>1638.4833333333333</v>
      </c>
      <c r="T238" s="578"/>
      <c r="U238" s="411"/>
      <c r="V238" s="412">
        <f t="shared" si="76"/>
        <v>0</v>
      </c>
      <c r="W238" s="413">
        <f t="shared" si="77"/>
        <v>0</v>
      </c>
      <c r="X238" s="578"/>
      <c r="Y238" s="411"/>
      <c r="Z238" s="578"/>
      <c r="AA238" s="411"/>
      <c r="AB238" s="578"/>
      <c r="AC238" s="411"/>
      <c r="AD238" s="578"/>
      <c r="AE238" s="411"/>
      <c r="AF238" s="412">
        <f t="shared" si="78"/>
        <v>0</v>
      </c>
      <c r="AG238" s="412">
        <f t="shared" si="79"/>
        <v>0</v>
      </c>
      <c r="AH238" s="413">
        <f t="shared" si="80"/>
        <v>0</v>
      </c>
      <c r="AI238" s="413">
        <f t="shared" si="81"/>
        <v>0</v>
      </c>
      <c r="AJ238" s="578"/>
      <c r="AK238" s="411"/>
      <c r="AL238" s="412">
        <f t="shared" si="64"/>
        <v>0</v>
      </c>
      <c r="AM238" s="413">
        <f t="shared" si="65"/>
        <v>0</v>
      </c>
      <c r="AN238" s="578">
        <v>0</v>
      </c>
      <c r="AO238" s="411">
        <v>0</v>
      </c>
      <c r="AP238" s="578">
        <v>0</v>
      </c>
      <c r="AQ238" s="411">
        <v>0</v>
      </c>
      <c r="AR238" s="578">
        <v>0</v>
      </c>
      <c r="AS238" s="411">
        <v>0</v>
      </c>
      <c r="AT238" s="578">
        <v>0</v>
      </c>
      <c r="AU238" s="411">
        <v>0</v>
      </c>
      <c r="AV238" s="412">
        <f t="shared" si="66"/>
        <v>0</v>
      </c>
      <c r="AW238" s="412">
        <f t="shared" si="67"/>
        <v>0</v>
      </c>
      <c r="AX238" s="413">
        <f t="shared" si="68"/>
        <v>0</v>
      </c>
      <c r="AY238" s="413">
        <f t="shared" si="69"/>
        <v>0</v>
      </c>
      <c r="AZ238" s="412">
        <f t="shared" si="70"/>
        <v>1744.2166666666667</v>
      </c>
      <c r="BA238" s="413">
        <f t="shared" si="71"/>
        <v>1638.4833333333333</v>
      </c>
    </row>
    <row r="239" spans="1:53">
      <c r="A239" s="436" t="s">
        <v>233</v>
      </c>
      <c r="B239" s="8" t="s">
        <v>234</v>
      </c>
      <c r="C239" s="6"/>
      <c r="D239" s="33">
        <v>176080</v>
      </c>
      <c r="E239" s="7">
        <v>1</v>
      </c>
      <c r="F239" s="410"/>
      <c r="G239" s="411"/>
      <c r="H239" s="410"/>
      <c r="I239" s="411"/>
      <c r="J239" s="410">
        <v>230836</v>
      </c>
      <c r="K239" s="411">
        <v>241609</v>
      </c>
      <c r="L239" s="410">
        <v>30473</v>
      </c>
      <c r="M239" s="411">
        <v>30016</v>
      </c>
      <c r="N239" s="410">
        <v>261855</v>
      </c>
      <c r="O239" s="411">
        <v>266429</v>
      </c>
      <c r="P239" s="412">
        <f t="shared" si="72"/>
        <v>523164</v>
      </c>
      <c r="Q239" s="412">
        <f t="shared" si="73"/>
        <v>17438.8</v>
      </c>
      <c r="R239" s="413">
        <f t="shared" si="74"/>
        <v>538054</v>
      </c>
      <c r="S239" s="413">
        <f t="shared" si="75"/>
        <v>17935.133333333335</v>
      </c>
      <c r="T239" s="410"/>
      <c r="U239" s="411"/>
      <c r="V239" s="412">
        <f t="shared" si="76"/>
        <v>0</v>
      </c>
      <c r="W239" s="413">
        <f t="shared" si="77"/>
        <v>0</v>
      </c>
      <c r="X239" s="410"/>
      <c r="Y239" s="411"/>
      <c r="Z239" s="410"/>
      <c r="AA239" s="411"/>
      <c r="AB239" s="410"/>
      <c r="AC239" s="411"/>
      <c r="AD239" s="410"/>
      <c r="AE239" s="411"/>
      <c r="AF239" s="412">
        <f t="shared" si="78"/>
        <v>0</v>
      </c>
      <c r="AG239" s="412">
        <f t="shared" si="79"/>
        <v>0</v>
      </c>
      <c r="AH239" s="413">
        <f t="shared" si="80"/>
        <v>0</v>
      </c>
      <c r="AI239" s="413">
        <f t="shared" si="81"/>
        <v>0</v>
      </c>
      <c r="AJ239" s="410"/>
      <c r="AK239" s="411"/>
      <c r="AL239" s="412">
        <f t="shared" si="64"/>
        <v>0</v>
      </c>
      <c r="AM239" s="413">
        <f t="shared" si="65"/>
        <v>0</v>
      </c>
      <c r="AN239" s="410"/>
      <c r="AO239" s="411"/>
      <c r="AP239" s="410">
        <v>21566</v>
      </c>
      <c r="AQ239" s="411">
        <v>21608</v>
      </c>
      <c r="AR239" s="410">
        <v>10929</v>
      </c>
      <c r="AS239" s="411">
        <v>11029</v>
      </c>
      <c r="AT239" s="410">
        <v>22282</v>
      </c>
      <c r="AU239" s="411">
        <v>21605</v>
      </c>
      <c r="AV239" s="412">
        <f t="shared" si="66"/>
        <v>54777</v>
      </c>
      <c r="AW239" s="412">
        <f t="shared" si="67"/>
        <v>2282.375</v>
      </c>
      <c r="AX239" s="413">
        <f t="shared" si="68"/>
        <v>54242</v>
      </c>
      <c r="AY239" s="413">
        <f t="shared" si="69"/>
        <v>2260.0833333333335</v>
      </c>
      <c r="AZ239" s="412">
        <f t="shared" si="70"/>
        <v>19721.174999999999</v>
      </c>
      <c r="BA239" s="413">
        <f t="shared" si="71"/>
        <v>20195.216666666667</v>
      </c>
    </row>
    <row r="240" spans="1:53" ht="14.5">
      <c r="A240" s="436" t="s">
        <v>233</v>
      </c>
      <c r="B240" s="8" t="s">
        <v>237</v>
      </c>
      <c r="C240" s="527"/>
      <c r="D240" s="33">
        <v>176017</v>
      </c>
      <c r="E240" s="7">
        <v>1</v>
      </c>
      <c r="F240" s="410"/>
      <c r="G240" s="411"/>
      <c r="H240" s="410"/>
      <c r="I240" s="411"/>
      <c r="J240" s="410">
        <v>254757</v>
      </c>
      <c r="K240" s="411">
        <v>246873</v>
      </c>
      <c r="L240" s="410">
        <v>42724</v>
      </c>
      <c r="M240" s="411">
        <v>39636</v>
      </c>
      <c r="N240" s="410">
        <v>256104</v>
      </c>
      <c r="O240" s="411">
        <v>244471</v>
      </c>
      <c r="P240" s="412">
        <f t="shared" si="72"/>
        <v>553585</v>
      </c>
      <c r="Q240" s="412">
        <f t="shared" si="73"/>
        <v>18452.833333333332</v>
      </c>
      <c r="R240" s="413">
        <f t="shared" si="74"/>
        <v>530980</v>
      </c>
      <c r="S240" s="413">
        <f t="shared" si="75"/>
        <v>17699.333333333332</v>
      </c>
      <c r="T240" s="410"/>
      <c r="U240" s="411"/>
      <c r="V240" s="412">
        <f t="shared" si="76"/>
        <v>0</v>
      </c>
      <c r="W240" s="413">
        <f t="shared" si="77"/>
        <v>0</v>
      </c>
      <c r="X240" s="410"/>
      <c r="Y240" s="411"/>
      <c r="Z240" s="410"/>
      <c r="AA240" s="411"/>
      <c r="AB240" s="410"/>
      <c r="AC240" s="411"/>
      <c r="AD240" s="410"/>
      <c r="AE240" s="411"/>
      <c r="AF240" s="412">
        <f t="shared" si="78"/>
        <v>0</v>
      </c>
      <c r="AG240" s="412">
        <f t="shared" si="79"/>
        <v>0</v>
      </c>
      <c r="AH240" s="413">
        <f t="shared" si="80"/>
        <v>0</v>
      </c>
      <c r="AI240" s="413">
        <f t="shared" si="81"/>
        <v>0</v>
      </c>
      <c r="AJ240" s="410"/>
      <c r="AK240" s="411"/>
      <c r="AL240" s="412">
        <f t="shared" si="64"/>
        <v>0</v>
      </c>
      <c r="AM240" s="413">
        <f t="shared" si="65"/>
        <v>0</v>
      </c>
      <c r="AN240" s="410"/>
      <c r="AO240" s="411"/>
      <c r="AP240" s="410">
        <v>27968</v>
      </c>
      <c r="AQ240" s="411">
        <v>29090</v>
      </c>
      <c r="AR240" s="410">
        <v>10178</v>
      </c>
      <c r="AS240" s="411">
        <v>10657</v>
      </c>
      <c r="AT240" s="410">
        <v>29637</v>
      </c>
      <c r="AU240" s="411">
        <v>29912</v>
      </c>
      <c r="AV240" s="412">
        <f t="shared" si="66"/>
        <v>67783</v>
      </c>
      <c r="AW240" s="412">
        <f t="shared" si="67"/>
        <v>2824.2916666666665</v>
      </c>
      <c r="AX240" s="413">
        <f t="shared" si="68"/>
        <v>69659</v>
      </c>
      <c r="AY240" s="413">
        <f t="shared" si="69"/>
        <v>2902.4583333333335</v>
      </c>
      <c r="AZ240" s="412">
        <f t="shared" si="70"/>
        <v>21277.125</v>
      </c>
      <c r="BA240" s="413">
        <f t="shared" si="71"/>
        <v>20601.791666666664</v>
      </c>
    </row>
    <row r="241" spans="1:53">
      <c r="A241" s="436" t="s">
        <v>233</v>
      </c>
      <c r="B241" s="8" t="s">
        <v>235</v>
      </c>
      <c r="C241" s="6"/>
      <c r="D241" s="33">
        <v>176372</v>
      </c>
      <c r="E241" s="7">
        <v>1</v>
      </c>
      <c r="F241" s="410"/>
      <c r="G241" s="411"/>
      <c r="H241" s="410"/>
      <c r="I241" s="411"/>
      <c r="J241" s="410">
        <v>143968</v>
      </c>
      <c r="K241" s="411">
        <v>148324</v>
      </c>
      <c r="L241" s="410">
        <v>23047</v>
      </c>
      <c r="M241" s="411">
        <v>22338</v>
      </c>
      <c r="N241" s="410">
        <v>165663</v>
      </c>
      <c r="O241" s="411">
        <v>163204</v>
      </c>
      <c r="P241" s="412">
        <f t="shared" si="72"/>
        <v>332678</v>
      </c>
      <c r="Q241" s="412">
        <f t="shared" si="73"/>
        <v>11089.266666666666</v>
      </c>
      <c r="R241" s="413">
        <f t="shared" si="74"/>
        <v>333866</v>
      </c>
      <c r="S241" s="413">
        <f t="shared" si="75"/>
        <v>11128.866666666667</v>
      </c>
      <c r="T241" s="410"/>
      <c r="U241" s="411"/>
      <c r="V241" s="412">
        <f t="shared" si="76"/>
        <v>0</v>
      </c>
      <c r="W241" s="413">
        <f t="shared" si="77"/>
        <v>0</v>
      </c>
      <c r="X241" s="410"/>
      <c r="Y241" s="411"/>
      <c r="Z241" s="410"/>
      <c r="AA241" s="411"/>
      <c r="AB241" s="410"/>
      <c r="AC241" s="411"/>
      <c r="AD241" s="410"/>
      <c r="AE241" s="411"/>
      <c r="AF241" s="412">
        <f t="shared" si="78"/>
        <v>0</v>
      </c>
      <c r="AG241" s="412">
        <f t="shared" si="79"/>
        <v>0</v>
      </c>
      <c r="AH241" s="413">
        <f t="shared" si="80"/>
        <v>0</v>
      </c>
      <c r="AI241" s="413">
        <f t="shared" si="81"/>
        <v>0</v>
      </c>
      <c r="AJ241" s="410"/>
      <c r="AK241" s="411"/>
      <c r="AL241" s="412">
        <f t="shared" si="64"/>
        <v>0</v>
      </c>
      <c r="AM241" s="413">
        <f t="shared" si="65"/>
        <v>0</v>
      </c>
      <c r="AN241" s="410"/>
      <c r="AO241" s="411"/>
      <c r="AP241" s="410">
        <v>21037</v>
      </c>
      <c r="AQ241" s="411">
        <v>19002</v>
      </c>
      <c r="AR241" s="410">
        <v>9541</v>
      </c>
      <c r="AS241" s="411">
        <v>9270</v>
      </c>
      <c r="AT241" s="410">
        <v>20651</v>
      </c>
      <c r="AU241" s="411">
        <v>20260</v>
      </c>
      <c r="AV241" s="412">
        <f t="shared" si="66"/>
        <v>51229</v>
      </c>
      <c r="AW241" s="412">
        <f t="shared" si="67"/>
        <v>2134.5416666666665</v>
      </c>
      <c r="AX241" s="413">
        <f t="shared" si="68"/>
        <v>48532</v>
      </c>
      <c r="AY241" s="413">
        <f t="shared" si="69"/>
        <v>2022.1666666666667</v>
      </c>
      <c r="AZ241" s="412">
        <f t="shared" si="70"/>
        <v>13223.808333333332</v>
      </c>
      <c r="BA241" s="413">
        <f t="shared" si="71"/>
        <v>13151.033333333333</v>
      </c>
    </row>
    <row r="242" spans="1:53">
      <c r="A242" s="436" t="s">
        <v>233</v>
      </c>
      <c r="B242" s="8" t="s">
        <v>236</v>
      </c>
      <c r="C242" s="6"/>
      <c r="D242" s="33">
        <v>175856</v>
      </c>
      <c r="E242" s="7">
        <v>2</v>
      </c>
      <c r="F242" s="410"/>
      <c r="G242" s="411"/>
      <c r="H242" s="410"/>
      <c r="I242" s="411"/>
      <c r="J242" s="410">
        <v>71274.5</v>
      </c>
      <c r="K242" s="411">
        <v>65247</v>
      </c>
      <c r="L242" s="410">
        <v>8577</v>
      </c>
      <c r="M242" s="411">
        <v>7951</v>
      </c>
      <c r="N242" s="410">
        <v>71391.5</v>
      </c>
      <c r="O242" s="411">
        <v>69018</v>
      </c>
      <c r="P242" s="412">
        <f t="shared" si="72"/>
        <v>151243</v>
      </c>
      <c r="Q242" s="412">
        <f t="shared" si="73"/>
        <v>5041.4333333333334</v>
      </c>
      <c r="R242" s="413">
        <f t="shared" si="74"/>
        <v>142216</v>
      </c>
      <c r="S242" s="413">
        <f t="shared" si="75"/>
        <v>4740.5333333333338</v>
      </c>
      <c r="T242" s="410"/>
      <c r="U242" s="411"/>
      <c r="V242" s="412">
        <f t="shared" si="76"/>
        <v>0</v>
      </c>
      <c r="W242" s="413">
        <f t="shared" si="77"/>
        <v>0</v>
      </c>
      <c r="X242" s="410"/>
      <c r="Y242" s="411"/>
      <c r="Z242" s="410"/>
      <c r="AA242" s="411"/>
      <c r="AB242" s="410"/>
      <c r="AC242" s="411"/>
      <c r="AD242" s="410"/>
      <c r="AE242" s="411"/>
      <c r="AF242" s="412">
        <f t="shared" si="78"/>
        <v>0</v>
      </c>
      <c r="AG242" s="412">
        <f t="shared" si="79"/>
        <v>0</v>
      </c>
      <c r="AH242" s="413">
        <f t="shared" si="80"/>
        <v>0</v>
      </c>
      <c r="AI242" s="413">
        <f t="shared" si="81"/>
        <v>0</v>
      </c>
      <c r="AJ242" s="410"/>
      <c r="AK242" s="411"/>
      <c r="AL242" s="412">
        <f t="shared" si="64"/>
        <v>0</v>
      </c>
      <c r="AM242" s="413">
        <f t="shared" si="65"/>
        <v>0</v>
      </c>
      <c r="AN242" s="410"/>
      <c r="AO242" s="411"/>
      <c r="AP242" s="410">
        <v>12437.5</v>
      </c>
      <c r="AQ242" s="411">
        <v>12241</v>
      </c>
      <c r="AR242" s="410">
        <v>3926</v>
      </c>
      <c r="AS242" s="411">
        <v>3972</v>
      </c>
      <c r="AT242" s="410">
        <v>12983</v>
      </c>
      <c r="AU242" s="411">
        <v>13480</v>
      </c>
      <c r="AV242" s="412">
        <f t="shared" si="66"/>
        <v>29346.5</v>
      </c>
      <c r="AW242" s="412">
        <f t="shared" si="67"/>
        <v>1222.7708333333333</v>
      </c>
      <c r="AX242" s="413">
        <f t="shared" si="68"/>
        <v>29693</v>
      </c>
      <c r="AY242" s="413">
        <f t="shared" si="69"/>
        <v>1237.2083333333333</v>
      </c>
      <c r="AZ242" s="412">
        <f t="shared" si="70"/>
        <v>6264.2041666666664</v>
      </c>
      <c r="BA242" s="413">
        <f t="shared" si="71"/>
        <v>5977.7416666666668</v>
      </c>
    </row>
    <row r="243" spans="1:53">
      <c r="A243" s="436" t="s">
        <v>233</v>
      </c>
      <c r="B243" s="8" t="s">
        <v>238</v>
      </c>
      <c r="C243" s="6"/>
      <c r="D243" s="33">
        <v>175342</v>
      </c>
      <c r="E243" s="7">
        <v>4</v>
      </c>
      <c r="F243" s="410"/>
      <c r="G243" s="411"/>
      <c r="H243" s="410"/>
      <c r="I243" s="411"/>
      <c r="J243" s="410">
        <v>42309</v>
      </c>
      <c r="K243" s="411">
        <v>41900</v>
      </c>
      <c r="L243" s="410">
        <v>7132</v>
      </c>
      <c r="M243" s="411">
        <v>7374</v>
      </c>
      <c r="N243" s="410">
        <v>45149</v>
      </c>
      <c r="O243" s="411">
        <v>42875</v>
      </c>
      <c r="P243" s="412">
        <f t="shared" si="72"/>
        <v>94590</v>
      </c>
      <c r="Q243" s="412">
        <f t="shared" si="73"/>
        <v>3153</v>
      </c>
      <c r="R243" s="413">
        <f t="shared" si="74"/>
        <v>92149</v>
      </c>
      <c r="S243" s="413">
        <f t="shared" si="75"/>
        <v>3071.6333333333332</v>
      </c>
      <c r="T243" s="410"/>
      <c r="U243" s="411"/>
      <c r="V243" s="412">
        <f t="shared" si="76"/>
        <v>0</v>
      </c>
      <c r="W243" s="413">
        <f t="shared" si="77"/>
        <v>0</v>
      </c>
      <c r="X243" s="410"/>
      <c r="Y243" s="411"/>
      <c r="Z243" s="410"/>
      <c r="AA243" s="411"/>
      <c r="AB243" s="410"/>
      <c r="AC243" s="411"/>
      <c r="AD243" s="410"/>
      <c r="AE243" s="411"/>
      <c r="AF243" s="412">
        <f t="shared" si="78"/>
        <v>0</v>
      </c>
      <c r="AG243" s="412">
        <f t="shared" si="79"/>
        <v>0</v>
      </c>
      <c r="AH243" s="413">
        <f t="shared" si="80"/>
        <v>0</v>
      </c>
      <c r="AI243" s="413">
        <f t="shared" si="81"/>
        <v>0</v>
      </c>
      <c r="AJ243" s="410"/>
      <c r="AK243" s="411"/>
      <c r="AL243" s="412">
        <f t="shared" si="64"/>
        <v>0</v>
      </c>
      <c r="AM243" s="413">
        <f t="shared" si="65"/>
        <v>0</v>
      </c>
      <c r="AN243" s="410"/>
      <c r="AO243" s="411"/>
      <c r="AP243" s="410">
        <v>3542</v>
      </c>
      <c r="AQ243" s="411">
        <v>3338</v>
      </c>
      <c r="AR243" s="410">
        <v>1457</v>
      </c>
      <c r="AS243" s="411">
        <v>1257</v>
      </c>
      <c r="AT243" s="410">
        <v>3397</v>
      </c>
      <c r="AU243" s="411">
        <v>3113</v>
      </c>
      <c r="AV243" s="412">
        <f t="shared" si="66"/>
        <v>8396</v>
      </c>
      <c r="AW243" s="412">
        <f t="shared" si="67"/>
        <v>349.83333333333331</v>
      </c>
      <c r="AX243" s="413">
        <f t="shared" si="68"/>
        <v>7708</v>
      </c>
      <c r="AY243" s="413">
        <f t="shared" si="69"/>
        <v>321.16666666666669</v>
      </c>
      <c r="AZ243" s="412">
        <f t="shared" si="70"/>
        <v>3502.8333333333335</v>
      </c>
      <c r="BA243" s="413">
        <f t="shared" si="71"/>
        <v>3392.7999999999997</v>
      </c>
    </row>
    <row r="244" spans="1:53">
      <c r="A244" s="436" t="s">
        <v>233</v>
      </c>
      <c r="B244" s="8" t="s">
        <v>239</v>
      </c>
      <c r="C244" s="6"/>
      <c r="D244" s="33">
        <v>175616</v>
      </c>
      <c r="E244" s="7">
        <v>4</v>
      </c>
      <c r="F244" s="410"/>
      <c r="G244" s="411"/>
      <c r="H244" s="410"/>
      <c r="I244" s="411"/>
      <c r="J244" s="410">
        <v>34174</v>
      </c>
      <c r="K244" s="411">
        <v>33077</v>
      </c>
      <c r="L244" s="410">
        <v>2683</v>
      </c>
      <c r="M244" s="411">
        <v>3185</v>
      </c>
      <c r="N244" s="410">
        <v>36218</v>
      </c>
      <c r="O244" s="411">
        <v>36961</v>
      </c>
      <c r="P244" s="412">
        <f t="shared" si="72"/>
        <v>73075</v>
      </c>
      <c r="Q244" s="412">
        <f t="shared" si="73"/>
        <v>2435.8333333333335</v>
      </c>
      <c r="R244" s="413">
        <f t="shared" si="74"/>
        <v>73223</v>
      </c>
      <c r="S244" s="413">
        <f t="shared" si="75"/>
        <v>2440.7666666666669</v>
      </c>
      <c r="T244" s="410"/>
      <c r="U244" s="411"/>
      <c r="V244" s="412">
        <f t="shared" si="76"/>
        <v>0</v>
      </c>
      <c r="W244" s="413">
        <f t="shared" si="77"/>
        <v>0</v>
      </c>
      <c r="X244" s="410"/>
      <c r="Y244" s="411"/>
      <c r="Z244" s="410"/>
      <c r="AA244" s="411"/>
      <c r="AB244" s="410"/>
      <c r="AC244" s="411"/>
      <c r="AD244" s="410"/>
      <c r="AE244" s="411"/>
      <c r="AF244" s="412">
        <f t="shared" si="78"/>
        <v>0</v>
      </c>
      <c r="AG244" s="412">
        <f t="shared" si="79"/>
        <v>0</v>
      </c>
      <c r="AH244" s="413">
        <f t="shared" si="80"/>
        <v>0</v>
      </c>
      <c r="AI244" s="413">
        <f t="shared" si="81"/>
        <v>0</v>
      </c>
      <c r="AJ244" s="410"/>
      <c r="AK244" s="411"/>
      <c r="AL244" s="412">
        <f t="shared" si="64"/>
        <v>0</v>
      </c>
      <c r="AM244" s="413">
        <f t="shared" si="65"/>
        <v>0</v>
      </c>
      <c r="AN244" s="410"/>
      <c r="AO244" s="411"/>
      <c r="AP244" s="410">
        <v>4855</v>
      </c>
      <c r="AQ244" s="411">
        <v>4570</v>
      </c>
      <c r="AR244" s="410">
        <v>11922</v>
      </c>
      <c r="AS244" s="411">
        <v>6334</v>
      </c>
      <c r="AT244" s="410">
        <v>4610</v>
      </c>
      <c r="AU244" s="411">
        <v>4814.5</v>
      </c>
      <c r="AV244" s="412">
        <f t="shared" si="66"/>
        <v>21387</v>
      </c>
      <c r="AW244" s="412">
        <f t="shared" si="67"/>
        <v>891.125</v>
      </c>
      <c r="AX244" s="413">
        <f t="shared" si="68"/>
        <v>15718.5</v>
      </c>
      <c r="AY244" s="413">
        <f t="shared" si="69"/>
        <v>654.9375</v>
      </c>
      <c r="AZ244" s="412">
        <f t="shared" si="70"/>
        <v>3326.9583333333335</v>
      </c>
      <c r="BA244" s="413">
        <f t="shared" si="71"/>
        <v>3095.7041666666669</v>
      </c>
    </row>
    <row r="245" spans="1:53">
      <c r="A245" s="436" t="s">
        <v>233</v>
      </c>
      <c r="B245" s="8" t="s">
        <v>240</v>
      </c>
      <c r="C245" s="6"/>
      <c r="D245" s="33">
        <v>176044</v>
      </c>
      <c r="E245" s="7">
        <v>4</v>
      </c>
      <c r="F245" s="410"/>
      <c r="G245" s="411"/>
      <c r="H245" s="410"/>
      <c r="I245" s="411"/>
      <c r="J245" s="410">
        <v>22526</v>
      </c>
      <c r="K245" s="411">
        <v>21299</v>
      </c>
      <c r="L245" s="410">
        <v>4565</v>
      </c>
      <c r="M245" s="411">
        <v>3971</v>
      </c>
      <c r="N245" s="410">
        <v>23952</v>
      </c>
      <c r="O245" s="411">
        <v>22347.7</v>
      </c>
      <c r="P245" s="412">
        <f t="shared" si="72"/>
        <v>51043</v>
      </c>
      <c r="Q245" s="412">
        <f t="shared" si="73"/>
        <v>1701.4333333333334</v>
      </c>
      <c r="R245" s="413">
        <f t="shared" si="74"/>
        <v>47617.7</v>
      </c>
      <c r="S245" s="413">
        <f t="shared" si="75"/>
        <v>1587.2566666666667</v>
      </c>
      <c r="T245" s="410"/>
      <c r="U245" s="411"/>
      <c r="V245" s="412">
        <f t="shared" si="76"/>
        <v>0</v>
      </c>
      <c r="W245" s="413">
        <f t="shared" si="77"/>
        <v>0</v>
      </c>
      <c r="X245" s="410"/>
      <c r="Y245" s="411"/>
      <c r="Z245" s="410"/>
      <c r="AA245" s="411"/>
      <c r="AB245" s="410"/>
      <c r="AC245" s="411"/>
      <c r="AD245" s="410"/>
      <c r="AE245" s="411"/>
      <c r="AF245" s="412">
        <f t="shared" si="78"/>
        <v>0</v>
      </c>
      <c r="AG245" s="412">
        <f t="shared" si="79"/>
        <v>0</v>
      </c>
      <c r="AH245" s="413">
        <f t="shared" si="80"/>
        <v>0</v>
      </c>
      <c r="AI245" s="413">
        <f t="shared" si="81"/>
        <v>0</v>
      </c>
      <c r="AJ245" s="410"/>
      <c r="AK245" s="411"/>
      <c r="AL245" s="412">
        <f t="shared" si="64"/>
        <v>0</v>
      </c>
      <c r="AM245" s="413">
        <f t="shared" si="65"/>
        <v>0</v>
      </c>
      <c r="AN245" s="410"/>
      <c r="AO245" s="411"/>
      <c r="AP245" s="410">
        <v>2662</v>
      </c>
      <c r="AQ245" s="411">
        <v>2242</v>
      </c>
      <c r="AR245" s="410">
        <v>615</v>
      </c>
      <c r="AS245" s="411">
        <v>573</v>
      </c>
      <c r="AT245" s="410">
        <v>2494</v>
      </c>
      <c r="AU245" s="411">
        <v>2163</v>
      </c>
      <c r="AV245" s="412">
        <f t="shared" si="66"/>
        <v>5771</v>
      </c>
      <c r="AW245" s="412">
        <f t="shared" si="67"/>
        <v>240.45833333333334</v>
      </c>
      <c r="AX245" s="413">
        <f t="shared" si="68"/>
        <v>4978</v>
      </c>
      <c r="AY245" s="413">
        <f t="shared" si="69"/>
        <v>207.41666666666666</v>
      </c>
      <c r="AZ245" s="412">
        <f t="shared" si="70"/>
        <v>1941.8916666666667</v>
      </c>
      <c r="BA245" s="413">
        <f t="shared" si="71"/>
        <v>1794.6733333333334</v>
      </c>
    </row>
    <row r="246" spans="1:53">
      <c r="A246" s="436" t="s">
        <v>233</v>
      </c>
      <c r="B246" s="8" t="s">
        <v>241</v>
      </c>
      <c r="C246" s="564" t="s">
        <v>921</v>
      </c>
      <c r="D246" s="33">
        <v>176035</v>
      </c>
      <c r="E246" s="580">
        <v>4</v>
      </c>
      <c r="F246" s="410"/>
      <c r="G246" s="411"/>
      <c r="H246" s="410"/>
      <c r="I246" s="411"/>
      <c r="J246" s="410">
        <v>30217</v>
      </c>
      <c r="K246" s="411">
        <v>30462</v>
      </c>
      <c r="L246" s="410">
        <v>8406</v>
      </c>
      <c r="M246" s="411">
        <v>8644</v>
      </c>
      <c r="N246" s="410">
        <v>31813</v>
      </c>
      <c r="O246" s="411">
        <v>32762</v>
      </c>
      <c r="P246" s="412">
        <f t="shared" si="72"/>
        <v>70436</v>
      </c>
      <c r="Q246" s="412">
        <f t="shared" si="73"/>
        <v>2347.8666666666668</v>
      </c>
      <c r="R246" s="413">
        <f t="shared" si="74"/>
        <v>71868</v>
      </c>
      <c r="S246" s="413">
        <f t="shared" si="75"/>
        <v>2395.6</v>
      </c>
      <c r="T246" s="410"/>
      <c r="U246" s="411"/>
      <c r="V246" s="412">
        <f t="shared" si="76"/>
        <v>0</v>
      </c>
      <c r="W246" s="413">
        <f t="shared" si="77"/>
        <v>0</v>
      </c>
      <c r="X246" s="410"/>
      <c r="Y246" s="411"/>
      <c r="Z246" s="410"/>
      <c r="AA246" s="411"/>
      <c r="AB246" s="410"/>
      <c r="AC246" s="411"/>
      <c r="AD246" s="410"/>
      <c r="AE246" s="411"/>
      <c r="AF246" s="412">
        <f t="shared" si="78"/>
        <v>0</v>
      </c>
      <c r="AG246" s="412">
        <f t="shared" si="79"/>
        <v>0</v>
      </c>
      <c r="AH246" s="413">
        <f t="shared" si="80"/>
        <v>0</v>
      </c>
      <c r="AI246" s="413">
        <f t="shared" si="81"/>
        <v>0</v>
      </c>
      <c r="AJ246" s="410"/>
      <c r="AK246" s="411"/>
      <c r="AL246" s="412">
        <f t="shared" si="64"/>
        <v>0</v>
      </c>
      <c r="AM246" s="413">
        <f t="shared" si="65"/>
        <v>0</v>
      </c>
      <c r="AN246" s="410"/>
      <c r="AO246" s="411"/>
      <c r="AP246" s="410">
        <v>1647</v>
      </c>
      <c r="AQ246" s="411">
        <v>1634</v>
      </c>
      <c r="AR246" s="410">
        <v>1002</v>
      </c>
      <c r="AS246" s="411">
        <v>971</v>
      </c>
      <c r="AT246" s="410">
        <v>1727</v>
      </c>
      <c r="AU246" s="411">
        <v>1945</v>
      </c>
      <c r="AV246" s="412">
        <f t="shared" si="66"/>
        <v>4376</v>
      </c>
      <c r="AW246" s="412">
        <f t="shared" si="67"/>
        <v>182.33333333333334</v>
      </c>
      <c r="AX246" s="413">
        <f t="shared" si="68"/>
        <v>4550</v>
      </c>
      <c r="AY246" s="413">
        <f t="shared" si="69"/>
        <v>189.58333333333334</v>
      </c>
      <c r="AZ246" s="412">
        <f t="shared" si="70"/>
        <v>2530.2000000000003</v>
      </c>
      <c r="BA246" s="413">
        <f t="shared" si="71"/>
        <v>2585.1833333333334</v>
      </c>
    </row>
    <row r="247" spans="1:53">
      <c r="A247" s="438" t="s">
        <v>233</v>
      </c>
      <c r="B247" s="4" t="s">
        <v>242</v>
      </c>
      <c r="C247" s="3"/>
      <c r="D247" s="2">
        <v>175786</v>
      </c>
      <c r="E247" s="425">
        <v>8</v>
      </c>
      <c r="F247" s="410"/>
      <c r="G247" s="411"/>
      <c r="H247" s="410"/>
      <c r="I247" s="411"/>
      <c r="J247" s="410">
        <v>125586</v>
      </c>
      <c r="K247" s="581">
        <v>117825</v>
      </c>
      <c r="L247" s="582">
        <v>23859</v>
      </c>
      <c r="M247" s="581">
        <v>20441</v>
      </c>
      <c r="N247" s="582">
        <v>142371</v>
      </c>
      <c r="O247" s="581">
        <v>138606</v>
      </c>
      <c r="P247" s="583">
        <f t="shared" si="72"/>
        <v>291816</v>
      </c>
      <c r="Q247" s="583">
        <f t="shared" si="73"/>
        <v>9727.2000000000007</v>
      </c>
      <c r="R247" s="584">
        <f t="shared" si="74"/>
        <v>276872</v>
      </c>
      <c r="S247" s="584">
        <f t="shared" si="75"/>
        <v>9229.0666666666675</v>
      </c>
      <c r="T247" s="582">
        <v>26180</v>
      </c>
      <c r="U247" s="585">
        <v>29356</v>
      </c>
      <c r="V247" s="583">
        <f t="shared" si="76"/>
        <v>291816</v>
      </c>
      <c r="W247" s="584">
        <f t="shared" si="77"/>
        <v>276872</v>
      </c>
      <c r="X247" s="582"/>
      <c r="Y247" s="585"/>
      <c r="Z247" s="582"/>
      <c r="AA247" s="585"/>
      <c r="AB247" s="582"/>
      <c r="AC247" s="585"/>
      <c r="AD247" s="582"/>
      <c r="AE247" s="585"/>
      <c r="AF247" s="583">
        <f t="shared" si="78"/>
        <v>0</v>
      </c>
      <c r="AG247" s="583">
        <f t="shared" si="79"/>
        <v>0</v>
      </c>
      <c r="AH247" s="584">
        <f t="shared" si="80"/>
        <v>0</v>
      </c>
      <c r="AI247" s="584">
        <f t="shared" si="81"/>
        <v>0</v>
      </c>
      <c r="AJ247" s="582"/>
      <c r="AK247" s="585"/>
      <c r="AL247" s="583">
        <f t="shared" si="64"/>
        <v>0</v>
      </c>
      <c r="AM247" s="584">
        <f t="shared" si="65"/>
        <v>0</v>
      </c>
      <c r="AN247" s="582"/>
      <c r="AO247" s="585"/>
      <c r="AP247" s="582"/>
      <c r="AQ247" s="585"/>
      <c r="AR247" s="582"/>
      <c r="AS247" s="585"/>
      <c r="AT247" s="582"/>
      <c r="AU247" s="585"/>
      <c r="AV247" s="583">
        <f t="shared" si="66"/>
        <v>0</v>
      </c>
      <c r="AW247" s="583">
        <f t="shared" si="67"/>
        <v>0</v>
      </c>
      <c r="AX247" s="584">
        <f t="shared" si="68"/>
        <v>0</v>
      </c>
      <c r="AY247" s="584">
        <f t="shared" si="69"/>
        <v>0</v>
      </c>
      <c r="AZ247" s="583">
        <f t="shared" si="70"/>
        <v>9727.2000000000007</v>
      </c>
      <c r="BA247" s="584">
        <f t="shared" si="71"/>
        <v>9229.0666666666675</v>
      </c>
    </row>
    <row r="248" spans="1:53">
      <c r="A248" s="438" t="s">
        <v>233</v>
      </c>
      <c r="B248" s="4" t="s">
        <v>249</v>
      </c>
      <c r="C248" s="1"/>
      <c r="D248" s="2">
        <v>175810</v>
      </c>
      <c r="E248" s="425">
        <v>8</v>
      </c>
      <c r="F248" s="582"/>
      <c r="G248" s="585"/>
      <c r="H248" s="582"/>
      <c r="I248" s="585"/>
      <c r="J248" s="582">
        <v>67235</v>
      </c>
      <c r="K248" s="581">
        <v>65328</v>
      </c>
      <c r="L248" s="582">
        <v>17791</v>
      </c>
      <c r="M248" s="581">
        <v>18378</v>
      </c>
      <c r="N248" s="582">
        <v>77165</v>
      </c>
      <c r="O248" s="581">
        <v>73040</v>
      </c>
      <c r="P248" s="583">
        <f t="shared" si="72"/>
        <v>162191</v>
      </c>
      <c r="Q248" s="583">
        <f t="shared" si="73"/>
        <v>5406.3666666666668</v>
      </c>
      <c r="R248" s="584">
        <f t="shared" si="74"/>
        <v>156746</v>
      </c>
      <c r="S248" s="584">
        <f t="shared" si="75"/>
        <v>5224.8666666666668</v>
      </c>
      <c r="T248" s="582">
        <v>8927</v>
      </c>
      <c r="U248" s="585">
        <v>8498</v>
      </c>
      <c r="V248" s="583">
        <f t="shared" si="76"/>
        <v>162191</v>
      </c>
      <c r="W248" s="584">
        <f t="shared" si="77"/>
        <v>156746</v>
      </c>
      <c r="X248" s="582"/>
      <c r="Y248" s="585"/>
      <c r="Z248" s="582"/>
      <c r="AA248" s="585"/>
      <c r="AB248" s="582"/>
      <c r="AC248" s="585"/>
      <c r="AD248" s="582"/>
      <c r="AE248" s="585"/>
      <c r="AF248" s="583">
        <f t="shared" si="78"/>
        <v>0</v>
      </c>
      <c r="AG248" s="583">
        <f t="shared" si="79"/>
        <v>0</v>
      </c>
      <c r="AH248" s="584">
        <f t="shared" si="80"/>
        <v>0</v>
      </c>
      <c r="AI248" s="584">
        <f t="shared" si="81"/>
        <v>0</v>
      </c>
      <c r="AJ248" s="582"/>
      <c r="AK248" s="585"/>
      <c r="AL248" s="583">
        <f t="shared" si="64"/>
        <v>0</v>
      </c>
      <c r="AM248" s="584">
        <f t="shared" si="65"/>
        <v>0</v>
      </c>
      <c r="AN248" s="582"/>
      <c r="AO248" s="585"/>
      <c r="AP248" s="582"/>
      <c r="AQ248" s="585"/>
      <c r="AR248" s="582"/>
      <c r="AS248" s="585"/>
      <c r="AT248" s="582"/>
      <c r="AU248" s="585"/>
      <c r="AV248" s="583">
        <f t="shared" si="66"/>
        <v>0</v>
      </c>
      <c r="AW248" s="583">
        <f t="shared" si="67"/>
        <v>0</v>
      </c>
      <c r="AX248" s="584">
        <f t="shared" si="68"/>
        <v>0</v>
      </c>
      <c r="AY248" s="584">
        <f t="shared" si="69"/>
        <v>0</v>
      </c>
      <c r="AZ248" s="583">
        <f t="shared" si="70"/>
        <v>5406.3666666666668</v>
      </c>
      <c r="BA248" s="584">
        <f t="shared" si="71"/>
        <v>5224.8666666666668</v>
      </c>
    </row>
    <row r="249" spans="1:53">
      <c r="A249" s="438" t="s">
        <v>233</v>
      </c>
      <c r="B249" s="4" t="s">
        <v>243</v>
      </c>
      <c r="C249" s="1" t="s">
        <v>934</v>
      </c>
      <c r="D249" s="2">
        <v>175829</v>
      </c>
      <c r="E249" s="427">
        <v>9</v>
      </c>
      <c r="F249" s="582"/>
      <c r="G249" s="585"/>
      <c r="H249" s="582"/>
      <c r="I249" s="585"/>
      <c r="J249" s="582">
        <v>61916</v>
      </c>
      <c r="K249" s="581">
        <v>59079</v>
      </c>
      <c r="L249" s="582">
        <v>8869</v>
      </c>
      <c r="M249" s="581">
        <v>7547</v>
      </c>
      <c r="N249" s="582">
        <v>69910</v>
      </c>
      <c r="O249" s="581">
        <v>65153</v>
      </c>
      <c r="P249" s="583">
        <f t="shared" si="72"/>
        <v>140695</v>
      </c>
      <c r="Q249" s="583">
        <f t="shared" si="73"/>
        <v>4689.833333333333</v>
      </c>
      <c r="R249" s="584">
        <f t="shared" si="74"/>
        <v>131779</v>
      </c>
      <c r="S249" s="584">
        <f t="shared" si="75"/>
        <v>4392.6333333333332</v>
      </c>
      <c r="T249" s="582">
        <v>6065</v>
      </c>
      <c r="U249" s="585">
        <v>6911</v>
      </c>
      <c r="V249" s="583">
        <f t="shared" si="76"/>
        <v>140695</v>
      </c>
      <c r="W249" s="584">
        <f t="shared" si="77"/>
        <v>131779</v>
      </c>
      <c r="X249" s="582"/>
      <c r="Y249" s="585"/>
      <c r="Z249" s="582"/>
      <c r="AA249" s="585"/>
      <c r="AB249" s="582"/>
      <c r="AC249" s="585"/>
      <c r="AD249" s="582"/>
      <c r="AE249" s="585"/>
      <c r="AF249" s="583">
        <f t="shared" si="78"/>
        <v>0</v>
      </c>
      <c r="AG249" s="583">
        <f t="shared" si="79"/>
        <v>0</v>
      </c>
      <c r="AH249" s="584">
        <f t="shared" si="80"/>
        <v>0</v>
      </c>
      <c r="AI249" s="584">
        <f t="shared" si="81"/>
        <v>0</v>
      </c>
      <c r="AJ249" s="582"/>
      <c r="AK249" s="585"/>
      <c r="AL249" s="583">
        <f t="shared" si="64"/>
        <v>0</v>
      </c>
      <c r="AM249" s="584">
        <f t="shared" si="65"/>
        <v>0</v>
      </c>
      <c r="AN249" s="582"/>
      <c r="AO249" s="585"/>
      <c r="AP249" s="582"/>
      <c r="AQ249" s="585"/>
      <c r="AR249" s="582"/>
      <c r="AS249" s="585"/>
      <c r="AT249" s="582"/>
      <c r="AU249" s="585"/>
      <c r="AV249" s="583">
        <f t="shared" si="66"/>
        <v>0</v>
      </c>
      <c r="AW249" s="583">
        <f t="shared" si="67"/>
        <v>0</v>
      </c>
      <c r="AX249" s="584">
        <f t="shared" si="68"/>
        <v>0</v>
      </c>
      <c r="AY249" s="584">
        <f t="shared" si="69"/>
        <v>0</v>
      </c>
      <c r="AZ249" s="583">
        <f t="shared" si="70"/>
        <v>4689.833333333333</v>
      </c>
      <c r="BA249" s="584">
        <f t="shared" si="71"/>
        <v>4392.6333333333332</v>
      </c>
    </row>
    <row r="250" spans="1:53">
      <c r="A250" s="438" t="s">
        <v>233</v>
      </c>
      <c r="B250" s="4" t="s">
        <v>244</v>
      </c>
      <c r="C250" s="3"/>
      <c r="D250" s="2">
        <v>176071</v>
      </c>
      <c r="E250" s="425">
        <v>8</v>
      </c>
      <c r="F250" s="582"/>
      <c r="G250" s="585"/>
      <c r="H250" s="582"/>
      <c r="I250" s="585"/>
      <c r="J250" s="582">
        <v>99351</v>
      </c>
      <c r="K250" s="581">
        <v>99723</v>
      </c>
      <c r="L250" s="582">
        <v>21840</v>
      </c>
      <c r="M250" s="581">
        <v>20971</v>
      </c>
      <c r="N250" s="582">
        <v>109124</v>
      </c>
      <c r="O250" s="581">
        <v>109037</v>
      </c>
      <c r="P250" s="583">
        <f t="shared" si="72"/>
        <v>230315</v>
      </c>
      <c r="Q250" s="583">
        <f t="shared" si="73"/>
        <v>7677.166666666667</v>
      </c>
      <c r="R250" s="584">
        <f t="shared" si="74"/>
        <v>229731</v>
      </c>
      <c r="S250" s="584">
        <f t="shared" si="75"/>
        <v>7657.7</v>
      </c>
      <c r="T250" s="582">
        <v>11936</v>
      </c>
      <c r="U250" s="585">
        <v>15110</v>
      </c>
      <c r="V250" s="583">
        <f t="shared" si="76"/>
        <v>230315</v>
      </c>
      <c r="W250" s="584">
        <f t="shared" si="77"/>
        <v>229731</v>
      </c>
      <c r="X250" s="582"/>
      <c r="Y250" s="585"/>
      <c r="Z250" s="582"/>
      <c r="AA250" s="585"/>
      <c r="AB250" s="582"/>
      <c r="AC250" s="585"/>
      <c r="AD250" s="582"/>
      <c r="AE250" s="585"/>
      <c r="AF250" s="583">
        <f t="shared" si="78"/>
        <v>0</v>
      </c>
      <c r="AG250" s="583">
        <f t="shared" si="79"/>
        <v>0</v>
      </c>
      <c r="AH250" s="584">
        <f t="shared" si="80"/>
        <v>0</v>
      </c>
      <c r="AI250" s="584">
        <f t="shared" si="81"/>
        <v>0</v>
      </c>
      <c r="AJ250" s="582"/>
      <c r="AK250" s="585"/>
      <c r="AL250" s="583">
        <f t="shared" si="64"/>
        <v>0</v>
      </c>
      <c r="AM250" s="584">
        <f t="shared" si="65"/>
        <v>0</v>
      </c>
      <c r="AN250" s="582"/>
      <c r="AO250" s="585"/>
      <c r="AP250" s="582"/>
      <c r="AQ250" s="585"/>
      <c r="AR250" s="582"/>
      <c r="AS250" s="585"/>
      <c r="AT250" s="582"/>
      <c r="AU250" s="585"/>
      <c r="AV250" s="583">
        <f t="shared" si="66"/>
        <v>0</v>
      </c>
      <c r="AW250" s="583">
        <f t="shared" si="67"/>
        <v>0</v>
      </c>
      <c r="AX250" s="584">
        <f t="shared" si="68"/>
        <v>0</v>
      </c>
      <c r="AY250" s="584">
        <f t="shared" si="69"/>
        <v>0</v>
      </c>
      <c r="AZ250" s="583">
        <f t="shared" si="70"/>
        <v>7677.166666666667</v>
      </c>
      <c r="BA250" s="584">
        <f t="shared" si="71"/>
        <v>7657.7</v>
      </c>
    </row>
    <row r="251" spans="1:53">
      <c r="A251" s="438" t="s">
        <v>233</v>
      </c>
      <c r="B251" s="4" t="s">
        <v>245</v>
      </c>
      <c r="C251" s="3"/>
      <c r="D251" s="2">
        <v>176178</v>
      </c>
      <c r="E251" s="425">
        <v>8</v>
      </c>
      <c r="F251" s="582"/>
      <c r="G251" s="585"/>
      <c r="H251" s="582"/>
      <c r="I251" s="585"/>
      <c r="J251" s="582">
        <v>82912</v>
      </c>
      <c r="K251" s="581">
        <v>81173</v>
      </c>
      <c r="L251" s="582">
        <v>15793</v>
      </c>
      <c r="M251" s="581">
        <v>14206</v>
      </c>
      <c r="N251" s="582">
        <v>93958</v>
      </c>
      <c r="O251" s="581">
        <v>88679</v>
      </c>
      <c r="P251" s="583">
        <f t="shared" si="72"/>
        <v>192663</v>
      </c>
      <c r="Q251" s="583">
        <f t="shared" si="73"/>
        <v>6422.1</v>
      </c>
      <c r="R251" s="584">
        <f t="shared" si="74"/>
        <v>184058</v>
      </c>
      <c r="S251" s="584">
        <f t="shared" si="75"/>
        <v>6135.2666666666664</v>
      </c>
      <c r="T251" s="582">
        <v>13029</v>
      </c>
      <c r="U251" s="585">
        <v>15597</v>
      </c>
      <c r="V251" s="583">
        <f t="shared" si="76"/>
        <v>192663</v>
      </c>
      <c r="W251" s="584">
        <f t="shared" si="77"/>
        <v>184058</v>
      </c>
      <c r="X251" s="582"/>
      <c r="Y251" s="585"/>
      <c r="Z251" s="582"/>
      <c r="AA251" s="585"/>
      <c r="AB251" s="582"/>
      <c r="AC251" s="585"/>
      <c r="AD251" s="582"/>
      <c r="AE251" s="585"/>
      <c r="AF251" s="583">
        <f t="shared" si="78"/>
        <v>0</v>
      </c>
      <c r="AG251" s="583">
        <f t="shared" si="79"/>
        <v>0</v>
      </c>
      <c r="AH251" s="584">
        <f t="shared" si="80"/>
        <v>0</v>
      </c>
      <c r="AI251" s="584">
        <f t="shared" si="81"/>
        <v>0</v>
      </c>
      <c r="AJ251" s="582"/>
      <c r="AK251" s="585"/>
      <c r="AL251" s="583">
        <f t="shared" si="64"/>
        <v>0</v>
      </c>
      <c r="AM251" s="584">
        <f t="shared" si="65"/>
        <v>0</v>
      </c>
      <c r="AN251" s="582"/>
      <c r="AO251" s="585"/>
      <c r="AP251" s="582"/>
      <c r="AQ251" s="585"/>
      <c r="AR251" s="582"/>
      <c r="AS251" s="585"/>
      <c r="AT251" s="582"/>
      <c r="AU251" s="585"/>
      <c r="AV251" s="583">
        <f t="shared" si="66"/>
        <v>0</v>
      </c>
      <c r="AW251" s="583">
        <f t="shared" si="67"/>
        <v>0</v>
      </c>
      <c r="AX251" s="584">
        <f t="shared" si="68"/>
        <v>0</v>
      </c>
      <c r="AY251" s="584">
        <f t="shared" si="69"/>
        <v>0</v>
      </c>
      <c r="AZ251" s="583">
        <f t="shared" si="70"/>
        <v>6422.1</v>
      </c>
      <c r="BA251" s="584">
        <f t="shared" si="71"/>
        <v>6135.2666666666664</v>
      </c>
    </row>
    <row r="252" spans="1:53">
      <c r="A252" s="438" t="s">
        <v>233</v>
      </c>
      <c r="B252" s="4" t="s">
        <v>246</v>
      </c>
      <c r="C252" s="3"/>
      <c r="D252" s="2">
        <v>175573</v>
      </c>
      <c r="E252" s="425">
        <v>9</v>
      </c>
      <c r="F252" s="582"/>
      <c r="G252" s="585"/>
      <c r="H252" s="582"/>
      <c r="I252" s="585"/>
      <c r="J252" s="582">
        <v>33425</v>
      </c>
      <c r="K252" s="581">
        <v>34048</v>
      </c>
      <c r="L252" s="582">
        <v>7273</v>
      </c>
      <c r="M252" s="581">
        <v>7231</v>
      </c>
      <c r="N252" s="582">
        <v>38986</v>
      </c>
      <c r="O252" s="581">
        <v>38389</v>
      </c>
      <c r="P252" s="583">
        <f t="shared" si="72"/>
        <v>79684</v>
      </c>
      <c r="Q252" s="583">
        <f t="shared" si="73"/>
        <v>2656.1333333333332</v>
      </c>
      <c r="R252" s="584">
        <f t="shared" si="74"/>
        <v>79668</v>
      </c>
      <c r="S252" s="584">
        <f t="shared" si="75"/>
        <v>2655.6</v>
      </c>
      <c r="T252" s="582">
        <v>7639</v>
      </c>
      <c r="U252" s="585">
        <v>8151</v>
      </c>
      <c r="V252" s="583">
        <f t="shared" si="76"/>
        <v>79684</v>
      </c>
      <c r="W252" s="584">
        <f t="shared" si="77"/>
        <v>79668</v>
      </c>
      <c r="X252" s="582"/>
      <c r="Y252" s="585"/>
      <c r="Z252" s="582"/>
      <c r="AA252" s="585"/>
      <c r="AB252" s="582"/>
      <c r="AC252" s="585"/>
      <c r="AD252" s="582"/>
      <c r="AE252" s="585"/>
      <c r="AF252" s="583">
        <f t="shared" si="78"/>
        <v>0</v>
      </c>
      <c r="AG252" s="583">
        <f t="shared" si="79"/>
        <v>0</v>
      </c>
      <c r="AH252" s="584">
        <f t="shared" si="80"/>
        <v>0</v>
      </c>
      <c r="AI252" s="584">
        <f t="shared" si="81"/>
        <v>0</v>
      </c>
      <c r="AJ252" s="582"/>
      <c r="AK252" s="585"/>
      <c r="AL252" s="583">
        <f t="shared" si="64"/>
        <v>0</v>
      </c>
      <c r="AM252" s="584">
        <f t="shared" si="65"/>
        <v>0</v>
      </c>
      <c r="AN252" s="582"/>
      <c r="AO252" s="585"/>
      <c r="AP252" s="582"/>
      <c r="AQ252" s="585"/>
      <c r="AR252" s="582"/>
      <c r="AS252" s="585"/>
      <c r="AT252" s="582"/>
      <c r="AU252" s="585"/>
      <c r="AV252" s="583">
        <f t="shared" si="66"/>
        <v>0</v>
      </c>
      <c r="AW252" s="583">
        <f t="shared" si="67"/>
        <v>0</v>
      </c>
      <c r="AX252" s="584">
        <f t="shared" si="68"/>
        <v>0</v>
      </c>
      <c r="AY252" s="584">
        <f t="shared" si="69"/>
        <v>0</v>
      </c>
      <c r="AZ252" s="583">
        <f t="shared" si="70"/>
        <v>2656.1333333333332</v>
      </c>
      <c r="BA252" s="584">
        <f t="shared" si="71"/>
        <v>2655.6</v>
      </c>
    </row>
    <row r="253" spans="1:53">
      <c r="A253" s="438" t="s">
        <v>233</v>
      </c>
      <c r="B253" s="4" t="s">
        <v>247</v>
      </c>
      <c r="C253" s="3"/>
      <c r="D253" s="2">
        <v>175643</v>
      </c>
      <c r="E253" s="425">
        <v>9</v>
      </c>
      <c r="F253" s="582"/>
      <c r="G253" s="585"/>
      <c r="H253" s="582"/>
      <c r="I253" s="585"/>
      <c r="J253" s="582">
        <v>31099</v>
      </c>
      <c r="K253" s="581">
        <v>29684</v>
      </c>
      <c r="L253" s="582">
        <v>4498</v>
      </c>
      <c r="M253" s="581">
        <v>3832</v>
      </c>
      <c r="N253" s="582">
        <v>35805</v>
      </c>
      <c r="O253" s="581">
        <v>32487</v>
      </c>
      <c r="P253" s="583">
        <f t="shared" si="72"/>
        <v>71402</v>
      </c>
      <c r="Q253" s="583">
        <f t="shared" si="73"/>
        <v>2380.0666666666666</v>
      </c>
      <c r="R253" s="584">
        <f t="shared" si="74"/>
        <v>66003</v>
      </c>
      <c r="S253" s="584">
        <f t="shared" si="75"/>
        <v>2200.1</v>
      </c>
      <c r="T253" s="582">
        <v>5994</v>
      </c>
      <c r="U253" s="585">
        <v>6648</v>
      </c>
      <c r="V253" s="583">
        <f t="shared" si="76"/>
        <v>71402</v>
      </c>
      <c r="W253" s="584">
        <f t="shared" si="77"/>
        <v>66003</v>
      </c>
      <c r="X253" s="582"/>
      <c r="Y253" s="585"/>
      <c r="Z253" s="582"/>
      <c r="AA253" s="585"/>
      <c r="AB253" s="582"/>
      <c r="AC253" s="585"/>
      <c r="AD253" s="582"/>
      <c r="AE253" s="585"/>
      <c r="AF253" s="583">
        <f t="shared" si="78"/>
        <v>0</v>
      </c>
      <c r="AG253" s="583">
        <f t="shared" si="79"/>
        <v>0</v>
      </c>
      <c r="AH253" s="584">
        <f t="shared" si="80"/>
        <v>0</v>
      </c>
      <c r="AI253" s="584">
        <f t="shared" si="81"/>
        <v>0</v>
      </c>
      <c r="AJ253" s="582"/>
      <c r="AK253" s="585"/>
      <c r="AL253" s="583">
        <f t="shared" si="64"/>
        <v>0</v>
      </c>
      <c r="AM253" s="584">
        <f t="shared" si="65"/>
        <v>0</v>
      </c>
      <c r="AN253" s="582"/>
      <c r="AO253" s="585"/>
      <c r="AP253" s="582"/>
      <c r="AQ253" s="585"/>
      <c r="AR253" s="582"/>
      <c r="AS253" s="585"/>
      <c r="AT253" s="582"/>
      <c r="AU253" s="585"/>
      <c r="AV253" s="583">
        <f t="shared" si="66"/>
        <v>0</v>
      </c>
      <c r="AW253" s="583">
        <f t="shared" si="67"/>
        <v>0</v>
      </c>
      <c r="AX253" s="584">
        <f t="shared" si="68"/>
        <v>0</v>
      </c>
      <c r="AY253" s="584">
        <f t="shared" si="69"/>
        <v>0</v>
      </c>
      <c r="AZ253" s="583">
        <f t="shared" si="70"/>
        <v>2380.0666666666666</v>
      </c>
      <c r="BA253" s="584">
        <f t="shared" si="71"/>
        <v>2200.1</v>
      </c>
    </row>
    <row r="254" spans="1:53">
      <c r="A254" s="438" t="s">
        <v>233</v>
      </c>
      <c r="B254" s="4" t="s">
        <v>248</v>
      </c>
      <c r="C254" s="3"/>
      <c r="D254" s="2">
        <v>175652</v>
      </c>
      <c r="E254" s="425">
        <v>9</v>
      </c>
      <c r="F254" s="582"/>
      <c r="G254" s="585"/>
      <c r="H254" s="582"/>
      <c r="I254" s="585"/>
      <c r="J254" s="582">
        <v>44242</v>
      </c>
      <c r="K254" s="581">
        <v>42855</v>
      </c>
      <c r="L254" s="582">
        <v>9932</v>
      </c>
      <c r="M254" s="581">
        <v>9718</v>
      </c>
      <c r="N254" s="582">
        <v>52817</v>
      </c>
      <c r="O254" s="581">
        <v>47194</v>
      </c>
      <c r="P254" s="583">
        <f t="shared" si="72"/>
        <v>106991</v>
      </c>
      <c r="Q254" s="583">
        <f t="shared" si="73"/>
        <v>3566.3666666666668</v>
      </c>
      <c r="R254" s="584">
        <f t="shared" si="74"/>
        <v>99767</v>
      </c>
      <c r="S254" s="584">
        <f t="shared" si="75"/>
        <v>3325.5666666666666</v>
      </c>
      <c r="T254" s="582">
        <v>9659</v>
      </c>
      <c r="U254" s="585">
        <v>10266</v>
      </c>
      <c r="V254" s="583">
        <f t="shared" si="76"/>
        <v>106991</v>
      </c>
      <c r="W254" s="584">
        <f t="shared" si="77"/>
        <v>99767</v>
      </c>
      <c r="X254" s="582"/>
      <c r="Y254" s="585"/>
      <c r="Z254" s="582"/>
      <c r="AA254" s="585"/>
      <c r="AB254" s="582"/>
      <c r="AC254" s="585"/>
      <c r="AD254" s="582"/>
      <c r="AE254" s="585"/>
      <c r="AF254" s="583">
        <f t="shared" si="78"/>
        <v>0</v>
      </c>
      <c r="AG254" s="583">
        <f t="shared" si="79"/>
        <v>0</v>
      </c>
      <c r="AH254" s="584">
        <f t="shared" si="80"/>
        <v>0</v>
      </c>
      <c r="AI254" s="584">
        <f t="shared" si="81"/>
        <v>0</v>
      </c>
      <c r="AJ254" s="582"/>
      <c r="AK254" s="585"/>
      <c r="AL254" s="583">
        <f t="shared" si="64"/>
        <v>0</v>
      </c>
      <c r="AM254" s="584">
        <f t="shared" si="65"/>
        <v>0</v>
      </c>
      <c r="AN254" s="582"/>
      <c r="AO254" s="585"/>
      <c r="AP254" s="582"/>
      <c r="AQ254" s="585"/>
      <c r="AR254" s="582"/>
      <c r="AS254" s="585"/>
      <c r="AT254" s="582"/>
      <c r="AU254" s="585"/>
      <c r="AV254" s="583">
        <f t="shared" si="66"/>
        <v>0</v>
      </c>
      <c r="AW254" s="583">
        <f t="shared" si="67"/>
        <v>0</v>
      </c>
      <c r="AX254" s="584">
        <f t="shared" si="68"/>
        <v>0</v>
      </c>
      <c r="AY254" s="584">
        <f t="shared" si="69"/>
        <v>0</v>
      </c>
      <c r="AZ254" s="583">
        <f t="shared" si="70"/>
        <v>3566.3666666666668</v>
      </c>
      <c r="BA254" s="584">
        <f t="shared" si="71"/>
        <v>3325.5666666666666</v>
      </c>
    </row>
    <row r="255" spans="1:53">
      <c r="A255" s="438" t="s">
        <v>233</v>
      </c>
      <c r="B255" s="4" t="s">
        <v>250</v>
      </c>
      <c r="C255" s="3"/>
      <c r="D255" s="2">
        <v>175883</v>
      </c>
      <c r="E255" s="425">
        <v>9</v>
      </c>
      <c r="F255" s="582"/>
      <c r="G255" s="585"/>
      <c r="H255" s="582"/>
      <c r="I255" s="585"/>
      <c r="J255" s="582">
        <v>53837</v>
      </c>
      <c r="K255" s="581">
        <v>51770</v>
      </c>
      <c r="L255" s="582">
        <v>11878</v>
      </c>
      <c r="M255" s="581">
        <v>10708</v>
      </c>
      <c r="N255" s="582">
        <v>63050</v>
      </c>
      <c r="O255" s="581">
        <v>59106</v>
      </c>
      <c r="P255" s="583">
        <f t="shared" si="72"/>
        <v>128765</v>
      </c>
      <c r="Q255" s="583">
        <f t="shared" si="73"/>
        <v>4292.166666666667</v>
      </c>
      <c r="R255" s="584">
        <f t="shared" si="74"/>
        <v>121584</v>
      </c>
      <c r="S255" s="584">
        <f t="shared" si="75"/>
        <v>4052.8</v>
      </c>
      <c r="T255" s="582">
        <v>5213</v>
      </c>
      <c r="U255" s="585">
        <v>7089</v>
      </c>
      <c r="V255" s="583">
        <f t="shared" si="76"/>
        <v>128765</v>
      </c>
      <c r="W255" s="584">
        <f t="shared" si="77"/>
        <v>121584</v>
      </c>
      <c r="X255" s="582"/>
      <c r="Y255" s="585"/>
      <c r="Z255" s="582"/>
      <c r="AA255" s="585"/>
      <c r="AB255" s="582"/>
      <c r="AC255" s="585"/>
      <c r="AD255" s="582"/>
      <c r="AE255" s="585"/>
      <c r="AF255" s="583">
        <f t="shared" si="78"/>
        <v>0</v>
      </c>
      <c r="AG255" s="583">
        <f t="shared" si="79"/>
        <v>0</v>
      </c>
      <c r="AH255" s="584">
        <f t="shared" si="80"/>
        <v>0</v>
      </c>
      <c r="AI255" s="584">
        <f t="shared" si="81"/>
        <v>0</v>
      </c>
      <c r="AJ255" s="582"/>
      <c r="AK255" s="585"/>
      <c r="AL255" s="583">
        <f t="shared" si="64"/>
        <v>0</v>
      </c>
      <c r="AM255" s="584">
        <f t="shared" si="65"/>
        <v>0</v>
      </c>
      <c r="AN255" s="582"/>
      <c r="AO255" s="585"/>
      <c r="AP255" s="582"/>
      <c r="AQ255" s="585"/>
      <c r="AR255" s="582"/>
      <c r="AS255" s="585"/>
      <c r="AT255" s="582"/>
      <c r="AU255" s="585"/>
      <c r="AV255" s="583">
        <f t="shared" si="66"/>
        <v>0</v>
      </c>
      <c r="AW255" s="583">
        <f t="shared" si="67"/>
        <v>0</v>
      </c>
      <c r="AX255" s="584">
        <f t="shared" si="68"/>
        <v>0</v>
      </c>
      <c r="AY255" s="584">
        <f t="shared" si="69"/>
        <v>0</v>
      </c>
      <c r="AZ255" s="583">
        <f t="shared" si="70"/>
        <v>4292.166666666667</v>
      </c>
      <c r="BA255" s="584">
        <f t="shared" si="71"/>
        <v>4052.8</v>
      </c>
    </row>
    <row r="256" spans="1:53">
      <c r="A256" s="438" t="s">
        <v>233</v>
      </c>
      <c r="B256" s="4" t="s">
        <v>251</v>
      </c>
      <c r="C256" s="3"/>
      <c r="D256" s="2">
        <v>175935</v>
      </c>
      <c r="E256" s="425">
        <v>9</v>
      </c>
      <c r="F256" s="582"/>
      <c r="G256" s="585"/>
      <c r="H256" s="582"/>
      <c r="I256" s="585"/>
      <c r="J256" s="582">
        <v>37484</v>
      </c>
      <c r="K256" s="581">
        <v>37076.5</v>
      </c>
      <c r="L256" s="582">
        <v>7744</v>
      </c>
      <c r="M256" s="581">
        <v>7579</v>
      </c>
      <c r="N256" s="582">
        <v>44440</v>
      </c>
      <c r="O256" s="581">
        <v>41137</v>
      </c>
      <c r="P256" s="583">
        <f t="shared" si="72"/>
        <v>89668</v>
      </c>
      <c r="Q256" s="583">
        <f t="shared" si="73"/>
        <v>2988.9333333333334</v>
      </c>
      <c r="R256" s="584">
        <f t="shared" si="74"/>
        <v>85792.5</v>
      </c>
      <c r="S256" s="584">
        <f t="shared" si="75"/>
        <v>2859.75</v>
      </c>
      <c r="T256" s="582">
        <v>3603</v>
      </c>
      <c r="U256" s="585">
        <v>3680</v>
      </c>
      <c r="V256" s="583">
        <f t="shared" si="76"/>
        <v>89668</v>
      </c>
      <c r="W256" s="584">
        <f t="shared" si="77"/>
        <v>85792.5</v>
      </c>
      <c r="X256" s="582"/>
      <c r="Y256" s="585"/>
      <c r="Z256" s="582"/>
      <c r="AA256" s="585"/>
      <c r="AB256" s="582"/>
      <c r="AC256" s="585"/>
      <c r="AD256" s="582"/>
      <c r="AE256" s="585"/>
      <c r="AF256" s="583">
        <f t="shared" si="78"/>
        <v>0</v>
      </c>
      <c r="AG256" s="583">
        <f t="shared" si="79"/>
        <v>0</v>
      </c>
      <c r="AH256" s="584">
        <f t="shared" si="80"/>
        <v>0</v>
      </c>
      <c r="AI256" s="584">
        <f t="shared" si="81"/>
        <v>0</v>
      </c>
      <c r="AJ256" s="582"/>
      <c r="AK256" s="585"/>
      <c r="AL256" s="583">
        <f t="shared" si="64"/>
        <v>0</v>
      </c>
      <c r="AM256" s="584">
        <f t="shared" si="65"/>
        <v>0</v>
      </c>
      <c r="AN256" s="582"/>
      <c r="AO256" s="585"/>
      <c r="AP256" s="582"/>
      <c r="AQ256" s="585"/>
      <c r="AR256" s="582"/>
      <c r="AS256" s="585"/>
      <c r="AT256" s="582"/>
      <c r="AU256" s="585"/>
      <c r="AV256" s="583">
        <f t="shared" si="66"/>
        <v>0</v>
      </c>
      <c r="AW256" s="583">
        <f t="shared" si="67"/>
        <v>0</v>
      </c>
      <c r="AX256" s="584">
        <f t="shared" si="68"/>
        <v>0</v>
      </c>
      <c r="AY256" s="584">
        <f t="shared" si="69"/>
        <v>0</v>
      </c>
      <c r="AZ256" s="583">
        <f t="shared" si="70"/>
        <v>2988.9333333333334</v>
      </c>
      <c r="BA256" s="584">
        <f t="shared" si="71"/>
        <v>2859.75</v>
      </c>
    </row>
    <row r="257" spans="1:53">
      <c r="A257" s="438" t="s">
        <v>233</v>
      </c>
      <c r="B257" s="4" t="s">
        <v>252</v>
      </c>
      <c r="C257" s="3"/>
      <c r="D257" s="2">
        <v>176008</v>
      </c>
      <c r="E257" s="425">
        <v>9</v>
      </c>
      <c r="F257" s="582"/>
      <c r="G257" s="585"/>
      <c r="H257" s="582"/>
      <c r="I257" s="585"/>
      <c r="J257" s="582">
        <v>26423</v>
      </c>
      <c r="K257" s="581">
        <v>26825</v>
      </c>
      <c r="L257" s="582">
        <v>6956</v>
      </c>
      <c r="M257" s="581">
        <v>7464</v>
      </c>
      <c r="N257" s="582">
        <v>31107</v>
      </c>
      <c r="O257" s="581">
        <v>30334</v>
      </c>
      <c r="P257" s="583">
        <f t="shared" si="72"/>
        <v>64486</v>
      </c>
      <c r="Q257" s="583">
        <f t="shared" si="73"/>
        <v>2149.5333333333333</v>
      </c>
      <c r="R257" s="584">
        <f t="shared" si="74"/>
        <v>64623</v>
      </c>
      <c r="S257" s="584">
        <f t="shared" si="75"/>
        <v>2154.1</v>
      </c>
      <c r="T257" s="582">
        <v>2585</v>
      </c>
      <c r="U257" s="586">
        <v>4195</v>
      </c>
      <c r="V257" s="583">
        <f t="shared" si="76"/>
        <v>64486</v>
      </c>
      <c r="W257" s="584">
        <f t="shared" si="77"/>
        <v>64623</v>
      </c>
      <c r="X257" s="582"/>
      <c r="Y257" s="585"/>
      <c r="Z257" s="582"/>
      <c r="AA257" s="585"/>
      <c r="AB257" s="582"/>
      <c r="AC257" s="585"/>
      <c r="AD257" s="582"/>
      <c r="AE257" s="585"/>
      <c r="AF257" s="583">
        <f t="shared" si="78"/>
        <v>0</v>
      </c>
      <c r="AG257" s="583">
        <f t="shared" si="79"/>
        <v>0</v>
      </c>
      <c r="AH257" s="584">
        <f t="shared" si="80"/>
        <v>0</v>
      </c>
      <c r="AI257" s="584">
        <f t="shared" si="81"/>
        <v>0</v>
      </c>
      <c r="AJ257" s="582"/>
      <c r="AK257" s="585"/>
      <c r="AL257" s="583">
        <f t="shared" si="64"/>
        <v>0</v>
      </c>
      <c r="AM257" s="584">
        <f t="shared" si="65"/>
        <v>0</v>
      </c>
      <c r="AN257" s="582"/>
      <c r="AO257" s="585"/>
      <c r="AP257" s="582"/>
      <c r="AQ257" s="585"/>
      <c r="AR257" s="582"/>
      <c r="AS257" s="585"/>
      <c r="AT257" s="582"/>
      <c r="AU257" s="585"/>
      <c r="AV257" s="583">
        <f t="shared" si="66"/>
        <v>0</v>
      </c>
      <c r="AW257" s="583">
        <f t="shared" si="67"/>
        <v>0</v>
      </c>
      <c r="AX257" s="584">
        <f t="shared" si="68"/>
        <v>0</v>
      </c>
      <c r="AY257" s="584">
        <f t="shared" si="69"/>
        <v>0</v>
      </c>
      <c r="AZ257" s="583">
        <f t="shared" si="70"/>
        <v>2149.5333333333333</v>
      </c>
      <c r="BA257" s="584">
        <f t="shared" si="71"/>
        <v>2154.1</v>
      </c>
    </row>
    <row r="258" spans="1:53">
      <c r="A258" s="438" t="s">
        <v>233</v>
      </c>
      <c r="B258" s="4" t="s">
        <v>253</v>
      </c>
      <c r="C258" s="3"/>
      <c r="D258" s="2">
        <v>176169</v>
      </c>
      <c r="E258" s="425">
        <v>9</v>
      </c>
      <c r="F258" s="582"/>
      <c r="G258" s="585"/>
      <c r="H258" s="582"/>
      <c r="I258" s="585"/>
      <c r="J258" s="582">
        <v>41260</v>
      </c>
      <c r="K258" s="581">
        <v>42095</v>
      </c>
      <c r="L258" s="582">
        <v>3242</v>
      </c>
      <c r="M258" s="581">
        <v>3485</v>
      </c>
      <c r="N258" s="582">
        <v>46161</v>
      </c>
      <c r="O258" s="581">
        <v>47249</v>
      </c>
      <c r="P258" s="583">
        <f t="shared" si="72"/>
        <v>90663</v>
      </c>
      <c r="Q258" s="583">
        <f t="shared" si="73"/>
        <v>3022.1</v>
      </c>
      <c r="R258" s="584">
        <f t="shared" si="74"/>
        <v>92829</v>
      </c>
      <c r="S258" s="584">
        <f t="shared" si="75"/>
        <v>3094.3</v>
      </c>
      <c r="T258" s="582">
        <v>8385</v>
      </c>
      <c r="U258" s="585">
        <v>4371</v>
      </c>
      <c r="V258" s="583">
        <f t="shared" si="76"/>
        <v>90663</v>
      </c>
      <c r="W258" s="584">
        <f t="shared" si="77"/>
        <v>92829</v>
      </c>
      <c r="X258" s="582"/>
      <c r="Y258" s="585"/>
      <c r="Z258" s="582"/>
      <c r="AA258" s="585"/>
      <c r="AB258" s="582"/>
      <c r="AC258" s="585"/>
      <c r="AD258" s="582"/>
      <c r="AE258" s="585"/>
      <c r="AF258" s="583">
        <f t="shared" si="78"/>
        <v>0</v>
      </c>
      <c r="AG258" s="583">
        <f t="shared" si="79"/>
        <v>0</v>
      </c>
      <c r="AH258" s="584">
        <f t="shared" si="80"/>
        <v>0</v>
      </c>
      <c r="AI258" s="584">
        <f t="shared" si="81"/>
        <v>0</v>
      </c>
      <c r="AJ258" s="582"/>
      <c r="AK258" s="585"/>
      <c r="AL258" s="583">
        <f t="shared" si="64"/>
        <v>0</v>
      </c>
      <c r="AM258" s="584">
        <f t="shared" si="65"/>
        <v>0</v>
      </c>
      <c r="AN258" s="582"/>
      <c r="AO258" s="585"/>
      <c r="AP258" s="582"/>
      <c r="AQ258" s="585"/>
      <c r="AR258" s="582"/>
      <c r="AS258" s="585"/>
      <c r="AT258" s="582"/>
      <c r="AU258" s="585"/>
      <c r="AV258" s="583">
        <f t="shared" si="66"/>
        <v>0</v>
      </c>
      <c r="AW258" s="583">
        <f t="shared" si="67"/>
        <v>0</v>
      </c>
      <c r="AX258" s="584">
        <f t="shared" si="68"/>
        <v>0</v>
      </c>
      <c r="AY258" s="584">
        <f t="shared" si="69"/>
        <v>0</v>
      </c>
      <c r="AZ258" s="583">
        <f t="shared" si="70"/>
        <v>3022.1</v>
      </c>
      <c r="BA258" s="584">
        <f t="shared" si="71"/>
        <v>3094.3</v>
      </c>
    </row>
    <row r="259" spans="1:53">
      <c r="A259" s="438" t="s">
        <v>233</v>
      </c>
      <c r="B259" s="4" t="s">
        <v>254</v>
      </c>
      <c r="C259" s="3"/>
      <c r="D259" s="2">
        <v>176239</v>
      </c>
      <c r="E259" s="425">
        <v>9</v>
      </c>
      <c r="F259" s="582"/>
      <c r="G259" s="585"/>
      <c r="H259" s="582"/>
      <c r="I259" s="585"/>
      <c r="J259" s="582">
        <v>52844</v>
      </c>
      <c r="K259" s="581">
        <v>56257</v>
      </c>
      <c r="L259" s="582">
        <v>8898</v>
      </c>
      <c r="M259" s="581">
        <v>9575</v>
      </c>
      <c r="N259" s="582">
        <v>61327</v>
      </c>
      <c r="O259" s="581">
        <v>68731</v>
      </c>
      <c r="P259" s="583">
        <f t="shared" si="72"/>
        <v>123069</v>
      </c>
      <c r="Q259" s="583">
        <f t="shared" si="73"/>
        <v>4102.3</v>
      </c>
      <c r="R259" s="584">
        <f t="shared" si="74"/>
        <v>134563</v>
      </c>
      <c r="S259" s="584">
        <f t="shared" si="75"/>
        <v>4485.4333333333334</v>
      </c>
      <c r="T259" s="582">
        <v>9101</v>
      </c>
      <c r="U259" s="585">
        <v>6737</v>
      </c>
      <c r="V259" s="583">
        <f t="shared" si="76"/>
        <v>123069</v>
      </c>
      <c r="W259" s="584">
        <f t="shared" si="77"/>
        <v>134563</v>
      </c>
      <c r="X259" s="582"/>
      <c r="Y259" s="585"/>
      <c r="Z259" s="582"/>
      <c r="AA259" s="585"/>
      <c r="AB259" s="582"/>
      <c r="AC259" s="585"/>
      <c r="AD259" s="582"/>
      <c r="AE259" s="585"/>
      <c r="AF259" s="583">
        <f t="shared" si="78"/>
        <v>0</v>
      </c>
      <c r="AG259" s="583">
        <f t="shared" si="79"/>
        <v>0</v>
      </c>
      <c r="AH259" s="584">
        <f t="shared" si="80"/>
        <v>0</v>
      </c>
      <c r="AI259" s="584">
        <f t="shared" si="81"/>
        <v>0</v>
      </c>
      <c r="AJ259" s="582"/>
      <c r="AK259" s="585"/>
      <c r="AL259" s="583">
        <f t="shared" si="64"/>
        <v>0</v>
      </c>
      <c r="AM259" s="584">
        <f t="shared" si="65"/>
        <v>0</v>
      </c>
      <c r="AN259" s="582"/>
      <c r="AO259" s="585"/>
      <c r="AP259" s="582"/>
      <c r="AQ259" s="585"/>
      <c r="AR259" s="582"/>
      <c r="AS259" s="585"/>
      <c r="AT259" s="582"/>
      <c r="AU259" s="585"/>
      <c r="AV259" s="583">
        <f t="shared" si="66"/>
        <v>0</v>
      </c>
      <c r="AW259" s="583">
        <f t="shared" si="67"/>
        <v>0</v>
      </c>
      <c r="AX259" s="584">
        <f t="shared" si="68"/>
        <v>0</v>
      </c>
      <c r="AY259" s="584">
        <f t="shared" si="69"/>
        <v>0</v>
      </c>
      <c r="AZ259" s="583">
        <f t="shared" si="70"/>
        <v>4102.3</v>
      </c>
      <c r="BA259" s="584">
        <f t="shared" si="71"/>
        <v>4485.4333333333334</v>
      </c>
    </row>
    <row r="260" spans="1:53">
      <c r="A260" s="438" t="s">
        <v>233</v>
      </c>
      <c r="B260" s="4" t="s">
        <v>255</v>
      </c>
      <c r="C260" s="3"/>
      <c r="D260" s="2">
        <v>175519</v>
      </c>
      <c r="E260" s="425">
        <v>10</v>
      </c>
      <c r="F260" s="582"/>
      <c r="G260" s="585"/>
      <c r="H260" s="582"/>
      <c r="I260" s="585"/>
      <c r="J260" s="582">
        <v>20498</v>
      </c>
      <c r="K260" s="581">
        <v>20165</v>
      </c>
      <c r="L260" s="582">
        <v>5143</v>
      </c>
      <c r="M260" s="581">
        <v>5028</v>
      </c>
      <c r="N260" s="582">
        <v>24687</v>
      </c>
      <c r="O260" s="581">
        <v>23968</v>
      </c>
      <c r="P260" s="583">
        <f t="shared" si="72"/>
        <v>50328</v>
      </c>
      <c r="Q260" s="583">
        <f t="shared" si="73"/>
        <v>1677.6</v>
      </c>
      <c r="R260" s="584">
        <f t="shared" si="74"/>
        <v>49161</v>
      </c>
      <c r="S260" s="584">
        <f t="shared" si="75"/>
        <v>1638.7</v>
      </c>
      <c r="T260" s="582">
        <v>2851</v>
      </c>
      <c r="U260" s="585">
        <v>3583</v>
      </c>
      <c r="V260" s="583">
        <f t="shared" si="76"/>
        <v>50328</v>
      </c>
      <c r="W260" s="584">
        <f t="shared" si="77"/>
        <v>49161</v>
      </c>
      <c r="X260" s="582"/>
      <c r="Y260" s="585"/>
      <c r="Z260" s="582"/>
      <c r="AA260" s="585"/>
      <c r="AB260" s="582"/>
      <c r="AC260" s="585"/>
      <c r="AD260" s="582"/>
      <c r="AE260" s="585"/>
      <c r="AF260" s="583">
        <f t="shared" si="78"/>
        <v>0</v>
      </c>
      <c r="AG260" s="583">
        <f t="shared" si="79"/>
        <v>0</v>
      </c>
      <c r="AH260" s="584">
        <f t="shared" si="80"/>
        <v>0</v>
      </c>
      <c r="AI260" s="584">
        <f t="shared" si="81"/>
        <v>0</v>
      </c>
      <c r="AJ260" s="582"/>
      <c r="AK260" s="585"/>
      <c r="AL260" s="583">
        <f t="shared" si="64"/>
        <v>0</v>
      </c>
      <c r="AM260" s="584">
        <f t="shared" si="65"/>
        <v>0</v>
      </c>
      <c r="AN260" s="582"/>
      <c r="AO260" s="585"/>
      <c r="AP260" s="582"/>
      <c r="AQ260" s="585"/>
      <c r="AR260" s="582"/>
      <c r="AS260" s="585"/>
      <c r="AT260" s="582"/>
      <c r="AU260" s="585"/>
      <c r="AV260" s="583">
        <f t="shared" si="66"/>
        <v>0</v>
      </c>
      <c r="AW260" s="583">
        <f t="shared" si="67"/>
        <v>0</v>
      </c>
      <c r="AX260" s="584">
        <f t="shared" si="68"/>
        <v>0</v>
      </c>
      <c r="AY260" s="584">
        <f t="shared" si="69"/>
        <v>0</v>
      </c>
      <c r="AZ260" s="583">
        <f t="shared" si="70"/>
        <v>1677.6</v>
      </c>
      <c r="BA260" s="584">
        <f t="shared" si="71"/>
        <v>1638.7</v>
      </c>
    </row>
    <row r="261" spans="1:53">
      <c r="A261" s="438" t="s">
        <v>233</v>
      </c>
      <c r="B261" s="4" t="s">
        <v>256</v>
      </c>
      <c r="C261" s="3"/>
      <c r="D261" s="2">
        <v>176354</v>
      </c>
      <c r="E261" s="425">
        <v>10</v>
      </c>
      <c r="F261" s="582"/>
      <c r="G261" s="585"/>
      <c r="H261" s="582"/>
      <c r="I261" s="585"/>
      <c r="J261" s="582">
        <v>23713</v>
      </c>
      <c r="K261" s="581">
        <v>24243</v>
      </c>
      <c r="L261" s="582">
        <v>3600</v>
      </c>
      <c r="M261" s="581">
        <v>4193</v>
      </c>
      <c r="N261" s="582">
        <v>27746</v>
      </c>
      <c r="O261" s="581">
        <v>29695</v>
      </c>
      <c r="P261" s="583">
        <f t="shared" si="72"/>
        <v>55059</v>
      </c>
      <c r="Q261" s="583">
        <f t="shared" si="73"/>
        <v>1835.3</v>
      </c>
      <c r="R261" s="584">
        <f t="shared" si="74"/>
        <v>58131</v>
      </c>
      <c r="S261" s="584">
        <f t="shared" si="75"/>
        <v>1937.7</v>
      </c>
      <c r="T261" s="582">
        <v>2081</v>
      </c>
      <c r="U261" s="585">
        <v>2537</v>
      </c>
      <c r="V261" s="583">
        <f t="shared" si="76"/>
        <v>55059</v>
      </c>
      <c r="W261" s="584">
        <f t="shared" si="77"/>
        <v>58131</v>
      </c>
      <c r="X261" s="582"/>
      <c r="Y261" s="585"/>
      <c r="Z261" s="582"/>
      <c r="AA261" s="585"/>
      <c r="AB261" s="582"/>
      <c r="AC261" s="585"/>
      <c r="AD261" s="582"/>
      <c r="AE261" s="585"/>
      <c r="AF261" s="583">
        <f t="shared" si="78"/>
        <v>0</v>
      </c>
      <c r="AG261" s="583">
        <f t="shared" si="79"/>
        <v>0</v>
      </c>
      <c r="AH261" s="584">
        <f t="shared" si="80"/>
        <v>0</v>
      </c>
      <c r="AI261" s="584">
        <f t="shared" si="81"/>
        <v>0</v>
      </c>
      <c r="AJ261" s="582"/>
      <c r="AK261" s="585"/>
      <c r="AL261" s="583">
        <f t="shared" si="64"/>
        <v>0</v>
      </c>
      <c r="AM261" s="584">
        <f t="shared" si="65"/>
        <v>0</v>
      </c>
      <c r="AN261" s="582"/>
      <c r="AO261" s="585"/>
      <c r="AP261" s="582"/>
      <c r="AQ261" s="585"/>
      <c r="AR261" s="582"/>
      <c r="AS261" s="585"/>
      <c r="AT261" s="582"/>
      <c r="AU261" s="585"/>
      <c r="AV261" s="583">
        <f t="shared" si="66"/>
        <v>0</v>
      </c>
      <c r="AW261" s="583">
        <f t="shared" si="67"/>
        <v>0</v>
      </c>
      <c r="AX261" s="584">
        <f t="shared" si="68"/>
        <v>0</v>
      </c>
      <c r="AY261" s="584">
        <f t="shared" si="69"/>
        <v>0</v>
      </c>
      <c r="AZ261" s="583">
        <f t="shared" si="70"/>
        <v>1835.3</v>
      </c>
      <c r="BA261" s="584">
        <f t="shared" si="71"/>
        <v>1937.7</v>
      </c>
    </row>
    <row r="262" spans="1:53">
      <c r="A262" s="439" t="s">
        <v>257</v>
      </c>
      <c r="B262" s="34" t="s">
        <v>316</v>
      </c>
      <c r="C262" s="35"/>
      <c r="D262" s="36">
        <v>199193</v>
      </c>
      <c r="E262" s="36">
        <v>1</v>
      </c>
      <c r="F262" s="582"/>
      <c r="G262" s="585"/>
      <c r="H262" s="582"/>
      <c r="I262" s="585"/>
      <c r="J262" s="582">
        <v>315750</v>
      </c>
      <c r="K262" s="585">
        <v>325566</v>
      </c>
      <c r="L262" s="582">
        <v>48092</v>
      </c>
      <c r="M262" s="585">
        <v>48885</v>
      </c>
      <c r="N262" s="582">
        <v>347121</v>
      </c>
      <c r="O262" s="585">
        <v>354137</v>
      </c>
      <c r="P262" s="583">
        <f t="shared" si="72"/>
        <v>710963</v>
      </c>
      <c r="Q262" s="583">
        <f t="shared" si="73"/>
        <v>23698.766666666666</v>
      </c>
      <c r="R262" s="584">
        <f t="shared" si="74"/>
        <v>728588</v>
      </c>
      <c r="S262" s="584">
        <f t="shared" si="75"/>
        <v>24286.266666666666</v>
      </c>
      <c r="T262" s="582">
        <v>1928</v>
      </c>
      <c r="U262" s="585">
        <v>2123</v>
      </c>
      <c r="V262" s="583">
        <f t="shared" si="76"/>
        <v>710963</v>
      </c>
      <c r="W262" s="584">
        <f t="shared" si="77"/>
        <v>728588</v>
      </c>
      <c r="X262" s="582"/>
      <c r="Y262" s="585"/>
      <c r="Z262" s="582"/>
      <c r="AA262" s="585"/>
      <c r="AB262" s="582"/>
      <c r="AC262" s="585"/>
      <c r="AD262" s="582"/>
      <c r="AE262" s="585"/>
      <c r="AF262" s="583">
        <f t="shared" si="78"/>
        <v>0</v>
      </c>
      <c r="AG262" s="583">
        <f t="shared" si="79"/>
        <v>0</v>
      </c>
      <c r="AH262" s="584">
        <f t="shared" si="80"/>
        <v>0</v>
      </c>
      <c r="AI262" s="584">
        <f t="shared" si="81"/>
        <v>0</v>
      </c>
      <c r="AJ262" s="582"/>
      <c r="AK262" s="585"/>
      <c r="AL262" s="583">
        <f t="shared" si="64"/>
        <v>0</v>
      </c>
      <c r="AM262" s="584">
        <f t="shared" si="65"/>
        <v>0</v>
      </c>
      <c r="AN262" s="582"/>
      <c r="AO262" s="585"/>
      <c r="AP262" s="582">
        <v>76243</v>
      </c>
      <c r="AQ262" s="585">
        <v>76388.5</v>
      </c>
      <c r="AR262" s="582">
        <v>11444</v>
      </c>
      <c r="AS262" s="585">
        <v>11500.5</v>
      </c>
      <c r="AT262" s="582">
        <v>86392</v>
      </c>
      <c r="AU262" s="585">
        <v>86724.5</v>
      </c>
      <c r="AV262" s="583">
        <f t="shared" si="66"/>
        <v>174079</v>
      </c>
      <c r="AW262" s="583">
        <f t="shared" si="67"/>
        <v>7253.291666666667</v>
      </c>
      <c r="AX262" s="584">
        <f t="shared" si="68"/>
        <v>174613.5</v>
      </c>
      <c r="AY262" s="584">
        <f t="shared" si="69"/>
        <v>7275.5625</v>
      </c>
      <c r="AZ262" s="583">
        <f t="shared" si="70"/>
        <v>30952.058333333334</v>
      </c>
      <c r="BA262" s="584">
        <f t="shared" si="71"/>
        <v>31561.829166666666</v>
      </c>
    </row>
    <row r="263" spans="1:53">
      <c r="A263" s="439" t="s">
        <v>257</v>
      </c>
      <c r="B263" s="34" t="s">
        <v>317</v>
      </c>
      <c r="C263" s="35"/>
      <c r="D263" s="36">
        <v>199120</v>
      </c>
      <c r="E263" s="36">
        <v>1</v>
      </c>
      <c r="F263" s="582"/>
      <c r="G263" s="585"/>
      <c r="H263" s="582"/>
      <c r="I263" s="585"/>
      <c r="J263" s="582">
        <v>245772</v>
      </c>
      <c r="K263" s="585">
        <v>249231.5</v>
      </c>
      <c r="L263" s="582">
        <v>30723</v>
      </c>
      <c r="M263" s="585">
        <v>31219</v>
      </c>
      <c r="N263" s="582">
        <v>266061</v>
      </c>
      <c r="O263" s="585">
        <v>265142.5</v>
      </c>
      <c r="P263" s="583">
        <f t="shared" si="72"/>
        <v>542556</v>
      </c>
      <c r="Q263" s="583">
        <f t="shared" si="73"/>
        <v>18085.2</v>
      </c>
      <c r="R263" s="584">
        <f t="shared" si="74"/>
        <v>545593</v>
      </c>
      <c r="S263" s="584">
        <f t="shared" si="75"/>
        <v>18186.433333333334</v>
      </c>
      <c r="T263" s="582">
        <v>0</v>
      </c>
      <c r="U263" s="585">
        <v>0</v>
      </c>
      <c r="V263" s="583">
        <f t="shared" si="76"/>
        <v>542556</v>
      </c>
      <c r="W263" s="584">
        <f t="shared" si="77"/>
        <v>545593</v>
      </c>
      <c r="X263" s="582"/>
      <c r="Y263" s="585"/>
      <c r="Z263" s="582"/>
      <c r="AA263" s="585"/>
      <c r="AB263" s="582"/>
      <c r="AC263" s="585"/>
      <c r="AD263" s="582"/>
      <c r="AE263" s="585"/>
      <c r="AF263" s="583">
        <f t="shared" si="78"/>
        <v>0</v>
      </c>
      <c r="AG263" s="583">
        <f t="shared" si="79"/>
        <v>0</v>
      </c>
      <c r="AH263" s="584">
        <f t="shared" si="80"/>
        <v>0</v>
      </c>
      <c r="AI263" s="584">
        <f t="shared" si="81"/>
        <v>0</v>
      </c>
      <c r="AJ263" s="582"/>
      <c r="AK263" s="585"/>
      <c r="AL263" s="583">
        <f t="shared" ref="AL263:AL326" si="82">IF(ISBLANK(AJ263),0,AF263)</f>
        <v>0</v>
      </c>
      <c r="AM263" s="584">
        <f t="shared" ref="AM263:AM326" si="83">IF(ISBLANK(AK263),0,AH263)</f>
        <v>0</v>
      </c>
      <c r="AN263" s="582"/>
      <c r="AO263" s="585"/>
      <c r="AP263" s="582">
        <v>92412</v>
      </c>
      <c r="AQ263" s="585">
        <v>88392</v>
      </c>
      <c r="AR263" s="582">
        <v>15324</v>
      </c>
      <c r="AS263" s="585">
        <v>16205</v>
      </c>
      <c r="AT263" s="582">
        <v>95311</v>
      </c>
      <c r="AU263" s="585">
        <v>93304.5</v>
      </c>
      <c r="AV263" s="583">
        <f t="shared" ref="AV263:AV326" si="84">SUM(AN263,AP263,AR263,AT263)</f>
        <v>203047</v>
      </c>
      <c r="AW263" s="583">
        <f t="shared" ref="AW263:AW326" si="85">+AV263/24</f>
        <v>8460.2916666666661</v>
      </c>
      <c r="AX263" s="584">
        <f t="shared" ref="AX263:AX326" si="86">SUM(AO263,AQ263,AS263,AU263)</f>
        <v>197901.5</v>
      </c>
      <c r="AY263" s="584">
        <f t="shared" ref="AY263:AY326" si="87">+AX263/24</f>
        <v>8245.8958333333339</v>
      </c>
      <c r="AZ263" s="583">
        <f t="shared" ref="AZ263:AZ326" si="88">SUM(Q263,AG263,AW263)</f>
        <v>26545.491666666669</v>
      </c>
      <c r="BA263" s="584">
        <f t="shared" ref="BA263:BA326" si="89">SUM(S263,AI263,AY263)</f>
        <v>26432.32916666667</v>
      </c>
    </row>
    <row r="264" spans="1:53">
      <c r="A264" s="439" t="s">
        <v>257</v>
      </c>
      <c r="B264" s="34" t="s">
        <v>318</v>
      </c>
      <c r="C264" s="37"/>
      <c r="D264" s="36">
        <v>199139</v>
      </c>
      <c r="E264" s="36">
        <v>1</v>
      </c>
      <c r="F264" s="582"/>
      <c r="G264" s="585"/>
      <c r="H264" s="582"/>
      <c r="I264" s="585"/>
      <c r="J264" s="582">
        <v>298522</v>
      </c>
      <c r="K264" s="585">
        <v>305219</v>
      </c>
      <c r="L264" s="582">
        <v>53177</v>
      </c>
      <c r="M264" s="585">
        <v>54980</v>
      </c>
      <c r="N264" s="582">
        <v>326755</v>
      </c>
      <c r="O264" s="585">
        <v>322370</v>
      </c>
      <c r="P264" s="583">
        <f t="shared" si="72"/>
        <v>678454</v>
      </c>
      <c r="Q264" s="583">
        <f t="shared" si="73"/>
        <v>22615.133333333335</v>
      </c>
      <c r="R264" s="584">
        <f t="shared" si="74"/>
        <v>682569</v>
      </c>
      <c r="S264" s="584">
        <f t="shared" si="75"/>
        <v>22752.3</v>
      </c>
      <c r="T264" s="582">
        <v>3383</v>
      </c>
      <c r="U264" s="585">
        <v>4226</v>
      </c>
      <c r="V264" s="583">
        <f t="shared" si="76"/>
        <v>678454</v>
      </c>
      <c r="W264" s="584">
        <f t="shared" si="77"/>
        <v>682569</v>
      </c>
      <c r="X264" s="582"/>
      <c r="Y264" s="585"/>
      <c r="Z264" s="582"/>
      <c r="AA264" s="585"/>
      <c r="AB264" s="582"/>
      <c r="AC264" s="585"/>
      <c r="AD264" s="582"/>
      <c r="AE264" s="585"/>
      <c r="AF264" s="583">
        <f t="shared" si="78"/>
        <v>0</v>
      </c>
      <c r="AG264" s="583">
        <f t="shared" si="79"/>
        <v>0</v>
      </c>
      <c r="AH264" s="584">
        <f t="shared" si="80"/>
        <v>0</v>
      </c>
      <c r="AI264" s="584">
        <f t="shared" si="81"/>
        <v>0</v>
      </c>
      <c r="AJ264" s="582"/>
      <c r="AK264" s="585"/>
      <c r="AL264" s="583">
        <f t="shared" si="82"/>
        <v>0</v>
      </c>
      <c r="AM264" s="584">
        <f t="shared" si="83"/>
        <v>0</v>
      </c>
      <c r="AN264" s="582"/>
      <c r="AO264" s="585"/>
      <c r="AP264" s="582">
        <v>36143</v>
      </c>
      <c r="AQ264" s="585">
        <v>36101</v>
      </c>
      <c r="AR264" s="582">
        <v>10371</v>
      </c>
      <c r="AS264" s="585">
        <v>10064</v>
      </c>
      <c r="AT264" s="582">
        <v>39966</v>
      </c>
      <c r="AU264" s="585">
        <v>41031</v>
      </c>
      <c r="AV264" s="583">
        <f t="shared" si="84"/>
        <v>86480</v>
      </c>
      <c r="AW264" s="583">
        <f t="shared" si="85"/>
        <v>3603.3333333333335</v>
      </c>
      <c r="AX264" s="584">
        <f t="shared" si="86"/>
        <v>87196</v>
      </c>
      <c r="AY264" s="584">
        <f t="shared" si="87"/>
        <v>3633.1666666666665</v>
      </c>
      <c r="AZ264" s="583">
        <f t="shared" si="88"/>
        <v>26218.466666666667</v>
      </c>
      <c r="BA264" s="584">
        <f t="shared" si="89"/>
        <v>26385.466666666667</v>
      </c>
    </row>
    <row r="265" spans="1:53">
      <c r="A265" s="439" t="s">
        <v>257</v>
      </c>
      <c r="B265" s="34" t="s">
        <v>319</v>
      </c>
      <c r="C265" s="35"/>
      <c r="D265" s="36">
        <v>199148</v>
      </c>
      <c r="E265" s="36">
        <v>1</v>
      </c>
      <c r="F265" s="582"/>
      <c r="G265" s="585"/>
      <c r="H265" s="582"/>
      <c r="I265" s="585"/>
      <c r="J265" s="582">
        <v>208053</v>
      </c>
      <c r="K265" s="585">
        <v>205042</v>
      </c>
      <c r="L265" s="582">
        <v>35355</v>
      </c>
      <c r="M265" s="585">
        <v>36452</v>
      </c>
      <c r="N265" s="582">
        <v>222437</v>
      </c>
      <c r="O265" s="585">
        <v>219953</v>
      </c>
      <c r="P265" s="583">
        <f t="shared" si="72"/>
        <v>465845</v>
      </c>
      <c r="Q265" s="583">
        <f t="shared" si="73"/>
        <v>15528.166666666666</v>
      </c>
      <c r="R265" s="584">
        <f t="shared" si="74"/>
        <v>461447</v>
      </c>
      <c r="S265" s="584">
        <f t="shared" si="75"/>
        <v>15381.566666666668</v>
      </c>
      <c r="T265" s="582">
        <v>1383</v>
      </c>
      <c r="U265" s="585">
        <v>1899</v>
      </c>
      <c r="V265" s="583">
        <f t="shared" si="76"/>
        <v>465845</v>
      </c>
      <c r="W265" s="584">
        <f t="shared" si="77"/>
        <v>461447</v>
      </c>
      <c r="X265" s="582"/>
      <c r="Y265" s="585"/>
      <c r="Z265" s="582"/>
      <c r="AA265" s="585"/>
      <c r="AB265" s="582"/>
      <c r="AC265" s="585"/>
      <c r="AD265" s="582"/>
      <c r="AE265" s="585"/>
      <c r="AF265" s="583">
        <f t="shared" si="78"/>
        <v>0</v>
      </c>
      <c r="AG265" s="583">
        <f t="shared" si="79"/>
        <v>0</v>
      </c>
      <c r="AH265" s="584">
        <f t="shared" si="80"/>
        <v>0</v>
      </c>
      <c r="AI265" s="584">
        <f t="shared" si="81"/>
        <v>0</v>
      </c>
      <c r="AJ265" s="582"/>
      <c r="AK265" s="585"/>
      <c r="AL265" s="583">
        <f t="shared" si="82"/>
        <v>0</v>
      </c>
      <c r="AM265" s="584">
        <f t="shared" si="83"/>
        <v>0</v>
      </c>
      <c r="AN265" s="582"/>
      <c r="AO265" s="585"/>
      <c r="AP265" s="582">
        <v>26204</v>
      </c>
      <c r="AQ265" s="585">
        <v>26104.5</v>
      </c>
      <c r="AR265" s="582">
        <v>7281</v>
      </c>
      <c r="AS265" s="585">
        <v>7433</v>
      </c>
      <c r="AT265" s="582">
        <v>26974</v>
      </c>
      <c r="AU265" s="585">
        <v>27504</v>
      </c>
      <c r="AV265" s="583">
        <f t="shared" si="84"/>
        <v>60459</v>
      </c>
      <c r="AW265" s="583">
        <f t="shared" si="85"/>
        <v>2519.125</v>
      </c>
      <c r="AX265" s="584">
        <f t="shared" si="86"/>
        <v>61041.5</v>
      </c>
      <c r="AY265" s="584">
        <f t="shared" si="87"/>
        <v>2543.3958333333335</v>
      </c>
      <c r="AZ265" s="583">
        <f t="shared" si="88"/>
        <v>18047.291666666664</v>
      </c>
      <c r="BA265" s="584">
        <f t="shared" si="89"/>
        <v>17924.962500000001</v>
      </c>
    </row>
    <row r="266" spans="1:53">
      <c r="A266" s="439" t="s">
        <v>257</v>
      </c>
      <c r="B266" s="34" t="s">
        <v>320</v>
      </c>
      <c r="C266" s="37"/>
      <c r="D266" s="36">
        <v>198464</v>
      </c>
      <c r="E266" s="36">
        <v>2</v>
      </c>
      <c r="F266" s="582"/>
      <c r="G266" s="585"/>
      <c r="H266" s="582"/>
      <c r="I266" s="585"/>
      <c r="J266" s="582">
        <v>291613</v>
      </c>
      <c r="K266" s="585">
        <v>282644</v>
      </c>
      <c r="L266" s="582">
        <v>53045</v>
      </c>
      <c r="M266" s="585">
        <v>53646</v>
      </c>
      <c r="N266" s="582">
        <v>310102</v>
      </c>
      <c r="O266" s="585">
        <v>304952</v>
      </c>
      <c r="P266" s="583">
        <f t="shared" si="72"/>
        <v>654760</v>
      </c>
      <c r="Q266" s="583">
        <f t="shared" si="73"/>
        <v>21825.333333333332</v>
      </c>
      <c r="R266" s="584">
        <f t="shared" si="74"/>
        <v>641242</v>
      </c>
      <c r="S266" s="584">
        <f t="shared" si="75"/>
        <v>21374.733333333334</v>
      </c>
      <c r="T266" s="582">
        <v>55</v>
      </c>
      <c r="U266" s="585">
        <v>302</v>
      </c>
      <c r="V266" s="583">
        <f t="shared" si="76"/>
        <v>654760</v>
      </c>
      <c r="W266" s="584">
        <f t="shared" si="77"/>
        <v>641242</v>
      </c>
      <c r="X266" s="582"/>
      <c r="Y266" s="585"/>
      <c r="Z266" s="582"/>
      <c r="AA266" s="585"/>
      <c r="AB266" s="582"/>
      <c r="AC266" s="585"/>
      <c r="AD266" s="582"/>
      <c r="AE266" s="585"/>
      <c r="AF266" s="583">
        <f t="shared" si="78"/>
        <v>0</v>
      </c>
      <c r="AG266" s="583">
        <f t="shared" si="79"/>
        <v>0</v>
      </c>
      <c r="AH266" s="584">
        <f t="shared" si="80"/>
        <v>0</v>
      </c>
      <c r="AI266" s="584">
        <f t="shared" si="81"/>
        <v>0</v>
      </c>
      <c r="AJ266" s="582"/>
      <c r="AK266" s="585"/>
      <c r="AL266" s="583">
        <f t="shared" si="82"/>
        <v>0</v>
      </c>
      <c r="AM266" s="584">
        <f t="shared" si="83"/>
        <v>0</v>
      </c>
      <c r="AN266" s="582"/>
      <c r="AO266" s="585"/>
      <c r="AP266" s="582">
        <v>35461</v>
      </c>
      <c r="AQ266" s="585">
        <v>33457</v>
      </c>
      <c r="AR266" s="582">
        <v>17885</v>
      </c>
      <c r="AS266" s="585">
        <v>17078</v>
      </c>
      <c r="AT266" s="582">
        <v>36717</v>
      </c>
      <c r="AU266" s="585">
        <v>36650</v>
      </c>
      <c r="AV266" s="583">
        <f t="shared" si="84"/>
        <v>90063</v>
      </c>
      <c r="AW266" s="583">
        <f t="shared" si="85"/>
        <v>3752.625</v>
      </c>
      <c r="AX266" s="584">
        <f t="shared" si="86"/>
        <v>87185</v>
      </c>
      <c r="AY266" s="584">
        <f t="shared" si="87"/>
        <v>3632.7083333333335</v>
      </c>
      <c r="AZ266" s="583">
        <f t="shared" si="88"/>
        <v>25577.958333333332</v>
      </c>
      <c r="BA266" s="584">
        <f t="shared" si="89"/>
        <v>25007.441666666666</v>
      </c>
    </row>
    <row r="267" spans="1:53">
      <c r="A267" s="439" t="s">
        <v>257</v>
      </c>
      <c r="B267" s="34" t="s">
        <v>321</v>
      </c>
      <c r="C267" s="35"/>
      <c r="D267" s="36">
        <v>197869</v>
      </c>
      <c r="E267" s="36">
        <v>3</v>
      </c>
      <c r="F267" s="582"/>
      <c r="G267" s="585"/>
      <c r="H267" s="582"/>
      <c r="I267" s="585"/>
      <c r="J267" s="582">
        <v>231168</v>
      </c>
      <c r="K267" s="585">
        <v>235523</v>
      </c>
      <c r="L267" s="582">
        <v>39167</v>
      </c>
      <c r="M267" s="585">
        <v>39598</v>
      </c>
      <c r="N267" s="582">
        <v>251179</v>
      </c>
      <c r="O267" s="585">
        <v>252871</v>
      </c>
      <c r="P267" s="583">
        <f t="shared" si="72"/>
        <v>521514</v>
      </c>
      <c r="Q267" s="583">
        <f t="shared" si="73"/>
        <v>17383.8</v>
      </c>
      <c r="R267" s="584">
        <f t="shared" si="74"/>
        <v>527992</v>
      </c>
      <c r="S267" s="584">
        <f t="shared" si="75"/>
        <v>17599.733333333334</v>
      </c>
      <c r="T267" s="582">
        <v>0</v>
      </c>
      <c r="U267" s="585">
        <v>0</v>
      </c>
      <c r="V267" s="583">
        <f t="shared" si="76"/>
        <v>521514</v>
      </c>
      <c r="W267" s="584">
        <f t="shared" si="77"/>
        <v>527992</v>
      </c>
      <c r="X267" s="582"/>
      <c r="Y267" s="585"/>
      <c r="Z267" s="582"/>
      <c r="AA267" s="585"/>
      <c r="AB267" s="582"/>
      <c r="AC267" s="585"/>
      <c r="AD267" s="582"/>
      <c r="AE267" s="585"/>
      <c r="AF267" s="583">
        <f t="shared" si="78"/>
        <v>0</v>
      </c>
      <c r="AG267" s="583">
        <f t="shared" si="79"/>
        <v>0</v>
      </c>
      <c r="AH267" s="584">
        <f t="shared" si="80"/>
        <v>0</v>
      </c>
      <c r="AI267" s="584">
        <f t="shared" si="81"/>
        <v>0</v>
      </c>
      <c r="AJ267" s="582"/>
      <c r="AK267" s="585"/>
      <c r="AL267" s="583">
        <f t="shared" si="82"/>
        <v>0</v>
      </c>
      <c r="AM267" s="584">
        <f t="shared" si="83"/>
        <v>0</v>
      </c>
      <c r="AN267" s="582"/>
      <c r="AO267" s="585"/>
      <c r="AP267" s="582">
        <v>13478</v>
      </c>
      <c r="AQ267" s="585">
        <v>13190</v>
      </c>
      <c r="AR267" s="582">
        <v>6363</v>
      </c>
      <c r="AS267" s="585">
        <v>6639</v>
      </c>
      <c r="AT267" s="582">
        <v>14003</v>
      </c>
      <c r="AU267" s="585">
        <v>14148</v>
      </c>
      <c r="AV267" s="583">
        <f t="shared" si="84"/>
        <v>33844</v>
      </c>
      <c r="AW267" s="583">
        <f t="shared" si="85"/>
        <v>1410.1666666666667</v>
      </c>
      <c r="AX267" s="584">
        <f t="shared" si="86"/>
        <v>33977</v>
      </c>
      <c r="AY267" s="584">
        <f t="shared" si="87"/>
        <v>1415.7083333333333</v>
      </c>
      <c r="AZ267" s="583">
        <f t="shared" si="88"/>
        <v>18793.966666666667</v>
      </c>
      <c r="BA267" s="584">
        <f t="shared" si="89"/>
        <v>19015.441666666666</v>
      </c>
    </row>
    <row r="268" spans="1:53">
      <c r="A268" s="439" t="s">
        <v>257</v>
      </c>
      <c r="B268" s="34" t="s">
        <v>322</v>
      </c>
      <c r="C268" s="35" t="s">
        <v>929</v>
      </c>
      <c r="D268" s="36">
        <v>199102</v>
      </c>
      <c r="E268" s="36">
        <v>3</v>
      </c>
      <c r="F268" s="582"/>
      <c r="G268" s="585"/>
      <c r="H268" s="582"/>
      <c r="I268" s="585"/>
      <c r="J268" s="582">
        <v>133605</v>
      </c>
      <c r="K268" s="585">
        <v>136331</v>
      </c>
      <c r="L268" s="582">
        <v>17199</v>
      </c>
      <c r="M268" s="585">
        <v>19972</v>
      </c>
      <c r="N268" s="582">
        <v>148447</v>
      </c>
      <c r="O268" s="585">
        <v>153869</v>
      </c>
      <c r="P268" s="583">
        <f t="shared" si="72"/>
        <v>299251</v>
      </c>
      <c r="Q268" s="583">
        <f t="shared" si="73"/>
        <v>9975.0333333333328</v>
      </c>
      <c r="R268" s="584">
        <f t="shared" si="74"/>
        <v>310172</v>
      </c>
      <c r="S268" s="584">
        <f t="shared" si="75"/>
        <v>10339.066666666668</v>
      </c>
      <c r="T268" s="582">
        <v>0</v>
      </c>
      <c r="U268" s="585">
        <v>843</v>
      </c>
      <c r="V268" s="583">
        <f t="shared" si="76"/>
        <v>299251</v>
      </c>
      <c r="W268" s="584">
        <f t="shared" si="77"/>
        <v>310172</v>
      </c>
      <c r="X268" s="582"/>
      <c r="Y268" s="585"/>
      <c r="Z268" s="582"/>
      <c r="AA268" s="585"/>
      <c r="AB268" s="582"/>
      <c r="AC268" s="585"/>
      <c r="AD268" s="582"/>
      <c r="AE268" s="585"/>
      <c r="AF268" s="583">
        <f t="shared" si="78"/>
        <v>0</v>
      </c>
      <c r="AG268" s="583">
        <f t="shared" si="79"/>
        <v>0</v>
      </c>
      <c r="AH268" s="584">
        <f t="shared" si="80"/>
        <v>0</v>
      </c>
      <c r="AI268" s="584">
        <f t="shared" si="81"/>
        <v>0</v>
      </c>
      <c r="AJ268" s="582"/>
      <c r="AK268" s="585"/>
      <c r="AL268" s="583">
        <f t="shared" si="82"/>
        <v>0</v>
      </c>
      <c r="AM268" s="584">
        <f t="shared" si="83"/>
        <v>0</v>
      </c>
      <c r="AN268" s="582"/>
      <c r="AO268" s="585"/>
      <c r="AP268" s="582">
        <v>11211</v>
      </c>
      <c r="AQ268" s="585">
        <v>10861</v>
      </c>
      <c r="AR268" s="582">
        <v>2288</v>
      </c>
      <c r="AS268" s="585">
        <v>2282</v>
      </c>
      <c r="AT268" s="582">
        <v>11863</v>
      </c>
      <c r="AU268" s="585">
        <v>11899</v>
      </c>
      <c r="AV268" s="583">
        <f t="shared" si="84"/>
        <v>25362</v>
      </c>
      <c r="AW268" s="583">
        <f t="shared" si="85"/>
        <v>1056.75</v>
      </c>
      <c r="AX268" s="584">
        <f t="shared" si="86"/>
        <v>25042</v>
      </c>
      <c r="AY268" s="584">
        <f t="shared" si="87"/>
        <v>1043.4166666666667</v>
      </c>
      <c r="AZ268" s="583">
        <f t="shared" si="88"/>
        <v>11031.783333333333</v>
      </c>
      <c r="BA268" s="584">
        <f t="shared" si="89"/>
        <v>11382.483333333334</v>
      </c>
    </row>
    <row r="269" spans="1:53">
      <c r="A269" s="439" t="s">
        <v>257</v>
      </c>
      <c r="B269" s="34" t="s">
        <v>323</v>
      </c>
      <c r="C269" s="35"/>
      <c r="D269" s="36">
        <v>199157</v>
      </c>
      <c r="E269" s="36">
        <v>3</v>
      </c>
      <c r="F269" s="582"/>
      <c r="G269" s="585"/>
      <c r="H269" s="582"/>
      <c r="I269" s="585"/>
      <c r="J269" s="582">
        <v>78474</v>
      </c>
      <c r="K269" s="585">
        <v>75543</v>
      </c>
      <c r="L269" s="582">
        <v>20090</v>
      </c>
      <c r="M269" s="585">
        <v>18097</v>
      </c>
      <c r="N269" s="582">
        <v>85662</v>
      </c>
      <c r="O269" s="585">
        <v>80366</v>
      </c>
      <c r="P269" s="583">
        <f t="shared" si="72"/>
        <v>184226</v>
      </c>
      <c r="Q269" s="583">
        <f t="shared" si="73"/>
        <v>6140.8666666666668</v>
      </c>
      <c r="R269" s="584">
        <f t="shared" si="74"/>
        <v>174006</v>
      </c>
      <c r="S269" s="584">
        <f t="shared" si="75"/>
        <v>5800.2</v>
      </c>
      <c r="T269" s="582">
        <v>5236</v>
      </c>
      <c r="U269" s="585">
        <v>6206</v>
      </c>
      <c r="V269" s="583">
        <f t="shared" si="76"/>
        <v>184226</v>
      </c>
      <c r="W269" s="584">
        <f t="shared" si="77"/>
        <v>174006</v>
      </c>
      <c r="X269" s="582"/>
      <c r="Y269" s="585"/>
      <c r="Z269" s="582"/>
      <c r="AA269" s="585"/>
      <c r="AB269" s="582"/>
      <c r="AC269" s="585"/>
      <c r="AD269" s="582"/>
      <c r="AE269" s="585"/>
      <c r="AF269" s="583">
        <f t="shared" si="78"/>
        <v>0</v>
      </c>
      <c r="AG269" s="583">
        <f t="shared" si="79"/>
        <v>0</v>
      </c>
      <c r="AH269" s="584">
        <f t="shared" si="80"/>
        <v>0</v>
      </c>
      <c r="AI269" s="584">
        <f t="shared" si="81"/>
        <v>0</v>
      </c>
      <c r="AJ269" s="582"/>
      <c r="AK269" s="585"/>
      <c r="AL269" s="583">
        <f t="shared" si="82"/>
        <v>0</v>
      </c>
      <c r="AM269" s="584">
        <f t="shared" si="83"/>
        <v>0</v>
      </c>
      <c r="AN269" s="582"/>
      <c r="AO269" s="585"/>
      <c r="AP269" s="582">
        <v>15701</v>
      </c>
      <c r="AQ269" s="585">
        <v>15736</v>
      </c>
      <c r="AR269" s="582">
        <v>4289</v>
      </c>
      <c r="AS269" s="585">
        <v>4822.5</v>
      </c>
      <c r="AT269" s="582">
        <v>16981</v>
      </c>
      <c r="AU269" s="585">
        <v>17874</v>
      </c>
      <c r="AV269" s="583">
        <f t="shared" si="84"/>
        <v>36971</v>
      </c>
      <c r="AW269" s="583">
        <f t="shared" si="85"/>
        <v>1540.4583333333333</v>
      </c>
      <c r="AX269" s="584">
        <f t="shared" si="86"/>
        <v>38432.5</v>
      </c>
      <c r="AY269" s="584">
        <f t="shared" si="87"/>
        <v>1601.3541666666667</v>
      </c>
      <c r="AZ269" s="583">
        <f t="shared" si="88"/>
        <v>7681.3249999999998</v>
      </c>
      <c r="BA269" s="584">
        <f t="shared" si="89"/>
        <v>7401.5541666666668</v>
      </c>
    </row>
    <row r="270" spans="1:53">
      <c r="A270" s="439" t="s">
        <v>257</v>
      </c>
      <c r="B270" s="34" t="s">
        <v>324</v>
      </c>
      <c r="C270" s="35"/>
      <c r="D270" s="36">
        <v>199218</v>
      </c>
      <c r="E270" s="36">
        <v>3</v>
      </c>
      <c r="F270" s="582"/>
      <c r="G270" s="585"/>
      <c r="H270" s="582"/>
      <c r="I270" s="585"/>
      <c r="J270" s="582">
        <v>180235</v>
      </c>
      <c r="K270" s="585">
        <v>179523.5</v>
      </c>
      <c r="L270" s="582">
        <v>39431</v>
      </c>
      <c r="M270" s="585">
        <v>40088.5</v>
      </c>
      <c r="N270" s="582">
        <v>191545</v>
      </c>
      <c r="O270" s="585">
        <v>195080.5</v>
      </c>
      <c r="P270" s="583">
        <f t="shared" si="72"/>
        <v>411211</v>
      </c>
      <c r="Q270" s="583">
        <f t="shared" si="73"/>
        <v>13707.033333333333</v>
      </c>
      <c r="R270" s="584">
        <f t="shared" si="74"/>
        <v>414692.5</v>
      </c>
      <c r="S270" s="584">
        <f t="shared" si="75"/>
        <v>13823.083333333334</v>
      </c>
      <c r="T270" s="582">
        <v>2160</v>
      </c>
      <c r="U270" s="585">
        <v>2512</v>
      </c>
      <c r="V270" s="583">
        <f t="shared" si="76"/>
        <v>411211</v>
      </c>
      <c r="W270" s="584">
        <f t="shared" si="77"/>
        <v>414692.5</v>
      </c>
      <c r="X270" s="582"/>
      <c r="Y270" s="585"/>
      <c r="Z270" s="582"/>
      <c r="AA270" s="585"/>
      <c r="AB270" s="582"/>
      <c r="AC270" s="585"/>
      <c r="AD270" s="582"/>
      <c r="AE270" s="585"/>
      <c r="AF270" s="583">
        <f t="shared" si="78"/>
        <v>0</v>
      </c>
      <c r="AG270" s="583">
        <f t="shared" si="79"/>
        <v>0</v>
      </c>
      <c r="AH270" s="584">
        <f t="shared" si="80"/>
        <v>0</v>
      </c>
      <c r="AI270" s="584">
        <f t="shared" si="81"/>
        <v>0</v>
      </c>
      <c r="AJ270" s="582"/>
      <c r="AK270" s="585"/>
      <c r="AL270" s="583">
        <f t="shared" si="82"/>
        <v>0</v>
      </c>
      <c r="AM270" s="584">
        <f t="shared" si="83"/>
        <v>0</v>
      </c>
      <c r="AN270" s="582"/>
      <c r="AO270" s="585"/>
      <c r="AP270" s="582">
        <v>13485</v>
      </c>
      <c r="AQ270" s="585">
        <v>16215</v>
      </c>
      <c r="AR270" s="582">
        <v>5387</v>
      </c>
      <c r="AS270" s="585">
        <v>7415.5</v>
      </c>
      <c r="AT270" s="582">
        <v>17163</v>
      </c>
      <c r="AU270" s="585">
        <v>20066</v>
      </c>
      <c r="AV270" s="583">
        <f t="shared" si="84"/>
        <v>36035</v>
      </c>
      <c r="AW270" s="583">
        <f t="shared" si="85"/>
        <v>1501.4583333333333</v>
      </c>
      <c r="AX270" s="584">
        <f t="shared" si="86"/>
        <v>43696.5</v>
      </c>
      <c r="AY270" s="584">
        <f t="shared" si="87"/>
        <v>1820.6875</v>
      </c>
      <c r="AZ270" s="583">
        <f t="shared" si="88"/>
        <v>15208.491666666667</v>
      </c>
      <c r="BA270" s="584">
        <f t="shared" si="89"/>
        <v>15643.770833333334</v>
      </c>
    </row>
    <row r="271" spans="1:53">
      <c r="A271" s="439" t="s">
        <v>257</v>
      </c>
      <c r="B271" s="34" t="s">
        <v>325</v>
      </c>
      <c r="C271" s="35"/>
      <c r="D271" s="36">
        <v>200004</v>
      </c>
      <c r="E271" s="36">
        <v>3</v>
      </c>
      <c r="F271" s="582"/>
      <c r="G271" s="585"/>
      <c r="H271" s="582"/>
      <c r="I271" s="585"/>
      <c r="J271" s="582">
        <v>117860</v>
      </c>
      <c r="K271" s="585">
        <v>127502</v>
      </c>
      <c r="L271" s="582">
        <v>18509</v>
      </c>
      <c r="M271" s="585">
        <v>19115</v>
      </c>
      <c r="N271" s="582">
        <v>136671</v>
      </c>
      <c r="O271" s="585">
        <v>142083</v>
      </c>
      <c r="P271" s="583">
        <f t="shared" si="72"/>
        <v>273040</v>
      </c>
      <c r="Q271" s="583">
        <f t="shared" si="73"/>
        <v>9101.3333333333339</v>
      </c>
      <c r="R271" s="584">
        <f t="shared" si="74"/>
        <v>288700</v>
      </c>
      <c r="S271" s="584">
        <f t="shared" si="75"/>
        <v>9623.3333333333339</v>
      </c>
      <c r="T271" s="582">
        <v>0</v>
      </c>
      <c r="U271" s="585">
        <v>0</v>
      </c>
      <c r="V271" s="583">
        <f t="shared" si="76"/>
        <v>273040</v>
      </c>
      <c r="W271" s="584">
        <f t="shared" si="77"/>
        <v>288700</v>
      </c>
      <c r="X271" s="582"/>
      <c r="Y271" s="585"/>
      <c r="Z271" s="582"/>
      <c r="AA271" s="585"/>
      <c r="AB271" s="582"/>
      <c r="AC271" s="585"/>
      <c r="AD271" s="582"/>
      <c r="AE271" s="585"/>
      <c r="AF271" s="583">
        <f t="shared" si="78"/>
        <v>0</v>
      </c>
      <c r="AG271" s="583">
        <f t="shared" si="79"/>
        <v>0</v>
      </c>
      <c r="AH271" s="584">
        <f t="shared" si="80"/>
        <v>0</v>
      </c>
      <c r="AI271" s="584">
        <f t="shared" si="81"/>
        <v>0</v>
      </c>
      <c r="AJ271" s="582"/>
      <c r="AK271" s="585"/>
      <c r="AL271" s="583">
        <f t="shared" si="82"/>
        <v>0</v>
      </c>
      <c r="AM271" s="584">
        <f t="shared" si="83"/>
        <v>0</v>
      </c>
      <c r="AN271" s="582"/>
      <c r="AO271" s="585"/>
      <c r="AP271" s="582">
        <v>12526</v>
      </c>
      <c r="AQ271" s="585">
        <v>13036</v>
      </c>
      <c r="AR271" s="582">
        <v>5724</v>
      </c>
      <c r="AS271" s="585">
        <v>5669</v>
      </c>
      <c r="AT271" s="582">
        <v>13120</v>
      </c>
      <c r="AU271" s="585">
        <v>13967</v>
      </c>
      <c r="AV271" s="583">
        <f t="shared" si="84"/>
        <v>31370</v>
      </c>
      <c r="AW271" s="583">
        <f t="shared" si="85"/>
        <v>1307.0833333333333</v>
      </c>
      <c r="AX271" s="584">
        <f t="shared" si="86"/>
        <v>32672</v>
      </c>
      <c r="AY271" s="584">
        <f t="shared" si="87"/>
        <v>1361.3333333333333</v>
      </c>
      <c r="AZ271" s="583">
        <f t="shared" si="88"/>
        <v>10408.416666666668</v>
      </c>
      <c r="BA271" s="584">
        <f t="shared" si="89"/>
        <v>10984.666666666668</v>
      </c>
    </row>
    <row r="272" spans="1:53">
      <c r="A272" s="439" t="s">
        <v>257</v>
      </c>
      <c r="B272" s="34" t="s">
        <v>326</v>
      </c>
      <c r="C272" s="35"/>
      <c r="D272" s="36">
        <v>198543</v>
      </c>
      <c r="E272" s="36">
        <v>4</v>
      </c>
      <c r="F272" s="582"/>
      <c r="G272" s="585"/>
      <c r="H272" s="582"/>
      <c r="I272" s="585"/>
      <c r="J272" s="582">
        <v>62448</v>
      </c>
      <c r="K272" s="585">
        <v>64237</v>
      </c>
      <c r="L272" s="582">
        <v>15270</v>
      </c>
      <c r="M272" s="585">
        <v>17177</v>
      </c>
      <c r="N272" s="582">
        <v>67778</v>
      </c>
      <c r="O272" s="585">
        <v>68701</v>
      </c>
      <c r="P272" s="583">
        <f t="shared" ref="P272:P335" si="90">SUM(H272,J272,L272,N272)</f>
        <v>145496</v>
      </c>
      <c r="Q272" s="583">
        <f t="shared" ref="Q272:Q335" si="91">+P272/30</f>
        <v>4849.8666666666668</v>
      </c>
      <c r="R272" s="584">
        <f t="shared" ref="R272:R335" si="92">SUM(I272,K272,M272,O272)</f>
        <v>150115</v>
      </c>
      <c r="S272" s="584">
        <f t="shared" ref="S272:S335" si="93">+R272/30</f>
        <v>5003.833333333333</v>
      </c>
      <c r="T272" s="582">
        <v>7882</v>
      </c>
      <c r="U272" s="585">
        <v>7860</v>
      </c>
      <c r="V272" s="583">
        <f t="shared" ref="V272:V335" si="94">IF(ISBLANK(T272),0,P272)</f>
        <v>145496</v>
      </c>
      <c r="W272" s="584">
        <f t="shared" ref="W272:W335" si="95">IF(ISBLANK(U272),0,R272)</f>
        <v>150115</v>
      </c>
      <c r="X272" s="582"/>
      <c r="Y272" s="585"/>
      <c r="Z272" s="582"/>
      <c r="AA272" s="585"/>
      <c r="AB272" s="582"/>
      <c r="AC272" s="585"/>
      <c r="AD272" s="582"/>
      <c r="AE272" s="585"/>
      <c r="AF272" s="583">
        <f t="shared" ref="AF272:AF335" si="96">SUM(X272,Z272,AB272,AD272)</f>
        <v>0</v>
      </c>
      <c r="AG272" s="583">
        <f t="shared" ref="AG272:AG335" si="97">+AF272/900</f>
        <v>0</v>
      </c>
      <c r="AH272" s="584">
        <f t="shared" ref="AH272:AH335" si="98">SUM(Y272,AA272,AC272,AE272)</f>
        <v>0</v>
      </c>
      <c r="AI272" s="584">
        <f t="shared" ref="AI272:AI335" si="99">+AH272/900</f>
        <v>0</v>
      </c>
      <c r="AJ272" s="582"/>
      <c r="AK272" s="585"/>
      <c r="AL272" s="583">
        <f t="shared" si="82"/>
        <v>0</v>
      </c>
      <c r="AM272" s="584">
        <f t="shared" si="83"/>
        <v>0</v>
      </c>
      <c r="AN272" s="582"/>
      <c r="AO272" s="585"/>
      <c r="AP272" s="582">
        <v>5963</v>
      </c>
      <c r="AQ272" s="585">
        <v>5694</v>
      </c>
      <c r="AR272" s="582">
        <v>2051</v>
      </c>
      <c r="AS272" s="585">
        <v>2184</v>
      </c>
      <c r="AT272" s="582">
        <v>6484</v>
      </c>
      <c r="AU272" s="585">
        <v>6460</v>
      </c>
      <c r="AV272" s="583">
        <f t="shared" si="84"/>
        <v>14498</v>
      </c>
      <c r="AW272" s="583">
        <f t="shared" si="85"/>
        <v>604.08333333333337</v>
      </c>
      <c r="AX272" s="584">
        <f t="shared" si="86"/>
        <v>14338</v>
      </c>
      <c r="AY272" s="584">
        <f t="shared" si="87"/>
        <v>597.41666666666663</v>
      </c>
      <c r="AZ272" s="583">
        <f t="shared" si="88"/>
        <v>5453.95</v>
      </c>
      <c r="BA272" s="584">
        <f t="shared" si="89"/>
        <v>5601.25</v>
      </c>
    </row>
    <row r="273" spans="1:53">
      <c r="A273" s="439" t="s">
        <v>257</v>
      </c>
      <c r="B273" s="34" t="s">
        <v>327</v>
      </c>
      <c r="C273" s="35"/>
      <c r="D273" s="36">
        <v>199281</v>
      </c>
      <c r="E273" s="36">
        <v>5</v>
      </c>
      <c r="F273" s="582"/>
      <c r="G273" s="585"/>
      <c r="H273" s="582"/>
      <c r="I273" s="585"/>
      <c r="J273" s="582">
        <v>63839</v>
      </c>
      <c r="K273" s="585">
        <v>71272</v>
      </c>
      <c r="L273" s="582">
        <v>15369</v>
      </c>
      <c r="M273" s="585">
        <v>17971</v>
      </c>
      <c r="N273" s="582">
        <v>78317</v>
      </c>
      <c r="O273" s="585">
        <v>81177</v>
      </c>
      <c r="P273" s="583">
        <f t="shared" si="90"/>
        <v>157525</v>
      </c>
      <c r="Q273" s="583">
        <f t="shared" si="91"/>
        <v>5250.833333333333</v>
      </c>
      <c r="R273" s="584">
        <f t="shared" si="92"/>
        <v>170420</v>
      </c>
      <c r="S273" s="584">
        <f t="shared" si="93"/>
        <v>5680.666666666667</v>
      </c>
      <c r="T273" s="582">
        <v>0</v>
      </c>
      <c r="U273" s="585">
        <v>0</v>
      </c>
      <c r="V273" s="583">
        <f t="shared" si="94"/>
        <v>157525</v>
      </c>
      <c r="W273" s="584">
        <f t="shared" si="95"/>
        <v>170420</v>
      </c>
      <c r="X273" s="582"/>
      <c r="Y273" s="585"/>
      <c r="Z273" s="582"/>
      <c r="AA273" s="585"/>
      <c r="AB273" s="582"/>
      <c r="AC273" s="585"/>
      <c r="AD273" s="582"/>
      <c r="AE273" s="585"/>
      <c r="AF273" s="583">
        <f t="shared" si="96"/>
        <v>0</v>
      </c>
      <c r="AG273" s="583">
        <f t="shared" si="97"/>
        <v>0</v>
      </c>
      <c r="AH273" s="584">
        <f t="shared" si="98"/>
        <v>0</v>
      </c>
      <c r="AI273" s="584">
        <f t="shared" si="99"/>
        <v>0</v>
      </c>
      <c r="AJ273" s="582"/>
      <c r="AK273" s="585"/>
      <c r="AL273" s="583">
        <f t="shared" si="82"/>
        <v>0</v>
      </c>
      <c r="AM273" s="584">
        <f t="shared" si="83"/>
        <v>0</v>
      </c>
      <c r="AN273" s="582"/>
      <c r="AO273" s="585"/>
      <c r="AP273" s="582">
        <v>5367</v>
      </c>
      <c r="AQ273" s="585">
        <v>7137</v>
      </c>
      <c r="AR273" s="582">
        <v>4000</v>
      </c>
      <c r="AS273" s="585">
        <v>5618</v>
      </c>
      <c r="AT273" s="582">
        <v>6975</v>
      </c>
      <c r="AU273" s="585">
        <v>9416</v>
      </c>
      <c r="AV273" s="583">
        <f t="shared" si="84"/>
        <v>16342</v>
      </c>
      <c r="AW273" s="583">
        <f t="shared" si="85"/>
        <v>680.91666666666663</v>
      </c>
      <c r="AX273" s="584">
        <f t="shared" si="86"/>
        <v>22171</v>
      </c>
      <c r="AY273" s="584">
        <f t="shared" si="87"/>
        <v>923.79166666666663</v>
      </c>
      <c r="AZ273" s="583">
        <f t="shared" si="88"/>
        <v>5931.75</v>
      </c>
      <c r="BA273" s="584">
        <f t="shared" si="89"/>
        <v>6604.4583333333339</v>
      </c>
    </row>
    <row r="274" spans="1:53">
      <c r="A274" s="439" t="s">
        <v>257</v>
      </c>
      <c r="B274" s="34" t="s">
        <v>328</v>
      </c>
      <c r="C274" s="35"/>
      <c r="D274" s="36">
        <v>199999</v>
      </c>
      <c r="E274" s="36">
        <v>5</v>
      </c>
      <c r="F274" s="582"/>
      <c r="G274" s="585"/>
      <c r="H274" s="582"/>
      <c r="I274" s="585"/>
      <c r="J274" s="582">
        <v>60923</v>
      </c>
      <c r="K274" s="585">
        <v>59707</v>
      </c>
      <c r="L274" s="582">
        <v>8920</v>
      </c>
      <c r="M274" s="585">
        <v>8428</v>
      </c>
      <c r="N274" s="582">
        <v>65120</v>
      </c>
      <c r="O274" s="585">
        <v>64295</v>
      </c>
      <c r="P274" s="583">
        <f t="shared" si="90"/>
        <v>134963</v>
      </c>
      <c r="Q274" s="583">
        <f t="shared" si="91"/>
        <v>4498.7666666666664</v>
      </c>
      <c r="R274" s="584">
        <f t="shared" si="92"/>
        <v>132430</v>
      </c>
      <c r="S274" s="584">
        <f t="shared" si="93"/>
        <v>4414.333333333333</v>
      </c>
      <c r="T274" s="582">
        <v>0</v>
      </c>
      <c r="U274" s="585">
        <v>0</v>
      </c>
      <c r="V274" s="583">
        <f t="shared" si="94"/>
        <v>134963</v>
      </c>
      <c r="W274" s="584">
        <f t="shared" si="95"/>
        <v>132430</v>
      </c>
      <c r="X274" s="582"/>
      <c r="Y274" s="585"/>
      <c r="Z274" s="582"/>
      <c r="AA274" s="585"/>
      <c r="AB274" s="582"/>
      <c r="AC274" s="585"/>
      <c r="AD274" s="582"/>
      <c r="AE274" s="585"/>
      <c r="AF274" s="583">
        <f t="shared" si="96"/>
        <v>0</v>
      </c>
      <c r="AG274" s="583">
        <f t="shared" si="97"/>
        <v>0</v>
      </c>
      <c r="AH274" s="584">
        <f t="shared" si="98"/>
        <v>0</v>
      </c>
      <c r="AI274" s="584">
        <f t="shared" si="99"/>
        <v>0</v>
      </c>
      <c r="AJ274" s="582"/>
      <c r="AK274" s="585"/>
      <c r="AL274" s="583">
        <f t="shared" si="82"/>
        <v>0</v>
      </c>
      <c r="AM274" s="584">
        <f t="shared" si="83"/>
        <v>0</v>
      </c>
      <c r="AN274" s="582"/>
      <c r="AO274" s="585"/>
      <c r="AP274" s="582">
        <v>3974</v>
      </c>
      <c r="AQ274" s="585">
        <v>4309</v>
      </c>
      <c r="AR274" s="582">
        <v>2102</v>
      </c>
      <c r="AS274" s="585">
        <v>2247</v>
      </c>
      <c r="AT274" s="582">
        <v>4361</v>
      </c>
      <c r="AU274" s="585">
        <v>4457</v>
      </c>
      <c r="AV274" s="583">
        <f t="shared" si="84"/>
        <v>10437</v>
      </c>
      <c r="AW274" s="583">
        <f t="shared" si="85"/>
        <v>434.875</v>
      </c>
      <c r="AX274" s="584">
        <f t="shared" si="86"/>
        <v>11013</v>
      </c>
      <c r="AY274" s="584">
        <f t="shared" si="87"/>
        <v>458.875</v>
      </c>
      <c r="AZ274" s="583">
        <f t="shared" si="88"/>
        <v>4933.6416666666664</v>
      </c>
      <c r="BA274" s="584">
        <f t="shared" si="89"/>
        <v>4873.208333333333</v>
      </c>
    </row>
    <row r="275" spans="1:53">
      <c r="A275" s="439" t="s">
        <v>257</v>
      </c>
      <c r="B275" s="34" t="s">
        <v>329</v>
      </c>
      <c r="C275" s="35"/>
      <c r="D275" s="36">
        <v>198507</v>
      </c>
      <c r="E275" s="36">
        <v>6</v>
      </c>
      <c r="F275" s="582"/>
      <c r="G275" s="585"/>
      <c r="H275" s="582"/>
      <c r="I275" s="585"/>
      <c r="J275" s="582">
        <v>16951</v>
      </c>
      <c r="K275" s="585">
        <v>20165</v>
      </c>
      <c r="L275" s="582">
        <v>1550</v>
      </c>
      <c r="M275" s="585">
        <v>2453</v>
      </c>
      <c r="N275" s="582">
        <v>22715</v>
      </c>
      <c r="O275" s="585">
        <v>23739</v>
      </c>
      <c r="P275" s="583">
        <f t="shared" si="90"/>
        <v>41216</v>
      </c>
      <c r="Q275" s="583">
        <f t="shared" si="91"/>
        <v>1373.8666666666666</v>
      </c>
      <c r="R275" s="584">
        <f t="shared" si="92"/>
        <v>46357</v>
      </c>
      <c r="S275" s="584">
        <f t="shared" si="93"/>
        <v>1545.2333333333333</v>
      </c>
      <c r="T275" s="582">
        <v>0</v>
      </c>
      <c r="U275" s="585">
        <v>0</v>
      </c>
      <c r="V275" s="583">
        <f t="shared" si="94"/>
        <v>41216</v>
      </c>
      <c r="W275" s="584">
        <f t="shared" si="95"/>
        <v>46357</v>
      </c>
      <c r="X275" s="582"/>
      <c r="Y275" s="585"/>
      <c r="Z275" s="582"/>
      <c r="AA275" s="585"/>
      <c r="AB275" s="582"/>
      <c r="AC275" s="585"/>
      <c r="AD275" s="582"/>
      <c r="AE275" s="585"/>
      <c r="AF275" s="583">
        <f t="shared" si="96"/>
        <v>0</v>
      </c>
      <c r="AG275" s="583">
        <f t="shared" si="97"/>
        <v>0</v>
      </c>
      <c r="AH275" s="584">
        <f t="shared" si="98"/>
        <v>0</v>
      </c>
      <c r="AI275" s="584">
        <f t="shared" si="99"/>
        <v>0</v>
      </c>
      <c r="AJ275" s="582"/>
      <c r="AK275" s="585"/>
      <c r="AL275" s="583">
        <f t="shared" si="82"/>
        <v>0</v>
      </c>
      <c r="AM275" s="584">
        <f t="shared" si="83"/>
        <v>0</v>
      </c>
      <c r="AN275" s="582"/>
      <c r="AO275" s="585"/>
      <c r="AP275" s="582">
        <v>280</v>
      </c>
      <c r="AQ275" s="585">
        <v>399</v>
      </c>
      <c r="AR275" s="582">
        <v>91</v>
      </c>
      <c r="AS275" s="585">
        <v>236</v>
      </c>
      <c r="AT275" s="582">
        <v>282</v>
      </c>
      <c r="AU275" s="585">
        <v>593</v>
      </c>
      <c r="AV275" s="583">
        <f t="shared" si="84"/>
        <v>653</v>
      </c>
      <c r="AW275" s="583">
        <f t="shared" si="85"/>
        <v>27.208333333333332</v>
      </c>
      <c r="AX275" s="584">
        <f t="shared" si="86"/>
        <v>1228</v>
      </c>
      <c r="AY275" s="584">
        <f t="shared" si="87"/>
        <v>51.166666666666664</v>
      </c>
      <c r="AZ275" s="583">
        <f t="shared" si="88"/>
        <v>1401.0749999999998</v>
      </c>
      <c r="BA275" s="584">
        <f t="shared" si="89"/>
        <v>1596.4</v>
      </c>
    </row>
    <row r="276" spans="1:53">
      <c r="A276" s="439" t="s">
        <v>257</v>
      </c>
      <c r="B276" s="34" t="s">
        <v>330</v>
      </c>
      <c r="C276" s="35"/>
      <c r="D276" s="36">
        <v>199111</v>
      </c>
      <c r="E276" s="36">
        <v>6</v>
      </c>
      <c r="F276" s="582"/>
      <c r="G276" s="585"/>
      <c r="H276" s="582"/>
      <c r="I276" s="585"/>
      <c r="J276" s="582">
        <v>47284</v>
      </c>
      <c r="K276" s="585">
        <v>46802</v>
      </c>
      <c r="L276" s="582">
        <v>4138</v>
      </c>
      <c r="M276" s="585">
        <v>4228</v>
      </c>
      <c r="N276" s="582">
        <v>50683</v>
      </c>
      <c r="O276" s="585">
        <v>47948</v>
      </c>
      <c r="P276" s="583">
        <f t="shared" si="90"/>
        <v>102105</v>
      </c>
      <c r="Q276" s="583">
        <f t="shared" si="91"/>
        <v>3403.5</v>
      </c>
      <c r="R276" s="584">
        <f t="shared" si="92"/>
        <v>98978</v>
      </c>
      <c r="S276" s="584">
        <f t="shared" si="93"/>
        <v>3299.2666666666669</v>
      </c>
      <c r="T276" s="582">
        <v>0</v>
      </c>
      <c r="U276" s="585">
        <v>0</v>
      </c>
      <c r="V276" s="583">
        <f t="shared" si="94"/>
        <v>102105</v>
      </c>
      <c r="W276" s="584">
        <f t="shared" si="95"/>
        <v>98978</v>
      </c>
      <c r="X276" s="582"/>
      <c r="Y276" s="585"/>
      <c r="Z276" s="582"/>
      <c r="AA276" s="585"/>
      <c r="AB276" s="582"/>
      <c r="AC276" s="585"/>
      <c r="AD276" s="582"/>
      <c r="AE276" s="585"/>
      <c r="AF276" s="583">
        <f t="shared" si="96"/>
        <v>0</v>
      </c>
      <c r="AG276" s="583">
        <f t="shared" si="97"/>
        <v>0</v>
      </c>
      <c r="AH276" s="584">
        <f t="shared" si="98"/>
        <v>0</v>
      </c>
      <c r="AI276" s="584">
        <f t="shared" si="99"/>
        <v>0</v>
      </c>
      <c r="AJ276" s="582"/>
      <c r="AK276" s="585"/>
      <c r="AL276" s="583">
        <f t="shared" si="82"/>
        <v>0</v>
      </c>
      <c r="AM276" s="584">
        <f t="shared" si="83"/>
        <v>0</v>
      </c>
      <c r="AN276" s="582"/>
      <c r="AO276" s="585"/>
      <c r="AP276" s="582">
        <v>127</v>
      </c>
      <c r="AQ276" s="585">
        <v>120</v>
      </c>
      <c r="AR276" s="582">
        <v>3</v>
      </c>
      <c r="AS276" s="585">
        <v>26</v>
      </c>
      <c r="AT276" s="582">
        <v>99</v>
      </c>
      <c r="AU276" s="585">
        <v>67</v>
      </c>
      <c r="AV276" s="583">
        <f t="shared" si="84"/>
        <v>229</v>
      </c>
      <c r="AW276" s="583">
        <f t="shared" si="85"/>
        <v>9.5416666666666661</v>
      </c>
      <c r="AX276" s="584">
        <f t="shared" si="86"/>
        <v>213</v>
      </c>
      <c r="AY276" s="584">
        <f t="shared" si="87"/>
        <v>8.875</v>
      </c>
      <c r="AZ276" s="583">
        <f t="shared" si="88"/>
        <v>3413.0416666666665</v>
      </c>
      <c r="BA276" s="584">
        <f t="shared" si="89"/>
        <v>3308.1416666666669</v>
      </c>
    </row>
    <row r="277" spans="1:53">
      <c r="A277" s="528" t="s">
        <v>257</v>
      </c>
      <c r="B277" s="34" t="s">
        <v>892</v>
      </c>
      <c r="C277" s="35"/>
      <c r="D277" s="36">
        <v>199184</v>
      </c>
      <c r="E277" s="36">
        <v>15</v>
      </c>
      <c r="F277" s="582"/>
      <c r="G277" s="585"/>
      <c r="H277" s="582"/>
      <c r="I277" s="585"/>
      <c r="J277" s="582">
        <v>13092</v>
      </c>
      <c r="K277" s="585">
        <v>13360</v>
      </c>
      <c r="L277" s="582">
        <v>276</v>
      </c>
      <c r="M277" s="585">
        <v>230</v>
      </c>
      <c r="N277" s="582">
        <v>14434</v>
      </c>
      <c r="O277" s="585">
        <v>13847</v>
      </c>
      <c r="P277" s="583">
        <f t="shared" si="90"/>
        <v>27802</v>
      </c>
      <c r="Q277" s="583">
        <f t="shared" si="91"/>
        <v>926.73333333333335</v>
      </c>
      <c r="R277" s="584">
        <f t="shared" si="92"/>
        <v>27437</v>
      </c>
      <c r="S277" s="584">
        <f t="shared" si="93"/>
        <v>914.56666666666672</v>
      </c>
      <c r="T277" s="582"/>
      <c r="U277" s="585">
        <v>0</v>
      </c>
      <c r="V277" s="583">
        <f t="shared" si="94"/>
        <v>0</v>
      </c>
      <c r="W277" s="584">
        <f t="shared" si="95"/>
        <v>27437</v>
      </c>
      <c r="X277" s="582"/>
      <c r="Y277" s="585"/>
      <c r="Z277" s="582"/>
      <c r="AA277" s="585"/>
      <c r="AB277" s="582"/>
      <c r="AC277" s="585"/>
      <c r="AD277" s="582"/>
      <c r="AE277" s="585"/>
      <c r="AF277" s="583">
        <f t="shared" si="96"/>
        <v>0</v>
      </c>
      <c r="AG277" s="583">
        <f t="shared" si="97"/>
        <v>0</v>
      </c>
      <c r="AH277" s="584">
        <f t="shared" si="98"/>
        <v>0</v>
      </c>
      <c r="AI277" s="584">
        <f t="shared" si="99"/>
        <v>0</v>
      </c>
      <c r="AJ277" s="582"/>
      <c r="AK277" s="585"/>
      <c r="AL277" s="583">
        <f t="shared" si="82"/>
        <v>0</v>
      </c>
      <c r="AM277" s="584">
        <f t="shared" si="83"/>
        <v>0</v>
      </c>
      <c r="AN277" s="582"/>
      <c r="AO277" s="585"/>
      <c r="AP277" s="582">
        <v>1778</v>
      </c>
      <c r="AQ277" s="585">
        <v>1864</v>
      </c>
      <c r="AR277" s="582">
        <v>2</v>
      </c>
      <c r="AS277" s="585">
        <v>0</v>
      </c>
      <c r="AT277" s="582">
        <v>1946</v>
      </c>
      <c r="AU277" s="585">
        <v>1958</v>
      </c>
      <c r="AV277" s="583">
        <f t="shared" si="84"/>
        <v>3726</v>
      </c>
      <c r="AW277" s="583">
        <f t="shared" si="85"/>
        <v>155.25</v>
      </c>
      <c r="AX277" s="584">
        <f t="shared" si="86"/>
        <v>3822</v>
      </c>
      <c r="AY277" s="584">
        <f t="shared" si="87"/>
        <v>159.25</v>
      </c>
      <c r="AZ277" s="583">
        <f t="shared" si="88"/>
        <v>1081.9833333333333</v>
      </c>
      <c r="BA277" s="584">
        <f t="shared" si="89"/>
        <v>1073.8166666666666</v>
      </c>
    </row>
    <row r="278" spans="1:53">
      <c r="A278" s="428" t="s">
        <v>257</v>
      </c>
      <c r="B278" s="26" t="s">
        <v>258</v>
      </c>
      <c r="C278" s="440"/>
      <c r="D278" s="25">
        <v>197887</v>
      </c>
      <c r="E278" s="441">
        <v>8</v>
      </c>
      <c r="F278" s="582" t="s">
        <v>74</v>
      </c>
      <c r="G278" s="585"/>
      <c r="H278" s="587"/>
      <c r="I278" s="585"/>
      <c r="J278" s="587">
        <v>59567</v>
      </c>
      <c r="K278" s="585">
        <v>55880</v>
      </c>
      <c r="L278" s="587">
        <v>14890</v>
      </c>
      <c r="M278" s="585">
        <v>14802</v>
      </c>
      <c r="N278" s="587">
        <v>60621</v>
      </c>
      <c r="O278" s="585">
        <v>59570</v>
      </c>
      <c r="P278" s="583">
        <f t="shared" si="90"/>
        <v>135078</v>
      </c>
      <c r="Q278" s="583">
        <f t="shared" si="91"/>
        <v>4502.6000000000004</v>
      </c>
      <c r="R278" s="584">
        <f t="shared" si="92"/>
        <v>130252</v>
      </c>
      <c r="S278" s="584">
        <f t="shared" si="93"/>
        <v>4341.7333333333336</v>
      </c>
      <c r="T278" s="587">
        <v>23697</v>
      </c>
      <c r="U278" s="585">
        <v>24622</v>
      </c>
      <c r="V278" s="583">
        <f t="shared" si="94"/>
        <v>135078</v>
      </c>
      <c r="W278" s="584">
        <f t="shared" si="95"/>
        <v>130252</v>
      </c>
      <c r="X278" s="587"/>
      <c r="Y278" s="585"/>
      <c r="Z278" s="587">
        <v>252043</v>
      </c>
      <c r="AA278" s="585">
        <v>273043</v>
      </c>
      <c r="AB278" s="587">
        <v>178992</v>
      </c>
      <c r="AC278" s="585">
        <v>175951</v>
      </c>
      <c r="AD278" s="587">
        <v>244114</v>
      </c>
      <c r="AE278" s="585">
        <v>267607</v>
      </c>
      <c r="AF278" s="583">
        <f t="shared" si="96"/>
        <v>675149</v>
      </c>
      <c r="AG278" s="583">
        <f t="shared" si="97"/>
        <v>750.16555555555556</v>
      </c>
      <c r="AH278" s="584">
        <f t="shared" si="98"/>
        <v>716601</v>
      </c>
      <c r="AI278" s="584">
        <f t="shared" si="99"/>
        <v>796.22333333333336</v>
      </c>
      <c r="AJ278" s="587"/>
      <c r="AK278" s="585"/>
      <c r="AL278" s="583">
        <f t="shared" si="82"/>
        <v>0</v>
      </c>
      <c r="AM278" s="584">
        <f t="shared" si="83"/>
        <v>0</v>
      </c>
      <c r="AN278" s="587"/>
      <c r="AO278" s="585"/>
      <c r="AP278" s="587"/>
      <c r="AQ278" s="585"/>
      <c r="AR278" s="587"/>
      <c r="AS278" s="585"/>
      <c r="AT278" s="587"/>
      <c r="AU278" s="585"/>
      <c r="AV278" s="583">
        <f t="shared" si="84"/>
        <v>0</v>
      </c>
      <c r="AW278" s="583">
        <f t="shared" si="85"/>
        <v>0</v>
      </c>
      <c r="AX278" s="584">
        <f t="shared" si="86"/>
        <v>0</v>
      </c>
      <c r="AY278" s="584">
        <f t="shared" si="87"/>
        <v>0</v>
      </c>
      <c r="AZ278" s="583">
        <f t="shared" si="88"/>
        <v>5252.7655555555557</v>
      </c>
      <c r="BA278" s="584">
        <f t="shared" si="89"/>
        <v>5137.9566666666669</v>
      </c>
    </row>
    <row r="279" spans="1:53">
      <c r="A279" s="428" t="s">
        <v>257</v>
      </c>
      <c r="B279" s="26" t="s">
        <v>259</v>
      </c>
      <c r="C279" s="440"/>
      <c r="D279" s="25">
        <v>198154</v>
      </c>
      <c r="E279" s="441">
        <v>8</v>
      </c>
      <c r="F279" s="582" t="s">
        <v>74</v>
      </c>
      <c r="G279" s="585"/>
      <c r="H279" s="587"/>
      <c r="I279" s="585"/>
      <c r="J279" s="587">
        <v>77080</v>
      </c>
      <c r="K279" s="585">
        <v>73892</v>
      </c>
      <c r="L279" s="587">
        <v>22371</v>
      </c>
      <c r="M279" s="585">
        <v>22097</v>
      </c>
      <c r="N279" s="587">
        <v>82841</v>
      </c>
      <c r="O279" s="585">
        <v>84210</v>
      </c>
      <c r="P279" s="583">
        <f t="shared" si="90"/>
        <v>182292</v>
      </c>
      <c r="Q279" s="583">
        <f t="shared" si="91"/>
        <v>6076.4</v>
      </c>
      <c r="R279" s="584">
        <f t="shared" si="92"/>
        <v>180199</v>
      </c>
      <c r="S279" s="584">
        <f t="shared" si="93"/>
        <v>6006.6333333333332</v>
      </c>
      <c r="T279" s="587">
        <v>19206</v>
      </c>
      <c r="U279" s="585">
        <v>23372</v>
      </c>
      <c r="V279" s="583">
        <f t="shared" si="94"/>
        <v>182292</v>
      </c>
      <c r="W279" s="584">
        <f t="shared" si="95"/>
        <v>180199</v>
      </c>
      <c r="X279" s="587"/>
      <c r="Y279" s="585"/>
      <c r="Z279" s="587">
        <v>244914</v>
      </c>
      <c r="AA279" s="585">
        <v>250103</v>
      </c>
      <c r="AB279" s="587">
        <v>145395</v>
      </c>
      <c r="AC279" s="585">
        <v>149085</v>
      </c>
      <c r="AD279" s="587">
        <v>208047</v>
      </c>
      <c r="AE279" s="585">
        <v>292108</v>
      </c>
      <c r="AF279" s="583">
        <f t="shared" si="96"/>
        <v>598356</v>
      </c>
      <c r="AG279" s="583">
        <f t="shared" si="97"/>
        <v>664.84</v>
      </c>
      <c r="AH279" s="584">
        <f t="shared" si="98"/>
        <v>691296</v>
      </c>
      <c r="AI279" s="584">
        <f t="shared" si="99"/>
        <v>768.10666666666668</v>
      </c>
      <c r="AJ279" s="587"/>
      <c r="AK279" s="585"/>
      <c r="AL279" s="583">
        <f t="shared" si="82"/>
        <v>0</v>
      </c>
      <c r="AM279" s="584">
        <f t="shared" si="83"/>
        <v>0</v>
      </c>
      <c r="AN279" s="587"/>
      <c r="AO279" s="585"/>
      <c r="AP279" s="587"/>
      <c r="AQ279" s="585"/>
      <c r="AR279" s="587"/>
      <c r="AS279" s="585"/>
      <c r="AT279" s="587"/>
      <c r="AU279" s="585"/>
      <c r="AV279" s="583">
        <f t="shared" si="84"/>
        <v>0</v>
      </c>
      <c r="AW279" s="583">
        <f t="shared" si="85"/>
        <v>0</v>
      </c>
      <c r="AX279" s="584">
        <f t="shared" si="86"/>
        <v>0</v>
      </c>
      <c r="AY279" s="584">
        <f t="shared" si="87"/>
        <v>0</v>
      </c>
      <c r="AZ279" s="583">
        <f t="shared" si="88"/>
        <v>6741.24</v>
      </c>
      <c r="BA279" s="584">
        <f t="shared" si="89"/>
        <v>6774.74</v>
      </c>
    </row>
    <row r="280" spans="1:53">
      <c r="A280" s="428" t="s">
        <v>257</v>
      </c>
      <c r="B280" s="26" t="s">
        <v>260</v>
      </c>
      <c r="C280" s="440"/>
      <c r="D280" s="25">
        <v>198260</v>
      </c>
      <c r="E280" s="441">
        <v>8</v>
      </c>
      <c r="F280" s="582" t="s">
        <v>74</v>
      </c>
      <c r="G280" s="585"/>
      <c r="H280" s="587"/>
      <c r="I280" s="585"/>
      <c r="J280" s="587">
        <v>174730.8</v>
      </c>
      <c r="K280" s="585">
        <v>169269.5</v>
      </c>
      <c r="L280" s="587">
        <v>47173</v>
      </c>
      <c r="M280" s="585">
        <v>46388</v>
      </c>
      <c r="N280" s="587">
        <v>178841.5</v>
      </c>
      <c r="O280" s="585">
        <v>178676</v>
      </c>
      <c r="P280" s="583">
        <f t="shared" si="90"/>
        <v>400745.3</v>
      </c>
      <c r="Q280" s="583">
        <f t="shared" si="91"/>
        <v>13358.176666666666</v>
      </c>
      <c r="R280" s="584">
        <f t="shared" si="92"/>
        <v>394333.5</v>
      </c>
      <c r="S280" s="584">
        <f t="shared" si="93"/>
        <v>13144.45</v>
      </c>
      <c r="T280" s="587">
        <v>21000.5</v>
      </c>
      <c r="U280" s="585">
        <v>30622.5</v>
      </c>
      <c r="V280" s="583">
        <f t="shared" si="94"/>
        <v>400745.3</v>
      </c>
      <c r="W280" s="584">
        <f t="shared" si="95"/>
        <v>394333.5</v>
      </c>
      <c r="X280" s="587"/>
      <c r="Y280" s="585"/>
      <c r="Z280" s="587">
        <v>525940</v>
      </c>
      <c r="AA280" s="585">
        <v>544624</v>
      </c>
      <c r="AB280" s="587">
        <v>255810</v>
      </c>
      <c r="AC280" s="585">
        <v>233382</v>
      </c>
      <c r="AD280" s="587">
        <v>487842</v>
      </c>
      <c r="AE280" s="585">
        <v>502316</v>
      </c>
      <c r="AF280" s="583">
        <f t="shared" si="96"/>
        <v>1269592</v>
      </c>
      <c r="AG280" s="583">
        <f t="shared" si="97"/>
        <v>1410.6577777777777</v>
      </c>
      <c r="AH280" s="584">
        <f t="shared" si="98"/>
        <v>1280322</v>
      </c>
      <c r="AI280" s="584">
        <f t="shared" si="99"/>
        <v>1422.58</v>
      </c>
      <c r="AJ280" s="587"/>
      <c r="AK280" s="585"/>
      <c r="AL280" s="583">
        <f t="shared" si="82"/>
        <v>0</v>
      </c>
      <c r="AM280" s="584">
        <f t="shared" si="83"/>
        <v>0</v>
      </c>
      <c r="AN280" s="587"/>
      <c r="AO280" s="585"/>
      <c r="AP280" s="587"/>
      <c r="AQ280" s="585"/>
      <c r="AR280" s="587"/>
      <c r="AS280" s="585"/>
      <c r="AT280" s="587"/>
      <c r="AU280" s="585"/>
      <c r="AV280" s="583">
        <f t="shared" si="84"/>
        <v>0</v>
      </c>
      <c r="AW280" s="583">
        <f t="shared" si="85"/>
        <v>0</v>
      </c>
      <c r="AX280" s="584">
        <f t="shared" si="86"/>
        <v>0</v>
      </c>
      <c r="AY280" s="584">
        <f t="shared" si="87"/>
        <v>0</v>
      </c>
      <c r="AZ280" s="583">
        <f t="shared" si="88"/>
        <v>14768.834444444445</v>
      </c>
      <c r="BA280" s="584">
        <f t="shared" si="89"/>
        <v>14567.03</v>
      </c>
    </row>
    <row r="281" spans="1:53">
      <c r="A281" s="428" t="s">
        <v>257</v>
      </c>
      <c r="B281" s="26" t="s">
        <v>261</v>
      </c>
      <c r="C281" s="440"/>
      <c r="D281" s="25">
        <v>198534</v>
      </c>
      <c r="E281" s="441">
        <v>8</v>
      </c>
      <c r="F281" s="582" t="s">
        <v>74</v>
      </c>
      <c r="G281" s="585"/>
      <c r="H281" s="587"/>
      <c r="I281" s="585"/>
      <c r="J281" s="587">
        <v>106524</v>
      </c>
      <c r="K281" s="585">
        <v>104030</v>
      </c>
      <c r="L281" s="587">
        <v>31484</v>
      </c>
      <c r="M281" s="585">
        <v>35057</v>
      </c>
      <c r="N281" s="587">
        <v>108583</v>
      </c>
      <c r="O281" s="585">
        <v>113917</v>
      </c>
      <c r="P281" s="583">
        <f t="shared" si="90"/>
        <v>246591</v>
      </c>
      <c r="Q281" s="583">
        <f t="shared" si="91"/>
        <v>8219.7000000000007</v>
      </c>
      <c r="R281" s="584">
        <f t="shared" si="92"/>
        <v>253004</v>
      </c>
      <c r="S281" s="584">
        <f t="shared" si="93"/>
        <v>8433.4666666666672</v>
      </c>
      <c r="T281" s="587">
        <v>17478</v>
      </c>
      <c r="U281" s="585">
        <v>20010</v>
      </c>
      <c r="V281" s="583">
        <f t="shared" si="94"/>
        <v>246591</v>
      </c>
      <c r="W281" s="584">
        <f t="shared" si="95"/>
        <v>253004</v>
      </c>
      <c r="X281" s="587"/>
      <c r="Y281" s="585"/>
      <c r="Z281" s="587">
        <v>694534</v>
      </c>
      <c r="AA281" s="585">
        <v>727015</v>
      </c>
      <c r="AB281" s="587">
        <v>637123</v>
      </c>
      <c r="AC281" s="585">
        <v>650272</v>
      </c>
      <c r="AD281" s="587">
        <v>960583</v>
      </c>
      <c r="AE281" s="585">
        <v>970233</v>
      </c>
      <c r="AF281" s="583">
        <f t="shared" si="96"/>
        <v>2292240</v>
      </c>
      <c r="AG281" s="583">
        <f t="shared" si="97"/>
        <v>2546.9333333333334</v>
      </c>
      <c r="AH281" s="584">
        <f t="shared" si="98"/>
        <v>2347520</v>
      </c>
      <c r="AI281" s="584">
        <f t="shared" si="99"/>
        <v>2608.3555555555554</v>
      </c>
      <c r="AJ281" s="587"/>
      <c r="AK281" s="585"/>
      <c r="AL281" s="583">
        <f t="shared" si="82"/>
        <v>0</v>
      </c>
      <c r="AM281" s="584">
        <f t="shared" si="83"/>
        <v>0</v>
      </c>
      <c r="AN281" s="587"/>
      <c r="AO281" s="585"/>
      <c r="AP281" s="587"/>
      <c r="AQ281" s="585"/>
      <c r="AR281" s="587"/>
      <c r="AS281" s="585"/>
      <c r="AT281" s="587"/>
      <c r="AU281" s="585"/>
      <c r="AV281" s="583">
        <f t="shared" si="84"/>
        <v>0</v>
      </c>
      <c r="AW281" s="583">
        <f t="shared" si="85"/>
        <v>0</v>
      </c>
      <c r="AX281" s="584">
        <f t="shared" si="86"/>
        <v>0</v>
      </c>
      <c r="AY281" s="584">
        <f t="shared" si="87"/>
        <v>0</v>
      </c>
      <c r="AZ281" s="583">
        <f t="shared" si="88"/>
        <v>10766.633333333335</v>
      </c>
      <c r="BA281" s="584">
        <f t="shared" si="89"/>
        <v>11041.822222222223</v>
      </c>
    </row>
    <row r="282" spans="1:53">
      <c r="A282" s="428" t="s">
        <v>257</v>
      </c>
      <c r="B282" s="26" t="s">
        <v>262</v>
      </c>
      <c r="C282" s="440"/>
      <c r="D282" s="25">
        <v>198552</v>
      </c>
      <c r="E282" s="441">
        <v>8</v>
      </c>
      <c r="F282" s="582" t="s">
        <v>74</v>
      </c>
      <c r="G282" s="585"/>
      <c r="H282" s="587"/>
      <c r="I282" s="585"/>
      <c r="J282" s="587">
        <v>67204</v>
      </c>
      <c r="K282" s="585">
        <v>67366</v>
      </c>
      <c r="L282" s="587">
        <v>22848</v>
      </c>
      <c r="M282" s="585">
        <v>23797</v>
      </c>
      <c r="N282" s="587">
        <v>73096</v>
      </c>
      <c r="O282" s="585">
        <v>72616</v>
      </c>
      <c r="P282" s="583">
        <f t="shared" si="90"/>
        <v>163148</v>
      </c>
      <c r="Q282" s="583">
        <f t="shared" si="91"/>
        <v>5438.2666666666664</v>
      </c>
      <c r="R282" s="584">
        <f t="shared" si="92"/>
        <v>163779</v>
      </c>
      <c r="S282" s="584">
        <f t="shared" si="93"/>
        <v>5459.3</v>
      </c>
      <c r="T282" s="587">
        <v>15329</v>
      </c>
      <c r="U282" s="585">
        <v>14786</v>
      </c>
      <c r="V282" s="583">
        <f t="shared" si="94"/>
        <v>163148</v>
      </c>
      <c r="W282" s="584">
        <f t="shared" si="95"/>
        <v>163779</v>
      </c>
      <c r="X282" s="587"/>
      <c r="Y282" s="585"/>
      <c r="Z282" s="587">
        <v>297150</v>
      </c>
      <c r="AA282" s="585">
        <v>201159</v>
      </c>
      <c r="AB282" s="587">
        <v>171194</v>
      </c>
      <c r="AC282" s="585">
        <v>191527</v>
      </c>
      <c r="AD282" s="587">
        <v>300039</v>
      </c>
      <c r="AE282" s="585">
        <v>239291</v>
      </c>
      <c r="AF282" s="583">
        <f t="shared" si="96"/>
        <v>768383</v>
      </c>
      <c r="AG282" s="583">
        <f t="shared" si="97"/>
        <v>853.75888888888892</v>
      </c>
      <c r="AH282" s="584">
        <f t="shared" si="98"/>
        <v>631977</v>
      </c>
      <c r="AI282" s="584">
        <f t="shared" si="99"/>
        <v>702.19666666666672</v>
      </c>
      <c r="AJ282" s="587"/>
      <c r="AK282" s="585"/>
      <c r="AL282" s="583">
        <f t="shared" si="82"/>
        <v>0</v>
      </c>
      <c r="AM282" s="584">
        <f t="shared" si="83"/>
        <v>0</v>
      </c>
      <c r="AN282" s="587"/>
      <c r="AO282" s="585"/>
      <c r="AP282" s="587"/>
      <c r="AQ282" s="585"/>
      <c r="AR282" s="587"/>
      <c r="AS282" s="585"/>
      <c r="AT282" s="587"/>
      <c r="AU282" s="585"/>
      <c r="AV282" s="583">
        <f t="shared" si="84"/>
        <v>0</v>
      </c>
      <c r="AW282" s="583">
        <f t="shared" si="85"/>
        <v>0</v>
      </c>
      <c r="AX282" s="584">
        <f t="shared" si="86"/>
        <v>0</v>
      </c>
      <c r="AY282" s="584">
        <f t="shared" si="87"/>
        <v>0</v>
      </c>
      <c r="AZ282" s="583">
        <f t="shared" si="88"/>
        <v>6292.025555555555</v>
      </c>
      <c r="BA282" s="584">
        <f t="shared" si="89"/>
        <v>6161.4966666666669</v>
      </c>
    </row>
    <row r="283" spans="1:53">
      <c r="A283" s="428" t="s">
        <v>257</v>
      </c>
      <c r="B283" s="26" t="s">
        <v>263</v>
      </c>
      <c r="C283" s="440"/>
      <c r="D283" s="25">
        <v>198622</v>
      </c>
      <c r="E283" s="441">
        <v>8</v>
      </c>
      <c r="F283" s="582" t="s">
        <v>74</v>
      </c>
      <c r="G283" s="585"/>
      <c r="H283" s="587"/>
      <c r="I283" s="585"/>
      <c r="J283" s="587">
        <v>92786</v>
      </c>
      <c r="K283" s="585">
        <v>90788</v>
      </c>
      <c r="L283" s="587">
        <v>24999</v>
      </c>
      <c r="M283" s="585">
        <v>26645</v>
      </c>
      <c r="N283" s="587">
        <v>99897</v>
      </c>
      <c r="O283" s="585">
        <v>105817</v>
      </c>
      <c r="P283" s="583">
        <f t="shared" si="90"/>
        <v>217682</v>
      </c>
      <c r="Q283" s="583">
        <f t="shared" si="91"/>
        <v>7256.0666666666666</v>
      </c>
      <c r="R283" s="584">
        <f t="shared" si="92"/>
        <v>223250</v>
      </c>
      <c r="S283" s="584">
        <f t="shared" si="93"/>
        <v>7441.666666666667</v>
      </c>
      <c r="T283" s="587">
        <v>15044</v>
      </c>
      <c r="U283" s="585">
        <v>18352</v>
      </c>
      <c r="V283" s="583">
        <f t="shared" si="94"/>
        <v>217682</v>
      </c>
      <c r="W283" s="584">
        <f t="shared" si="95"/>
        <v>223250</v>
      </c>
      <c r="X283" s="587"/>
      <c r="Y283" s="585"/>
      <c r="Z283" s="587">
        <v>426460</v>
      </c>
      <c r="AA283" s="585">
        <v>446684</v>
      </c>
      <c r="AB283" s="587">
        <v>273588</v>
      </c>
      <c r="AC283" s="585">
        <v>257759</v>
      </c>
      <c r="AD283" s="587">
        <v>380428</v>
      </c>
      <c r="AE283" s="585">
        <v>375261</v>
      </c>
      <c r="AF283" s="583">
        <f t="shared" si="96"/>
        <v>1080476</v>
      </c>
      <c r="AG283" s="583">
        <f t="shared" si="97"/>
        <v>1200.5288888888888</v>
      </c>
      <c r="AH283" s="584">
        <f t="shared" si="98"/>
        <v>1079704</v>
      </c>
      <c r="AI283" s="584">
        <f t="shared" si="99"/>
        <v>1199.671111111111</v>
      </c>
      <c r="AJ283" s="587"/>
      <c r="AK283" s="585"/>
      <c r="AL283" s="583">
        <f t="shared" si="82"/>
        <v>0</v>
      </c>
      <c r="AM283" s="584">
        <f t="shared" si="83"/>
        <v>0</v>
      </c>
      <c r="AN283" s="587"/>
      <c r="AO283" s="585"/>
      <c r="AP283" s="587"/>
      <c r="AQ283" s="585"/>
      <c r="AR283" s="587"/>
      <c r="AS283" s="585"/>
      <c r="AT283" s="587"/>
      <c r="AU283" s="585"/>
      <c r="AV283" s="583">
        <f t="shared" si="84"/>
        <v>0</v>
      </c>
      <c r="AW283" s="583">
        <f t="shared" si="85"/>
        <v>0</v>
      </c>
      <c r="AX283" s="584">
        <f t="shared" si="86"/>
        <v>0</v>
      </c>
      <c r="AY283" s="584">
        <f t="shared" si="87"/>
        <v>0</v>
      </c>
      <c r="AZ283" s="583">
        <f t="shared" si="88"/>
        <v>8456.5955555555556</v>
      </c>
      <c r="BA283" s="584">
        <f t="shared" si="89"/>
        <v>8641.3377777777787</v>
      </c>
    </row>
    <row r="284" spans="1:53">
      <c r="A284" s="428" t="s">
        <v>257</v>
      </c>
      <c r="B284" s="26" t="s">
        <v>264</v>
      </c>
      <c r="C284" s="440"/>
      <c r="D284" s="25">
        <v>199333</v>
      </c>
      <c r="E284" s="441">
        <v>8</v>
      </c>
      <c r="F284" s="582" t="s">
        <v>74</v>
      </c>
      <c r="G284" s="585"/>
      <c r="H284" s="587"/>
      <c r="I284" s="585"/>
      <c r="J284" s="587">
        <v>74824</v>
      </c>
      <c r="K284" s="585">
        <v>73757</v>
      </c>
      <c r="L284" s="587">
        <v>21862</v>
      </c>
      <c r="M284" s="585">
        <v>22997</v>
      </c>
      <c r="N284" s="587">
        <v>78789</v>
      </c>
      <c r="O284" s="585">
        <v>80416</v>
      </c>
      <c r="P284" s="583">
        <f t="shared" si="90"/>
        <v>175475</v>
      </c>
      <c r="Q284" s="583">
        <f t="shared" si="91"/>
        <v>5849.166666666667</v>
      </c>
      <c r="R284" s="584">
        <f t="shared" si="92"/>
        <v>177170</v>
      </c>
      <c r="S284" s="584">
        <f t="shared" si="93"/>
        <v>5905.666666666667</v>
      </c>
      <c r="T284" s="587">
        <v>15195</v>
      </c>
      <c r="U284" s="585">
        <v>18604</v>
      </c>
      <c r="V284" s="583">
        <f t="shared" si="94"/>
        <v>175475</v>
      </c>
      <c r="W284" s="584">
        <f t="shared" si="95"/>
        <v>177170</v>
      </c>
      <c r="X284" s="587"/>
      <c r="Y284" s="585"/>
      <c r="Z284" s="587">
        <v>179114</v>
      </c>
      <c r="AA284" s="585">
        <v>187805</v>
      </c>
      <c r="AB284" s="587">
        <v>158237</v>
      </c>
      <c r="AC284" s="585">
        <v>122228</v>
      </c>
      <c r="AD284" s="587">
        <v>218617</v>
      </c>
      <c r="AE284" s="585">
        <v>251602</v>
      </c>
      <c r="AF284" s="583">
        <f t="shared" si="96"/>
        <v>555968</v>
      </c>
      <c r="AG284" s="583">
        <f t="shared" si="97"/>
        <v>617.74222222222227</v>
      </c>
      <c r="AH284" s="584">
        <f t="shared" si="98"/>
        <v>561635</v>
      </c>
      <c r="AI284" s="584">
        <f t="shared" si="99"/>
        <v>624.03888888888889</v>
      </c>
      <c r="AJ284" s="587"/>
      <c r="AK284" s="585"/>
      <c r="AL284" s="583">
        <f t="shared" si="82"/>
        <v>0</v>
      </c>
      <c r="AM284" s="584">
        <f t="shared" si="83"/>
        <v>0</v>
      </c>
      <c r="AN284" s="587"/>
      <c r="AO284" s="585"/>
      <c r="AP284" s="587"/>
      <c r="AQ284" s="585"/>
      <c r="AR284" s="587"/>
      <c r="AS284" s="585"/>
      <c r="AT284" s="587"/>
      <c r="AU284" s="585"/>
      <c r="AV284" s="583">
        <f t="shared" si="84"/>
        <v>0</v>
      </c>
      <c r="AW284" s="583">
        <f t="shared" si="85"/>
        <v>0</v>
      </c>
      <c r="AX284" s="584">
        <f t="shared" si="86"/>
        <v>0</v>
      </c>
      <c r="AY284" s="584">
        <f t="shared" si="87"/>
        <v>0</v>
      </c>
      <c r="AZ284" s="583">
        <f t="shared" si="88"/>
        <v>6466.9088888888891</v>
      </c>
      <c r="BA284" s="584">
        <f t="shared" si="89"/>
        <v>6529.7055555555562</v>
      </c>
    </row>
    <row r="285" spans="1:53">
      <c r="A285" s="428" t="s">
        <v>257</v>
      </c>
      <c r="B285" s="26" t="s">
        <v>265</v>
      </c>
      <c r="C285" s="440"/>
      <c r="D285" s="25">
        <v>199494</v>
      </c>
      <c r="E285" s="441">
        <v>8</v>
      </c>
      <c r="F285" s="582" t="s">
        <v>74</v>
      </c>
      <c r="G285" s="585"/>
      <c r="H285" s="587"/>
      <c r="I285" s="585"/>
      <c r="J285" s="587">
        <v>51344</v>
      </c>
      <c r="K285" s="585">
        <v>52491</v>
      </c>
      <c r="L285" s="587">
        <v>12970</v>
      </c>
      <c r="M285" s="585">
        <v>13900</v>
      </c>
      <c r="N285" s="587">
        <v>58245</v>
      </c>
      <c r="O285" s="585">
        <v>61435</v>
      </c>
      <c r="P285" s="583">
        <f t="shared" si="90"/>
        <v>122559</v>
      </c>
      <c r="Q285" s="583">
        <f t="shared" si="91"/>
        <v>4085.3</v>
      </c>
      <c r="R285" s="584">
        <f t="shared" si="92"/>
        <v>127826</v>
      </c>
      <c r="S285" s="584">
        <f t="shared" si="93"/>
        <v>4260.8666666666668</v>
      </c>
      <c r="T285" s="587">
        <v>22807</v>
      </c>
      <c r="U285" s="585">
        <v>30097</v>
      </c>
      <c r="V285" s="583">
        <f t="shared" si="94"/>
        <v>122559</v>
      </c>
      <c r="W285" s="584">
        <f t="shared" si="95"/>
        <v>127826</v>
      </c>
      <c r="X285" s="587"/>
      <c r="Y285" s="585"/>
      <c r="Z285" s="587">
        <v>212189</v>
      </c>
      <c r="AA285" s="585">
        <v>324177</v>
      </c>
      <c r="AB285" s="587">
        <v>275635</v>
      </c>
      <c r="AC285" s="585">
        <v>186892</v>
      </c>
      <c r="AD285" s="587">
        <v>365021</v>
      </c>
      <c r="AE285" s="585">
        <v>416158</v>
      </c>
      <c r="AF285" s="583">
        <f t="shared" si="96"/>
        <v>852845</v>
      </c>
      <c r="AG285" s="583">
        <f t="shared" si="97"/>
        <v>947.60555555555561</v>
      </c>
      <c r="AH285" s="584">
        <f t="shared" si="98"/>
        <v>927227</v>
      </c>
      <c r="AI285" s="584">
        <f t="shared" si="99"/>
        <v>1030.2522222222221</v>
      </c>
      <c r="AJ285" s="587"/>
      <c r="AK285" s="585"/>
      <c r="AL285" s="583">
        <f t="shared" si="82"/>
        <v>0</v>
      </c>
      <c r="AM285" s="584">
        <f t="shared" si="83"/>
        <v>0</v>
      </c>
      <c r="AN285" s="587"/>
      <c r="AO285" s="585"/>
      <c r="AP285" s="587"/>
      <c r="AQ285" s="585"/>
      <c r="AR285" s="587"/>
      <c r="AS285" s="585"/>
      <c r="AT285" s="587"/>
      <c r="AU285" s="585"/>
      <c r="AV285" s="583">
        <f t="shared" si="84"/>
        <v>0</v>
      </c>
      <c r="AW285" s="583">
        <f t="shared" si="85"/>
        <v>0</v>
      </c>
      <c r="AX285" s="584">
        <f t="shared" si="86"/>
        <v>0</v>
      </c>
      <c r="AY285" s="584">
        <f t="shared" si="87"/>
        <v>0</v>
      </c>
      <c r="AZ285" s="583">
        <f t="shared" si="88"/>
        <v>5032.905555555556</v>
      </c>
      <c r="BA285" s="584">
        <f t="shared" si="89"/>
        <v>5291.1188888888892</v>
      </c>
    </row>
    <row r="286" spans="1:53">
      <c r="A286" s="428" t="s">
        <v>257</v>
      </c>
      <c r="B286" s="26" t="s">
        <v>266</v>
      </c>
      <c r="C286" s="440"/>
      <c r="D286" s="25">
        <v>199856</v>
      </c>
      <c r="E286" s="441">
        <v>8</v>
      </c>
      <c r="F286" s="582" t="s">
        <v>74</v>
      </c>
      <c r="G286" s="585"/>
      <c r="H286" s="587"/>
      <c r="I286" s="585"/>
      <c r="J286" s="587">
        <v>191677.5</v>
      </c>
      <c r="K286" s="585">
        <v>190801</v>
      </c>
      <c r="L286" s="587">
        <v>51594</v>
      </c>
      <c r="M286" s="585">
        <v>51329</v>
      </c>
      <c r="N286" s="587">
        <v>208320</v>
      </c>
      <c r="O286" s="585">
        <v>209683</v>
      </c>
      <c r="P286" s="583">
        <f t="shared" si="90"/>
        <v>451591.5</v>
      </c>
      <c r="Q286" s="583">
        <f t="shared" si="91"/>
        <v>15053.05</v>
      </c>
      <c r="R286" s="584">
        <f t="shared" si="92"/>
        <v>451813</v>
      </c>
      <c r="S286" s="584">
        <f t="shared" si="93"/>
        <v>15060.433333333332</v>
      </c>
      <c r="T286" s="587">
        <v>18947.5</v>
      </c>
      <c r="U286" s="585">
        <v>24076</v>
      </c>
      <c r="V286" s="583">
        <f t="shared" si="94"/>
        <v>451591.5</v>
      </c>
      <c r="W286" s="584">
        <f t="shared" si="95"/>
        <v>451813</v>
      </c>
      <c r="X286" s="587"/>
      <c r="Y286" s="585"/>
      <c r="Z286" s="587">
        <v>723569</v>
      </c>
      <c r="AA286" s="585">
        <v>751268</v>
      </c>
      <c r="AB286" s="587">
        <v>635059</v>
      </c>
      <c r="AC286" s="585">
        <v>645131</v>
      </c>
      <c r="AD286" s="587">
        <v>980787</v>
      </c>
      <c r="AE286" s="585">
        <v>1035870</v>
      </c>
      <c r="AF286" s="583">
        <f t="shared" si="96"/>
        <v>2339415</v>
      </c>
      <c r="AG286" s="583">
        <f t="shared" si="97"/>
        <v>2599.35</v>
      </c>
      <c r="AH286" s="584">
        <f t="shared" si="98"/>
        <v>2432269</v>
      </c>
      <c r="AI286" s="584">
        <f t="shared" si="99"/>
        <v>2702.5211111111112</v>
      </c>
      <c r="AJ286" s="587"/>
      <c r="AK286" s="585"/>
      <c r="AL286" s="583">
        <f t="shared" si="82"/>
        <v>0</v>
      </c>
      <c r="AM286" s="584">
        <f t="shared" si="83"/>
        <v>0</v>
      </c>
      <c r="AN286" s="587"/>
      <c r="AO286" s="585"/>
      <c r="AP286" s="587"/>
      <c r="AQ286" s="585"/>
      <c r="AR286" s="587"/>
      <c r="AS286" s="585"/>
      <c r="AT286" s="587"/>
      <c r="AU286" s="585"/>
      <c r="AV286" s="583">
        <f t="shared" si="84"/>
        <v>0</v>
      </c>
      <c r="AW286" s="583">
        <f t="shared" si="85"/>
        <v>0</v>
      </c>
      <c r="AX286" s="584">
        <f t="shared" si="86"/>
        <v>0</v>
      </c>
      <c r="AY286" s="584">
        <f t="shared" si="87"/>
        <v>0</v>
      </c>
      <c r="AZ286" s="583">
        <f t="shared" si="88"/>
        <v>17652.399999999998</v>
      </c>
      <c r="BA286" s="584">
        <f t="shared" si="89"/>
        <v>17762.954444444444</v>
      </c>
    </row>
    <row r="287" spans="1:53">
      <c r="A287" s="428" t="s">
        <v>257</v>
      </c>
      <c r="B287" s="26" t="s">
        <v>267</v>
      </c>
      <c r="C287" s="440"/>
      <c r="D287" s="25">
        <v>199786</v>
      </c>
      <c r="E287" s="441">
        <v>9</v>
      </c>
      <c r="F287" s="582" t="s">
        <v>74</v>
      </c>
      <c r="G287" s="585"/>
      <c r="H287" s="587"/>
      <c r="I287" s="585"/>
      <c r="J287" s="587">
        <v>37269.5</v>
      </c>
      <c r="K287" s="585">
        <v>35199</v>
      </c>
      <c r="L287" s="587">
        <v>9706</v>
      </c>
      <c r="M287" s="585">
        <v>9644</v>
      </c>
      <c r="N287" s="587">
        <v>38817</v>
      </c>
      <c r="O287" s="585">
        <v>40556.5</v>
      </c>
      <c r="P287" s="583">
        <f t="shared" si="90"/>
        <v>85792.5</v>
      </c>
      <c r="Q287" s="583">
        <f t="shared" si="91"/>
        <v>2859.75</v>
      </c>
      <c r="R287" s="584">
        <f t="shared" si="92"/>
        <v>85399.5</v>
      </c>
      <c r="S287" s="584">
        <f t="shared" si="93"/>
        <v>2846.65</v>
      </c>
      <c r="T287" s="587">
        <v>15249.5</v>
      </c>
      <c r="U287" s="585">
        <v>17147</v>
      </c>
      <c r="V287" s="583">
        <f t="shared" si="94"/>
        <v>85792.5</v>
      </c>
      <c r="W287" s="584">
        <f t="shared" si="95"/>
        <v>85399.5</v>
      </c>
      <c r="X287" s="587"/>
      <c r="Y287" s="585"/>
      <c r="Z287" s="587">
        <v>168331</v>
      </c>
      <c r="AA287" s="585">
        <v>199369</v>
      </c>
      <c r="AB287" s="587">
        <v>122405</v>
      </c>
      <c r="AC287" s="585">
        <v>123966</v>
      </c>
      <c r="AD287" s="587">
        <v>213554</v>
      </c>
      <c r="AE287" s="585">
        <v>261556</v>
      </c>
      <c r="AF287" s="583">
        <f t="shared" si="96"/>
        <v>504290</v>
      </c>
      <c r="AG287" s="583">
        <f t="shared" si="97"/>
        <v>560.32222222222219</v>
      </c>
      <c r="AH287" s="584">
        <f t="shared" si="98"/>
        <v>584891</v>
      </c>
      <c r="AI287" s="584">
        <f t="shared" si="99"/>
        <v>649.87888888888892</v>
      </c>
      <c r="AJ287" s="587"/>
      <c r="AK287" s="585"/>
      <c r="AL287" s="583">
        <f t="shared" si="82"/>
        <v>0</v>
      </c>
      <c r="AM287" s="584">
        <f t="shared" si="83"/>
        <v>0</v>
      </c>
      <c r="AN287" s="587"/>
      <c r="AO287" s="585"/>
      <c r="AP287" s="587"/>
      <c r="AQ287" s="585"/>
      <c r="AR287" s="587"/>
      <c r="AS287" s="585"/>
      <c r="AT287" s="587"/>
      <c r="AU287" s="585"/>
      <c r="AV287" s="583">
        <f t="shared" si="84"/>
        <v>0</v>
      </c>
      <c r="AW287" s="583">
        <f t="shared" si="85"/>
        <v>0</v>
      </c>
      <c r="AX287" s="584">
        <f t="shared" si="86"/>
        <v>0</v>
      </c>
      <c r="AY287" s="584">
        <f t="shared" si="87"/>
        <v>0</v>
      </c>
      <c r="AZ287" s="583">
        <f t="shared" si="88"/>
        <v>3420.0722222222221</v>
      </c>
      <c r="BA287" s="584">
        <f t="shared" si="89"/>
        <v>3496.528888888889</v>
      </c>
    </row>
    <row r="288" spans="1:53">
      <c r="A288" s="428" t="s">
        <v>257</v>
      </c>
      <c r="B288" s="26" t="s">
        <v>268</v>
      </c>
      <c r="C288" s="440"/>
      <c r="D288" s="25">
        <v>198118</v>
      </c>
      <c r="E288" s="441">
        <v>9</v>
      </c>
      <c r="F288" s="582" t="s">
        <v>74</v>
      </c>
      <c r="G288" s="585"/>
      <c r="H288" s="587"/>
      <c r="I288" s="585"/>
      <c r="J288" s="587">
        <v>29352.5</v>
      </c>
      <c r="K288" s="585">
        <v>29843</v>
      </c>
      <c r="L288" s="587">
        <v>7279</v>
      </c>
      <c r="M288" s="585">
        <v>7755</v>
      </c>
      <c r="N288" s="587">
        <v>33088</v>
      </c>
      <c r="O288" s="585">
        <v>35505</v>
      </c>
      <c r="P288" s="583">
        <f t="shared" si="90"/>
        <v>69719.5</v>
      </c>
      <c r="Q288" s="583">
        <f t="shared" si="91"/>
        <v>2323.9833333333331</v>
      </c>
      <c r="R288" s="584">
        <f t="shared" si="92"/>
        <v>73103</v>
      </c>
      <c r="S288" s="584">
        <f t="shared" si="93"/>
        <v>2436.7666666666669</v>
      </c>
      <c r="T288" s="587">
        <v>18317.5</v>
      </c>
      <c r="U288" s="585">
        <v>19195</v>
      </c>
      <c r="V288" s="583">
        <f t="shared" si="94"/>
        <v>69719.5</v>
      </c>
      <c r="W288" s="584">
        <f t="shared" si="95"/>
        <v>73103</v>
      </c>
      <c r="X288" s="587"/>
      <c r="Y288" s="585"/>
      <c r="Z288" s="587">
        <v>169550</v>
      </c>
      <c r="AA288" s="585">
        <v>148790</v>
      </c>
      <c r="AB288" s="587">
        <v>120960</v>
      </c>
      <c r="AC288" s="585">
        <v>142987</v>
      </c>
      <c r="AD288" s="587">
        <v>209676</v>
      </c>
      <c r="AE288" s="585">
        <v>216626</v>
      </c>
      <c r="AF288" s="583">
        <f t="shared" si="96"/>
        <v>500186</v>
      </c>
      <c r="AG288" s="583">
        <f t="shared" si="97"/>
        <v>555.76222222222225</v>
      </c>
      <c r="AH288" s="584">
        <f t="shared" si="98"/>
        <v>508403</v>
      </c>
      <c r="AI288" s="584">
        <f t="shared" si="99"/>
        <v>564.89222222222224</v>
      </c>
      <c r="AJ288" s="587"/>
      <c r="AK288" s="585"/>
      <c r="AL288" s="583">
        <f t="shared" si="82"/>
        <v>0</v>
      </c>
      <c r="AM288" s="584">
        <f t="shared" si="83"/>
        <v>0</v>
      </c>
      <c r="AN288" s="587"/>
      <c r="AO288" s="585"/>
      <c r="AP288" s="587"/>
      <c r="AQ288" s="585"/>
      <c r="AR288" s="587"/>
      <c r="AS288" s="585"/>
      <c r="AT288" s="587"/>
      <c r="AU288" s="585"/>
      <c r="AV288" s="583">
        <f t="shared" si="84"/>
        <v>0</v>
      </c>
      <c r="AW288" s="583">
        <f t="shared" si="85"/>
        <v>0</v>
      </c>
      <c r="AX288" s="584">
        <f t="shared" si="86"/>
        <v>0</v>
      </c>
      <c r="AY288" s="584">
        <f t="shared" si="87"/>
        <v>0</v>
      </c>
      <c r="AZ288" s="583">
        <f t="shared" si="88"/>
        <v>2879.7455555555553</v>
      </c>
      <c r="BA288" s="584">
        <f t="shared" si="89"/>
        <v>3001.6588888888891</v>
      </c>
    </row>
    <row r="289" spans="1:53">
      <c r="A289" s="428" t="s">
        <v>257</v>
      </c>
      <c r="B289" s="26" t="s">
        <v>269</v>
      </c>
      <c r="C289" s="440"/>
      <c r="D289" s="25">
        <v>198233</v>
      </c>
      <c r="E289" s="441">
        <v>9</v>
      </c>
      <c r="F289" s="582" t="s">
        <v>74</v>
      </c>
      <c r="G289" s="585"/>
      <c r="H289" s="587"/>
      <c r="I289" s="585"/>
      <c r="J289" s="587">
        <v>40773</v>
      </c>
      <c r="K289" s="585">
        <v>40042</v>
      </c>
      <c r="L289" s="587">
        <v>9309</v>
      </c>
      <c r="M289" s="585">
        <v>9862</v>
      </c>
      <c r="N289" s="587">
        <v>44114</v>
      </c>
      <c r="O289" s="585">
        <v>45979</v>
      </c>
      <c r="P289" s="583">
        <f t="shared" si="90"/>
        <v>94196</v>
      </c>
      <c r="Q289" s="583">
        <f t="shared" si="91"/>
        <v>3139.8666666666668</v>
      </c>
      <c r="R289" s="584">
        <f t="shared" si="92"/>
        <v>95883</v>
      </c>
      <c r="S289" s="584">
        <f t="shared" si="93"/>
        <v>3196.1</v>
      </c>
      <c r="T289" s="587">
        <v>20057</v>
      </c>
      <c r="U289" s="585">
        <v>22225</v>
      </c>
      <c r="V289" s="583">
        <f t="shared" si="94"/>
        <v>94196</v>
      </c>
      <c r="W289" s="584">
        <f t="shared" si="95"/>
        <v>95883</v>
      </c>
      <c r="X289" s="587"/>
      <c r="Y289" s="585"/>
      <c r="Z289" s="587">
        <v>195659</v>
      </c>
      <c r="AA289" s="585">
        <v>185527</v>
      </c>
      <c r="AB289" s="587">
        <v>143174</v>
      </c>
      <c r="AC289" s="585">
        <v>144684</v>
      </c>
      <c r="AD289" s="587">
        <v>173617</v>
      </c>
      <c r="AE289" s="585">
        <v>193300</v>
      </c>
      <c r="AF289" s="583">
        <f t="shared" si="96"/>
        <v>512450</v>
      </c>
      <c r="AG289" s="583">
        <f t="shared" si="97"/>
        <v>569.38888888888891</v>
      </c>
      <c r="AH289" s="584">
        <f t="shared" si="98"/>
        <v>523511</v>
      </c>
      <c r="AI289" s="584">
        <f t="shared" si="99"/>
        <v>581.67888888888888</v>
      </c>
      <c r="AJ289" s="587"/>
      <c r="AK289" s="585"/>
      <c r="AL289" s="583">
        <f t="shared" si="82"/>
        <v>0</v>
      </c>
      <c r="AM289" s="584">
        <f t="shared" si="83"/>
        <v>0</v>
      </c>
      <c r="AN289" s="587"/>
      <c r="AO289" s="585"/>
      <c r="AP289" s="587"/>
      <c r="AQ289" s="585"/>
      <c r="AR289" s="587"/>
      <c r="AS289" s="585"/>
      <c r="AT289" s="587"/>
      <c r="AU289" s="585"/>
      <c r="AV289" s="583">
        <f t="shared" si="84"/>
        <v>0</v>
      </c>
      <c r="AW289" s="583">
        <f t="shared" si="85"/>
        <v>0</v>
      </c>
      <c r="AX289" s="584">
        <f t="shared" si="86"/>
        <v>0</v>
      </c>
      <c r="AY289" s="584">
        <f t="shared" si="87"/>
        <v>0</v>
      </c>
      <c r="AZ289" s="583">
        <f t="shared" si="88"/>
        <v>3709.2555555555555</v>
      </c>
      <c r="BA289" s="584">
        <f t="shared" si="89"/>
        <v>3777.778888888889</v>
      </c>
    </row>
    <row r="290" spans="1:53">
      <c r="A290" s="428" t="s">
        <v>257</v>
      </c>
      <c r="B290" s="26" t="s">
        <v>270</v>
      </c>
      <c r="C290" s="440"/>
      <c r="D290" s="25">
        <v>198251</v>
      </c>
      <c r="E290" s="441">
        <v>9</v>
      </c>
      <c r="F290" s="582" t="s">
        <v>74</v>
      </c>
      <c r="G290" s="585"/>
      <c r="H290" s="587"/>
      <c r="I290" s="585"/>
      <c r="J290" s="587">
        <v>42653</v>
      </c>
      <c r="K290" s="585">
        <v>42886</v>
      </c>
      <c r="L290" s="587">
        <v>9435</v>
      </c>
      <c r="M290" s="585">
        <v>9704</v>
      </c>
      <c r="N290" s="587">
        <v>46513</v>
      </c>
      <c r="O290" s="585">
        <v>53472</v>
      </c>
      <c r="P290" s="583">
        <f t="shared" si="90"/>
        <v>98601</v>
      </c>
      <c r="Q290" s="583">
        <f t="shared" si="91"/>
        <v>3286.7</v>
      </c>
      <c r="R290" s="584">
        <f t="shared" si="92"/>
        <v>106062</v>
      </c>
      <c r="S290" s="584">
        <f t="shared" si="93"/>
        <v>3535.4</v>
      </c>
      <c r="T290" s="587">
        <v>24133</v>
      </c>
      <c r="U290" s="585">
        <v>28678</v>
      </c>
      <c r="V290" s="583">
        <f t="shared" si="94"/>
        <v>98601</v>
      </c>
      <c r="W290" s="584">
        <f t="shared" si="95"/>
        <v>106062</v>
      </c>
      <c r="X290" s="587"/>
      <c r="Y290" s="585"/>
      <c r="Z290" s="587">
        <v>228599</v>
      </c>
      <c r="AA290" s="585">
        <v>229757</v>
      </c>
      <c r="AB290" s="587">
        <v>183520</v>
      </c>
      <c r="AC290" s="585">
        <v>183269</v>
      </c>
      <c r="AD290" s="587">
        <v>261457</v>
      </c>
      <c r="AE290" s="585">
        <v>271956</v>
      </c>
      <c r="AF290" s="583">
        <f t="shared" si="96"/>
        <v>673576</v>
      </c>
      <c r="AG290" s="583">
        <f t="shared" si="97"/>
        <v>748.41777777777781</v>
      </c>
      <c r="AH290" s="584">
        <f t="shared" si="98"/>
        <v>684982</v>
      </c>
      <c r="AI290" s="584">
        <f t="shared" si="99"/>
        <v>761.0911111111111</v>
      </c>
      <c r="AJ290" s="587"/>
      <c r="AK290" s="585"/>
      <c r="AL290" s="583">
        <f t="shared" si="82"/>
        <v>0</v>
      </c>
      <c r="AM290" s="584">
        <f t="shared" si="83"/>
        <v>0</v>
      </c>
      <c r="AN290" s="587"/>
      <c r="AO290" s="585"/>
      <c r="AP290" s="587"/>
      <c r="AQ290" s="585"/>
      <c r="AR290" s="587"/>
      <c r="AS290" s="585"/>
      <c r="AT290" s="587"/>
      <c r="AU290" s="585"/>
      <c r="AV290" s="583">
        <f t="shared" si="84"/>
        <v>0</v>
      </c>
      <c r="AW290" s="583">
        <f t="shared" si="85"/>
        <v>0</v>
      </c>
      <c r="AX290" s="584">
        <f t="shared" si="86"/>
        <v>0</v>
      </c>
      <c r="AY290" s="584">
        <f t="shared" si="87"/>
        <v>0</v>
      </c>
      <c r="AZ290" s="583">
        <f t="shared" si="88"/>
        <v>4035.1177777777775</v>
      </c>
      <c r="BA290" s="584">
        <f t="shared" si="89"/>
        <v>4296.4911111111114</v>
      </c>
    </row>
    <row r="291" spans="1:53">
      <c r="A291" s="428" t="s">
        <v>257</v>
      </c>
      <c r="B291" s="26" t="s">
        <v>271</v>
      </c>
      <c r="C291" s="440"/>
      <c r="D291" s="25">
        <v>198321</v>
      </c>
      <c r="E291" s="441">
        <v>9</v>
      </c>
      <c r="F291" s="582" t="s">
        <v>74</v>
      </c>
      <c r="G291" s="585"/>
      <c r="H291" s="587"/>
      <c r="I291" s="585"/>
      <c r="J291" s="587">
        <v>22776.5</v>
      </c>
      <c r="K291" s="585">
        <v>21958</v>
      </c>
      <c r="L291" s="587">
        <v>6220</v>
      </c>
      <c r="M291" s="585">
        <v>6172</v>
      </c>
      <c r="N291" s="587">
        <v>24875</v>
      </c>
      <c r="O291" s="585">
        <v>24771</v>
      </c>
      <c r="P291" s="583">
        <f t="shared" si="90"/>
        <v>53871.5</v>
      </c>
      <c r="Q291" s="583">
        <f t="shared" si="91"/>
        <v>1795.7166666666667</v>
      </c>
      <c r="R291" s="584">
        <f t="shared" si="92"/>
        <v>52901</v>
      </c>
      <c r="S291" s="584">
        <f t="shared" si="93"/>
        <v>1763.3666666666666</v>
      </c>
      <c r="T291" s="587">
        <v>8849</v>
      </c>
      <c r="U291" s="585">
        <v>10085</v>
      </c>
      <c r="V291" s="583">
        <f t="shared" si="94"/>
        <v>53871.5</v>
      </c>
      <c r="W291" s="584">
        <f t="shared" si="95"/>
        <v>52901</v>
      </c>
      <c r="X291" s="587"/>
      <c r="Y291" s="585"/>
      <c r="Z291" s="587">
        <v>151504</v>
      </c>
      <c r="AA291" s="585">
        <v>163622</v>
      </c>
      <c r="AB291" s="587">
        <v>95250</v>
      </c>
      <c r="AC291" s="585">
        <v>100860</v>
      </c>
      <c r="AD291" s="587">
        <v>192205</v>
      </c>
      <c r="AE291" s="585">
        <v>200271</v>
      </c>
      <c r="AF291" s="583">
        <f t="shared" si="96"/>
        <v>438959</v>
      </c>
      <c r="AG291" s="583">
        <f t="shared" si="97"/>
        <v>487.73222222222222</v>
      </c>
      <c r="AH291" s="584">
        <f t="shared" si="98"/>
        <v>464753</v>
      </c>
      <c r="AI291" s="584">
        <f t="shared" si="99"/>
        <v>516.39222222222224</v>
      </c>
      <c r="AJ291" s="587"/>
      <c r="AK291" s="585"/>
      <c r="AL291" s="583">
        <f t="shared" si="82"/>
        <v>0</v>
      </c>
      <c r="AM291" s="584">
        <f t="shared" si="83"/>
        <v>0</v>
      </c>
      <c r="AN291" s="587"/>
      <c r="AO291" s="585"/>
      <c r="AP291" s="587"/>
      <c r="AQ291" s="585"/>
      <c r="AR291" s="587"/>
      <c r="AS291" s="585"/>
      <c r="AT291" s="587"/>
      <c r="AU291" s="585"/>
      <c r="AV291" s="583">
        <f t="shared" si="84"/>
        <v>0</v>
      </c>
      <c r="AW291" s="583">
        <f t="shared" si="85"/>
        <v>0</v>
      </c>
      <c r="AX291" s="584">
        <f t="shared" si="86"/>
        <v>0</v>
      </c>
      <c r="AY291" s="584">
        <f t="shared" si="87"/>
        <v>0</v>
      </c>
      <c r="AZ291" s="583">
        <f t="shared" si="88"/>
        <v>2283.4488888888891</v>
      </c>
      <c r="BA291" s="584">
        <f t="shared" si="89"/>
        <v>2279.7588888888886</v>
      </c>
    </row>
    <row r="292" spans="1:53">
      <c r="A292" s="428" t="s">
        <v>257</v>
      </c>
      <c r="B292" s="29" t="s">
        <v>272</v>
      </c>
      <c r="C292" s="442"/>
      <c r="D292" s="25">
        <v>198330</v>
      </c>
      <c r="E292" s="441">
        <v>9</v>
      </c>
      <c r="F292" s="582" t="s">
        <v>74</v>
      </c>
      <c r="G292" s="585"/>
      <c r="H292" s="587"/>
      <c r="I292" s="585"/>
      <c r="J292" s="587">
        <v>39174</v>
      </c>
      <c r="K292" s="585">
        <v>36858</v>
      </c>
      <c r="L292" s="587">
        <v>15566</v>
      </c>
      <c r="M292" s="585">
        <v>13983</v>
      </c>
      <c r="N292" s="587">
        <v>40079</v>
      </c>
      <c r="O292" s="585">
        <v>38743</v>
      </c>
      <c r="P292" s="583">
        <f t="shared" si="90"/>
        <v>94819</v>
      </c>
      <c r="Q292" s="583">
        <f t="shared" si="91"/>
        <v>3160.6333333333332</v>
      </c>
      <c r="R292" s="584">
        <f t="shared" si="92"/>
        <v>89584</v>
      </c>
      <c r="S292" s="584">
        <f t="shared" si="93"/>
        <v>2986.1333333333332</v>
      </c>
      <c r="T292" s="587">
        <v>3132</v>
      </c>
      <c r="U292" s="585">
        <v>4628</v>
      </c>
      <c r="V292" s="583">
        <f t="shared" si="94"/>
        <v>94819</v>
      </c>
      <c r="W292" s="584">
        <f t="shared" si="95"/>
        <v>89584</v>
      </c>
      <c r="X292" s="587"/>
      <c r="Y292" s="585"/>
      <c r="Z292" s="587">
        <v>153006</v>
      </c>
      <c r="AA292" s="585">
        <v>147800</v>
      </c>
      <c r="AB292" s="587">
        <v>125233</v>
      </c>
      <c r="AC292" s="585">
        <v>122831</v>
      </c>
      <c r="AD292" s="587">
        <v>140179</v>
      </c>
      <c r="AE292" s="585">
        <v>182776</v>
      </c>
      <c r="AF292" s="583">
        <f t="shared" si="96"/>
        <v>418418</v>
      </c>
      <c r="AG292" s="583">
        <f t="shared" si="97"/>
        <v>464.9088888888889</v>
      </c>
      <c r="AH292" s="584">
        <f t="shared" si="98"/>
        <v>453407</v>
      </c>
      <c r="AI292" s="584">
        <f t="shared" si="99"/>
        <v>503.78555555555556</v>
      </c>
      <c r="AJ292" s="587"/>
      <c r="AK292" s="585"/>
      <c r="AL292" s="583">
        <f t="shared" si="82"/>
        <v>0</v>
      </c>
      <c r="AM292" s="584">
        <f t="shared" si="83"/>
        <v>0</v>
      </c>
      <c r="AN292" s="587"/>
      <c r="AO292" s="585"/>
      <c r="AP292" s="587"/>
      <c r="AQ292" s="585"/>
      <c r="AR292" s="587"/>
      <c r="AS292" s="585"/>
      <c r="AT292" s="587"/>
      <c r="AU292" s="585"/>
      <c r="AV292" s="583">
        <f t="shared" si="84"/>
        <v>0</v>
      </c>
      <c r="AW292" s="583">
        <f t="shared" si="85"/>
        <v>0</v>
      </c>
      <c r="AX292" s="584">
        <f t="shared" si="86"/>
        <v>0</v>
      </c>
      <c r="AY292" s="584">
        <f t="shared" si="87"/>
        <v>0</v>
      </c>
      <c r="AZ292" s="583">
        <f t="shared" si="88"/>
        <v>3625.5422222222223</v>
      </c>
      <c r="BA292" s="584">
        <f t="shared" si="89"/>
        <v>3489.9188888888889</v>
      </c>
    </row>
    <row r="293" spans="1:53">
      <c r="A293" s="428" t="s">
        <v>257</v>
      </c>
      <c r="B293" s="26" t="s">
        <v>273</v>
      </c>
      <c r="C293" s="440"/>
      <c r="D293" s="25">
        <v>198367</v>
      </c>
      <c r="E293" s="441">
        <v>9</v>
      </c>
      <c r="F293" s="582" t="s">
        <v>74</v>
      </c>
      <c r="G293" s="585"/>
      <c r="H293" s="587"/>
      <c r="I293" s="585"/>
      <c r="J293" s="587">
        <v>26151</v>
      </c>
      <c r="K293" s="585">
        <v>24679</v>
      </c>
      <c r="L293" s="587">
        <v>8246</v>
      </c>
      <c r="M293" s="585">
        <v>7619</v>
      </c>
      <c r="N293" s="587">
        <v>26976</v>
      </c>
      <c r="O293" s="585">
        <v>26985</v>
      </c>
      <c r="P293" s="583">
        <f t="shared" si="90"/>
        <v>61373</v>
      </c>
      <c r="Q293" s="583">
        <f t="shared" si="91"/>
        <v>2045.7666666666667</v>
      </c>
      <c r="R293" s="584">
        <f t="shared" si="92"/>
        <v>59283</v>
      </c>
      <c r="S293" s="584">
        <f t="shared" si="93"/>
        <v>1976.1</v>
      </c>
      <c r="T293" s="587">
        <v>10330</v>
      </c>
      <c r="U293" s="585">
        <v>11001</v>
      </c>
      <c r="V293" s="583">
        <f t="shared" si="94"/>
        <v>61373</v>
      </c>
      <c r="W293" s="584">
        <f t="shared" si="95"/>
        <v>59283</v>
      </c>
      <c r="X293" s="587"/>
      <c r="Y293" s="585"/>
      <c r="Z293" s="587">
        <v>125062</v>
      </c>
      <c r="AA293" s="585">
        <v>136265</v>
      </c>
      <c r="AB293" s="587">
        <v>72306</v>
      </c>
      <c r="AC293" s="585">
        <v>74267</v>
      </c>
      <c r="AD293" s="587">
        <v>127000</v>
      </c>
      <c r="AE293" s="585">
        <v>130383</v>
      </c>
      <c r="AF293" s="583">
        <f t="shared" si="96"/>
        <v>324368</v>
      </c>
      <c r="AG293" s="583">
        <f t="shared" si="97"/>
        <v>360.4088888888889</v>
      </c>
      <c r="AH293" s="584">
        <f t="shared" si="98"/>
        <v>340915</v>
      </c>
      <c r="AI293" s="584">
        <f t="shared" si="99"/>
        <v>378.79444444444442</v>
      </c>
      <c r="AJ293" s="587"/>
      <c r="AK293" s="585"/>
      <c r="AL293" s="583">
        <f t="shared" si="82"/>
        <v>0</v>
      </c>
      <c r="AM293" s="584">
        <f t="shared" si="83"/>
        <v>0</v>
      </c>
      <c r="AN293" s="587"/>
      <c r="AO293" s="585"/>
      <c r="AP293" s="587"/>
      <c r="AQ293" s="585"/>
      <c r="AR293" s="587"/>
      <c r="AS293" s="585"/>
      <c r="AT293" s="587"/>
      <c r="AU293" s="585"/>
      <c r="AV293" s="583">
        <f t="shared" si="84"/>
        <v>0</v>
      </c>
      <c r="AW293" s="583">
        <f t="shared" si="85"/>
        <v>0</v>
      </c>
      <c r="AX293" s="584">
        <f t="shared" si="86"/>
        <v>0</v>
      </c>
      <c r="AY293" s="584">
        <f t="shared" si="87"/>
        <v>0</v>
      </c>
      <c r="AZ293" s="583">
        <f t="shared" si="88"/>
        <v>2406.1755555555555</v>
      </c>
      <c r="BA293" s="584">
        <f t="shared" si="89"/>
        <v>2354.8944444444442</v>
      </c>
    </row>
    <row r="294" spans="1:53">
      <c r="A294" s="428" t="s">
        <v>257</v>
      </c>
      <c r="B294" s="26" t="s">
        <v>274</v>
      </c>
      <c r="C294" s="440"/>
      <c r="D294" s="25">
        <v>198376</v>
      </c>
      <c r="E294" s="441">
        <v>9</v>
      </c>
      <c r="F294" s="582" t="s">
        <v>74</v>
      </c>
      <c r="G294" s="585"/>
      <c r="H294" s="587"/>
      <c r="I294" s="585"/>
      <c r="J294" s="587">
        <v>31374</v>
      </c>
      <c r="K294" s="585">
        <v>31138</v>
      </c>
      <c r="L294" s="587">
        <v>6886</v>
      </c>
      <c r="M294" s="585">
        <v>7170</v>
      </c>
      <c r="N294" s="587">
        <v>34525</v>
      </c>
      <c r="O294" s="585">
        <v>34883</v>
      </c>
      <c r="P294" s="583">
        <f t="shared" si="90"/>
        <v>72785</v>
      </c>
      <c r="Q294" s="583">
        <f t="shared" si="91"/>
        <v>2426.1666666666665</v>
      </c>
      <c r="R294" s="584">
        <f t="shared" si="92"/>
        <v>73191</v>
      </c>
      <c r="S294" s="584">
        <f t="shared" si="93"/>
        <v>2439.6999999999998</v>
      </c>
      <c r="T294" s="587">
        <v>15462</v>
      </c>
      <c r="U294" s="585">
        <v>16692</v>
      </c>
      <c r="V294" s="583">
        <f t="shared" si="94"/>
        <v>72785</v>
      </c>
      <c r="W294" s="584">
        <f t="shared" si="95"/>
        <v>73191</v>
      </c>
      <c r="X294" s="587"/>
      <c r="Y294" s="585"/>
      <c r="Z294" s="587">
        <v>140127</v>
      </c>
      <c r="AA294" s="585">
        <v>157079</v>
      </c>
      <c r="AB294" s="587">
        <v>96794</v>
      </c>
      <c r="AC294" s="585">
        <v>86379</v>
      </c>
      <c r="AD294" s="587">
        <v>138385</v>
      </c>
      <c r="AE294" s="585">
        <v>130508</v>
      </c>
      <c r="AF294" s="583">
        <f t="shared" si="96"/>
        <v>375306</v>
      </c>
      <c r="AG294" s="583">
        <f t="shared" si="97"/>
        <v>417.00666666666666</v>
      </c>
      <c r="AH294" s="584">
        <f t="shared" si="98"/>
        <v>373966</v>
      </c>
      <c r="AI294" s="584">
        <f t="shared" si="99"/>
        <v>415.51777777777778</v>
      </c>
      <c r="AJ294" s="587"/>
      <c r="AK294" s="585"/>
      <c r="AL294" s="583">
        <f t="shared" si="82"/>
        <v>0</v>
      </c>
      <c r="AM294" s="584">
        <f t="shared" si="83"/>
        <v>0</v>
      </c>
      <c r="AN294" s="587"/>
      <c r="AO294" s="585"/>
      <c r="AP294" s="587"/>
      <c r="AQ294" s="585"/>
      <c r="AR294" s="587"/>
      <c r="AS294" s="585"/>
      <c r="AT294" s="587"/>
      <c r="AU294" s="585"/>
      <c r="AV294" s="583">
        <f t="shared" si="84"/>
        <v>0</v>
      </c>
      <c r="AW294" s="583">
        <f t="shared" si="85"/>
        <v>0</v>
      </c>
      <c r="AX294" s="584">
        <f t="shared" si="86"/>
        <v>0</v>
      </c>
      <c r="AY294" s="584">
        <f t="shared" si="87"/>
        <v>0</v>
      </c>
      <c r="AZ294" s="583">
        <f t="shared" si="88"/>
        <v>2843.1733333333332</v>
      </c>
      <c r="BA294" s="584">
        <f t="shared" si="89"/>
        <v>2855.2177777777774</v>
      </c>
    </row>
    <row r="295" spans="1:53">
      <c r="A295" s="428" t="s">
        <v>257</v>
      </c>
      <c r="B295" s="26" t="s">
        <v>275</v>
      </c>
      <c r="C295" s="440"/>
      <c r="D295" s="25">
        <v>198455</v>
      </c>
      <c r="E295" s="441">
        <v>9</v>
      </c>
      <c r="F295" s="582" t="s">
        <v>74</v>
      </c>
      <c r="G295" s="585"/>
      <c r="H295" s="587"/>
      <c r="I295" s="585"/>
      <c r="J295" s="587">
        <v>42946</v>
      </c>
      <c r="K295" s="585">
        <v>44361</v>
      </c>
      <c r="L295" s="587">
        <v>12483</v>
      </c>
      <c r="M295" s="585">
        <v>12334</v>
      </c>
      <c r="N295" s="587">
        <v>45994</v>
      </c>
      <c r="O295" s="585">
        <v>47570</v>
      </c>
      <c r="P295" s="583">
        <f t="shared" si="90"/>
        <v>101423</v>
      </c>
      <c r="Q295" s="583">
        <f t="shared" si="91"/>
        <v>3380.7666666666669</v>
      </c>
      <c r="R295" s="584">
        <f t="shared" si="92"/>
        <v>104265</v>
      </c>
      <c r="S295" s="584">
        <f t="shared" si="93"/>
        <v>3475.5</v>
      </c>
      <c r="T295" s="587">
        <v>10699</v>
      </c>
      <c r="U295" s="585">
        <v>12114</v>
      </c>
      <c r="V295" s="583">
        <f t="shared" si="94"/>
        <v>101423</v>
      </c>
      <c r="W295" s="584">
        <f t="shared" si="95"/>
        <v>104265</v>
      </c>
      <c r="X295" s="587"/>
      <c r="Y295" s="585"/>
      <c r="Z295" s="587">
        <v>202227</v>
      </c>
      <c r="AA295" s="585">
        <v>192831</v>
      </c>
      <c r="AB295" s="587">
        <v>111237</v>
      </c>
      <c r="AC295" s="585">
        <v>126157</v>
      </c>
      <c r="AD295" s="587">
        <v>200877</v>
      </c>
      <c r="AE295" s="585">
        <v>234484</v>
      </c>
      <c r="AF295" s="583">
        <f t="shared" si="96"/>
        <v>514341</v>
      </c>
      <c r="AG295" s="583">
        <f t="shared" si="97"/>
        <v>571.49</v>
      </c>
      <c r="AH295" s="584">
        <f t="shared" si="98"/>
        <v>553472</v>
      </c>
      <c r="AI295" s="584">
        <f t="shared" si="99"/>
        <v>614.96888888888884</v>
      </c>
      <c r="AJ295" s="587"/>
      <c r="AK295" s="585"/>
      <c r="AL295" s="583">
        <f t="shared" si="82"/>
        <v>0</v>
      </c>
      <c r="AM295" s="584">
        <f t="shared" si="83"/>
        <v>0</v>
      </c>
      <c r="AN295" s="587"/>
      <c r="AO295" s="585"/>
      <c r="AP295" s="587"/>
      <c r="AQ295" s="585"/>
      <c r="AR295" s="587"/>
      <c r="AS295" s="585"/>
      <c r="AT295" s="587"/>
      <c r="AU295" s="585"/>
      <c r="AV295" s="583">
        <f t="shared" si="84"/>
        <v>0</v>
      </c>
      <c r="AW295" s="583">
        <f t="shared" si="85"/>
        <v>0</v>
      </c>
      <c r="AX295" s="584">
        <f t="shared" si="86"/>
        <v>0</v>
      </c>
      <c r="AY295" s="584">
        <f t="shared" si="87"/>
        <v>0</v>
      </c>
      <c r="AZ295" s="583">
        <f t="shared" si="88"/>
        <v>3952.2566666666671</v>
      </c>
      <c r="BA295" s="584">
        <f t="shared" si="89"/>
        <v>4090.4688888888886</v>
      </c>
    </row>
    <row r="296" spans="1:53">
      <c r="A296" s="428" t="s">
        <v>257</v>
      </c>
      <c r="B296" s="26" t="s">
        <v>277</v>
      </c>
      <c r="C296" s="440"/>
      <c r="D296" s="25">
        <v>198570</v>
      </c>
      <c r="E296" s="441">
        <v>9</v>
      </c>
      <c r="F296" s="582" t="s">
        <v>74</v>
      </c>
      <c r="G296" s="585"/>
      <c r="H296" s="587"/>
      <c r="I296" s="585"/>
      <c r="J296" s="587">
        <v>44687</v>
      </c>
      <c r="K296" s="585">
        <v>43385</v>
      </c>
      <c r="L296" s="587">
        <v>14303</v>
      </c>
      <c r="M296" s="585">
        <v>14197</v>
      </c>
      <c r="N296" s="587">
        <v>48057</v>
      </c>
      <c r="O296" s="585">
        <v>48852.5</v>
      </c>
      <c r="P296" s="583">
        <f t="shared" si="90"/>
        <v>107047</v>
      </c>
      <c r="Q296" s="583">
        <f t="shared" si="91"/>
        <v>3568.2333333333331</v>
      </c>
      <c r="R296" s="584">
        <f t="shared" si="92"/>
        <v>106434.5</v>
      </c>
      <c r="S296" s="584">
        <f t="shared" si="93"/>
        <v>3547.8166666666666</v>
      </c>
      <c r="T296" s="587">
        <v>16033</v>
      </c>
      <c r="U296" s="585">
        <v>19137</v>
      </c>
      <c r="V296" s="583">
        <f t="shared" si="94"/>
        <v>107047</v>
      </c>
      <c r="W296" s="584">
        <f t="shared" si="95"/>
        <v>106434.5</v>
      </c>
      <c r="X296" s="587"/>
      <c r="Y296" s="585"/>
      <c r="Z296" s="587">
        <v>108239</v>
      </c>
      <c r="AA296" s="585">
        <v>121757</v>
      </c>
      <c r="AB296" s="587">
        <v>102168</v>
      </c>
      <c r="AC296" s="585">
        <v>106318</v>
      </c>
      <c r="AD296" s="587">
        <v>152928</v>
      </c>
      <c r="AE296" s="585">
        <v>180479</v>
      </c>
      <c r="AF296" s="583">
        <f t="shared" si="96"/>
        <v>363335</v>
      </c>
      <c r="AG296" s="583">
        <f t="shared" si="97"/>
        <v>403.70555555555558</v>
      </c>
      <c r="AH296" s="584">
        <f t="shared" si="98"/>
        <v>408554</v>
      </c>
      <c r="AI296" s="584">
        <f t="shared" si="99"/>
        <v>453.94888888888892</v>
      </c>
      <c r="AJ296" s="587"/>
      <c r="AK296" s="585"/>
      <c r="AL296" s="583">
        <f t="shared" si="82"/>
        <v>0</v>
      </c>
      <c r="AM296" s="584">
        <f t="shared" si="83"/>
        <v>0</v>
      </c>
      <c r="AN296" s="587"/>
      <c r="AO296" s="585"/>
      <c r="AP296" s="587"/>
      <c r="AQ296" s="585"/>
      <c r="AR296" s="587"/>
      <c r="AS296" s="585"/>
      <c r="AT296" s="587"/>
      <c r="AU296" s="585"/>
      <c r="AV296" s="583">
        <f t="shared" si="84"/>
        <v>0</v>
      </c>
      <c r="AW296" s="583">
        <f t="shared" si="85"/>
        <v>0</v>
      </c>
      <c r="AX296" s="584">
        <f t="shared" si="86"/>
        <v>0</v>
      </c>
      <c r="AY296" s="584">
        <f t="shared" si="87"/>
        <v>0</v>
      </c>
      <c r="AZ296" s="583">
        <f t="shared" si="88"/>
        <v>3971.9388888888889</v>
      </c>
      <c r="BA296" s="584">
        <f t="shared" si="89"/>
        <v>4001.7655555555557</v>
      </c>
    </row>
    <row r="297" spans="1:53">
      <c r="A297" s="428" t="s">
        <v>257</v>
      </c>
      <c r="B297" s="26" t="s">
        <v>278</v>
      </c>
      <c r="C297" s="440"/>
      <c r="D297" s="25">
        <v>198774</v>
      </c>
      <c r="E297" s="441">
        <v>9</v>
      </c>
      <c r="F297" s="582" t="s">
        <v>74</v>
      </c>
      <c r="G297" s="585"/>
      <c r="H297" s="587"/>
      <c r="I297" s="585"/>
      <c r="J297" s="587">
        <v>34973</v>
      </c>
      <c r="K297" s="585">
        <v>33471</v>
      </c>
      <c r="L297" s="587">
        <v>7918</v>
      </c>
      <c r="M297" s="585">
        <v>8428</v>
      </c>
      <c r="N297" s="587">
        <v>37358</v>
      </c>
      <c r="O297" s="585">
        <v>38913</v>
      </c>
      <c r="P297" s="583">
        <f t="shared" si="90"/>
        <v>80249</v>
      </c>
      <c r="Q297" s="583">
        <f t="shared" si="91"/>
        <v>2674.9666666666667</v>
      </c>
      <c r="R297" s="584">
        <f t="shared" si="92"/>
        <v>80812</v>
      </c>
      <c r="S297" s="584">
        <f t="shared" si="93"/>
        <v>2693.7333333333331</v>
      </c>
      <c r="T297" s="587">
        <v>16291</v>
      </c>
      <c r="U297" s="585">
        <v>16070</v>
      </c>
      <c r="V297" s="583">
        <f t="shared" si="94"/>
        <v>80249</v>
      </c>
      <c r="W297" s="584">
        <f t="shared" si="95"/>
        <v>80812</v>
      </c>
      <c r="X297" s="587"/>
      <c r="Y297" s="585"/>
      <c r="Z297" s="587">
        <v>140675</v>
      </c>
      <c r="AA297" s="585">
        <v>159182</v>
      </c>
      <c r="AB297" s="587">
        <v>138852</v>
      </c>
      <c r="AC297" s="585">
        <v>112947</v>
      </c>
      <c r="AD297" s="587">
        <v>178841</v>
      </c>
      <c r="AE297" s="585">
        <v>207217</v>
      </c>
      <c r="AF297" s="583">
        <f t="shared" si="96"/>
        <v>458368</v>
      </c>
      <c r="AG297" s="583">
        <f t="shared" si="97"/>
        <v>509.29777777777775</v>
      </c>
      <c r="AH297" s="584">
        <f t="shared" si="98"/>
        <v>479346</v>
      </c>
      <c r="AI297" s="584">
        <f t="shared" si="99"/>
        <v>532.60666666666668</v>
      </c>
      <c r="AJ297" s="587"/>
      <c r="AK297" s="585"/>
      <c r="AL297" s="583">
        <f t="shared" si="82"/>
        <v>0</v>
      </c>
      <c r="AM297" s="584">
        <f t="shared" si="83"/>
        <v>0</v>
      </c>
      <c r="AN297" s="587"/>
      <c r="AO297" s="585"/>
      <c r="AP297" s="587"/>
      <c r="AQ297" s="585"/>
      <c r="AR297" s="587"/>
      <c r="AS297" s="585"/>
      <c r="AT297" s="587"/>
      <c r="AU297" s="585"/>
      <c r="AV297" s="583">
        <f t="shared" si="84"/>
        <v>0</v>
      </c>
      <c r="AW297" s="583">
        <f t="shared" si="85"/>
        <v>0</v>
      </c>
      <c r="AX297" s="584">
        <f t="shared" si="86"/>
        <v>0</v>
      </c>
      <c r="AY297" s="584">
        <f t="shared" si="87"/>
        <v>0</v>
      </c>
      <c r="AZ297" s="583">
        <f t="shared" si="88"/>
        <v>3184.2644444444445</v>
      </c>
      <c r="BA297" s="584">
        <f t="shared" si="89"/>
        <v>3226.3399999999997</v>
      </c>
    </row>
    <row r="298" spans="1:53">
      <c r="A298" s="428" t="s">
        <v>257</v>
      </c>
      <c r="B298" s="26" t="s">
        <v>279</v>
      </c>
      <c r="C298" s="440"/>
      <c r="D298" s="25">
        <v>198817</v>
      </c>
      <c r="E298" s="441">
        <v>9</v>
      </c>
      <c r="F298" s="582" t="s">
        <v>74</v>
      </c>
      <c r="G298" s="585"/>
      <c r="H298" s="587"/>
      <c r="I298" s="585"/>
      <c r="J298" s="587">
        <v>22690</v>
      </c>
      <c r="K298" s="585">
        <v>21097</v>
      </c>
      <c r="L298" s="587">
        <v>7240</v>
      </c>
      <c r="M298" s="585">
        <v>7110</v>
      </c>
      <c r="N298" s="587">
        <v>24932</v>
      </c>
      <c r="O298" s="585">
        <v>25208</v>
      </c>
      <c r="P298" s="583">
        <f t="shared" si="90"/>
        <v>54862</v>
      </c>
      <c r="Q298" s="583">
        <f t="shared" si="91"/>
        <v>1828.7333333333333</v>
      </c>
      <c r="R298" s="584">
        <f t="shared" si="92"/>
        <v>53415</v>
      </c>
      <c r="S298" s="584">
        <f t="shared" si="93"/>
        <v>1780.5</v>
      </c>
      <c r="T298" s="587">
        <v>15053</v>
      </c>
      <c r="U298" s="585">
        <v>14425</v>
      </c>
      <c r="V298" s="583">
        <f t="shared" si="94"/>
        <v>54862</v>
      </c>
      <c r="W298" s="584">
        <f t="shared" si="95"/>
        <v>53415</v>
      </c>
      <c r="X298" s="587"/>
      <c r="Y298" s="585"/>
      <c r="Z298" s="587">
        <v>384535</v>
      </c>
      <c r="AA298" s="585">
        <v>524717</v>
      </c>
      <c r="AB298" s="587">
        <v>348397</v>
      </c>
      <c r="AC298" s="585">
        <v>231659</v>
      </c>
      <c r="AD298" s="587">
        <v>474060</v>
      </c>
      <c r="AE298" s="585">
        <v>475893</v>
      </c>
      <c r="AF298" s="583">
        <f t="shared" si="96"/>
        <v>1206992</v>
      </c>
      <c r="AG298" s="583">
        <f t="shared" si="97"/>
        <v>1341.1022222222223</v>
      </c>
      <c r="AH298" s="584">
        <f t="shared" si="98"/>
        <v>1232269</v>
      </c>
      <c r="AI298" s="584">
        <f t="shared" si="99"/>
        <v>1369.1877777777777</v>
      </c>
      <c r="AJ298" s="587"/>
      <c r="AK298" s="585"/>
      <c r="AL298" s="583">
        <f t="shared" si="82"/>
        <v>0</v>
      </c>
      <c r="AM298" s="584">
        <f t="shared" si="83"/>
        <v>0</v>
      </c>
      <c r="AN298" s="587"/>
      <c r="AO298" s="585"/>
      <c r="AP298" s="587"/>
      <c r="AQ298" s="585"/>
      <c r="AR298" s="587"/>
      <c r="AS298" s="585"/>
      <c r="AT298" s="587"/>
      <c r="AU298" s="585"/>
      <c r="AV298" s="583">
        <f t="shared" si="84"/>
        <v>0</v>
      </c>
      <c r="AW298" s="583">
        <f t="shared" si="85"/>
        <v>0</v>
      </c>
      <c r="AX298" s="584">
        <f t="shared" si="86"/>
        <v>0</v>
      </c>
      <c r="AY298" s="584">
        <f t="shared" si="87"/>
        <v>0</v>
      </c>
      <c r="AZ298" s="583">
        <f t="shared" si="88"/>
        <v>3169.8355555555554</v>
      </c>
      <c r="BA298" s="584">
        <f t="shared" si="89"/>
        <v>3149.6877777777777</v>
      </c>
    </row>
    <row r="299" spans="1:53">
      <c r="A299" s="428" t="s">
        <v>257</v>
      </c>
      <c r="B299" s="26" t="s">
        <v>280</v>
      </c>
      <c r="C299" s="440"/>
      <c r="D299" s="25">
        <v>198987</v>
      </c>
      <c r="E299" s="441">
        <v>9</v>
      </c>
      <c r="F299" s="582" t="s">
        <v>74</v>
      </c>
      <c r="G299" s="585"/>
      <c r="H299" s="587"/>
      <c r="I299" s="585"/>
      <c r="J299" s="587">
        <v>25247</v>
      </c>
      <c r="K299" s="585">
        <v>24349</v>
      </c>
      <c r="L299" s="587">
        <v>6135</v>
      </c>
      <c r="M299" s="585">
        <v>5727</v>
      </c>
      <c r="N299" s="587">
        <v>26819</v>
      </c>
      <c r="O299" s="585">
        <v>27407</v>
      </c>
      <c r="P299" s="583">
        <f t="shared" si="90"/>
        <v>58201</v>
      </c>
      <c r="Q299" s="583">
        <f t="shared" si="91"/>
        <v>1940.0333333333333</v>
      </c>
      <c r="R299" s="584">
        <f t="shared" si="92"/>
        <v>57483</v>
      </c>
      <c r="S299" s="584">
        <f t="shared" si="93"/>
        <v>1916.1</v>
      </c>
      <c r="T299" s="587">
        <v>13251</v>
      </c>
      <c r="U299" s="585">
        <v>13147</v>
      </c>
      <c r="V299" s="583">
        <f t="shared" si="94"/>
        <v>58201</v>
      </c>
      <c r="W299" s="584">
        <f t="shared" si="95"/>
        <v>57483</v>
      </c>
      <c r="X299" s="587"/>
      <c r="Y299" s="585"/>
      <c r="Z299" s="587">
        <v>75066</v>
      </c>
      <c r="AA299" s="585">
        <v>88157</v>
      </c>
      <c r="AB299" s="587">
        <v>68103</v>
      </c>
      <c r="AC299" s="585">
        <v>73960</v>
      </c>
      <c r="AD299" s="587">
        <v>112264</v>
      </c>
      <c r="AE299" s="585">
        <v>128261</v>
      </c>
      <c r="AF299" s="583">
        <f t="shared" si="96"/>
        <v>255433</v>
      </c>
      <c r="AG299" s="583">
        <f t="shared" si="97"/>
        <v>283.81444444444446</v>
      </c>
      <c r="AH299" s="584">
        <f t="shared" si="98"/>
        <v>290378</v>
      </c>
      <c r="AI299" s="584">
        <f t="shared" si="99"/>
        <v>322.64222222222224</v>
      </c>
      <c r="AJ299" s="587"/>
      <c r="AK299" s="585"/>
      <c r="AL299" s="583">
        <f t="shared" si="82"/>
        <v>0</v>
      </c>
      <c r="AM299" s="584">
        <f t="shared" si="83"/>
        <v>0</v>
      </c>
      <c r="AN299" s="587"/>
      <c r="AO299" s="585"/>
      <c r="AP299" s="587"/>
      <c r="AQ299" s="585"/>
      <c r="AR299" s="587"/>
      <c r="AS299" s="585"/>
      <c r="AT299" s="587"/>
      <c r="AU299" s="585"/>
      <c r="AV299" s="583">
        <f t="shared" si="84"/>
        <v>0</v>
      </c>
      <c r="AW299" s="583">
        <f t="shared" si="85"/>
        <v>0</v>
      </c>
      <c r="AX299" s="584">
        <f t="shared" si="86"/>
        <v>0</v>
      </c>
      <c r="AY299" s="584">
        <f t="shared" si="87"/>
        <v>0</v>
      </c>
      <c r="AZ299" s="583">
        <f t="shared" si="88"/>
        <v>2223.847777777778</v>
      </c>
      <c r="BA299" s="584">
        <f t="shared" si="89"/>
        <v>2238.7422222222222</v>
      </c>
    </row>
    <row r="300" spans="1:53">
      <c r="A300" s="428" t="s">
        <v>257</v>
      </c>
      <c r="B300" s="26" t="s">
        <v>281</v>
      </c>
      <c r="C300" s="440"/>
      <c r="D300" s="25">
        <v>199087</v>
      </c>
      <c r="E300" s="441">
        <v>9</v>
      </c>
      <c r="F300" s="582" t="s">
        <v>74</v>
      </c>
      <c r="G300" s="585"/>
      <c r="H300" s="587"/>
      <c r="I300" s="585"/>
      <c r="J300" s="587">
        <v>26302</v>
      </c>
      <c r="K300" s="585">
        <v>26627</v>
      </c>
      <c r="L300" s="587">
        <v>7302</v>
      </c>
      <c r="M300" s="585">
        <v>7150</v>
      </c>
      <c r="N300" s="587">
        <v>27741</v>
      </c>
      <c r="O300" s="585">
        <v>27571</v>
      </c>
      <c r="P300" s="583">
        <f t="shared" si="90"/>
        <v>61345</v>
      </c>
      <c r="Q300" s="583">
        <f t="shared" si="91"/>
        <v>2044.8333333333333</v>
      </c>
      <c r="R300" s="584">
        <f t="shared" si="92"/>
        <v>61348</v>
      </c>
      <c r="S300" s="584">
        <f t="shared" si="93"/>
        <v>2044.9333333333334</v>
      </c>
      <c r="T300" s="587">
        <v>8832</v>
      </c>
      <c r="U300" s="585">
        <v>9921</v>
      </c>
      <c r="V300" s="583">
        <f t="shared" si="94"/>
        <v>61345</v>
      </c>
      <c r="W300" s="584">
        <f t="shared" si="95"/>
        <v>61348</v>
      </c>
      <c r="X300" s="587"/>
      <c r="Y300" s="585"/>
      <c r="Z300" s="587">
        <v>132947</v>
      </c>
      <c r="AA300" s="585">
        <v>145232</v>
      </c>
      <c r="AB300" s="587">
        <v>92375</v>
      </c>
      <c r="AC300" s="585">
        <v>101848</v>
      </c>
      <c r="AD300" s="587">
        <v>135207</v>
      </c>
      <c r="AE300" s="585">
        <v>138111</v>
      </c>
      <c r="AF300" s="583">
        <f t="shared" si="96"/>
        <v>360529</v>
      </c>
      <c r="AG300" s="583">
        <f t="shared" si="97"/>
        <v>400.58777777777777</v>
      </c>
      <c r="AH300" s="584">
        <f t="shared" si="98"/>
        <v>385191</v>
      </c>
      <c r="AI300" s="584">
        <f t="shared" si="99"/>
        <v>427.99</v>
      </c>
      <c r="AJ300" s="587"/>
      <c r="AK300" s="585"/>
      <c r="AL300" s="583">
        <f t="shared" si="82"/>
        <v>0</v>
      </c>
      <c r="AM300" s="584">
        <f t="shared" si="83"/>
        <v>0</v>
      </c>
      <c r="AN300" s="587"/>
      <c r="AO300" s="585"/>
      <c r="AP300" s="587"/>
      <c r="AQ300" s="585"/>
      <c r="AR300" s="587"/>
      <c r="AS300" s="585"/>
      <c r="AT300" s="587"/>
      <c r="AU300" s="585"/>
      <c r="AV300" s="583">
        <f t="shared" si="84"/>
        <v>0</v>
      </c>
      <c r="AW300" s="583">
        <f t="shared" si="85"/>
        <v>0</v>
      </c>
      <c r="AX300" s="584">
        <f t="shared" si="86"/>
        <v>0</v>
      </c>
      <c r="AY300" s="584">
        <f t="shared" si="87"/>
        <v>0</v>
      </c>
      <c r="AZ300" s="583">
        <f t="shared" si="88"/>
        <v>2445.4211111111108</v>
      </c>
      <c r="BA300" s="584">
        <f t="shared" si="89"/>
        <v>2472.9233333333332</v>
      </c>
    </row>
    <row r="301" spans="1:53">
      <c r="A301" s="428" t="s">
        <v>257</v>
      </c>
      <c r="B301" s="26" t="s">
        <v>282</v>
      </c>
      <c r="C301" s="440"/>
      <c r="D301" s="25">
        <v>199421</v>
      </c>
      <c r="E301" s="441">
        <v>9</v>
      </c>
      <c r="F301" s="582" t="s">
        <v>74</v>
      </c>
      <c r="G301" s="585"/>
      <c r="H301" s="587"/>
      <c r="I301" s="585"/>
      <c r="J301" s="587">
        <v>23604.5</v>
      </c>
      <c r="K301" s="585">
        <v>22952.5</v>
      </c>
      <c r="L301" s="587">
        <v>5636</v>
      </c>
      <c r="M301" s="585">
        <v>5376</v>
      </c>
      <c r="N301" s="587">
        <v>25038.5</v>
      </c>
      <c r="O301" s="585">
        <v>25623.5</v>
      </c>
      <c r="P301" s="583">
        <f t="shared" si="90"/>
        <v>54279</v>
      </c>
      <c r="Q301" s="583">
        <f t="shared" si="91"/>
        <v>1809.3</v>
      </c>
      <c r="R301" s="584">
        <f t="shared" si="92"/>
        <v>53952</v>
      </c>
      <c r="S301" s="584">
        <f t="shared" si="93"/>
        <v>1798.4</v>
      </c>
      <c r="T301" s="587">
        <v>12263</v>
      </c>
      <c r="U301" s="585">
        <v>14270.5</v>
      </c>
      <c r="V301" s="583">
        <f t="shared" si="94"/>
        <v>54279</v>
      </c>
      <c r="W301" s="584">
        <f t="shared" si="95"/>
        <v>53952</v>
      </c>
      <c r="X301" s="587"/>
      <c r="Y301" s="585"/>
      <c r="Z301" s="587">
        <v>162083</v>
      </c>
      <c r="AA301" s="585">
        <v>161999</v>
      </c>
      <c r="AB301" s="587">
        <v>85999</v>
      </c>
      <c r="AC301" s="585">
        <v>83262</v>
      </c>
      <c r="AD301" s="587">
        <v>150436</v>
      </c>
      <c r="AE301" s="585">
        <v>163364</v>
      </c>
      <c r="AF301" s="583">
        <f t="shared" si="96"/>
        <v>398518</v>
      </c>
      <c r="AG301" s="583">
        <f t="shared" si="97"/>
        <v>442.79777777777775</v>
      </c>
      <c r="AH301" s="584">
        <f t="shared" si="98"/>
        <v>408625</v>
      </c>
      <c r="AI301" s="584">
        <f t="shared" si="99"/>
        <v>454.02777777777777</v>
      </c>
      <c r="AJ301" s="587"/>
      <c r="AK301" s="585"/>
      <c r="AL301" s="583">
        <f t="shared" si="82"/>
        <v>0</v>
      </c>
      <c r="AM301" s="584">
        <f t="shared" si="83"/>
        <v>0</v>
      </c>
      <c r="AN301" s="587"/>
      <c r="AO301" s="585"/>
      <c r="AP301" s="587"/>
      <c r="AQ301" s="585"/>
      <c r="AR301" s="587"/>
      <c r="AS301" s="585"/>
      <c r="AT301" s="587"/>
      <c r="AU301" s="585"/>
      <c r="AV301" s="583">
        <f t="shared" si="84"/>
        <v>0</v>
      </c>
      <c r="AW301" s="583">
        <f t="shared" si="85"/>
        <v>0</v>
      </c>
      <c r="AX301" s="584">
        <f t="shared" si="86"/>
        <v>0</v>
      </c>
      <c r="AY301" s="584">
        <f t="shared" si="87"/>
        <v>0</v>
      </c>
      <c r="AZ301" s="583">
        <f t="shared" si="88"/>
        <v>2252.0977777777775</v>
      </c>
      <c r="BA301" s="584">
        <f t="shared" si="89"/>
        <v>2252.4277777777779</v>
      </c>
    </row>
    <row r="302" spans="1:53">
      <c r="A302" s="428" t="s">
        <v>257</v>
      </c>
      <c r="B302" s="26" t="s">
        <v>283</v>
      </c>
      <c r="C302" s="443"/>
      <c r="D302" s="25">
        <v>199449</v>
      </c>
      <c r="E302" s="441">
        <v>9</v>
      </c>
      <c r="F302" s="582" t="s">
        <v>74</v>
      </c>
      <c r="G302" s="585"/>
      <c r="H302" s="587"/>
      <c r="I302" s="585"/>
      <c r="J302" s="587">
        <v>21292.5</v>
      </c>
      <c r="K302" s="585">
        <v>22110</v>
      </c>
      <c r="L302" s="587">
        <v>5977</v>
      </c>
      <c r="M302" s="585">
        <v>6268</v>
      </c>
      <c r="N302" s="587">
        <v>24607</v>
      </c>
      <c r="O302" s="585">
        <v>24445</v>
      </c>
      <c r="P302" s="583">
        <f t="shared" si="90"/>
        <v>51876.5</v>
      </c>
      <c r="Q302" s="583">
        <f t="shared" si="91"/>
        <v>1729.2166666666667</v>
      </c>
      <c r="R302" s="584">
        <f t="shared" si="92"/>
        <v>52823</v>
      </c>
      <c r="S302" s="584">
        <f t="shared" si="93"/>
        <v>1760.7666666666667</v>
      </c>
      <c r="T302" s="587">
        <v>13420</v>
      </c>
      <c r="U302" s="585">
        <v>15911</v>
      </c>
      <c r="V302" s="583">
        <f t="shared" si="94"/>
        <v>51876.5</v>
      </c>
      <c r="W302" s="584">
        <f t="shared" si="95"/>
        <v>52823</v>
      </c>
      <c r="X302" s="587"/>
      <c r="Y302" s="585"/>
      <c r="Z302" s="587">
        <v>177220</v>
      </c>
      <c r="AA302" s="585">
        <v>219076</v>
      </c>
      <c r="AB302" s="587">
        <v>169566</v>
      </c>
      <c r="AC302" s="585">
        <v>153743</v>
      </c>
      <c r="AD302" s="587">
        <v>152869</v>
      </c>
      <c r="AE302" s="585">
        <v>171919</v>
      </c>
      <c r="AF302" s="583">
        <f t="shared" si="96"/>
        <v>499655</v>
      </c>
      <c r="AG302" s="583">
        <f t="shared" si="97"/>
        <v>555.17222222222222</v>
      </c>
      <c r="AH302" s="584">
        <f t="shared" si="98"/>
        <v>544738</v>
      </c>
      <c r="AI302" s="584">
        <f t="shared" si="99"/>
        <v>605.26444444444439</v>
      </c>
      <c r="AJ302" s="587"/>
      <c r="AK302" s="585"/>
      <c r="AL302" s="583">
        <f t="shared" si="82"/>
        <v>0</v>
      </c>
      <c r="AM302" s="584">
        <f t="shared" si="83"/>
        <v>0</v>
      </c>
      <c r="AN302" s="587"/>
      <c r="AO302" s="585"/>
      <c r="AP302" s="587"/>
      <c r="AQ302" s="585"/>
      <c r="AR302" s="587"/>
      <c r="AS302" s="585"/>
      <c r="AT302" s="587"/>
      <c r="AU302" s="585"/>
      <c r="AV302" s="583">
        <f t="shared" si="84"/>
        <v>0</v>
      </c>
      <c r="AW302" s="583">
        <f t="shared" si="85"/>
        <v>0</v>
      </c>
      <c r="AX302" s="584">
        <f t="shared" si="86"/>
        <v>0</v>
      </c>
      <c r="AY302" s="584">
        <f t="shared" si="87"/>
        <v>0</v>
      </c>
      <c r="AZ302" s="583">
        <f t="shared" si="88"/>
        <v>2284.3888888888887</v>
      </c>
      <c r="BA302" s="584">
        <f t="shared" si="89"/>
        <v>2366.0311111111109</v>
      </c>
    </row>
    <row r="303" spans="1:53">
      <c r="A303" s="428" t="s">
        <v>257</v>
      </c>
      <c r="B303" s="26" t="s">
        <v>285</v>
      </c>
      <c r="C303" s="440"/>
      <c r="D303" s="25">
        <v>199634</v>
      </c>
      <c r="E303" s="441">
        <v>9</v>
      </c>
      <c r="F303" s="582" t="s">
        <v>74</v>
      </c>
      <c r="G303" s="585"/>
      <c r="H303" s="587"/>
      <c r="I303" s="585"/>
      <c r="J303" s="587">
        <v>35414</v>
      </c>
      <c r="K303" s="585">
        <v>34894</v>
      </c>
      <c r="L303" s="587">
        <v>9856</v>
      </c>
      <c r="M303" s="585">
        <v>9892</v>
      </c>
      <c r="N303" s="587">
        <v>37646</v>
      </c>
      <c r="O303" s="585">
        <v>37409</v>
      </c>
      <c r="P303" s="583">
        <f t="shared" si="90"/>
        <v>82916</v>
      </c>
      <c r="Q303" s="583">
        <f t="shared" si="91"/>
        <v>2763.8666666666668</v>
      </c>
      <c r="R303" s="584">
        <f t="shared" si="92"/>
        <v>82195</v>
      </c>
      <c r="S303" s="584">
        <f t="shared" si="93"/>
        <v>2739.8333333333335</v>
      </c>
      <c r="T303" s="587">
        <v>19285</v>
      </c>
      <c r="U303" s="585">
        <v>17117</v>
      </c>
      <c r="V303" s="583">
        <f t="shared" si="94"/>
        <v>82916</v>
      </c>
      <c r="W303" s="584">
        <f t="shared" si="95"/>
        <v>82195</v>
      </c>
      <c r="X303" s="587"/>
      <c r="Y303" s="585"/>
      <c r="Z303" s="587">
        <v>143422</v>
      </c>
      <c r="AA303" s="585">
        <v>171493</v>
      </c>
      <c r="AB303" s="587">
        <v>105789</v>
      </c>
      <c r="AC303" s="585">
        <v>106169</v>
      </c>
      <c r="AD303" s="587">
        <v>131721</v>
      </c>
      <c r="AE303" s="585">
        <v>158096</v>
      </c>
      <c r="AF303" s="583">
        <f t="shared" si="96"/>
        <v>380932</v>
      </c>
      <c r="AG303" s="583">
        <f t="shared" si="97"/>
        <v>423.25777777777779</v>
      </c>
      <c r="AH303" s="584">
        <f t="shared" si="98"/>
        <v>435758</v>
      </c>
      <c r="AI303" s="584">
        <f t="shared" si="99"/>
        <v>484.17555555555555</v>
      </c>
      <c r="AJ303" s="587"/>
      <c r="AK303" s="585"/>
      <c r="AL303" s="583">
        <f t="shared" si="82"/>
        <v>0</v>
      </c>
      <c r="AM303" s="584">
        <f t="shared" si="83"/>
        <v>0</v>
      </c>
      <c r="AN303" s="587"/>
      <c r="AO303" s="585"/>
      <c r="AP303" s="587"/>
      <c r="AQ303" s="585"/>
      <c r="AR303" s="587"/>
      <c r="AS303" s="585"/>
      <c r="AT303" s="587"/>
      <c r="AU303" s="585"/>
      <c r="AV303" s="583">
        <f t="shared" si="84"/>
        <v>0</v>
      </c>
      <c r="AW303" s="583">
        <f t="shared" si="85"/>
        <v>0</v>
      </c>
      <c r="AX303" s="584">
        <f t="shared" si="86"/>
        <v>0</v>
      </c>
      <c r="AY303" s="584">
        <f t="shared" si="87"/>
        <v>0</v>
      </c>
      <c r="AZ303" s="583">
        <f t="shared" si="88"/>
        <v>3187.1244444444446</v>
      </c>
      <c r="BA303" s="584">
        <f t="shared" si="89"/>
        <v>3224.008888888889</v>
      </c>
    </row>
    <row r="304" spans="1:53">
      <c r="A304" s="428" t="s">
        <v>257</v>
      </c>
      <c r="B304" s="26" t="s">
        <v>311</v>
      </c>
      <c r="C304" s="443"/>
      <c r="D304" s="25">
        <v>197850</v>
      </c>
      <c r="E304" s="441">
        <v>9</v>
      </c>
      <c r="F304" s="582" t="s">
        <v>74</v>
      </c>
      <c r="G304" s="585"/>
      <c r="H304" s="587"/>
      <c r="I304" s="585"/>
      <c r="J304" s="587">
        <v>20480</v>
      </c>
      <c r="K304" s="585">
        <v>20994</v>
      </c>
      <c r="L304" s="587">
        <v>3856</v>
      </c>
      <c r="M304" s="585">
        <v>4600</v>
      </c>
      <c r="N304" s="587">
        <v>22514</v>
      </c>
      <c r="O304" s="585">
        <v>24636</v>
      </c>
      <c r="P304" s="583">
        <f t="shared" si="90"/>
        <v>46850</v>
      </c>
      <c r="Q304" s="583">
        <f t="shared" si="91"/>
        <v>1561.6666666666667</v>
      </c>
      <c r="R304" s="584">
        <f t="shared" si="92"/>
        <v>50230</v>
      </c>
      <c r="S304" s="584">
        <f t="shared" si="93"/>
        <v>1674.3333333333333</v>
      </c>
      <c r="T304" s="587">
        <v>18813</v>
      </c>
      <c r="U304" s="585">
        <v>21316</v>
      </c>
      <c r="V304" s="583">
        <f t="shared" si="94"/>
        <v>46850</v>
      </c>
      <c r="W304" s="584">
        <f t="shared" si="95"/>
        <v>50230</v>
      </c>
      <c r="X304" s="587"/>
      <c r="Y304" s="585"/>
      <c r="Z304" s="587">
        <v>159335</v>
      </c>
      <c r="AA304" s="585">
        <v>162744</v>
      </c>
      <c r="AB304" s="587">
        <v>96139</v>
      </c>
      <c r="AC304" s="585">
        <v>133834</v>
      </c>
      <c r="AD304" s="587">
        <v>176800</v>
      </c>
      <c r="AE304" s="585">
        <v>213700</v>
      </c>
      <c r="AF304" s="583">
        <f t="shared" si="96"/>
        <v>432274</v>
      </c>
      <c r="AG304" s="583">
        <f t="shared" si="97"/>
        <v>480.30444444444447</v>
      </c>
      <c r="AH304" s="584">
        <f t="shared" si="98"/>
        <v>510278</v>
      </c>
      <c r="AI304" s="584">
        <f t="shared" si="99"/>
        <v>566.9755555555555</v>
      </c>
      <c r="AJ304" s="587"/>
      <c r="AK304" s="585"/>
      <c r="AL304" s="583">
        <f t="shared" si="82"/>
        <v>0</v>
      </c>
      <c r="AM304" s="584">
        <f t="shared" si="83"/>
        <v>0</v>
      </c>
      <c r="AN304" s="587"/>
      <c r="AO304" s="585"/>
      <c r="AP304" s="587"/>
      <c r="AQ304" s="585"/>
      <c r="AR304" s="587"/>
      <c r="AS304" s="585"/>
      <c r="AT304" s="587"/>
      <c r="AU304" s="585"/>
      <c r="AV304" s="583">
        <f t="shared" si="84"/>
        <v>0</v>
      </c>
      <c r="AW304" s="583">
        <f t="shared" si="85"/>
        <v>0</v>
      </c>
      <c r="AX304" s="584">
        <f t="shared" si="86"/>
        <v>0</v>
      </c>
      <c r="AY304" s="584">
        <f t="shared" si="87"/>
        <v>0</v>
      </c>
      <c r="AZ304" s="583">
        <f t="shared" si="88"/>
        <v>2041.9711111111112</v>
      </c>
      <c r="BA304" s="584">
        <f t="shared" si="89"/>
        <v>2241.3088888888888</v>
      </c>
    </row>
    <row r="305" spans="1:53">
      <c r="A305" s="428" t="s">
        <v>257</v>
      </c>
      <c r="B305" s="26" t="s">
        <v>286</v>
      </c>
      <c r="C305" s="440"/>
      <c r="D305" s="25">
        <v>199740</v>
      </c>
      <c r="E305" s="441">
        <v>9</v>
      </c>
      <c r="F305" s="582" t="s">
        <v>74</v>
      </c>
      <c r="G305" s="585"/>
      <c r="H305" s="587"/>
      <c r="I305" s="585"/>
      <c r="J305" s="587">
        <v>21424</v>
      </c>
      <c r="K305" s="585">
        <v>20496</v>
      </c>
      <c r="L305" s="587">
        <v>6283</v>
      </c>
      <c r="M305" s="585">
        <v>6444</v>
      </c>
      <c r="N305" s="587">
        <v>22783</v>
      </c>
      <c r="O305" s="585">
        <v>23769</v>
      </c>
      <c r="P305" s="583">
        <f t="shared" si="90"/>
        <v>50490</v>
      </c>
      <c r="Q305" s="583">
        <f t="shared" si="91"/>
        <v>1683</v>
      </c>
      <c r="R305" s="584">
        <f t="shared" si="92"/>
        <v>50709</v>
      </c>
      <c r="S305" s="584">
        <f t="shared" si="93"/>
        <v>1690.3</v>
      </c>
      <c r="T305" s="587">
        <v>7968</v>
      </c>
      <c r="U305" s="585">
        <v>9552</v>
      </c>
      <c r="V305" s="583">
        <f t="shared" si="94"/>
        <v>50490</v>
      </c>
      <c r="W305" s="584">
        <f t="shared" si="95"/>
        <v>50709</v>
      </c>
      <c r="X305" s="587"/>
      <c r="Y305" s="585"/>
      <c r="Z305" s="587">
        <v>220356</v>
      </c>
      <c r="AA305" s="585">
        <v>209966</v>
      </c>
      <c r="AB305" s="587">
        <v>130704</v>
      </c>
      <c r="AC305" s="585">
        <v>111625</v>
      </c>
      <c r="AD305" s="587">
        <v>174208</v>
      </c>
      <c r="AE305" s="585">
        <v>208612</v>
      </c>
      <c r="AF305" s="583">
        <f t="shared" si="96"/>
        <v>525268</v>
      </c>
      <c r="AG305" s="583">
        <f t="shared" si="97"/>
        <v>583.63111111111107</v>
      </c>
      <c r="AH305" s="584">
        <f t="shared" si="98"/>
        <v>530203</v>
      </c>
      <c r="AI305" s="584">
        <f t="shared" si="99"/>
        <v>589.11444444444442</v>
      </c>
      <c r="AJ305" s="587"/>
      <c r="AK305" s="585"/>
      <c r="AL305" s="583">
        <f t="shared" si="82"/>
        <v>0</v>
      </c>
      <c r="AM305" s="584">
        <f t="shared" si="83"/>
        <v>0</v>
      </c>
      <c r="AN305" s="587"/>
      <c r="AO305" s="585"/>
      <c r="AP305" s="587"/>
      <c r="AQ305" s="585"/>
      <c r="AR305" s="587"/>
      <c r="AS305" s="585"/>
      <c r="AT305" s="587"/>
      <c r="AU305" s="585"/>
      <c r="AV305" s="583">
        <f t="shared" si="84"/>
        <v>0</v>
      </c>
      <c r="AW305" s="583">
        <f t="shared" si="85"/>
        <v>0</v>
      </c>
      <c r="AX305" s="584">
        <f t="shared" si="86"/>
        <v>0</v>
      </c>
      <c r="AY305" s="584">
        <f t="shared" si="87"/>
        <v>0</v>
      </c>
      <c r="AZ305" s="583">
        <f t="shared" si="88"/>
        <v>2266.6311111111108</v>
      </c>
      <c r="BA305" s="584">
        <f t="shared" si="89"/>
        <v>2279.4144444444446</v>
      </c>
    </row>
    <row r="306" spans="1:53">
      <c r="A306" s="428" t="s">
        <v>257</v>
      </c>
      <c r="B306" s="26" t="s">
        <v>287</v>
      </c>
      <c r="C306" s="440"/>
      <c r="D306" s="25">
        <v>199768</v>
      </c>
      <c r="E306" s="441">
        <v>9</v>
      </c>
      <c r="F306" s="582" t="s">
        <v>74</v>
      </c>
      <c r="G306" s="585"/>
      <c r="H306" s="587"/>
      <c r="I306" s="585"/>
      <c r="J306" s="587">
        <v>26665</v>
      </c>
      <c r="K306" s="585">
        <v>26048</v>
      </c>
      <c r="L306" s="587">
        <v>5770</v>
      </c>
      <c r="M306" s="585">
        <v>6589</v>
      </c>
      <c r="N306" s="587">
        <v>28815</v>
      </c>
      <c r="O306" s="585">
        <v>30466</v>
      </c>
      <c r="P306" s="583">
        <f t="shared" si="90"/>
        <v>61250</v>
      </c>
      <c r="Q306" s="583">
        <f t="shared" si="91"/>
        <v>2041.6666666666667</v>
      </c>
      <c r="R306" s="584">
        <f t="shared" si="92"/>
        <v>63103</v>
      </c>
      <c r="S306" s="584">
        <f t="shared" si="93"/>
        <v>2103.4333333333334</v>
      </c>
      <c r="T306" s="587">
        <v>16060</v>
      </c>
      <c r="U306" s="585">
        <v>17989</v>
      </c>
      <c r="V306" s="583">
        <f t="shared" si="94"/>
        <v>61250</v>
      </c>
      <c r="W306" s="584">
        <f t="shared" si="95"/>
        <v>63103</v>
      </c>
      <c r="X306" s="587"/>
      <c r="Y306" s="585"/>
      <c r="Z306" s="587">
        <v>117249</v>
      </c>
      <c r="AA306" s="585">
        <v>125076</v>
      </c>
      <c r="AB306" s="587">
        <v>109860</v>
      </c>
      <c r="AC306" s="585">
        <v>108747</v>
      </c>
      <c r="AD306" s="587">
        <v>180225</v>
      </c>
      <c r="AE306" s="585">
        <v>174284</v>
      </c>
      <c r="AF306" s="583">
        <f t="shared" si="96"/>
        <v>407334</v>
      </c>
      <c r="AG306" s="583">
        <f t="shared" si="97"/>
        <v>452.59333333333331</v>
      </c>
      <c r="AH306" s="584">
        <f t="shared" si="98"/>
        <v>408107</v>
      </c>
      <c r="AI306" s="584">
        <f t="shared" si="99"/>
        <v>453.45222222222225</v>
      </c>
      <c r="AJ306" s="587"/>
      <c r="AK306" s="585"/>
      <c r="AL306" s="583">
        <f t="shared" si="82"/>
        <v>0</v>
      </c>
      <c r="AM306" s="584">
        <f t="shared" si="83"/>
        <v>0</v>
      </c>
      <c r="AN306" s="587"/>
      <c r="AO306" s="585"/>
      <c r="AP306" s="587"/>
      <c r="AQ306" s="585"/>
      <c r="AR306" s="587"/>
      <c r="AS306" s="585"/>
      <c r="AT306" s="587"/>
      <c r="AU306" s="585"/>
      <c r="AV306" s="583">
        <f t="shared" si="84"/>
        <v>0</v>
      </c>
      <c r="AW306" s="583">
        <f t="shared" si="85"/>
        <v>0</v>
      </c>
      <c r="AX306" s="584">
        <f t="shared" si="86"/>
        <v>0</v>
      </c>
      <c r="AY306" s="584">
        <f t="shared" si="87"/>
        <v>0</v>
      </c>
      <c r="AZ306" s="583">
        <f t="shared" si="88"/>
        <v>2494.2600000000002</v>
      </c>
      <c r="BA306" s="584">
        <f t="shared" si="89"/>
        <v>2556.8855555555556</v>
      </c>
    </row>
    <row r="307" spans="1:53">
      <c r="A307" s="428" t="s">
        <v>257</v>
      </c>
      <c r="B307" s="26" t="s">
        <v>288</v>
      </c>
      <c r="C307" s="440"/>
      <c r="D307" s="25">
        <v>199838</v>
      </c>
      <c r="E307" s="441">
        <v>9</v>
      </c>
      <c r="F307" s="582" t="s">
        <v>74</v>
      </c>
      <c r="G307" s="585"/>
      <c r="H307" s="587"/>
      <c r="I307" s="585"/>
      <c r="J307" s="587">
        <v>24835</v>
      </c>
      <c r="K307" s="585">
        <v>23329</v>
      </c>
      <c r="L307" s="587">
        <v>5209</v>
      </c>
      <c r="M307" s="585">
        <v>5309</v>
      </c>
      <c r="N307" s="587">
        <v>26050</v>
      </c>
      <c r="O307" s="585">
        <v>27722</v>
      </c>
      <c r="P307" s="583">
        <f t="shared" si="90"/>
        <v>56094</v>
      </c>
      <c r="Q307" s="583">
        <f t="shared" si="91"/>
        <v>1869.8</v>
      </c>
      <c r="R307" s="584">
        <f t="shared" si="92"/>
        <v>56360</v>
      </c>
      <c r="S307" s="584">
        <f t="shared" si="93"/>
        <v>1878.6666666666667</v>
      </c>
      <c r="T307" s="587">
        <v>14134</v>
      </c>
      <c r="U307" s="585">
        <v>15388</v>
      </c>
      <c r="V307" s="583">
        <f t="shared" si="94"/>
        <v>56094</v>
      </c>
      <c r="W307" s="584">
        <f t="shared" si="95"/>
        <v>56360</v>
      </c>
      <c r="X307" s="587"/>
      <c r="Y307" s="585"/>
      <c r="Z307" s="587">
        <v>144319</v>
      </c>
      <c r="AA307" s="585">
        <v>145264</v>
      </c>
      <c r="AB307" s="587">
        <v>100063</v>
      </c>
      <c r="AC307" s="585">
        <v>98682</v>
      </c>
      <c r="AD307" s="587">
        <v>150336</v>
      </c>
      <c r="AE307" s="585">
        <v>152433</v>
      </c>
      <c r="AF307" s="583">
        <f t="shared" si="96"/>
        <v>394718</v>
      </c>
      <c r="AG307" s="583">
        <f t="shared" si="97"/>
        <v>438.57555555555558</v>
      </c>
      <c r="AH307" s="584">
        <f t="shared" si="98"/>
        <v>396379</v>
      </c>
      <c r="AI307" s="584">
        <f t="shared" si="99"/>
        <v>440.42111111111109</v>
      </c>
      <c r="AJ307" s="587"/>
      <c r="AK307" s="585"/>
      <c r="AL307" s="583">
        <f t="shared" si="82"/>
        <v>0</v>
      </c>
      <c r="AM307" s="584">
        <f t="shared" si="83"/>
        <v>0</v>
      </c>
      <c r="AN307" s="587"/>
      <c r="AO307" s="585"/>
      <c r="AP307" s="587"/>
      <c r="AQ307" s="585"/>
      <c r="AR307" s="587"/>
      <c r="AS307" s="585"/>
      <c r="AT307" s="587"/>
      <c r="AU307" s="585"/>
      <c r="AV307" s="583">
        <f t="shared" si="84"/>
        <v>0</v>
      </c>
      <c r="AW307" s="583">
        <f t="shared" si="85"/>
        <v>0</v>
      </c>
      <c r="AX307" s="584">
        <f t="shared" si="86"/>
        <v>0</v>
      </c>
      <c r="AY307" s="584">
        <f t="shared" si="87"/>
        <v>0</v>
      </c>
      <c r="AZ307" s="583">
        <f t="shared" si="88"/>
        <v>2308.3755555555554</v>
      </c>
      <c r="BA307" s="584">
        <f t="shared" si="89"/>
        <v>2319.0877777777778</v>
      </c>
    </row>
    <row r="308" spans="1:53">
      <c r="A308" s="428" t="s">
        <v>257</v>
      </c>
      <c r="B308" s="26" t="s">
        <v>289</v>
      </c>
      <c r="C308" s="440"/>
      <c r="D308" s="25">
        <v>199892</v>
      </c>
      <c r="E308" s="441">
        <v>9</v>
      </c>
      <c r="F308" s="582" t="s">
        <v>74</v>
      </c>
      <c r="G308" s="585"/>
      <c r="H308" s="587"/>
      <c r="I308" s="585"/>
      <c r="J308" s="587">
        <v>30598</v>
      </c>
      <c r="K308" s="585">
        <v>30073</v>
      </c>
      <c r="L308" s="587">
        <v>9124</v>
      </c>
      <c r="M308" s="585">
        <v>9353</v>
      </c>
      <c r="N308" s="587">
        <v>32107</v>
      </c>
      <c r="O308" s="585">
        <v>31252</v>
      </c>
      <c r="P308" s="583">
        <f t="shared" si="90"/>
        <v>71829</v>
      </c>
      <c r="Q308" s="583">
        <f t="shared" si="91"/>
        <v>2394.3000000000002</v>
      </c>
      <c r="R308" s="584">
        <f t="shared" si="92"/>
        <v>70678</v>
      </c>
      <c r="S308" s="584">
        <f t="shared" si="93"/>
        <v>2355.9333333333334</v>
      </c>
      <c r="T308" s="587">
        <v>12666</v>
      </c>
      <c r="U308" s="585">
        <v>11618.5</v>
      </c>
      <c r="V308" s="583">
        <f t="shared" si="94"/>
        <v>71829</v>
      </c>
      <c r="W308" s="584">
        <f t="shared" si="95"/>
        <v>70678</v>
      </c>
      <c r="X308" s="587"/>
      <c r="Y308" s="585"/>
      <c r="Z308" s="587">
        <v>152882</v>
      </c>
      <c r="AA308" s="585">
        <v>171551</v>
      </c>
      <c r="AB308" s="587">
        <v>115682</v>
      </c>
      <c r="AC308" s="585">
        <v>113241</v>
      </c>
      <c r="AD308" s="587">
        <v>134222</v>
      </c>
      <c r="AE308" s="585">
        <v>181076</v>
      </c>
      <c r="AF308" s="583">
        <f t="shared" si="96"/>
        <v>402786</v>
      </c>
      <c r="AG308" s="583">
        <f t="shared" si="97"/>
        <v>447.54</v>
      </c>
      <c r="AH308" s="584">
        <f t="shared" si="98"/>
        <v>465868</v>
      </c>
      <c r="AI308" s="584">
        <f t="shared" si="99"/>
        <v>517.63111111111107</v>
      </c>
      <c r="AJ308" s="587"/>
      <c r="AK308" s="585"/>
      <c r="AL308" s="583">
        <f t="shared" si="82"/>
        <v>0</v>
      </c>
      <c r="AM308" s="584">
        <f t="shared" si="83"/>
        <v>0</v>
      </c>
      <c r="AN308" s="587"/>
      <c r="AO308" s="585"/>
      <c r="AP308" s="587"/>
      <c r="AQ308" s="585"/>
      <c r="AR308" s="587"/>
      <c r="AS308" s="585"/>
      <c r="AT308" s="587"/>
      <c r="AU308" s="585"/>
      <c r="AV308" s="583">
        <f t="shared" si="84"/>
        <v>0</v>
      </c>
      <c r="AW308" s="583">
        <f t="shared" si="85"/>
        <v>0</v>
      </c>
      <c r="AX308" s="584">
        <f t="shared" si="86"/>
        <v>0</v>
      </c>
      <c r="AY308" s="584">
        <f t="shared" si="87"/>
        <v>0</v>
      </c>
      <c r="AZ308" s="583">
        <f t="shared" si="88"/>
        <v>2841.84</v>
      </c>
      <c r="BA308" s="584">
        <f t="shared" si="89"/>
        <v>2873.5644444444442</v>
      </c>
    </row>
    <row r="309" spans="1:53">
      <c r="A309" s="428" t="s">
        <v>257</v>
      </c>
      <c r="B309" s="26" t="s">
        <v>291</v>
      </c>
      <c r="C309" s="440"/>
      <c r="D309" s="25">
        <v>199926</v>
      </c>
      <c r="E309" s="441">
        <v>9</v>
      </c>
      <c r="F309" s="582" t="s">
        <v>74</v>
      </c>
      <c r="G309" s="585"/>
      <c r="H309" s="587"/>
      <c r="I309" s="585"/>
      <c r="J309" s="587">
        <v>24260</v>
      </c>
      <c r="K309" s="585">
        <v>22176</v>
      </c>
      <c r="L309" s="587">
        <v>4857</v>
      </c>
      <c r="M309" s="585">
        <v>4870</v>
      </c>
      <c r="N309" s="587">
        <v>26082</v>
      </c>
      <c r="O309" s="585">
        <v>26412</v>
      </c>
      <c r="P309" s="583">
        <f t="shared" si="90"/>
        <v>55199</v>
      </c>
      <c r="Q309" s="583">
        <f t="shared" si="91"/>
        <v>1839.9666666666667</v>
      </c>
      <c r="R309" s="584">
        <f t="shared" si="92"/>
        <v>53458</v>
      </c>
      <c r="S309" s="584">
        <f t="shared" si="93"/>
        <v>1781.9333333333334</v>
      </c>
      <c r="T309" s="587">
        <v>12832</v>
      </c>
      <c r="U309" s="585">
        <v>12773</v>
      </c>
      <c r="V309" s="583">
        <f t="shared" si="94"/>
        <v>55199</v>
      </c>
      <c r="W309" s="584">
        <f t="shared" si="95"/>
        <v>53458</v>
      </c>
      <c r="X309" s="587"/>
      <c r="Y309" s="585"/>
      <c r="Z309" s="587">
        <v>148986</v>
      </c>
      <c r="AA309" s="585">
        <v>158768</v>
      </c>
      <c r="AB309" s="587">
        <v>88456</v>
      </c>
      <c r="AC309" s="585">
        <v>97618</v>
      </c>
      <c r="AD309" s="587">
        <v>165244</v>
      </c>
      <c r="AE309" s="585">
        <v>158870</v>
      </c>
      <c r="AF309" s="583">
        <f t="shared" si="96"/>
        <v>402686</v>
      </c>
      <c r="AG309" s="583">
        <f t="shared" si="97"/>
        <v>447.42888888888888</v>
      </c>
      <c r="AH309" s="584">
        <f t="shared" si="98"/>
        <v>415256</v>
      </c>
      <c r="AI309" s="584">
        <f t="shared" si="99"/>
        <v>461.39555555555557</v>
      </c>
      <c r="AJ309" s="587"/>
      <c r="AK309" s="585"/>
      <c r="AL309" s="583">
        <f t="shared" si="82"/>
        <v>0</v>
      </c>
      <c r="AM309" s="584">
        <f t="shared" si="83"/>
        <v>0</v>
      </c>
      <c r="AN309" s="587"/>
      <c r="AO309" s="585"/>
      <c r="AP309" s="587"/>
      <c r="AQ309" s="585"/>
      <c r="AR309" s="587"/>
      <c r="AS309" s="585"/>
      <c r="AT309" s="587"/>
      <c r="AU309" s="585"/>
      <c r="AV309" s="583">
        <f t="shared" si="84"/>
        <v>0</v>
      </c>
      <c r="AW309" s="583">
        <f t="shared" si="85"/>
        <v>0</v>
      </c>
      <c r="AX309" s="584">
        <f t="shared" si="86"/>
        <v>0</v>
      </c>
      <c r="AY309" s="584">
        <f t="shared" si="87"/>
        <v>0</v>
      </c>
      <c r="AZ309" s="583">
        <f t="shared" si="88"/>
        <v>2287.3955555555558</v>
      </c>
      <c r="BA309" s="584">
        <f t="shared" si="89"/>
        <v>2243.3288888888892</v>
      </c>
    </row>
    <row r="310" spans="1:53">
      <c r="A310" s="428" t="s">
        <v>257</v>
      </c>
      <c r="B310" s="26" t="s">
        <v>292</v>
      </c>
      <c r="C310" s="440"/>
      <c r="D310" s="25">
        <v>197966</v>
      </c>
      <c r="E310" s="441">
        <v>10</v>
      </c>
      <c r="F310" s="582" t="s">
        <v>74</v>
      </c>
      <c r="G310" s="585"/>
      <c r="H310" s="587"/>
      <c r="I310" s="585"/>
      <c r="J310" s="587">
        <v>12072</v>
      </c>
      <c r="K310" s="585">
        <v>13450</v>
      </c>
      <c r="L310" s="587">
        <v>2911</v>
      </c>
      <c r="M310" s="585">
        <v>2974</v>
      </c>
      <c r="N310" s="587">
        <v>13867</v>
      </c>
      <c r="O310" s="585">
        <v>14559</v>
      </c>
      <c r="P310" s="583">
        <f t="shared" si="90"/>
        <v>28850</v>
      </c>
      <c r="Q310" s="583">
        <f t="shared" si="91"/>
        <v>961.66666666666663</v>
      </c>
      <c r="R310" s="584">
        <f t="shared" si="92"/>
        <v>30983</v>
      </c>
      <c r="S310" s="584">
        <f t="shared" si="93"/>
        <v>1032.7666666666667</v>
      </c>
      <c r="T310" s="587">
        <v>9970</v>
      </c>
      <c r="U310" s="585">
        <v>11145</v>
      </c>
      <c r="V310" s="583">
        <f t="shared" si="94"/>
        <v>28850</v>
      </c>
      <c r="W310" s="584">
        <f t="shared" si="95"/>
        <v>30983</v>
      </c>
      <c r="X310" s="587"/>
      <c r="Y310" s="585"/>
      <c r="Z310" s="587">
        <v>87862</v>
      </c>
      <c r="AA310" s="585">
        <v>98836</v>
      </c>
      <c r="AB310" s="587">
        <v>61834</v>
      </c>
      <c r="AC310" s="585">
        <v>65875</v>
      </c>
      <c r="AD310" s="587">
        <v>92931</v>
      </c>
      <c r="AE310" s="585">
        <v>95865</v>
      </c>
      <c r="AF310" s="583">
        <f t="shared" si="96"/>
        <v>242627</v>
      </c>
      <c r="AG310" s="583">
        <f t="shared" si="97"/>
        <v>269.58555555555557</v>
      </c>
      <c r="AH310" s="584">
        <f t="shared" si="98"/>
        <v>260576</v>
      </c>
      <c r="AI310" s="584">
        <f t="shared" si="99"/>
        <v>289.5288888888889</v>
      </c>
      <c r="AJ310" s="587"/>
      <c r="AK310" s="585"/>
      <c r="AL310" s="583">
        <f t="shared" si="82"/>
        <v>0</v>
      </c>
      <c r="AM310" s="584">
        <f t="shared" si="83"/>
        <v>0</v>
      </c>
      <c r="AN310" s="587"/>
      <c r="AO310" s="585"/>
      <c r="AP310" s="587"/>
      <c r="AQ310" s="585"/>
      <c r="AR310" s="587"/>
      <c r="AS310" s="585"/>
      <c r="AT310" s="587"/>
      <c r="AU310" s="585"/>
      <c r="AV310" s="583">
        <f t="shared" si="84"/>
        <v>0</v>
      </c>
      <c r="AW310" s="583">
        <f t="shared" si="85"/>
        <v>0</v>
      </c>
      <c r="AX310" s="584">
        <f t="shared" si="86"/>
        <v>0</v>
      </c>
      <c r="AY310" s="584">
        <f t="shared" si="87"/>
        <v>0</v>
      </c>
      <c r="AZ310" s="583">
        <f t="shared" si="88"/>
        <v>1231.2522222222221</v>
      </c>
      <c r="BA310" s="584">
        <f t="shared" si="89"/>
        <v>1322.2955555555554</v>
      </c>
    </row>
    <row r="311" spans="1:53">
      <c r="A311" s="428" t="s">
        <v>257</v>
      </c>
      <c r="B311" s="26" t="s">
        <v>293</v>
      </c>
      <c r="C311" s="440"/>
      <c r="D311" s="25">
        <v>198011</v>
      </c>
      <c r="E311" s="441">
        <v>10</v>
      </c>
      <c r="F311" s="582" t="s">
        <v>74</v>
      </c>
      <c r="G311" s="585"/>
      <c r="H311" s="587"/>
      <c r="I311" s="585"/>
      <c r="J311" s="587">
        <v>11233</v>
      </c>
      <c r="K311" s="585">
        <v>10947</v>
      </c>
      <c r="L311" s="587">
        <v>3490</v>
      </c>
      <c r="M311" s="585">
        <v>3487</v>
      </c>
      <c r="N311" s="587">
        <v>12321</v>
      </c>
      <c r="O311" s="585">
        <v>13181</v>
      </c>
      <c r="P311" s="583">
        <f t="shared" si="90"/>
        <v>27044</v>
      </c>
      <c r="Q311" s="583">
        <f t="shared" si="91"/>
        <v>901.4666666666667</v>
      </c>
      <c r="R311" s="584">
        <f t="shared" si="92"/>
        <v>27615</v>
      </c>
      <c r="S311" s="584">
        <f t="shared" si="93"/>
        <v>920.5</v>
      </c>
      <c r="T311" s="587">
        <v>6638</v>
      </c>
      <c r="U311" s="585">
        <v>7348</v>
      </c>
      <c r="V311" s="583">
        <f t="shared" si="94"/>
        <v>27044</v>
      </c>
      <c r="W311" s="584">
        <f t="shared" si="95"/>
        <v>27615</v>
      </c>
      <c r="X311" s="587"/>
      <c r="Y311" s="585"/>
      <c r="Z311" s="587">
        <v>56183</v>
      </c>
      <c r="AA311" s="585">
        <v>68047</v>
      </c>
      <c r="AB311" s="587">
        <v>33703</v>
      </c>
      <c r="AC311" s="585">
        <v>29827</v>
      </c>
      <c r="AD311" s="587">
        <v>52499</v>
      </c>
      <c r="AE311" s="585">
        <v>51214</v>
      </c>
      <c r="AF311" s="583">
        <f t="shared" si="96"/>
        <v>142385</v>
      </c>
      <c r="AG311" s="583">
        <f t="shared" si="97"/>
        <v>158.20555555555555</v>
      </c>
      <c r="AH311" s="584">
        <f t="shared" si="98"/>
        <v>149088</v>
      </c>
      <c r="AI311" s="584">
        <f t="shared" si="99"/>
        <v>165.65333333333334</v>
      </c>
      <c r="AJ311" s="587"/>
      <c r="AK311" s="585"/>
      <c r="AL311" s="583">
        <f t="shared" si="82"/>
        <v>0</v>
      </c>
      <c r="AM311" s="584">
        <f t="shared" si="83"/>
        <v>0</v>
      </c>
      <c r="AN311" s="587"/>
      <c r="AO311" s="585"/>
      <c r="AP311" s="587"/>
      <c r="AQ311" s="585"/>
      <c r="AR311" s="587"/>
      <c r="AS311" s="585"/>
      <c r="AT311" s="587"/>
      <c r="AU311" s="585"/>
      <c r="AV311" s="583">
        <f t="shared" si="84"/>
        <v>0</v>
      </c>
      <c r="AW311" s="583">
        <f t="shared" si="85"/>
        <v>0</v>
      </c>
      <c r="AX311" s="584">
        <f t="shared" si="86"/>
        <v>0</v>
      </c>
      <c r="AY311" s="584">
        <f t="shared" si="87"/>
        <v>0</v>
      </c>
      <c r="AZ311" s="583">
        <f t="shared" si="88"/>
        <v>1059.6722222222222</v>
      </c>
      <c r="BA311" s="584">
        <f t="shared" si="89"/>
        <v>1086.1533333333334</v>
      </c>
    </row>
    <row r="312" spans="1:53">
      <c r="A312" s="428" t="s">
        <v>257</v>
      </c>
      <c r="B312" s="26" t="s">
        <v>294</v>
      </c>
      <c r="C312" s="440"/>
      <c r="D312" s="25">
        <v>198039</v>
      </c>
      <c r="E312" s="441">
        <v>10</v>
      </c>
      <c r="F312" s="582" t="s">
        <v>74</v>
      </c>
      <c r="G312" s="585"/>
      <c r="H312" s="587"/>
      <c r="I312" s="585"/>
      <c r="J312" s="587">
        <v>17261</v>
      </c>
      <c r="K312" s="585">
        <v>17518</v>
      </c>
      <c r="L312" s="587">
        <v>4106</v>
      </c>
      <c r="M312" s="585">
        <v>4467</v>
      </c>
      <c r="N312" s="587">
        <v>19473</v>
      </c>
      <c r="O312" s="585">
        <v>20352</v>
      </c>
      <c r="P312" s="583">
        <f t="shared" si="90"/>
        <v>40840</v>
      </c>
      <c r="Q312" s="583">
        <f t="shared" si="91"/>
        <v>1361.3333333333333</v>
      </c>
      <c r="R312" s="584">
        <f t="shared" si="92"/>
        <v>42337</v>
      </c>
      <c r="S312" s="584">
        <f t="shared" si="93"/>
        <v>1411.2333333333333</v>
      </c>
      <c r="T312" s="587">
        <v>7963</v>
      </c>
      <c r="U312" s="585">
        <v>8750</v>
      </c>
      <c r="V312" s="583">
        <f t="shared" si="94"/>
        <v>40840</v>
      </c>
      <c r="W312" s="584">
        <f t="shared" si="95"/>
        <v>42337</v>
      </c>
      <c r="X312" s="587"/>
      <c r="Y312" s="585"/>
      <c r="Z312" s="587">
        <v>130538</v>
      </c>
      <c r="AA312" s="585">
        <v>130669</v>
      </c>
      <c r="AB312" s="587">
        <v>86709</v>
      </c>
      <c r="AC312" s="585">
        <v>97604</v>
      </c>
      <c r="AD312" s="587">
        <v>151376</v>
      </c>
      <c r="AE312" s="585">
        <v>169076</v>
      </c>
      <c r="AF312" s="583">
        <f t="shared" si="96"/>
        <v>368623</v>
      </c>
      <c r="AG312" s="583">
        <f t="shared" si="97"/>
        <v>409.58111111111111</v>
      </c>
      <c r="AH312" s="584">
        <f t="shared" si="98"/>
        <v>397349</v>
      </c>
      <c r="AI312" s="584">
        <f t="shared" si="99"/>
        <v>441.49888888888887</v>
      </c>
      <c r="AJ312" s="587"/>
      <c r="AK312" s="585"/>
      <c r="AL312" s="583">
        <f t="shared" si="82"/>
        <v>0</v>
      </c>
      <c r="AM312" s="584">
        <f t="shared" si="83"/>
        <v>0</v>
      </c>
      <c r="AN312" s="587"/>
      <c r="AO312" s="585"/>
      <c r="AP312" s="587"/>
      <c r="AQ312" s="585"/>
      <c r="AR312" s="587"/>
      <c r="AS312" s="585"/>
      <c r="AT312" s="587"/>
      <c r="AU312" s="585"/>
      <c r="AV312" s="583">
        <f t="shared" si="84"/>
        <v>0</v>
      </c>
      <c r="AW312" s="583">
        <f t="shared" si="85"/>
        <v>0</v>
      </c>
      <c r="AX312" s="584">
        <f t="shared" si="86"/>
        <v>0</v>
      </c>
      <c r="AY312" s="584">
        <f t="shared" si="87"/>
        <v>0</v>
      </c>
      <c r="AZ312" s="583">
        <f t="shared" si="88"/>
        <v>1770.9144444444444</v>
      </c>
      <c r="BA312" s="584">
        <f t="shared" si="89"/>
        <v>1852.7322222222222</v>
      </c>
    </row>
    <row r="313" spans="1:53">
      <c r="A313" s="428" t="s">
        <v>257</v>
      </c>
      <c r="B313" s="26" t="s">
        <v>295</v>
      </c>
      <c r="C313" s="440"/>
      <c r="D313" s="25">
        <v>198084</v>
      </c>
      <c r="E313" s="441">
        <v>10</v>
      </c>
      <c r="F313" s="582" t="s">
        <v>74</v>
      </c>
      <c r="G313" s="585"/>
      <c r="H313" s="587"/>
      <c r="I313" s="585"/>
      <c r="J313" s="587">
        <v>12557</v>
      </c>
      <c r="K313" s="585">
        <v>13710</v>
      </c>
      <c r="L313" s="587">
        <v>2936</v>
      </c>
      <c r="M313" s="585">
        <v>2932</v>
      </c>
      <c r="N313" s="587">
        <v>14887</v>
      </c>
      <c r="O313" s="585">
        <v>15937</v>
      </c>
      <c r="P313" s="583">
        <f t="shared" si="90"/>
        <v>30380</v>
      </c>
      <c r="Q313" s="583">
        <f t="shared" si="91"/>
        <v>1012.6666666666666</v>
      </c>
      <c r="R313" s="584">
        <f t="shared" si="92"/>
        <v>32579</v>
      </c>
      <c r="S313" s="584">
        <f t="shared" si="93"/>
        <v>1085.9666666666667</v>
      </c>
      <c r="T313" s="587">
        <v>6784</v>
      </c>
      <c r="U313" s="585">
        <v>8052</v>
      </c>
      <c r="V313" s="583">
        <f t="shared" si="94"/>
        <v>30380</v>
      </c>
      <c r="W313" s="584">
        <f t="shared" si="95"/>
        <v>32579</v>
      </c>
      <c r="X313" s="587"/>
      <c r="Y313" s="585"/>
      <c r="Z313" s="587">
        <v>132928</v>
      </c>
      <c r="AA313" s="585">
        <v>135062</v>
      </c>
      <c r="AB313" s="587">
        <v>88130</v>
      </c>
      <c r="AC313" s="585">
        <v>74404</v>
      </c>
      <c r="AD313" s="587">
        <v>132953</v>
      </c>
      <c r="AE313" s="585">
        <v>137533</v>
      </c>
      <c r="AF313" s="583">
        <f t="shared" si="96"/>
        <v>354011</v>
      </c>
      <c r="AG313" s="583">
        <f t="shared" si="97"/>
        <v>393.34555555555556</v>
      </c>
      <c r="AH313" s="584">
        <f t="shared" si="98"/>
        <v>346999</v>
      </c>
      <c r="AI313" s="584">
        <f t="shared" si="99"/>
        <v>385.55444444444447</v>
      </c>
      <c r="AJ313" s="587"/>
      <c r="AK313" s="585"/>
      <c r="AL313" s="583">
        <f t="shared" si="82"/>
        <v>0</v>
      </c>
      <c r="AM313" s="584">
        <f t="shared" si="83"/>
        <v>0</v>
      </c>
      <c r="AN313" s="587"/>
      <c r="AO313" s="585"/>
      <c r="AP313" s="587"/>
      <c r="AQ313" s="585"/>
      <c r="AR313" s="587"/>
      <c r="AS313" s="585"/>
      <c r="AT313" s="587"/>
      <c r="AU313" s="585"/>
      <c r="AV313" s="583">
        <f t="shared" si="84"/>
        <v>0</v>
      </c>
      <c r="AW313" s="583">
        <f t="shared" si="85"/>
        <v>0</v>
      </c>
      <c r="AX313" s="584">
        <f t="shared" si="86"/>
        <v>0</v>
      </c>
      <c r="AY313" s="584">
        <f t="shared" si="87"/>
        <v>0</v>
      </c>
      <c r="AZ313" s="583">
        <f t="shared" si="88"/>
        <v>1406.0122222222221</v>
      </c>
      <c r="BA313" s="584">
        <f t="shared" si="89"/>
        <v>1471.5211111111112</v>
      </c>
    </row>
    <row r="314" spans="1:53">
      <c r="A314" s="428" t="s">
        <v>257</v>
      </c>
      <c r="B314" s="26" t="s">
        <v>296</v>
      </c>
      <c r="C314" s="440"/>
      <c r="D314" s="25">
        <v>198206</v>
      </c>
      <c r="E314" s="441">
        <v>10</v>
      </c>
      <c r="F314" s="582" t="s">
        <v>74</v>
      </c>
      <c r="G314" s="585"/>
      <c r="H314" s="587"/>
      <c r="I314" s="585"/>
      <c r="J314" s="587">
        <v>12816</v>
      </c>
      <c r="K314" s="585">
        <v>14081</v>
      </c>
      <c r="L314" s="587">
        <v>3316</v>
      </c>
      <c r="M314" s="585">
        <v>3268</v>
      </c>
      <c r="N314" s="587">
        <v>14392.5</v>
      </c>
      <c r="O314" s="585">
        <v>14339</v>
      </c>
      <c r="P314" s="583">
        <f t="shared" si="90"/>
        <v>30524.5</v>
      </c>
      <c r="Q314" s="583">
        <f t="shared" si="91"/>
        <v>1017.4833333333333</v>
      </c>
      <c r="R314" s="584">
        <f t="shared" si="92"/>
        <v>31688</v>
      </c>
      <c r="S314" s="584">
        <f t="shared" si="93"/>
        <v>1056.2666666666667</v>
      </c>
      <c r="T314" s="587">
        <v>4755</v>
      </c>
      <c r="U314" s="585">
        <v>4940</v>
      </c>
      <c r="V314" s="583">
        <f t="shared" si="94"/>
        <v>30524.5</v>
      </c>
      <c r="W314" s="584">
        <f t="shared" si="95"/>
        <v>31688</v>
      </c>
      <c r="X314" s="587"/>
      <c r="Y314" s="585"/>
      <c r="Z314" s="587">
        <v>110517</v>
      </c>
      <c r="AA314" s="585">
        <v>102684</v>
      </c>
      <c r="AB314" s="587">
        <v>54185</v>
      </c>
      <c r="AC314" s="585">
        <v>51691</v>
      </c>
      <c r="AD314" s="587">
        <v>85369</v>
      </c>
      <c r="AE314" s="585">
        <v>113582</v>
      </c>
      <c r="AF314" s="583">
        <f t="shared" si="96"/>
        <v>250071</v>
      </c>
      <c r="AG314" s="583">
        <f t="shared" si="97"/>
        <v>277.85666666666668</v>
      </c>
      <c r="AH314" s="584">
        <f t="shared" si="98"/>
        <v>267957</v>
      </c>
      <c r="AI314" s="584">
        <f t="shared" si="99"/>
        <v>297.73</v>
      </c>
      <c r="AJ314" s="587"/>
      <c r="AK314" s="585"/>
      <c r="AL314" s="583">
        <f t="shared" si="82"/>
        <v>0</v>
      </c>
      <c r="AM314" s="584">
        <f t="shared" si="83"/>
        <v>0</v>
      </c>
      <c r="AN314" s="587"/>
      <c r="AO314" s="585"/>
      <c r="AP314" s="587"/>
      <c r="AQ314" s="585"/>
      <c r="AR314" s="587"/>
      <c r="AS314" s="585"/>
      <c r="AT314" s="587"/>
      <c r="AU314" s="585"/>
      <c r="AV314" s="583">
        <f t="shared" si="84"/>
        <v>0</v>
      </c>
      <c r="AW314" s="583">
        <f t="shared" si="85"/>
        <v>0</v>
      </c>
      <c r="AX314" s="584">
        <f t="shared" si="86"/>
        <v>0</v>
      </c>
      <c r="AY314" s="584">
        <f t="shared" si="87"/>
        <v>0</v>
      </c>
      <c r="AZ314" s="583">
        <f t="shared" si="88"/>
        <v>1295.3400000000001</v>
      </c>
      <c r="BA314" s="584">
        <f t="shared" si="89"/>
        <v>1353.9966666666667</v>
      </c>
    </row>
    <row r="315" spans="1:53">
      <c r="A315" s="428" t="s">
        <v>257</v>
      </c>
      <c r="B315" s="26" t="s">
        <v>297</v>
      </c>
      <c r="C315" s="440" t="s">
        <v>940</v>
      </c>
      <c r="D315" s="25">
        <v>197814</v>
      </c>
      <c r="E315" s="441">
        <v>10</v>
      </c>
      <c r="F315" s="582" t="s">
        <v>74</v>
      </c>
      <c r="G315" s="585"/>
      <c r="H315" s="587"/>
      <c r="I315" s="585"/>
      <c r="J315" s="587">
        <v>21598</v>
      </c>
      <c r="K315" s="585">
        <v>22451</v>
      </c>
      <c r="L315" s="587">
        <v>4857</v>
      </c>
      <c r="M315" s="585">
        <v>5668</v>
      </c>
      <c r="N315" s="587">
        <v>24125</v>
      </c>
      <c r="O315" s="585">
        <v>25236</v>
      </c>
      <c r="P315" s="583">
        <f t="shared" si="90"/>
        <v>50580</v>
      </c>
      <c r="Q315" s="583">
        <f t="shared" si="91"/>
        <v>1686</v>
      </c>
      <c r="R315" s="584">
        <f t="shared" si="92"/>
        <v>53355</v>
      </c>
      <c r="S315" s="584">
        <f t="shared" si="93"/>
        <v>1778.5</v>
      </c>
      <c r="T315" s="587">
        <v>7773</v>
      </c>
      <c r="U315" s="585">
        <v>370</v>
      </c>
      <c r="V315" s="583">
        <f t="shared" si="94"/>
        <v>50580</v>
      </c>
      <c r="W315" s="584">
        <f t="shared" si="95"/>
        <v>53355</v>
      </c>
      <c r="X315" s="587"/>
      <c r="Y315" s="585"/>
      <c r="Z315" s="587">
        <v>74742</v>
      </c>
      <c r="AA315" s="585">
        <v>87138</v>
      </c>
      <c r="AB315" s="587">
        <v>77452</v>
      </c>
      <c r="AC315" s="585">
        <v>80347</v>
      </c>
      <c r="AD315" s="587">
        <v>104640</v>
      </c>
      <c r="AE315" s="585">
        <v>117365</v>
      </c>
      <c r="AF315" s="583">
        <f t="shared" si="96"/>
        <v>256834</v>
      </c>
      <c r="AG315" s="583">
        <f t="shared" si="97"/>
        <v>285.37111111111113</v>
      </c>
      <c r="AH315" s="584">
        <f t="shared" si="98"/>
        <v>284850</v>
      </c>
      <c r="AI315" s="584">
        <f t="shared" si="99"/>
        <v>316.5</v>
      </c>
      <c r="AJ315" s="587"/>
      <c r="AK315" s="585"/>
      <c r="AL315" s="583">
        <f t="shared" si="82"/>
        <v>0</v>
      </c>
      <c r="AM315" s="584">
        <f t="shared" si="83"/>
        <v>0</v>
      </c>
      <c r="AN315" s="587"/>
      <c r="AO315" s="585"/>
      <c r="AP315" s="587"/>
      <c r="AQ315" s="585"/>
      <c r="AR315" s="587"/>
      <c r="AS315" s="585"/>
      <c r="AT315" s="587"/>
      <c r="AU315" s="585"/>
      <c r="AV315" s="583">
        <f t="shared" si="84"/>
        <v>0</v>
      </c>
      <c r="AW315" s="583">
        <f t="shared" si="85"/>
        <v>0</v>
      </c>
      <c r="AX315" s="584">
        <f t="shared" si="86"/>
        <v>0</v>
      </c>
      <c r="AY315" s="584">
        <f t="shared" si="87"/>
        <v>0</v>
      </c>
      <c r="AZ315" s="583">
        <f t="shared" si="88"/>
        <v>1971.3711111111111</v>
      </c>
      <c r="BA315" s="584">
        <f t="shared" si="89"/>
        <v>2095</v>
      </c>
    </row>
    <row r="316" spans="1:53">
      <c r="A316" s="428" t="s">
        <v>257</v>
      </c>
      <c r="B316" s="26" t="s">
        <v>276</v>
      </c>
      <c r="C316" s="443"/>
      <c r="D316" s="25">
        <v>198491</v>
      </c>
      <c r="E316" s="441">
        <v>10</v>
      </c>
      <c r="F316" s="582" t="s">
        <v>74</v>
      </c>
      <c r="G316" s="585"/>
      <c r="H316" s="587"/>
      <c r="I316" s="585"/>
      <c r="J316" s="587">
        <v>19152</v>
      </c>
      <c r="K316" s="585">
        <v>17360</v>
      </c>
      <c r="L316" s="587">
        <v>6159</v>
      </c>
      <c r="M316" s="585">
        <v>5594</v>
      </c>
      <c r="N316" s="587">
        <v>18765</v>
      </c>
      <c r="O316" s="585">
        <v>17476</v>
      </c>
      <c r="P316" s="583">
        <f t="shared" si="90"/>
        <v>44076</v>
      </c>
      <c r="Q316" s="583">
        <f t="shared" si="91"/>
        <v>1469.2</v>
      </c>
      <c r="R316" s="584">
        <f t="shared" si="92"/>
        <v>40430</v>
      </c>
      <c r="S316" s="584">
        <f t="shared" si="93"/>
        <v>1347.6666666666667</v>
      </c>
      <c r="T316" s="587">
        <v>6214</v>
      </c>
      <c r="U316" s="585">
        <v>5804</v>
      </c>
      <c r="V316" s="583">
        <f t="shared" si="94"/>
        <v>44076</v>
      </c>
      <c r="W316" s="584">
        <f t="shared" si="95"/>
        <v>40430</v>
      </c>
      <c r="X316" s="587"/>
      <c r="Y316" s="585"/>
      <c r="Z316" s="587">
        <v>76187</v>
      </c>
      <c r="AA316" s="585">
        <v>88887</v>
      </c>
      <c r="AB316" s="587">
        <v>54733</v>
      </c>
      <c r="AC316" s="585">
        <v>49548</v>
      </c>
      <c r="AD316" s="587">
        <v>89391</v>
      </c>
      <c r="AE316" s="585">
        <v>114821</v>
      </c>
      <c r="AF316" s="583">
        <f t="shared" si="96"/>
        <v>220311</v>
      </c>
      <c r="AG316" s="583">
        <f t="shared" si="97"/>
        <v>244.79</v>
      </c>
      <c r="AH316" s="584">
        <f t="shared" si="98"/>
        <v>253256</v>
      </c>
      <c r="AI316" s="584">
        <f t="shared" si="99"/>
        <v>281.39555555555557</v>
      </c>
      <c r="AJ316" s="587"/>
      <c r="AK316" s="585"/>
      <c r="AL316" s="583">
        <f t="shared" si="82"/>
        <v>0</v>
      </c>
      <c r="AM316" s="584">
        <f t="shared" si="83"/>
        <v>0</v>
      </c>
      <c r="AN316" s="587"/>
      <c r="AO316" s="585"/>
      <c r="AP316" s="587"/>
      <c r="AQ316" s="585"/>
      <c r="AR316" s="587"/>
      <c r="AS316" s="585"/>
      <c r="AT316" s="587"/>
      <c r="AU316" s="585"/>
      <c r="AV316" s="583">
        <f t="shared" si="84"/>
        <v>0</v>
      </c>
      <c r="AW316" s="583">
        <f t="shared" si="85"/>
        <v>0</v>
      </c>
      <c r="AX316" s="584">
        <f t="shared" si="86"/>
        <v>0</v>
      </c>
      <c r="AY316" s="584">
        <f t="shared" si="87"/>
        <v>0</v>
      </c>
      <c r="AZ316" s="583">
        <f t="shared" si="88"/>
        <v>1713.99</v>
      </c>
      <c r="BA316" s="584">
        <f t="shared" si="89"/>
        <v>1629.0622222222223</v>
      </c>
    </row>
    <row r="317" spans="1:53">
      <c r="A317" s="428" t="s">
        <v>257</v>
      </c>
      <c r="B317" s="26" t="s">
        <v>298</v>
      </c>
      <c r="C317" s="440"/>
      <c r="D317" s="25">
        <v>198640</v>
      </c>
      <c r="E317" s="441">
        <v>10</v>
      </c>
      <c r="F317" s="582" t="s">
        <v>74</v>
      </c>
      <c r="G317" s="585"/>
      <c r="H317" s="587"/>
      <c r="I317" s="585"/>
      <c r="J317" s="587">
        <v>8656</v>
      </c>
      <c r="K317" s="585">
        <v>8809</v>
      </c>
      <c r="L317" s="587">
        <v>1772</v>
      </c>
      <c r="M317" s="585">
        <v>2022</v>
      </c>
      <c r="N317" s="587">
        <v>9386</v>
      </c>
      <c r="O317" s="585">
        <v>9890</v>
      </c>
      <c r="P317" s="583">
        <f t="shared" si="90"/>
        <v>19814</v>
      </c>
      <c r="Q317" s="583">
        <f t="shared" si="91"/>
        <v>660.4666666666667</v>
      </c>
      <c r="R317" s="584">
        <f t="shared" si="92"/>
        <v>20721</v>
      </c>
      <c r="S317" s="584">
        <f t="shared" si="93"/>
        <v>690.7</v>
      </c>
      <c r="T317" s="587">
        <v>5864</v>
      </c>
      <c r="U317" s="585">
        <v>6644</v>
      </c>
      <c r="V317" s="583">
        <f t="shared" si="94"/>
        <v>19814</v>
      </c>
      <c r="W317" s="584">
        <f t="shared" si="95"/>
        <v>20721</v>
      </c>
      <c r="X317" s="587"/>
      <c r="Y317" s="585"/>
      <c r="Z317" s="587">
        <v>75002</v>
      </c>
      <c r="AA317" s="585">
        <v>89360</v>
      </c>
      <c r="AB317" s="587">
        <v>48191</v>
      </c>
      <c r="AC317" s="585">
        <v>35940</v>
      </c>
      <c r="AD317" s="587">
        <v>69286</v>
      </c>
      <c r="AE317" s="585">
        <v>90181</v>
      </c>
      <c r="AF317" s="583">
        <f t="shared" si="96"/>
        <v>192479</v>
      </c>
      <c r="AG317" s="583">
        <f t="shared" si="97"/>
        <v>213.86555555555555</v>
      </c>
      <c r="AH317" s="584">
        <f t="shared" si="98"/>
        <v>215481</v>
      </c>
      <c r="AI317" s="584">
        <f t="shared" si="99"/>
        <v>239.42333333333335</v>
      </c>
      <c r="AJ317" s="587"/>
      <c r="AK317" s="585"/>
      <c r="AL317" s="583">
        <f t="shared" si="82"/>
        <v>0</v>
      </c>
      <c r="AM317" s="584">
        <f t="shared" si="83"/>
        <v>0</v>
      </c>
      <c r="AN317" s="587"/>
      <c r="AO317" s="585"/>
      <c r="AP317" s="587"/>
      <c r="AQ317" s="585"/>
      <c r="AR317" s="587"/>
      <c r="AS317" s="585"/>
      <c r="AT317" s="587"/>
      <c r="AU317" s="585"/>
      <c r="AV317" s="583">
        <f t="shared" si="84"/>
        <v>0</v>
      </c>
      <c r="AW317" s="583">
        <f t="shared" si="85"/>
        <v>0</v>
      </c>
      <c r="AX317" s="584">
        <f t="shared" si="86"/>
        <v>0</v>
      </c>
      <c r="AY317" s="584">
        <f t="shared" si="87"/>
        <v>0</v>
      </c>
      <c r="AZ317" s="583">
        <f t="shared" si="88"/>
        <v>874.3322222222223</v>
      </c>
      <c r="BA317" s="584">
        <f t="shared" si="89"/>
        <v>930.12333333333345</v>
      </c>
    </row>
    <row r="318" spans="1:53">
      <c r="A318" s="428" t="s">
        <v>257</v>
      </c>
      <c r="B318" s="26" t="s">
        <v>299</v>
      </c>
      <c r="C318" s="443"/>
      <c r="D318" s="25">
        <v>198668</v>
      </c>
      <c r="E318" s="441">
        <v>10</v>
      </c>
      <c r="F318" s="582" t="s">
        <v>74</v>
      </c>
      <c r="G318" s="585"/>
      <c r="H318" s="587"/>
      <c r="I318" s="585"/>
      <c r="J318" s="587">
        <v>13764</v>
      </c>
      <c r="K318" s="585">
        <v>13637</v>
      </c>
      <c r="L318" s="587">
        <v>3546</v>
      </c>
      <c r="M318" s="585">
        <v>3073</v>
      </c>
      <c r="N318" s="587">
        <v>15233</v>
      </c>
      <c r="O318" s="585">
        <v>15363</v>
      </c>
      <c r="P318" s="583">
        <f t="shared" si="90"/>
        <v>32543</v>
      </c>
      <c r="Q318" s="583">
        <f t="shared" si="91"/>
        <v>1084.7666666666667</v>
      </c>
      <c r="R318" s="584">
        <f t="shared" si="92"/>
        <v>32073</v>
      </c>
      <c r="S318" s="584">
        <f t="shared" si="93"/>
        <v>1069.0999999999999</v>
      </c>
      <c r="T318" s="587">
        <v>6153</v>
      </c>
      <c r="U318" s="585">
        <v>6550</v>
      </c>
      <c r="V318" s="583">
        <f t="shared" si="94"/>
        <v>32543</v>
      </c>
      <c r="W318" s="584">
        <f t="shared" si="95"/>
        <v>32073</v>
      </c>
      <c r="X318" s="587"/>
      <c r="Y318" s="585"/>
      <c r="Z318" s="587">
        <v>66290</v>
      </c>
      <c r="AA318" s="585">
        <v>74561</v>
      </c>
      <c r="AB318" s="587">
        <v>38300</v>
      </c>
      <c r="AC318" s="585">
        <v>36455</v>
      </c>
      <c r="AD318" s="587">
        <v>78388</v>
      </c>
      <c r="AE318" s="585">
        <v>71796</v>
      </c>
      <c r="AF318" s="583">
        <f t="shared" si="96"/>
        <v>182978</v>
      </c>
      <c r="AG318" s="583">
        <f t="shared" si="97"/>
        <v>203.3088888888889</v>
      </c>
      <c r="AH318" s="584">
        <f t="shared" si="98"/>
        <v>182812</v>
      </c>
      <c r="AI318" s="584">
        <f t="shared" si="99"/>
        <v>203.12444444444444</v>
      </c>
      <c r="AJ318" s="587"/>
      <c r="AK318" s="585"/>
      <c r="AL318" s="583">
        <f t="shared" si="82"/>
        <v>0</v>
      </c>
      <c r="AM318" s="584">
        <f t="shared" si="83"/>
        <v>0</v>
      </c>
      <c r="AN318" s="587"/>
      <c r="AO318" s="585"/>
      <c r="AP318" s="587"/>
      <c r="AQ318" s="585"/>
      <c r="AR318" s="587"/>
      <c r="AS318" s="585"/>
      <c r="AT318" s="587"/>
      <c r="AU318" s="585"/>
      <c r="AV318" s="583">
        <f t="shared" si="84"/>
        <v>0</v>
      </c>
      <c r="AW318" s="583">
        <f t="shared" si="85"/>
        <v>0</v>
      </c>
      <c r="AX318" s="584">
        <f t="shared" si="86"/>
        <v>0</v>
      </c>
      <c r="AY318" s="584">
        <f t="shared" si="87"/>
        <v>0</v>
      </c>
      <c r="AZ318" s="583">
        <f t="shared" si="88"/>
        <v>1288.0755555555556</v>
      </c>
      <c r="BA318" s="584">
        <f t="shared" si="89"/>
        <v>1272.2244444444443</v>
      </c>
    </row>
    <row r="319" spans="1:53">
      <c r="A319" s="428" t="s">
        <v>257</v>
      </c>
      <c r="B319" s="26" t="s">
        <v>300</v>
      </c>
      <c r="C319" s="443"/>
      <c r="D319" s="25">
        <v>198710</v>
      </c>
      <c r="E319" s="441">
        <v>10</v>
      </c>
      <c r="F319" s="582" t="s">
        <v>74</v>
      </c>
      <c r="G319" s="585"/>
      <c r="H319" s="587"/>
      <c r="I319" s="585"/>
      <c r="J319" s="587">
        <v>18462</v>
      </c>
      <c r="K319" s="585">
        <v>17832</v>
      </c>
      <c r="L319" s="587">
        <v>5771</v>
      </c>
      <c r="M319" s="585">
        <v>5883</v>
      </c>
      <c r="N319" s="587">
        <v>18786</v>
      </c>
      <c r="O319" s="585">
        <v>19920</v>
      </c>
      <c r="P319" s="583">
        <f t="shared" si="90"/>
        <v>43019</v>
      </c>
      <c r="Q319" s="583">
        <f t="shared" si="91"/>
        <v>1433.9666666666667</v>
      </c>
      <c r="R319" s="584">
        <f t="shared" si="92"/>
        <v>43635</v>
      </c>
      <c r="S319" s="584">
        <f t="shared" si="93"/>
        <v>1454.5</v>
      </c>
      <c r="T319" s="587">
        <v>12749</v>
      </c>
      <c r="U319" s="585">
        <v>13343</v>
      </c>
      <c r="V319" s="583">
        <f t="shared" si="94"/>
        <v>43019</v>
      </c>
      <c r="W319" s="584">
        <f t="shared" si="95"/>
        <v>43635</v>
      </c>
      <c r="X319" s="587"/>
      <c r="Y319" s="585"/>
      <c r="Z319" s="587">
        <v>70485</v>
      </c>
      <c r="AA319" s="585">
        <v>71947</v>
      </c>
      <c r="AB319" s="587">
        <v>30361</v>
      </c>
      <c r="AC319" s="585">
        <v>38187</v>
      </c>
      <c r="AD319" s="587">
        <v>68171</v>
      </c>
      <c r="AE319" s="585">
        <v>64682</v>
      </c>
      <c r="AF319" s="583">
        <f t="shared" si="96"/>
        <v>169017</v>
      </c>
      <c r="AG319" s="583">
        <f t="shared" si="97"/>
        <v>187.79666666666665</v>
      </c>
      <c r="AH319" s="584">
        <f t="shared" si="98"/>
        <v>174816</v>
      </c>
      <c r="AI319" s="584">
        <f t="shared" si="99"/>
        <v>194.24</v>
      </c>
      <c r="AJ319" s="587"/>
      <c r="AK319" s="585"/>
      <c r="AL319" s="583">
        <f t="shared" si="82"/>
        <v>0</v>
      </c>
      <c r="AM319" s="584">
        <f t="shared" si="83"/>
        <v>0</v>
      </c>
      <c r="AN319" s="587"/>
      <c r="AO319" s="585"/>
      <c r="AP319" s="587"/>
      <c r="AQ319" s="585"/>
      <c r="AR319" s="587"/>
      <c r="AS319" s="585"/>
      <c r="AT319" s="587"/>
      <c r="AU319" s="585"/>
      <c r="AV319" s="583">
        <f t="shared" si="84"/>
        <v>0</v>
      </c>
      <c r="AW319" s="583">
        <f t="shared" si="85"/>
        <v>0</v>
      </c>
      <c r="AX319" s="584">
        <f t="shared" si="86"/>
        <v>0</v>
      </c>
      <c r="AY319" s="584">
        <f t="shared" si="87"/>
        <v>0</v>
      </c>
      <c r="AZ319" s="583">
        <f t="shared" si="88"/>
        <v>1621.7633333333333</v>
      </c>
      <c r="BA319" s="584">
        <f t="shared" si="89"/>
        <v>1648.74</v>
      </c>
    </row>
    <row r="320" spans="1:53">
      <c r="A320" s="428" t="s">
        <v>257</v>
      </c>
      <c r="B320" s="26" t="s">
        <v>301</v>
      </c>
      <c r="C320" s="440"/>
      <c r="D320" s="25">
        <v>198729</v>
      </c>
      <c r="E320" s="441">
        <v>10</v>
      </c>
      <c r="F320" s="582" t="s">
        <v>74</v>
      </c>
      <c r="G320" s="585"/>
      <c r="H320" s="587"/>
      <c r="I320" s="585"/>
      <c r="J320" s="587">
        <v>11114</v>
      </c>
      <c r="K320" s="585">
        <v>10442</v>
      </c>
      <c r="L320" s="587">
        <v>2750</v>
      </c>
      <c r="M320" s="585">
        <v>3403</v>
      </c>
      <c r="N320" s="587">
        <v>10944</v>
      </c>
      <c r="O320" s="585">
        <v>11671</v>
      </c>
      <c r="P320" s="583">
        <f t="shared" si="90"/>
        <v>24808</v>
      </c>
      <c r="Q320" s="583">
        <f t="shared" si="91"/>
        <v>826.93333333333328</v>
      </c>
      <c r="R320" s="584">
        <f t="shared" si="92"/>
        <v>25516</v>
      </c>
      <c r="S320" s="584">
        <f t="shared" si="93"/>
        <v>850.5333333333333</v>
      </c>
      <c r="T320" s="587">
        <v>7066</v>
      </c>
      <c r="U320" s="585">
        <v>7506</v>
      </c>
      <c r="V320" s="583">
        <f t="shared" si="94"/>
        <v>24808</v>
      </c>
      <c r="W320" s="584">
        <f t="shared" si="95"/>
        <v>25516</v>
      </c>
      <c r="X320" s="587"/>
      <c r="Y320" s="585"/>
      <c r="Z320" s="587">
        <v>53326</v>
      </c>
      <c r="AA320" s="585">
        <v>41421</v>
      </c>
      <c r="AB320" s="587">
        <v>37936</v>
      </c>
      <c r="AC320" s="585">
        <v>39164</v>
      </c>
      <c r="AD320" s="587">
        <v>59757</v>
      </c>
      <c r="AE320" s="585">
        <v>62795</v>
      </c>
      <c r="AF320" s="583">
        <f t="shared" si="96"/>
        <v>151019</v>
      </c>
      <c r="AG320" s="583">
        <f t="shared" si="97"/>
        <v>167.79888888888888</v>
      </c>
      <c r="AH320" s="584">
        <f t="shared" si="98"/>
        <v>143380</v>
      </c>
      <c r="AI320" s="584">
        <f t="shared" si="99"/>
        <v>159.3111111111111</v>
      </c>
      <c r="AJ320" s="587"/>
      <c r="AK320" s="585"/>
      <c r="AL320" s="583">
        <f t="shared" si="82"/>
        <v>0</v>
      </c>
      <c r="AM320" s="584">
        <f t="shared" si="83"/>
        <v>0</v>
      </c>
      <c r="AN320" s="587"/>
      <c r="AO320" s="585"/>
      <c r="AP320" s="587"/>
      <c r="AQ320" s="585"/>
      <c r="AR320" s="587"/>
      <c r="AS320" s="585"/>
      <c r="AT320" s="587"/>
      <c r="AU320" s="585"/>
      <c r="AV320" s="583">
        <f t="shared" si="84"/>
        <v>0</v>
      </c>
      <c r="AW320" s="583">
        <f t="shared" si="85"/>
        <v>0</v>
      </c>
      <c r="AX320" s="584">
        <f t="shared" si="86"/>
        <v>0</v>
      </c>
      <c r="AY320" s="584">
        <f t="shared" si="87"/>
        <v>0</v>
      </c>
      <c r="AZ320" s="583">
        <f t="shared" si="88"/>
        <v>994.73222222222216</v>
      </c>
      <c r="BA320" s="584">
        <f t="shared" si="89"/>
        <v>1009.8444444444444</v>
      </c>
    </row>
    <row r="321" spans="1:53">
      <c r="A321" s="428" t="s">
        <v>257</v>
      </c>
      <c r="B321" s="26" t="s">
        <v>302</v>
      </c>
      <c r="C321" s="440"/>
      <c r="D321" s="25">
        <v>198905</v>
      </c>
      <c r="E321" s="441">
        <v>10</v>
      </c>
      <c r="F321" s="582" t="s">
        <v>74</v>
      </c>
      <c r="G321" s="585"/>
      <c r="H321" s="587"/>
      <c r="I321" s="585"/>
      <c r="J321" s="587">
        <v>6728.5</v>
      </c>
      <c r="K321" s="585">
        <v>6437</v>
      </c>
      <c r="L321" s="587">
        <v>1332</v>
      </c>
      <c r="M321" s="585">
        <v>1381</v>
      </c>
      <c r="N321" s="587">
        <v>7190</v>
      </c>
      <c r="O321" s="585">
        <v>7864</v>
      </c>
      <c r="P321" s="583">
        <f t="shared" si="90"/>
        <v>15250.5</v>
      </c>
      <c r="Q321" s="583">
        <f t="shared" si="91"/>
        <v>508.35</v>
      </c>
      <c r="R321" s="584">
        <f t="shared" si="92"/>
        <v>15682</v>
      </c>
      <c r="S321" s="584">
        <f t="shared" si="93"/>
        <v>522.73333333333335</v>
      </c>
      <c r="T321" s="587">
        <v>8567.5</v>
      </c>
      <c r="U321" s="585">
        <v>8637</v>
      </c>
      <c r="V321" s="583">
        <f t="shared" si="94"/>
        <v>15250.5</v>
      </c>
      <c r="W321" s="584">
        <f t="shared" si="95"/>
        <v>15682</v>
      </c>
      <c r="X321" s="587"/>
      <c r="Y321" s="585"/>
      <c r="Z321" s="587">
        <v>56192</v>
      </c>
      <c r="AA321" s="585">
        <v>50245</v>
      </c>
      <c r="AB321" s="587">
        <v>32905</v>
      </c>
      <c r="AC321" s="585">
        <v>14794</v>
      </c>
      <c r="AD321" s="587">
        <v>62685</v>
      </c>
      <c r="AE321" s="585">
        <v>45630</v>
      </c>
      <c r="AF321" s="583">
        <f t="shared" si="96"/>
        <v>151782</v>
      </c>
      <c r="AG321" s="583">
        <f t="shared" si="97"/>
        <v>168.64666666666668</v>
      </c>
      <c r="AH321" s="584">
        <f t="shared" si="98"/>
        <v>110669</v>
      </c>
      <c r="AI321" s="584">
        <f t="shared" si="99"/>
        <v>122.96555555555555</v>
      </c>
      <c r="AJ321" s="587"/>
      <c r="AK321" s="585"/>
      <c r="AL321" s="583">
        <f t="shared" si="82"/>
        <v>0</v>
      </c>
      <c r="AM321" s="584">
        <f t="shared" si="83"/>
        <v>0</v>
      </c>
      <c r="AN321" s="587"/>
      <c r="AO321" s="585"/>
      <c r="AP321" s="587"/>
      <c r="AQ321" s="585"/>
      <c r="AR321" s="587"/>
      <c r="AS321" s="585"/>
      <c r="AT321" s="587"/>
      <c r="AU321" s="585"/>
      <c r="AV321" s="583">
        <f t="shared" si="84"/>
        <v>0</v>
      </c>
      <c r="AW321" s="583">
        <f t="shared" si="85"/>
        <v>0</v>
      </c>
      <c r="AX321" s="584">
        <f t="shared" si="86"/>
        <v>0</v>
      </c>
      <c r="AY321" s="584">
        <f t="shared" si="87"/>
        <v>0</v>
      </c>
      <c r="AZ321" s="583">
        <f t="shared" si="88"/>
        <v>676.99666666666667</v>
      </c>
      <c r="BA321" s="584">
        <f t="shared" si="89"/>
        <v>645.69888888888886</v>
      </c>
    </row>
    <row r="322" spans="1:53">
      <c r="A322" s="428" t="s">
        <v>257</v>
      </c>
      <c r="B322" s="26" t="s">
        <v>303</v>
      </c>
      <c r="C322" s="440"/>
      <c r="D322" s="25">
        <v>198914</v>
      </c>
      <c r="E322" s="441">
        <v>10</v>
      </c>
      <c r="F322" s="582" t="s">
        <v>74</v>
      </c>
      <c r="G322" s="585"/>
      <c r="H322" s="587"/>
      <c r="I322" s="585"/>
      <c r="J322" s="587">
        <v>9189</v>
      </c>
      <c r="K322" s="585">
        <v>8903</v>
      </c>
      <c r="L322" s="587">
        <v>1057</v>
      </c>
      <c r="M322" s="585">
        <v>1261</v>
      </c>
      <c r="N322" s="587">
        <v>9343</v>
      </c>
      <c r="O322" s="585">
        <v>9077</v>
      </c>
      <c r="P322" s="583">
        <f t="shared" si="90"/>
        <v>19589</v>
      </c>
      <c r="Q322" s="583">
        <f t="shared" si="91"/>
        <v>652.9666666666667</v>
      </c>
      <c r="R322" s="584">
        <f t="shared" si="92"/>
        <v>19241</v>
      </c>
      <c r="S322" s="584">
        <f t="shared" si="93"/>
        <v>641.36666666666667</v>
      </c>
      <c r="T322" s="587">
        <v>7601</v>
      </c>
      <c r="U322" s="585">
        <v>7964</v>
      </c>
      <c r="V322" s="583">
        <f t="shared" si="94"/>
        <v>19589</v>
      </c>
      <c r="W322" s="584">
        <f t="shared" si="95"/>
        <v>19241</v>
      </c>
      <c r="X322" s="587"/>
      <c r="Y322" s="585"/>
      <c r="Z322" s="587">
        <v>166714</v>
      </c>
      <c r="AA322" s="585">
        <v>141236</v>
      </c>
      <c r="AB322" s="587">
        <v>104858</v>
      </c>
      <c r="AC322" s="585">
        <v>96025</v>
      </c>
      <c r="AD322" s="587">
        <v>126565</v>
      </c>
      <c r="AE322" s="585">
        <v>148269</v>
      </c>
      <c r="AF322" s="583">
        <f t="shared" si="96"/>
        <v>398137</v>
      </c>
      <c r="AG322" s="583">
        <f t="shared" si="97"/>
        <v>442.37444444444446</v>
      </c>
      <c r="AH322" s="584">
        <f t="shared" si="98"/>
        <v>385530</v>
      </c>
      <c r="AI322" s="584">
        <f t="shared" si="99"/>
        <v>428.36666666666667</v>
      </c>
      <c r="AJ322" s="587"/>
      <c r="AK322" s="585"/>
      <c r="AL322" s="583">
        <f t="shared" si="82"/>
        <v>0</v>
      </c>
      <c r="AM322" s="584">
        <f t="shared" si="83"/>
        <v>0</v>
      </c>
      <c r="AN322" s="587"/>
      <c r="AO322" s="585"/>
      <c r="AP322" s="587"/>
      <c r="AQ322" s="585"/>
      <c r="AR322" s="587"/>
      <c r="AS322" s="585"/>
      <c r="AT322" s="587"/>
      <c r="AU322" s="585"/>
      <c r="AV322" s="583">
        <f t="shared" si="84"/>
        <v>0</v>
      </c>
      <c r="AW322" s="583">
        <f t="shared" si="85"/>
        <v>0</v>
      </c>
      <c r="AX322" s="584">
        <f t="shared" si="86"/>
        <v>0</v>
      </c>
      <c r="AY322" s="584">
        <f t="shared" si="87"/>
        <v>0</v>
      </c>
      <c r="AZ322" s="583">
        <f t="shared" si="88"/>
        <v>1095.3411111111111</v>
      </c>
      <c r="BA322" s="584">
        <f t="shared" si="89"/>
        <v>1069.7333333333333</v>
      </c>
    </row>
    <row r="323" spans="1:53">
      <c r="A323" s="428" t="s">
        <v>257</v>
      </c>
      <c r="B323" s="26" t="s">
        <v>304</v>
      </c>
      <c r="C323" s="440"/>
      <c r="D323" s="25">
        <v>198923</v>
      </c>
      <c r="E323" s="441">
        <v>10</v>
      </c>
      <c r="F323" s="582" t="s">
        <v>74</v>
      </c>
      <c r="G323" s="585"/>
      <c r="H323" s="587"/>
      <c r="I323" s="585"/>
      <c r="J323" s="587">
        <v>8862</v>
      </c>
      <c r="K323" s="585">
        <v>8237</v>
      </c>
      <c r="L323" s="587">
        <v>2676</v>
      </c>
      <c r="M323" s="585">
        <v>2528</v>
      </c>
      <c r="N323" s="587">
        <v>9686</v>
      </c>
      <c r="O323" s="585">
        <v>10208</v>
      </c>
      <c r="P323" s="583">
        <f t="shared" si="90"/>
        <v>21224</v>
      </c>
      <c r="Q323" s="583">
        <f t="shared" si="91"/>
        <v>707.4666666666667</v>
      </c>
      <c r="R323" s="584">
        <f t="shared" si="92"/>
        <v>20973</v>
      </c>
      <c r="S323" s="584">
        <f t="shared" si="93"/>
        <v>699.1</v>
      </c>
      <c r="T323" s="587">
        <v>7573</v>
      </c>
      <c r="U323" s="585">
        <v>8208</v>
      </c>
      <c r="V323" s="583">
        <f t="shared" si="94"/>
        <v>21224</v>
      </c>
      <c r="W323" s="584">
        <f t="shared" si="95"/>
        <v>20973</v>
      </c>
      <c r="X323" s="587"/>
      <c r="Y323" s="585"/>
      <c r="Z323" s="587">
        <v>78423</v>
      </c>
      <c r="AA323" s="585">
        <v>78787</v>
      </c>
      <c r="AB323" s="587">
        <v>41268</v>
      </c>
      <c r="AC323" s="585">
        <v>55161</v>
      </c>
      <c r="AD323" s="587">
        <v>55730</v>
      </c>
      <c r="AE323" s="585">
        <v>60480</v>
      </c>
      <c r="AF323" s="583">
        <f t="shared" si="96"/>
        <v>175421</v>
      </c>
      <c r="AG323" s="583">
        <f t="shared" si="97"/>
        <v>194.91222222222223</v>
      </c>
      <c r="AH323" s="584">
        <f t="shared" si="98"/>
        <v>194428</v>
      </c>
      <c r="AI323" s="584">
        <f t="shared" si="99"/>
        <v>216.0311111111111</v>
      </c>
      <c r="AJ323" s="587"/>
      <c r="AK323" s="585"/>
      <c r="AL323" s="583">
        <f t="shared" si="82"/>
        <v>0</v>
      </c>
      <c r="AM323" s="584">
        <f t="shared" si="83"/>
        <v>0</v>
      </c>
      <c r="AN323" s="587"/>
      <c r="AO323" s="585"/>
      <c r="AP323" s="587"/>
      <c r="AQ323" s="585"/>
      <c r="AR323" s="587"/>
      <c r="AS323" s="585"/>
      <c r="AT323" s="587"/>
      <c r="AU323" s="585"/>
      <c r="AV323" s="583">
        <f t="shared" si="84"/>
        <v>0</v>
      </c>
      <c r="AW323" s="583">
        <f t="shared" si="85"/>
        <v>0</v>
      </c>
      <c r="AX323" s="584">
        <f t="shared" si="86"/>
        <v>0</v>
      </c>
      <c r="AY323" s="584">
        <f t="shared" si="87"/>
        <v>0</v>
      </c>
      <c r="AZ323" s="583">
        <f t="shared" si="88"/>
        <v>902.37888888888892</v>
      </c>
      <c r="BA323" s="584">
        <f t="shared" si="89"/>
        <v>915.13111111111107</v>
      </c>
    </row>
    <row r="324" spans="1:53">
      <c r="A324" s="428" t="s">
        <v>257</v>
      </c>
      <c r="B324" s="26" t="s">
        <v>305</v>
      </c>
      <c r="C324" s="440"/>
      <c r="D324" s="25">
        <v>199023</v>
      </c>
      <c r="E324" s="441">
        <v>10</v>
      </c>
      <c r="F324" s="582" t="s">
        <v>74</v>
      </c>
      <c r="G324" s="585"/>
      <c r="H324" s="587"/>
      <c r="I324" s="585"/>
      <c r="J324" s="587">
        <v>7723</v>
      </c>
      <c r="K324" s="585">
        <v>7125</v>
      </c>
      <c r="L324" s="587">
        <v>1775</v>
      </c>
      <c r="M324" s="585">
        <v>1412</v>
      </c>
      <c r="N324" s="587">
        <v>8358.5</v>
      </c>
      <c r="O324" s="585">
        <v>9553</v>
      </c>
      <c r="P324" s="583">
        <f t="shared" si="90"/>
        <v>17856.5</v>
      </c>
      <c r="Q324" s="583">
        <f t="shared" si="91"/>
        <v>595.2166666666667</v>
      </c>
      <c r="R324" s="584">
        <f t="shared" si="92"/>
        <v>18090</v>
      </c>
      <c r="S324" s="584">
        <f t="shared" si="93"/>
        <v>603</v>
      </c>
      <c r="T324" s="587">
        <v>4854</v>
      </c>
      <c r="U324" s="585">
        <v>5998</v>
      </c>
      <c r="V324" s="583">
        <f t="shared" si="94"/>
        <v>17856.5</v>
      </c>
      <c r="W324" s="584">
        <f t="shared" si="95"/>
        <v>18090</v>
      </c>
      <c r="X324" s="587"/>
      <c r="Y324" s="585"/>
      <c r="Z324" s="587">
        <v>49365</v>
      </c>
      <c r="AA324" s="585">
        <v>49962</v>
      </c>
      <c r="AB324" s="587">
        <v>38855</v>
      </c>
      <c r="AC324" s="585">
        <v>26048</v>
      </c>
      <c r="AD324" s="587">
        <v>48972</v>
      </c>
      <c r="AE324" s="585">
        <v>48729</v>
      </c>
      <c r="AF324" s="583">
        <f t="shared" si="96"/>
        <v>137192</v>
      </c>
      <c r="AG324" s="583">
        <f t="shared" si="97"/>
        <v>152.43555555555557</v>
      </c>
      <c r="AH324" s="584">
        <f t="shared" si="98"/>
        <v>124739</v>
      </c>
      <c r="AI324" s="584">
        <f t="shared" si="99"/>
        <v>138.59888888888889</v>
      </c>
      <c r="AJ324" s="587"/>
      <c r="AK324" s="585"/>
      <c r="AL324" s="583">
        <f t="shared" si="82"/>
        <v>0</v>
      </c>
      <c r="AM324" s="584">
        <f t="shared" si="83"/>
        <v>0</v>
      </c>
      <c r="AN324" s="587"/>
      <c r="AO324" s="585"/>
      <c r="AP324" s="587"/>
      <c r="AQ324" s="585"/>
      <c r="AR324" s="587"/>
      <c r="AS324" s="585"/>
      <c r="AT324" s="587"/>
      <c r="AU324" s="585"/>
      <c r="AV324" s="583">
        <f t="shared" si="84"/>
        <v>0</v>
      </c>
      <c r="AW324" s="583">
        <f t="shared" si="85"/>
        <v>0</v>
      </c>
      <c r="AX324" s="584">
        <f t="shared" si="86"/>
        <v>0</v>
      </c>
      <c r="AY324" s="584">
        <f t="shared" si="87"/>
        <v>0</v>
      </c>
      <c r="AZ324" s="583">
        <f t="shared" si="88"/>
        <v>747.65222222222224</v>
      </c>
      <c r="BA324" s="584">
        <f t="shared" si="89"/>
        <v>741.59888888888895</v>
      </c>
    </row>
    <row r="325" spans="1:53">
      <c r="A325" s="428" t="s">
        <v>257</v>
      </c>
      <c r="B325" s="26" t="s">
        <v>306</v>
      </c>
      <c r="C325" s="440"/>
      <c r="D325" s="25">
        <v>199263</v>
      </c>
      <c r="E325" s="441">
        <v>10</v>
      </c>
      <c r="F325" s="582" t="s">
        <v>74</v>
      </c>
      <c r="G325" s="585"/>
      <c r="H325" s="587"/>
      <c r="I325" s="585"/>
      <c r="J325" s="587">
        <v>4998</v>
      </c>
      <c r="K325" s="585">
        <v>3609</v>
      </c>
      <c r="L325" s="587">
        <v>1408</v>
      </c>
      <c r="M325" s="585">
        <v>1982</v>
      </c>
      <c r="N325" s="587">
        <v>5247</v>
      </c>
      <c r="O325" s="585">
        <v>5045</v>
      </c>
      <c r="P325" s="583">
        <f t="shared" si="90"/>
        <v>11653</v>
      </c>
      <c r="Q325" s="583">
        <f t="shared" si="91"/>
        <v>388.43333333333334</v>
      </c>
      <c r="R325" s="584">
        <f t="shared" si="92"/>
        <v>10636</v>
      </c>
      <c r="S325" s="584">
        <f t="shared" si="93"/>
        <v>354.53333333333336</v>
      </c>
      <c r="T325" s="587">
        <v>2053</v>
      </c>
      <c r="U325" s="585">
        <v>1864</v>
      </c>
      <c r="V325" s="583">
        <f t="shared" si="94"/>
        <v>11653</v>
      </c>
      <c r="W325" s="584">
        <f t="shared" si="95"/>
        <v>10636</v>
      </c>
      <c r="X325" s="587"/>
      <c r="Y325" s="585"/>
      <c r="Z325" s="587">
        <v>40951</v>
      </c>
      <c r="AA325" s="585">
        <v>23452</v>
      </c>
      <c r="AB325" s="587">
        <v>20469</v>
      </c>
      <c r="AC325" s="585">
        <v>19331</v>
      </c>
      <c r="AD325" s="587">
        <v>23668</v>
      </c>
      <c r="AE325" s="585">
        <v>28806</v>
      </c>
      <c r="AF325" s="583">
        <f t="shared" si="96"/>
        <v>85088</v>
      </c>
      <c r="AG325" s="583">
        <f t="shared" si="97"/>
        <v>94.542222222222222</v>
      </c>
      <c r="AH325" s="584">
        <f t="shared" si="98"/>
        <v>71589</v>
      </c>
      <c r="AI325" s="584">
        <f t="shared" si="99"/>
        <v>79.543333333333337</v>
      </c>
      <c r="AJ325" s="587"/>
      <c r="AK325" s="585"/>
      <c r="AL325" s="583">
        <f t="shared" si="82"/>
        <v>0</v>
      </c>
      <c r="AM325" s="584">
        <f t="shared" si="83"/>
        <v>0</v>
      </c>
      <c r="AN325" s="587"/>
      <c r="AO325" s="585"/>
      <c r="AP325" s="587"/>
      <c r="AQ325" s="585"/>
      <c r="AR325" s="587"/>
      <c r="AS325" s="585"/>
      <c r="AT325" s="587"/>
      <c r="AU325" s="585"/>
      <c r="AV325" s="583">
        <f t="shared" si="84"/>
        <v>0</v>
      </c>
      <c r="AW325" s="583">
        <f t="shared" si="85"/>
        <v>0</v>
      </c>
      <c r="AX325" s="584">
        <f t="shared" si="86"/>
        <v>0</v>
      </c>
      <c r="AY325" s="584">
        <f t="shared" si="87"/>
        <v>0</v>
      </c>
      <c r="AZ325" s="583">
        <f t="shared" si="88"/>
        <v>482.97555555555556</v>
      </c>
      <c r="BA325" s="584">
        <f t="shared" si="89"/>
        <v>434.07666666666671</v>
      </c>
    </row>
    <row r="326" spans="1:53">
      <c r="A326" s="428" t="s">
        <v>257</v>
      </c>
      <c r="B326" s="26" t="s">
        <v>307</v>
      </c>
      <c r="C326" s="440"/>
      <c r="D326" s="25">
        <v>199324</v>
      </c>
      <c r="E326" s="441">
        <v>10</v>
      </c>
      <c r="F326" s="582" t="s">
        <v>74</v>
      </c>
      <c r="G326" s="585"/>
      <c r="H326" s="587"/>
      <c r="I326" s="585"/>
      <c r="J326" s="587">
        <v>9865.5</v>
      </c>
      <c r="K326" s="585">
        <v>9488.5</v>
      </c>
      <c r="L326" s="587">
        <v>1765.5</v>
      </c>
      <c r="M326" s="585">
        <v>1949</v>
      </c>
      <c r="N326" s="587">
        <v>10383.5</v>
      </c>
      <c r="O326" s="585">
        <v>12298.5</v>
      </c>
      <c r="P326" s="583">
        <f t="shared" si="90"/>
        <v>22014.5</v>
      </c>
      <c r="Q326" s="583">
        <f t="shared" si="91"/>
        <v>733.81666666666672</v>
      </c>
      <c r="R326" s="584">
        <f t="shared" si="92"/>
        <v>23736</v>
      </c>
      <c r="S326" s="584">
        <f t="shared" si="93"/>
        <v>791.2</v>
      </c>
      <c r="T326" s="587">
        <v>4970</v>
      </c>
      <c r="U326" s="585">
        <v>6194</v>
      </c>
      <c r="V326" s="583">
        <f t="shared" si="94"/>
        <v>22014.5</v>
      </c>
      <c r="W326" s="584">
        <f t="shared" si="95"/>
        <v>23736</v>
      </c>
      <c r="X326" s="587"/>
      <c r="Y326" s="585"/>
      <c r="Z326" s="587">
        <v>142691</v>
      </c>
      <c r="AA326" s="585">
        <v>141940</v>
      </c>
      <c r="AB326" s="587">
        <v>74056</v>
      </c>
      <c r="AC326" s="585">
        <v>74694</v>
      </c>
      <c r="AD326" s="587">
        <v>131011</v>
      </c>
      <c r="AE326" s="585">
        <v>129261</v>
      </c>
      <c r="AF326" s="583">
        <f t="shared" si="96"/>
        <v>347758</v>
      </c>
      <c r="AG326" s="583">
        <f t="shared" si="97"/>
        <v>386.39777777777778</v>
      </c>
      <c r="AH326" s="584">
        <f t="shared" si="98"/>
        <v>345895</v>
      </c>
      <c r="AI326" s="584">
        <f t="shared" si="99"/>
        <v>384.32777777777778</v>
      </c>
      <c r="AJ326" s="587"/>
      <c r="AK326" s="585"/>
      <c r="AL326" s="583">
        <f t="shared" si="82"/>
        <v>0</v>
      </c>
      <c r="AM326" s="584">
        <f t="shared" si="83"/>
        <v>0</v>
      </c>
      <c r="AN326" s="587"/>
      <c r="AO326" s="585"/>
      <c r="AP326" s="587"/>
      <c r="AQ326" s="585"/>
      <c r="AR326" s="587"/>
      <c r="AS326" s="585"/>
      <c r="AT326" s="587"/>
      <c r="AU326" s="585"/>
      <c r="AV326" s="583">
        <f t="shared" si="84"/>
        <v>0</v>
      </c>
      <c r="AW326" s="583">
        <f t="shared" si="85"/>
        <v>0</v>
      </c>
      <c r="AX326" s="584">
        <f t="shared" si="86"/>
        <v>0</v>
      </c>
      <c r="AY326" s="584">
        <f t="shared" si="87"/>
        <v>0</v>
      </c>
      <c r="AZ326" s="583">
        <f t="shared" si="88"/>
        <v>1120.2144444444446</v>
      </c>
      <c r="BA326" s="584">
        <f t="shared" si="89"/>
        <v>1175.5277777777778</v>
      </c>
    </row>
    <row r="327" spans="1:53">
      <c r="A327" s="428" t="s">
        <v>257</v>
      </c>
      <c r="B327" s="26" t="s">
        <v>308</v>
      </c>
      <c r="C327" s="440"/>
      <c r="D327" s="25">
        <v>199467</v>
      </c>
      <c r="E327" s="441">
        <v>10</v>
      </c>
      <c r="F327" s="582" t="s">
        <v>74</v>
      </c>
      <c r="G327" s="585"/>
      <c r="H327" s="587"/>
      <c r="I327" s="585"/>
      <c r="J327" s="587">
        <v>6489</v>
      </c>
      <c r="K327" s="585">
        <v>5831</v>
      </c>
      <c r="L327" s="587">
        <v>1200</v>
      </c>
      <c r="M327" s="585">
        <v>851</v>
      </c>
      <c r="N327" s="587">
        <v>6502</v>
      </c>
      <c r="O327" s="585">
        <v>5901</v>
      </c>
      <c r="P327" s="583">
        <f t="shared" si="90"/>
        <v>14191</v>
      </c>
      <c r="Q327" s="583">
        <f t="shared" si="91"/>
        <v>473.03333333333336</v>
      </c>
      <c r="R327" s="584">
        <f t="shared" si="92"/>
        <v>12583</v>
      </c>
      <c r="S327" s="584">
        <f t="shared" si="93"/>
        <v>419.43333333333334</v>
      </c>
      <c r="T327" s="587">
        <v>4748</v>
      </c>
      <c r="U327" s="585">
        <v>4747</v>
      </c>
      <c r="V327" s="583">
        <f t="shared" si="94"/>
        <v>14191</v>
      </c>
      <c r="W327" s="584">
        <f t="shared" si="95"/>
        <v>12583</v>
      </c>
      <c r="X327" s="587"/>
      <c r="Y327" s="585"/>
      <c r="Z327" s="587">
        <v>60664</v>
      </c>
      <c r="AA327" s="585">
        <v>56374</v>
      </c>
      <c r="AB327" s="587">
        <v>47741</v>
      </c>
      <c r="AC327" s="585">
        <v>38707</v>
      </c>
      <c r="AD327" s="587">
        <v>58544</v>
      </c>
      <c r="AE327" s="585">
        <v>40985</v>
      </c>
      <c r="AF327" s="583">
        <f t="shared" si="96"/>
        <v>166949</v>
      </c>
      <c r="AG327" s="583">
        <f t="shared" si="97"/>
        <v>185.4988888888889</v>
      </c>
      <c r="AH327" s="584">
        <f t="shared" si="98"/>
        <v>136066</v>
      </c>
      <c r="AI327" s="584">
        <f t="shared" si="99"/>
        <v>151.18444444444444</v>
      </c>
      <c r="AJ327" s="587"/>
      <c r="AK327" s="585"/>
      <c r="AL327" s="583">
        <f t="shared" ref="AL327:AL390" si="100">IF(ISBLANK(AJ327),0,AF327)</f>
        <v>0</v>
      </c>
      <c r="AM327" s="584">
        <f t="shared" ref="AM327:AM390" si="101">IF(ISBLANK(AK327),0,AH327)</f>
        <v>0</v>
      </c>
      <c r="AN327" s="587"/>
      <c r="AO327" s="585"/>
      <c r="AP327" s="587"/>
      <c r="AQ327" s="585"/>
      <c r="AR327" s="587"/>
      <c r="AS327" s="585"/>
      <c r="AT327" s="587"/>
      <c r="AU327" s="585"/>
      <c r="AV327" s="583">
        <f t="shared" ref="AV327:AV390" si="102">SUM(AN327,AP327,AR327,AT327)</f>
        <v>0</v>
      </c>
      <c r="AW327" s="583">
        <f t="shared" ref="AW327:AW390" si="103">+AV327/24</f>
        <v>0</v>
      </c>
      <c r="AX327" s="584">
        <f t="shared" ref="AX327:AX390" si="104">SUM(AO327,AQ327,AS327,AU327)</f>
        <v>0</v>
      </c>
      <c r="AY327" s="584">
        <f t="shared" ref="AY327:AY390" si="105">+AX327/24</f>
        <v>0</v>
      </c>
      <c r="AZ327" s="583">
        <f t="shared" ref="AZ327:AZ390" si="106">SUM(Q327,AG327,AW327)</f>
        <v>658.53222222222223</v>
      </c>
      <c r="BA327" s="584">
        <f t="shared" ref="BA327:BA390" si="107">SUM(S327,AI327,AY327)</f>
        <v>570.61777777777775</v>
      </c>
    </row>
    <row r="328" spans="1:53">
      <c r="A328" s="428" t="s">
        <v>257</v>
      </c>
      <c r="B328" s="26" t="s">
        <v>284</v>
      </c>
      <c r="C328" s="443"/>
      <c r="D328" s="25">
        <v>199476</v>
      </c>
      <c r="E328" s="441">
        <v>10</v>
      </c>
      <c r="F328" s="582" t="s">
        <v>74</v>
      </c>
      <c r="G328" s="585"/>
      <c r="H328" s="587"/>
      <c r="I328" s="585"/>
      <c r="J328" s="587">
        <v>16423</v>
      </c>
      <c r="K328" s="585">
        <v>15113</v>
      </c>
      <c r="L328" s="587">
        <v>3933</v>
      </c>
      <c r="M328" s="585">
        <v>4020</v>
      </c>
      <c r="N328" s="587">
        <v>17502</v>
      </c>
      <c r="O328" s="585">
        <v>18785</v>
      </c>
      <c r="P328" s="583">
        <f t="shared" si="90"/>
        <v>37858</v>
      </c>
      <c r="Q328" s="583">
        <f t="shared" si="91"/>
        <v>1261.9333333333334</v>
      </c>
      <c r="R328" s="584">
        <f t="shared" si="92"/>
        <v>37918</v>
      </c>
      <c r="S328" s="584">
        <f t="shared" si="93"/>
        <v>1263.9333333333334</v>
      </c>
      <c r="T328" s="587">
        <v>5919</v>
      </c>
      <c r="U328" s="585">
        <v>7579</v>
      </c>
      <c r="V328" s="583">
        <f t="shared" si="94"/>
        <v>37858</v>
      </c>
      <c r="W328" s="584">
        <f t="shared" si="95"/>
        <v>37918</v>
      </c>
      <c r="X328" s="587"/>
      <c r="Y328" s="585"/>
      <c r="Z328" s="587">
        <v>215412</v>
      </c>
      <c r="AA328" s="585">
        <v>198412</v>
      </c>
      <c r="AB328" s="587">
        <v>128891</v>
      </c>
      <c r="AC328" s="585">
        <v>155409</v>
      </c>
      <c r="AD328" s="587">
        <v>191738</v>
      </c>
      <c r="AE328" s="585">
        <v>306481</v>
      </c>
      <c r="AF328" s="583">
        <f t="shared" si="96"/>
        <v>536041</v>
      </c>
      <c r="AG328" s="583">
        <f t="shared" si="97"/>
        <v>595.60111111111109</v>
      </c>
      <c r="AH328" s="584">
        <f t="shared" si="98"/>
        <v>660302</v>
      </c>
      <c r="AI328" s="584">
        <f t="shared" si="99"/>
        <v>733.66888888888889</v>
      </c>
      <c r="AJ328" s="587"/>
      <c r="AK328" s="585"/>
      <c r="AL328" s="583">
        <f t="shared" si="100"/>
        <v>0</v>
      </c>
      <c r="AM328" s="584">
        <f t="shared" si="101"/>
        <v>0</v>
      </c>
      <c r="AN328" s="587"/>
      <c r="AO328" s="585"/>
      <c r="AP328" s="587"/>
      <c r="AQ328" s="585"/>
      <c r="AR328" s="587"/>
      <c r="AS328" s="585"/>
      <c r="AT328" s="587"/>
      <c r="AU328" s="585"/>
      <c r="AV328" s="583">
        <f t="shared" si="102"/>
        <v>0</v>
      </c>
      <c r="AW328" s="583">
        <f t="shared" si="103"/>
        <v>0</v>
      </c>
      <c r="AX328" s="584">
        <f t="shared" si="104"/>
        <v>0</v>
      </c>
      <c r="AY328" s="584">
        <f t="shared" si="105"/>
        <v>0</v>
      </c>
      <c r="AZ328" s="583">
        <f t="shared" si="106"/>
        <v>1857.5344444444445</v>
      </c>
      <c r="BA328" s="584">
        <f t="shared" si="107"/>
        <v>1997.6022222222223</v>
      </c>
    </row>
    <row r="329" spans="1:53">
      <c r="A329" s="428" t="s">
        <v>257</v>
      </c>
      <c r="B329" s="26" t="s">
        <v>309</v>
      </c>
      <c r="C329" s="440"/>
      <c r="D329" s="25">
        <v>199485</v>
      </c>
      <c r="E329" s="441">
        <v>10</v>
      </c>
      <c r="F329" s="582" t="s">
        <v>74</v>
      </c>
      <c r="G329" s="585"/>
      <c r="H329" s="587"/>
      <c r="I329" s="585"/>
      <c r="J329" s="587">
        <v>15376</v>
      </c>
      <c r="K329" s="585">
        <v>14219</v>
      </c>
      <c r="L329" s="587">
        <v>3968</v>
      </c>
      <c r="M329" s="585">
        <v>3748</v>
      </c>
      <c r="N329" s="587">
        <v>15927</v>
      </c>
      <c r="O329" s="585">
        <v>18163</v>
      </c>
      <c r="P329" s="583">
        <f t="shared" si="90"/>
        <v>35271</v>
      </c>
      <c r="Q329" s="583">
        <f t="shared" si="91"/>
        <v>1175.7</v>
      </c>
      <c r="R329" s="584">
        <f t="shared" si="92"/>
        <v>36130</v>
      </c>
      <c r="S329" s="584">
        <f t="shared" si="93"/>
        <v>1204.3333333333333</v>
      </c>
      <c r="T329" s="587">
        <v>6858</v>
      </c>
      <c r="U329" s="585">
        <v>7625</v>
      </c>
      <c r="V329" s="583">
        <f t="shared" si="94"/>
        <v>35271</v>
      </c>
      <c r="W329" s="584">
        <f t="shared" si="95"/>
        <v>36130</v>
      </c>
      <c r="X329" s="587"/>
      <c r="Y329" s="585"/>
      <c r="Z329" s="587">
        <v>68148</v>
      </c>
      <c r="AA329" s="585">
        <v>81892</v>
      </c>
      <c r="AB329" s="587">
        <v>49724</v>
      </c>
      <c r="AC329" s="585">
        <v>45586</v>
      </c>
      <c r="AD329" s="587">
        <v>83605</v>
      </c>
      <c r="AE329" s="585">
        <v>75754</v>
      </c>
      <c r="AF329" s="583">
        <f t="shared" si="96"/>
        <v>201477</v>
      </c>
      <c r="AG329" s="583">
        <f t="shared" si="97"/>
        <v>223.86333333333334</v>
      </c>
      <c r="AH329" s="584">
        <f t="shared" si="98"/>
        <v>203232</v>
      </c>
      <c r="AI329" s="584">
        <f t="shared" si="99"/>
        <v>225.81333333333333</v>
      </c>
      <c r="AJ329" s="587"/>
      <c r="AK329" s="585"/>
      <c r="AL329" s="583">
        <f t="shared" si="100"/>
        <v>0</v>
      </c>
      <c r="AM329" s="584">
        <f t="shared" si="101"/>
        <v>0</v>
      </c>
      <c r="AN329" s="587"/>
      <c r="AO329" s="585"/>
      <c r="AP329" s="587"/>
      <c r="AQ329" s="585"/>
      <c r="AR329" s="587"/>
      <c r="AS329" s="585"/>
      <c r="AT329" s="587"/>
      <c r="AU329" s="585"/>
      <c r="AV329" s="583">
        <f t="shared" si="102"/>
        <v>0</v>
      </c>
      <c r="AW329" s="583">
        <f t="shared" si="103"/>
        <v>0</v>
      </c>
      <c r="AX329" s="584">
        <f t="shared" si="104"/>
        <v>0</v>
      </c>
      <c r="AY329" s="584">
        <f t="shared" si="105"/>
        <v>0</v>
      </c>
      <c r="AZ329" s="583">
        <f t="shared" si="106"/>
        <v>1399.5633333333335</v>
      </c>
      <c r="BA329" s="584">
        <f t="shared" si="107"/>
        <v>1430.1466666666665</v>
      </c>
    </row>
    <row r="330" spans="1:53">
      <c r="A330" s="428" t="s">
        <v>257</v>
      </c>
      <c r="B330" s="26" t="s">
        <v>310</v>
      </c>
      <c r="C330" s="440"/>
      <c r="D330" s="25">
        <v>199625</v>
      </c>
      <c r="E330" s="441">
        <v>10</v>
      </c>
      <c r="F330" s="582" t="s">
        <v>74</v>
      </c>
      <c r="G330" s="585"/>
      <c r="H330" s="587"/>
      <c r="I330" s="585"/>
      <c r="J330" s="587">
        <v>13636</v>
      </c>
      <c r="K330" s="585">
        <v>15052</v>
      </c>
      <c r="L330" s="587">
        <v>5118</v>
      </c>
      <c r="M330" s="585">
        <v>4467</v>
      </c>
      <c r="N330" s="587">
        <v>15229</v>
      </c>
      <c r="O330" s="585">
        <v>16850</v>
      </c>
      <c r="P330" s="583">
        <f t="shared" si="90"/>
        <v>33983</v>
      </c>
      <c r="Q330" s="583">
        <f t="shared" si="91"/>
        <v>1132.7666666666667</v>
      </c>
      <c r="R330" s="584">
        <f t="shared" si="92"/>
        <v>36369</v>
      </c>
      <c r="S330" s="584">
        <f t="shared" si="93"/>
        <v>1212.3</v>
      </c>
      <c r="T330" s="587">
        <v>12317</v>
      </c>
      <c r="U330" s="585">
        <v>13371</v>
      </c>
      <c r="V330" s="583">
        <f t="shared" si="94"/>
        <v>33983</v>
      </c>
      <c r="W330" s="584">
        <f t="shared" si="95"/>
        <v>36369</v>
      </c>
      <c r="X330" s="587"/>
      <c r="Y330" s="585"/>
      <c r="Z330" s="587">
        <v>103688</v>
      </c>
      <c r="AA330" s="585">
        <v>145114</v>
      </c>
      <c r="AB330" s="587">
        <v>90074</v>
      </c>
      <c r="AC330" s="585">
        <v>82577</v>
      </c>
      <c r="AD330" s="587">
        <v>168189</v>
      </c>
      <c r="AE330" s="585">
        <v>166374</v>
      </c>
      <c r="AF330" s="583">
        <f t="shared" si="96"/>
        <v>361951</v>
      </c>
      <c r="AG330" s="583">
        <f t="shared" si="97"/>
        <v>402.16777777777776</v>
      </c>
      <c r="AH330" s="584">
        <f t="shared" si="98"/>
        <v>394065</v>
      </c>
      <c r="AI330" s="584">
        <f t="shared" si="99"/>
        <v>437.85</v>
      </c>
      <c r="AJ330" s="587"/>
      <c r="AK330" s="585"/>
      <c r="AL330" s="583">
        <f t="shared" si="100"/>
        <v>0</v>
      </c>
      <c r="AM330" s="584">
        <f t="shared" si="101"/>
        <v>0</v>
      </c>
      <c r="AN330" s="587"/>
      <c r="AO330" s="585"/>
      <c r="AP330" s="587"/>
      <c r="AQ330" s="585"/>
      <c r="AR330" s="587"/>
      <c r="AS330" s="585"/>
      <c r="AT330" s="587"/>
      <c r="AU330" s="585"/>
      <c r="AV330" s="583">
        <f t="shared" si="102"/>
        <v>0</v>
      </c>
      <c r="AW330" s="583">
        <f t="shared" si="103"/>
        <v>0</v>
      </c>
      <c r="AX330" s="584">
        <f t="shared" si="104"/>
        <v>0</v>
      </c>
      <c r="AY330" s="584">
        <f t="shared" si="105"/>
        <v>0</v>
      </c>
      <c r="AZ330" s="583">
        <f t="shared" si="106"/>
        <v>1534.9344444444444</v>
      </c>
      <c r="BA330" s="584">
        <f t="shared" si="107"/>
        <v>1650.15</v>
      </c>
    </row>
    <row r="331" spans="1:53">
      <c r="A331" s="428" t="s">
        <v>257</v>
      </c>
      <c r="B331" s="26" t="s">
        <v>312</v>
      </c>
      <c r="C331" s="440"/>
      <c r="D331" s="25">
        <v>199722</v>
      </c>
      <c r="E331" s="441">
        <v>10</v>
      </c>
      <c r="F331" s="582" t="s">
        <v>74</v>
      </c>
      <c r="G331" s="585"/>
      <c r="H331" s="587"/>
      <c r="I331" s="585"/>
      <c r="J331" s="587">
        <v>12481</v>
      </c>
      <c r="K331" s="585">
        <v>13618</v>
      </c>
      <c r="L331" s="587">
        <v>4124</v>
      </c>
      <c r="M331" s="585">
        <v>3762</v>
      </c>
      <c r="N331" s="587">
        <v>13638</v>
      </c>
      <c r="O331" s="585">
        <v>14168</v>
      </c>
      <c r="P331" s="583">
        <f t="shared" si="90"/>
        <v>30243</v>
      </c>
      <c r="Q331" s="583">
        <f t="shared" si="91"/>
        <v>1008.1</v>
      </c>
      <c r="R331" s="584">
        <f t="shared" si="92"/>
        <v>31548</v>
      </c>
      <c r="S331" s="584">
        <f t="shared" si="93"/>
        <v>1051.5999999999999</v>
      </c>
      <c r="T331" s="587">
        <v>8934</v>
      </c>
      <c r="U331" s="585">
        <v>9354</v>
      </c>
      <c r="V331" s="583">
        <f t="shared" si="94"/>
        <v>30243</v>
      </c>
      <c r="W331" s="584">
        <f t="shared" si="95"/>
        <v>31548</v>
      </c>
      <c r="X331" s="587"/>
      <c r="Y331" s="585"/>
      <c r="Z331" s="587">
        <v>180414</v>
      </c>
      <c r="AA331" s="585">
        <v>208840</v>
      </c>
      <c r="AB331" s="587">
        <v>109671</v>
      </c>
      <c r="AC331" s="585">
        <v>102158</v>
      </c>
      <c r="AD331" s="587">
        <v>178038</v>
      </c>
      <c r="AE331" s="585">
        <v>192709</v>
      </c>
      <c r="AF331" s="583">
        <f t="shared" si="96"/>
        <v>468123</v>
      </c>
      <c r="AG331" s="583">
        <f t="shared" si="97"/>
        <v>520.13666666666666</v>
      </c>
      <c r="AH331" s="584">
        <f t="shared" si="98"/>
        <v>503707</v>
      </c>
      <c r="AI331" s="584">
        <f t="shared" si="99"/>
        <v>559.67444444444448</v>
      </c>
      <c r="AJ331" s="587"/>
      <c r="AK331" s="585"/>
      <c r="AL331" s="583">
        <f t="shared" si="100"/>
        <v>0</v>
      </c>
      <c r="AM331" s="584">
        <f t="shared" si="101"/>
        <v>0</v>
      </c>
      <c r="AN331" s="587"/>
      <c r="AO331" s="585"/>
      <c r="AP331" s="587"/>
      <c r="AQ331" s="585"/>
      <c r="AR331" s="587"/>
      <c r="AS331" s="585"/>
      <c r="AT331" s="587"/>
      <c r="AU331" s="585"/>
      <c r="AV331" s="583">
        <f t="shared" si="102"/>
        <v>0</v>
      </c>
      <c r="AW331" s="583">
        <f t="shared" si="103"/>
        <v>0</v>
      </c>
      <c r="AX331" s="584">
        <f t="shared" si="104"/>
        <v>0</v>
      </c>
      <c r="AY331" s="584">
        <f t="shared" si="105"/>
        <v>0</v>
      </c>
      <c r="AZ331" s="583">
        <f t="shared" si="106"/>
        <v>1528.2366666666667</v>
      </c>
      <c r="BA331" s="584">
        <f t="shared" si="107"/>
        <v>1611.2744444444443</v>
      </c>
    </row>
    <row r="332" spans="1:53">
      <c r="A332" s="428" t="s">
        <v>257</v>
      </c>
      <c r="B332" s="26" t="s">
        <v>313</v>
      </c>
      <c r="C332" s="440"/>
      <c r="D332" s="25">
        <v>199731</v>
      </c>
      <c r="E332" s="441">
        <v>10</v>
      </c>
      <c r="F332" s="582" t="s">
        <v>74</v>
      </c>
      <c r="G332" s="585"/>
      <c r="H332" s="587"/>
      <c r="I332" s="585"/>
      <c r="J332" s="587">
        <v>21188</v>
      </c>
      <c r="K332" s="585">
        <v>20956</v>
      </c>
      <c r="L332" s="587">
        <v>4142</v>
      </c>
      <c r="M332" s="585">
        <v>4049</v>
      </c>
      <c r="N332" s="587">
        <v>21900</v>
      </c>
      <c r="O332" s="585">
        <v>21372</v>
      </c>
      <c r="P332" s="583">
        <f t="shared" si="90"/>
        <v>47230</v>
      </c>
      <c r="Q332" s="583">
        <f t="shared" si="91"/>
        <v>1574.3333333333333</v>
      </c>
      <c r="R332" s="584">
        <f t="shared" si="92"/>
        <v>46377</v>
      </c>
      <c r="S332" s="584">
        <f t="shared" si="93"/>
        <v>1545.9</v>
      </c>
      <c r="T332" s="587">
        <v>11788</v>
      </c>
      <c r="U332" s="585">
        <v>11390</v>
      </c>
      <c r="V332" s="583">
        <f t="shared" si="94"/>
        <v>47230</v>
      </c>
      <c r="W332" s="584">
        <f t="shared" si="95"/>
        <v>46377</v>
      </c>
      <c r="X332" s="587"/>
      <c r="Y332" s="585"/>
      <c r="Z332" s="587">
        <v>133633</v>
      </c>
      <c r="AA332" s="585">
        <v>120126</v>
      </c>
      <c r="AB332" s="587">
        <v>78904</v>
      </c>
      <c r="AC332" s="585">
        <v>89973</v>
      </c>
      <c r="AD332" s="587">
        <v>139815</v>
      </c>
      <c r="AE332" s="585">
        <v>132301</v>
      </c>
      <c r="AF332" s="583">
        <f t="shared" si="96"/>
        <v>352352</v>
      </c>
      <c r="AG332" s="583">
        <f t="shared" si="97"/>
        <v>391.5022222222222</v>
      </c>
      <c r="AH332" s="584">
        <f t="shared" si="98"/>
        <v>342400</v>
      </c>
      <c r="AI332" s="584">
        <f t="shared" si="99"/>
        <v>380.44444444444446</v>
      </c>
      <c r="AJ332" s="587"/>
      <c r="AK332" s="585"/>
      <c r="AL332" s="583">
        <f t="shared" si="100"/>
        <v>0</v>
      </c>
      <c r="AM332" s="584">
        <f t="shared" si="101"/>
        <v>0</v>
      </c>
      <c r="AN332" s="587"/>
      <c r="AO332" s="585"/>
      <c r="AP332" s="587"/>
      <c r="AQ332" s="585"/>
      <c r="AR332" s="587"/>
      <c r="AS332" s="585"/>
      <c r="AT332" s="587"/>
      <c r="AU332" s="585"/>
      <c r="AV332" s="583">
        <f t="shared" si="102"/>
        <v>0</v>
      </c>
      <c r="AW332" s="583">
        <f t="shared" si="103"/>
        <v>0</v>
      </c>
      <c r="AX332" s="584">
        <f t="shared" si="104"/>
        <v>0</v>
      </c>
      <c r="AY332" s="584">
        <f t="shared" si="105"/>
        <v>0</v>
      </c>
      <c r="AZ332" s="583">
        <f t="shared" si="106"/>
        <v>1965.8355555555554</v>
      </c>
      <c r="BA332" s="584">
        <f t="shared" si="107"/>
        <v>1926.3444444444444</v>
      </c>
    </row>
    <row r="333" spans="1:53">
      <c r="A333" s="428" t="s">
        <v>257</v>
      </c>
      <c r="B333" s="26" t="s">
        <v>314</v>
      </c>
      <c r="C333" s="440"/>
      <c r="D333" s="25">
        <v>199795</v>
      </c>
      <c r="E333" s="441">
        <v>10</v>
      </c>
      <c r="F333" s="582" t="s">
        <v>74</v>
      </c>
      <c r="G333" s="585"/>
      <c r="H333" s="587"/>
      <c r="I333" s="585"/>
      <c r="J333" s="587">
        <v>9196</v>
      </c>
      <c r="K333" s="585">
        <v>9495</v>
      </c>
      <c r="L333" s="587">
        <v>2208</v>
      </c>
      <c r="M333" s="585">
        <v>2622</v>
      </c>
      <c r="N333" s="587">
        <v>9937</v>
      </c>
      <c r="O333" s="585">
        <v>10973</v>
      </c>
      <c r="P333" s="583">
        <f t="shared" si="90"/>
        <v>21341</v>
      </c>
      <c r="Q333" s="583">
        <f t="shared" si="91"/>
        <v>711.36666666666667</v>
      </c>
      <c r="R333" s="584">
        <f t="shared" si="92"/>
        <v>23090</v>
      </c>
      <c r="S333" s="584">
        <f t="shared" si="93"/>
        <v>769.66666666666663</v>
      </c>
      <c r="T333" s="587">
        <v>8845</v>
      </c>
      <c r="U333" s="585">
        <v>9323</v>
      </c>
      <c r="V333" s="583">
        <f t="shared" si="94"/>
        <v>21341</v>
      </c>
      <c r="W333" s="584">
        <f t="shared" si="95"/>
        <v>23090</v>
      </c>
      <c r="X333" s="587"/>
      <c r="Y333" s="585"/>
      <c r="Z333" s="587">
        <v>47896</v>
      </c>
      <c r="AA333" s="585">
        <v>59344</v>
      </c>
      <c r="AB333" s="587">
        <v>35460</v>
      </c>
      <c r="AC333" s="585">
        <v>40675</v>
      </c>
      <c r="AD333" s="587">
        <v>56951</v>
      </c>
      <c r="AE333" s="585">
        <v>67908</v>
      </c>
      <c r="AF333" s="583">
        <f t="shared" si="96"/>
        <v>140307</v>
      </c>
      <c r="AG333" s="583">
        <f t="shared" si="97"/>
        <v>155.89666666666668</v>
      </c>
      <c r="AH333" s="584">
        <f t="shared" si="98"/>
        <v>167927</v>
      </c>
      <c r="AI333" s="584">
        <f t="shared" si="99"/>
        <v>186.58555555555554</v>
      </c>
      <c r="AJ333" s="587"/>
      <c r="AK333" s="585"/>
      <c r="AL333" s="583">
        <f t="shared" si="100"/>
        <v>0</v>
      </c>
      <c r="AM333" s="584">
        <f t="shared" si="101"/>
        <v>0</v>
      </c>
      <c r="AN333" s="587"/>
      <c r="AO333" s="585"/>
      <c r="AP333" s="587"/>
      <c r="AQ333" s="585"/>
      <c r="AR333" s="587"/>
      <c r="AS333" s="585"/>
      <c r="AT333" s="587"/>
      <c r="AU333" s="585"/>
      <c r="AV333" s="583">
        <f t="shared" si="102"/>
        <v>0</v>
      </c>
      <c r="AW333" s="583">
        <f t="shared" si="103"/>
        <v>0</v>
      </c>
      <c r="AX333" s="584">
        <f t="shared" si="104"/>
        <v>0</v>
      </c>
      <c r="AY333" s="584">
        <f t="shared" si="105"/>
        <v>0</v>
      </c>
      <c r="AZ333" s="583">
        <f t="shared" si="106"/>
        <v>867.26333333333332</v>
      </c>
      <c r="BA333" s="584">
        <f t="shared" si="107"/>
        <v>956.25222222222214</v>
      </c>
    </row>
    <row r="334" spans="1:53">
      <c r="A334" s="428" t="s">
        <v>257</v>
      </c>
      <c r="B334" s="26" t="s">
        <v>290</v>
      </c>
      <c r="C334" s="443"/>
      <c r="D334" s="25">
        <v>199908</v>
      </c>
      <c r="E334" s="441">
        <v>10</v>
      </c>
      <c r="F334" s="582" t="s">
        <v>74</v>
      </c>
      <c r="G334" s="585"/>
      <c r="H334" s="587"/>
      <c r="I334" s="585"/>
      <c r="J334" s="587">
        <v>16670</v>
      </c>
      <c r="K334" s="585">
        <v>16817</v>
      </c>
      <c r="L334" s="587">
        <v>3695</v>
      </c>
      <c r="M334" s="585">
        <v>4105</v>
      </c>
      <c r="N334" s="587">
        <v>17964</v>
      </c>
      <c r="O334" s="585">
        <v>19798</v>
      </c>
      <c r="P334" s="583">
        <f t="shared" si="90"/>
        <v>38329</v>
      </c>
      <c r="Q334" s="583">
        <f t="shared" si="91"/>
        <v>1277.6333333333334</v>
      </c>
      <c r="R334" s="584">
        <f t="shared" si="92"/>
        <v>40720</v>
      </c>
      <c r="S334" s="584">
        <f t="shared" si="93"/>
        <v>1357.3333333333333</v>
      </c>
      <c r="T334" s="587">
        <v>7175</v>
      </c>
      <c r="U334" s="585">
        <v>10567</v>
      </c>
      <c r="V334" s="583">
        <f t="shared" si="94"/>
        <v>38329</v>
      </c>
      <c r="W334" s="584">
        <f t="shared" si="95"/>
        <v>40720</v>
      </c>
      <c r="X334" s="587"/>
      <c r="Y334" s="585"/>
      <c r="Z334" s="587">
        <v>101077</v>
      </c>
      <c r="AA334" s="585">
        <v>115420</v>
      </c>
      <c r="AB334" s="587">
        <v>66011</v>
      </c>
      <c r="AC334" s="585">
        <v>46010</v>
      </c>
      <c r="AD334" s="587">
        <v>88847</v>
      </c>
      <c r="AE334" s="585">
        <v>84010</v>
      </c>
      <c r="AF334" s="583">
        <f t="shared" si="96"/>
        <v>255935</v>
      </c>
      <c r="AG334" s="583">
        <f t="shared" si="97"/>
        <v>284.37222222222221</v>
      </c>
      <c r="AH334" s="584">
        <f t="shared" si="98"/>
        <v>245440</v>
      </c>
      <c r="AI334" s="584">
        <f t="shared" si="99"/>
        <v>272.71111111111111</v>
      </c>
      <c r="AJ334" s="587"/>
      <c r="AK334" s="585"/>
      <c r="AL334" s="583">
        <f t="shared" si="100"/>
        <v>0</v>
      </c>
      <c r="AM334" s="584">
        <f t="shared" si="101"/>
        <v>0</v>
      </c>
      <c r="AN334" s="587"/>
      <c r="AO334" s="585"/>
      <c r="AP334" s="587"/>
      <c r="AQ334" s="585"/>
      <c r="AR334" s="587"/>
      <c r="AS334" s="585"/>
      <c r="AT334" s="587"/>
      <c r="AU334" s="585"/>
      <c r="AV334" s="583">
        <f t="shared" si="102"/>
        <v>0</v>
      </c>
      <c r="AW334" s="583">
        <f t="shared" si="103"/>
        <v>0</v>
      </c>
      <c r="AX334" s="584">
        <f t="shared" si="104"/>
        <v>0</v>
      </c>
      <c r="AY334" s="584">
        <f t="shared" si="105"/>
        <v>0</v>
      </c>
      <c r="AZ334" s="583">
        <f t="shared" si="106"/>
        <v>1562.0055555555557</v>
      </c>
      <c r="BA334" s="584">
        <f t="shared" si="107"/>
        <v>1630.0444444444443</v>
      </c>
    </row>
    <row r="335" spans="1:53">
      <c r="A335" s="428" t="s">
        <v>257</v>
      </c>
      <c r="B335" s="26" t="s">
        <v>315</v>
      </c>
      <c r="C335" s="440"/>
      <c r="D335" s="25">
        <v>199953</v>
      </c>
      <c r="E335" s="441">
        <v>10</v>
      </c>
      <c r="F335" s="582" t="s">
        <v>74</v>
      </c>
      <c r="G335" s="585"/>
      <c r="H335" s="587"/>
      <c r="I335" s="585"/>
      <c r="J335" s="587">
        <v>14424</v>
      </c>
      <c r="K335" s="585">
        <v>14104</v>
      </c>
      <c r="L335" s="587">
        <v>5678</v>
      </c>
      <c r="M335" s="585">
        <v>5251</v>
      </c>
      <c r="N335" s="587">
        <v>14652</v>
      </c>
      <c r="O335" s="585">
        <v>15703.5</v>
      </c>
      <c r="P335" s="583">
        <f t="shared" si="90"/>
        <v>34754</v>
      </c>
      <c r="Q335" s="583">
        <f t="shared" si="91"/>
        <v>1158.4666666666667</v>
      </c>
      <c r="R335" s="584">
        <f t="shared" si="92"/>
        <v>35058.5</v>
      </c>
      <c r="S335" s="584">
        <f t="shared" si="93"/>
        <v>1168.6166666666666</v>
      </c>
      <c r="T335" s="587">
        <v>9200</v>
      </c>
      <c r="U335" s="585">
        <v>9785.5</v>
      </c>
      <c r="V335" s="583">
        <f t="shared" si="94"/>
        <v>34754</v>
      </c>
      <c r="W335" s="584">
        <f t="shared" si="95"/>
        <v>35058.5</v>
      </c>
      <c r="X335" s="587"/>
      <c r="Y335" s="585"/>
      <c r="Z335" s="587">
        <v>90819</v>
      </c>
      <c r="AA335" s="585">
        <v>102294</v>
      </c>
      <c r="AB335" s="587">
        <v>65922</v>
      </c>
      <c r="AC335" s="585">
        <v>55422</v>
      </c>
      <c r="AD335" s="587">
        <v>84854</v>
      </c>
      <c r="AE335" s="585">
        <v>92042</v>
      </c>
      <c r="AF335" s="583">
        <f t="shared" si="96"/>
        <v>241595</v>
      </c>
      <c r="AG335" s="583">
        <f t="shared" si="97"/>
        <v>268.43888888888887</v>
      </c>
      <c r="AH335" s="584">
        <f t="shared" si="98"/>
        <v>249758</v>
      </c>
      <c r="AI335" s="584">
        <f t="shared" si="99"/>
        <v>277.50888888888886</v>
      </c>
      <c r="AJ335" s="587"/>
      <c r="AK335" s="585"/>
      <c r="AL335" s="583">
        <f t="shared" si="100"/>
        <v>0</v>
      </c>
      <c r="AM335" s="584">
        <f t="shared" si="101"/>
        <v>0</v>
      </c>
      <c r="AN335" s="587"/>
      <c r="AO335" s="585"/>
      <c r="AP335" s="587"/>
      <c r="AQ335" s="585"/>
      <c r="AR335" s="587"/>
      <c r="AS335" s="585"/>
      <c r="AT335" s="587"/>
      <c r="AU335" s="585"/>
      <c r="AV335" s="583">
        <f t="shared" si="102"/>
        <v>0</v>
      </c>
      <c r="AW335" s="583">
        <f t="shared" si="103"/>
        <v>0</v>
      </c>
      <c r="AX335" s="584">
        <f t="shared" si="104"/>
        <v>0</v>
      </c>
      <c r="AY335" s="584">
        <f t="shared" si="105"/>
        <v>0</v>
      </c>
      <c r="AZ335" s="583">
        <f t="shared" si="106"/>
        <v>1426.9055555555556</v>
      </c>
      <c r="BA335" s="584">
        <f t="shared" si="107"/>
        <v>1446.1255555555554</v>
      </c>
    </row>
    <row r="336" spans="1:53">
      <c r="A336" s="431" t="s">
        <v>331</v>
      </c>
      <c r="B336" s="17" t="s">
        <v>379</v>
      </c>
      <c r="C336" s="18"/>
      <c r="D336" s="19">
        <v>207388</v>
      </c>
      <c r="E336" s="19">
        <v>1</v>
      </c>
      <c r="F336" s="582" t="s">
        <v>74</v>
      </c>
      <c r="G336" s="585" t="s">
        <v>74</v>
      </c>
      <c r="H336" s="587"/>
      <c r="I336" s="585"/>
      <c r="J336" s="587">
        <v>264874</v>
      </c>
      <c r="K336" s="585">
        <v>258585</v>
      </c>
      <c r="L336" s="587">
        <v>28868</v>
      </c>
      <c r="M336" s="585">
        <v>28808</v>
      </c>
      <c r="N336" s="587">
        <v>281804</v>
      </c>
      <c r="O336" s="585">
        <v>280888</v>
      </c>
      <c r="P336" s="583">
        <f t="shared" ref="P336:P426" si="108">SUM(H336,J336,L336,N336)</f>
        <v>575546</v>
      </c>
      <c r="Q336" s="583">
        <f t="shared" ref="Q336:Q426" si="109">+P336/30</f>
        <v>19184.866666666665</v>
      </c>
      <c r="R336" s="584">
        <f t="shared" ref="R336:R426" si="110">SUM(I336,K336,M336,O336)</f>
        <v>568281</v>
      </c>
      <c r="S336" s="584">
        <f t="shared" ref="S336:S426" si="111">+R336/30</f>
        <v>18942.7</v>
      </c>
      <c r="T336" s="587">
        <v>871</v>
      </c>
      <c r="U336" s="585">
        <v>970</v>
      </c>
      <c r="V336" s="583">
        <f t="shared" ref="V336:V426" si="112">IF(ISBLANK(T336),0,P336)</f>
        <v>575546</v>
      </c>
      <c r="W336" s="584">
        <f t="shared" ref="W336:W426" si="113">IF(ISBLANK(U336),0,R336)</f>
        <v>568281</v>
      </c>
      <c r="X336" s="587"/>
      <c r="Y336" s="585"/>
      <c r="Z336" s="587"/>
      <c r="AA336" s="585"/>
      <c r="AB336" s="587"/>
      <c r="AC336" s="585"/>
      <c r="AD336" s="587"/>
      <c r="AE336" s="585"/>
      <c r="AF336" s="583">
        <f t="shared" ref="AF336:AF426" si="114">SUM(X336,Z336,AB336,AD336)</f>
        <v>0</v>
      </c>
      <c r="AG336" s="583">
        <f t="shared" ref="AG336:AG426" si="115">+AF336/900</f>
        <v>0</v>
      </c>
      <c r="AH336" s="584">
        <f t="shared" ref="AH336:AH426" si="116">SUM(Y336,AA336,AC336,AE336)</f>
        <v>0</v>
      </c>
      <c r="AI336" s="584">
        <f t="shared" ref="AI336:AI426" si="117">+AH336/900</f>
        <v>0</v>
      </c>
      <c r="AJ336" s="587"/>
      <c r="AK336" s="585"/>
      <c r="AL336" s="583">
        <f t="shared" si="100"/>
        <v>0</v>
      </c>
      <c r="AM336" s="584">
        <f t="shared" si="101"/>
        <v>0</v>
      </c>
      <c r="AN336" s="587"/>
      <c r="AO336" s="585"/>
      <c r="AP336" s="587">
        <v>30478</v>
      </c>
      <c r="AQ336" s="585">
        <v>30186</v>
      </c>
      <c r="AR336" s="587">
        <v>9667</v>
      </c>
      <c r="AS336" s="585">
        <v>9453</v>
      </c>
      <c r="AT336" s="587">
        <v>31708</v>
      </c>
      <c r="AU336" s="585">
        <v>31653</v>
      </c>
      <c r="AV336" s="583">
        <f t="shared" si="102"/>
        <v>71853</v>
      </c>
      <c r="AW336" s="583">
        <f t="shared" si="103"/>
        <v>2993.875</v>
      </c>
      <c r="AX336" s="584">
        <f t="shared" si="104"/>
        <v>71292</v>
      </c>
      <c r="AY336" s="584">
        <f t="shared" si="105"/>
        <v>2970.5</v>
      </c>
      <c r="AZ336" s="583">
        <f t="shared" si="106"/>
        <v>22178.741666666665</v>
      </c>
      <c r="BA336" s="584">
        <f t="shared" si="107"/>
        <v>21913.200000000001</v>
      </c>
    </row>
    <row r="337" spans="1:53">
      <c r="A337" s="431" t="s">
        <v>331</v>
      </c>
      <c r="B337" s="17" t="s">
        <v>380</v>
      </c>
      <c r="C337" s="18"/>
      <c r="D337" s="19">
        <v>207500</v>
      </c>
      <c r="E337" s="19">
        <v>1</v>
      </c>
      <c r="F337" s="582" t="s">
        <v>74</v>
      </c>
      <c r="G337" s="585" t="s">
        <v>74</v>
      </c>
      <c r="H337" s="587"/>
      <c r="I337" s="585"/>
      <c r="J337" s="587">
        <v>279839</v>
      </c>
      <c r="K337" s="585">
        <v>276087</v>
      </c>
      <c r="L337" s="587">
        <v>37196</v>
      </c>
      <c r="M337" s="585">
        <v>36599</v>
      </c>
      <c r="N337" s="587">
        <v>300879</v>
      </c>
      <c r="O337" s="585">
        <v>299748</v>
      </c>
      <c r="P337" s="583">
        <f t="shared" si="108"/>
        <v>617914</v>
      </c>
      <c r="Q337" s="583">
        <f t="shared" si="109"/>
        <v>20597.133333333335</v>
      </c>
      <c r="R337" s="584">
        <f t="shared" si="110"/>
        <v>612434</v>
      </c>
      <c r="S337" s="584">
        <f t="shared" si="111"/>
        <v>20414.466666666667</v>
      </c>
      <c r="T337" s="587">
        <v>2425</v>
      </c>
      <c r="U337" s="585">
        <v>2301</v>
      </c>
      <c r="V337" s="583">
        <f t="shared" si="112"/>
        <v>617914</v>
      </c>
      <c r="W337" s="584">
        <f t="shared" si="113"/>
        <v>612434</v>
      </c>
      <c r="X337" s="587"/>
      <c r="Y337" s="585"/>
      <c r="Z337" s="587"/>
      <c r="AA337" s="585"/>
      <c r="AB337" s="587"/>
      <c r="AC337" s="585"/>
      <c r="AD337" s="587"/>
      <c r="AE337" s="585"/>
      <c r="AF337" s="583">
        <f t="shared" si="114"/>
        <v>0</v>
      </c>
      <c r="AG337" s="583">
        <f t="shared" si="115"/>
        <v>0</v>
      </c>
      <c r="AH337" s="584">
        <f t="shared" si="116"/>
        <v>0</v>
      </c>
      <c r="AI337" s="584">
        <f t="shared" si="117"/>
        <v>0</v>
      </c>
      <c r="AJ337" s="587"/>
      <c r="AK337" s="585"/>
      <c r="AL337" s="583">
        <f t="shared" si="100"/>
        <v>0</v>
      </c>
      <c r="AM337" s="584">
        <f t="shared" si="101"/>
        <v>0</v>
      </c>
      <c r="AN337" s="587"/>
      <c r="AO337" s="585"/>
      <c r="AP337" s="587">
        <v>59667</v>
      </c>
      <c r="AQ337" s="585">
        <v>60512</v>
      </c>
      <c r="AR337" s="587">
        <v>19229</v>
      </c>
      <c r="AS337" s="585">
        <v>19968</v>
      </c>
      <c r="AT337" s="587">
        <v>59435</v>
      </c>
      <c r="AU337" s="585">
        <v>60306</v>
      </c>
      <c r="AV337" s="583">
        <f t="shared" si="102"/>
        <v>138331</v>
      </c>
      <c r="AW337" s="583">
        <f t="shared" si="103"/>
        <v>5763.791666666667</v>
      </c>
      <c r="AX337" s="584">
        <f t="shared" si="104"/>
        <v>140786</v>
      </c>
      <c r="AY337" s="584">
        <f t="shared" si="105"/>
        <v>5866.083333333333</v>
      </c>
      <c r="AZ337" s="583">
        <f t="shared" si="106"/>
        <v>26360.925000000003</v>
      </c>
      <c r="BA337" s="584">
        <f t="shared" si="107"/>
        <v>26280.55</v>
      </c>
    </row>
    <row r="338" spans="1:53">
      <c r="A338" s="431" t="s">
        <v>331</v>
      </c>
      <c r="B338" s="17" t="s">
        <v>381</v>
      </c>
      <c r="C338" s="18"/>
      <c r="D338" s="19">
        <v>207263</v>
      </c>
      <c r="E338" s="19">
        <v>3</v>
      </c>
      <c r="F338" s="582" t="s">
        <v>74</v>
      </c>
      <c r="G338" s="585" t="s">
        <v>74</v>
      </c>
      <c r="H338" s="587"/>
      <c r="I338" s="585"/>
      <c r="J338" s="587">
        <v>72087</v>
      </c>
      <c r="K338" s="585">
        <v>69371</v>
      </c>
      <c r="L338" s="587">
        <v>13439</v>
      </c>
      <c r="M338" s="585">
        <v>13302</v>
      </c>
      <c r="N338" s="587">
        <v>78763</v>
      </c>
      <c r="O338" s="585">
        <v>77707</v>
      </c>
      <c r="P338" s="583">
        <f t="shared" si="108"/>
        <v>164289</v>
      </c>
      <c r="Q338" s="583">
        <f t="shared" si="109"/>
        <v>5476.3</v>
      </c>
      <c r="R338" s="584">
        <f t="shared" si="110"/>
        <v>160380</v>
      </c>
      <c r="S338" s="584">
        <f t="shared" si="111"/>
        <v>5346</v>
      </c>
      <c r="T338" s="587">
        <v>2620</v>
      </c>
      <c r="U338" s="585">
        <v>2387</v>
      </c>
      <c r="V338" s="583">
        <f t="shared" si="112"/>
        <v>164289</v>
      </c>
      <c r="W338" s="584">
        <f t="shared" si="113"/>
        <v>160380</v>
      </c>
      <c r="X338" s="587"/>
      <c r="Y338" s="585"/>
      <c r="Z338" s="587"/>
      <c r="AA338" s="585"/>
      <c r="AB338" s="587"/>
      <c r="AC338" s="585"/>
      <c r="AD338" s="587"/>
      <c r="AE338" s="585"/>
      <c r="AF338" s="583">
        <f t="shared" si="114"/>
        <v>0</v>
      </c>
      <c r="AG338" s="583">
        <f t="shared" si="115"/>
        <v>0</v>
      </c>
      <c r="AH338" s="584">
        <f t="shared" si="116"/>
        <v>0</v>
      </c>
      <c r="AI338" s="584">
        <f t="shared" si="117"/>
        <v>0</v>
      </c>
      <c r="AJ338" s="587"/>
      <c r="AK338" s="585"/>
      <c r="AL338" s="583">
        <f t="shared" si="100"/>
        <v>0</v>
      </c>
      <c r="AM338" s="584">
        <f t="shared" si="101"/>
        <v>0</v>
      </c>
      <c r="AN338" s="587"/>
      <c r="AO338" s="585"/>
      <c r="AP338" s="587">
        <v>8135</v>
      </c>
      <c r="AQ338" s="585">
        <v>9503</v>
      </c>
      <c r="AR338" s="587">
        <v>3792</v>
      </c>
      <c r="AS338" s="585">
        <v>3848</v>
      </c>
      <c r="AT338" s="587">
        <v>9250</v>
      </c>
      <c r="AU338" s="585">
        <v>9938</v>
      </c>
      <c r="AV338" s="583">
        <f t="shared" si="102"/>
        <v>21177</v>
      </c>
      <c r="AW338" s="583">
        <f t="shared" si="103"/>
        <v>882.375</v>
      </c>
      <c r="AX338" s="584">
        <f t="shared" si="104"/>
        <v>23289</v>
      </c>
      <c r="AY338" s="584">
        <f t="shared" si="105"/>
        <v>970.375</v>
      </c>
      <c r="AZ338" s="583">
        <f t="shared" si="106"/>
        <v>6358.6750000000002</v>
      </c>
      <c r="BA338" s="584">
        <f t="shared" si="107"/>
        <v>6316.375</v>
      </c>
    </row>
    <row r="339" spans="1:53">
      <c r="A339" s="431" t="s">
        <v>331</v>
      </c>
      <c r="B339" s="17" t="s">
        <v>382</v>
      </c>
      <c r="C339" s="18" t="s">
        <v>938</v>
      </c>
      <c r="D339" s="19">
        <v>206941</v>
      </c>
      <c r="E339" s="19">
        <v>3</v>
      </c>
      <c r="F339" s="582" t="s">
        <v>74</v>
      </c>
      <c r="G339" s="585" t="s">
        <v>74</v>
      </c>
      <c r="H339" s="587"/>
      <c r="I339" s="585"/>
      <c r="J339" s="587">
        <v>153272</v>
      </c>
      <c r="K339" s="585">
        <v>146042</v>
      </c>
      <c r="L339" s="587">
        <v>24522</v>
      </c>
      <c r="M339" s="585">
        <v>24041</v>
      </c>
      <c r="N339" s="587">
        <v>167312</v>
      </c>
      <c r="O339" s="585">
        <v>164215</v>
      </c>
      <c r="P339" s="583">
        <f t="shared" si="108"/>
        <v>345106</v>
      </c>
      <c r="Q339" s="583">
        <f t="shared" si="109"/>
        <v>11503.533333333333</v>
      </c>
      <c r="R339" s="584">
        <f t="shared" si="110"/>
        <v>334298</v>
      </c>
      <c r="S339" s="584">
        <f t="shared" si="111"/>
        <v>11143.266666666666</v>
      </c>
      <c r="T339" s="587">
        <v>5156</v>
      </c>
      <c r="U339" s="585">
        <v>5012</v>
      </c>
      <c r="V339" s="583">
        <f t="shared" si="112"/>
        <v>345106</v>
      </c>
      <c r="W339" s="584">
        <f t="shared" si="113"/>
        <v>334298</v>
      </c>
      <c r="X339" s="587"/>
      <c r="Y339" s="585"/>
      <c r="Z339" s="587"/>
      <c r="AA339" s="585"/>
      <c r="AB339" s="587"/>
      <c r="AC339" s="585"/>
      <c r="AD339" s="587"/>
      <c r="AE339" s="585"/>
      <c r="AF339" s="583">
        <f t="shared" si="114"/>
        <v>0</v>
      </c>
      <c r="AG339" s="583">
        <f t="shared" si="115"/>
        <v>0</v>
      </c>
      <c r="AH339" s="584">
        <f t="shared" si="116"/>
        <v>0</v>
      </c>
      <c r="AI339" s="584">
        <f t="shared" si="117"/>
        <v>0</v>
      </c>
      <c r="AJ339" s="587"/>
      <c r="AK339" s="585"/>
      <c r="AL339" s="583">
        <f t="shared" si="100"/>
        <v>0</v>
      </c>
      <c r="AM339" s="584">
        <f t="shared" si="101"/>
        <v>0</v>
      </c>
      <c r="AN339" s="587"/>
      <c r="AO339" s="585"/>
      <c r="AP339" s="587">
        <v>9914</v>
      </c>
      <c r="AQ339" s="585">
        <v>9778</v>
      </c>
      <c r="AR339" s="587">
        <v>3452</v>
      </c>
      <c r="AS339" s="585">
        <v>3482</v>
      </c>
      <c r="AT339" s="587">
        <v>10154</v>
      </c>
      <c r="AU339" s="585">
        <v>10475</v>
      </c>
      <c r="AV339" s="583">
        <f t="shared" si="102"/>
        <v>23520</v>
      </c>
      <c r="AW339" s="583">
        <f t="shared" si="103"/>
        <v>980</v>
      </c>
      <c r="AX339" s="584">
        <f t="shared" si="104"/>
        <v>23735</v>
      </c>
      <c r="AY339" s="584">
        <f t="shared" si="105"/>
        <v>988.95833333333337</v>
      </c>
      <c r="AZ339" s="583">
        <f t="shared" si="106"/>
        <v>12483.533333333333</v>
      </c>
      <c r="BA339" s="584">
        <f t="shared" si="107"/>
        <v>12132.225</v>
      </c>
    </row>
    <row r="340" spans="1:53">
      <c r="A340" s="431" t="s">
        <v>331</v>
      </c>
      <c r="B340" s="17" t="s">
        <v>383</v>
      </c>
      <c r="C340" s="41"/>
      <c r="D340" s="19">
        <v>207847</v>
      </c>
      <c r="E340" s="19">
        <v>4</v>
      </c>
      <c r="F340" s="582" t="s">
        <v>74</v>
      </c>
      <c r="G340" s="585" t="s">
        <v>74</v>
      </c>
      <c r="H340" s="587"/>
      <c r="I340" s="585"/>
      <c r="J340" s="587">
        <v>34734</v>
      </c>
      <c r="K340" s="585">
        <v>33073</v>
      </c>
      <c r="L340" s="587">
        <v>5544</v>
      </c>
      <c r="M340" s="585">
        <v>5320</v>
      </c>
      <c r="N340" s="587">
        <v>39090</v>
      </c>
      <c r="O340" s="585">
        <v>37944</v>
      </c>
      <c r="P340" s="583">
        <f t="shared" si="108"/>
        <v>79368</v>
      </c>
      <c r="Q340" s="583">
        <f t="shared" si="109"/>
        <v>2645.6</v>
      </c>
      <c r="R340" s="584">
        <f t="shared" si="110"/>
        <v>76337</v>
      </c>
      <c r="S340" s="584">
        <f t="shared" si="111"/>
        <v>2544.5666666666666</v>
      </c>
      <c r="T340" s="587">
        <v>2028</v>
      </c>
      <c r="U340" s="585">
        <v>2157</v>
      </c>
      <c r="V340" s="583">
        <f t="shared" si="112"/>
        <v>79368</v>
      </c>
      <c r="W340" s="584">
        <f t="shared" si="113"/>
        <v>76337</v>
      </c>
      <c r="X340" s="587"/>
      <c r="Y340" s="585"/>
      <c r="Z340" s="587"/>
      <c r="AA340" s="585"/>
      <c r="AB340" s="587"/>
      <c r="AC340" s="585"/>
      <c r="AD340" s="587"/>
      <c r="AE340" s="585"/>
      <c r="AF340" s="583">
        <f t="shared" si="114"/>
        <v>0</v>
      </c>
      <c r="AG340" s="583">
        <f t="shared" si="115"/>
        <v>0</v>
      </c>
      <c r="AH340" s="584">
        <f t="shared" si="116"/>
        <v>0</v>
      </c>
      <c r="AI340" s="584">
        <f t="shared" si="117"/>
        <v>0</v>
      </c>
      <c r="AJ340" s="587"/>
      <c r="AK340" s="585"/>
      <c r="AL340" s="583">
        <f t="shared" si="100"/>
        <v>0</v>
      </c>
      <c r="AM340" s="584">
        <f t="shared" si="101"/>
        <v>0</v>
      </c>
      <c r="AN340" s="587"/>
      <c r="AO340" s="585"/>
      <c r="AP340" s="587">
        <v>6768</v>
      </c>
      <c r="AQ340" s="586">
        <v>10634</v>
      </c>
      <c r="AR340" s="587">
        <v>6056</v>
      </c>
      <c r="AS340" s="585">
        <v>6089</v>
      </c>
      <c r="AT340" s="587">
        <v>9600</v>
      </c>
      <c r="AU340" s="585">
        <v>9645</v>
      </c>
      <c r="AV340" s="583">
        <f t="shared" si="102"/>
        <v>22424</v>
      </c>
      <c r="AW340" s="583">
        <f t="shared" si="103"/>
        <v>934.33333333333337</v>
      </c>
      <c r="AX340" s="584">
        <f t="shared" si="104"/>
        <v>26368</v>
      </c>
      <c r="AY340" s="584">
        <f t="shared" si="105"/>
        <v>1098.6666666666667</v>
      </c>
      <c r="AZ340" s="583">
        <f t="shared" si="106"/>
        <v>3579.9333333333334</v>
      </c>
      <c r="BA340" s="584">
        <f t="shared" si="107"/>
        <v>3643.2333333333336</v>
      </c>
    </row>
    <row r="341" spans="1:53">
      <c r="A341" s="431" t="s">
        <v>331</v>
      </c>
      <c r="B341" s="17" t="s">
        <v>388</v>
      </c>
      <c r="C341" s="41"/>
      <c r="D341" s="19">
        <v>207865</v>
      </c>
      <c r="E341" s="19">
        <v>4</v>
      </c>
      <c r="F341" s="582" t="s">
        <v>74</v>
      </c>
      <c r="G341" s="585" t="s">
        <v>74</v>
      </c>
      <c r="H341" s="587"/>
      <c r="I341" s="585"/>
      <c r="J341" s="587">
        <v>53823</v>
      </c>
      <c r="K341" s="585">
        <v>47910</v>
      </c>
      <c r="L341" s="587">
        <v>8174</v>
      </c>
      <c r="M341" s="585">
        <v>7988</v>
      </c>
      <c r="N341" s="587">
        <v>59793</v>
      </c>
      <c r="O341" s="585">
        <v>55785</v>
      </c>
      <c r="P341" s="583">
        <f t="shared" si="108"/>
        <v>121790</v>
      </c>
      <c r="Q341" s="583">
        <f t="shared" si="109"/>
        <v>4059.6666666666665</v>
      </c>
      <c r="R341" s="584">
        <f t="shared" si="110"/>
        <v>111683</v>
      </c>
      <c r="S341" s="584">
        <f t="shared" si="111"/>
        <v>3722.7666666666669</v>
      </c>
      <c r="T341" s="587">
        <v>2182</v>
      </c>
      <c r="U341" s="585">
        <v>1913</v>
      </c>
      <c r="V341" s="583">
        <f t="shared" si="112"/>
        <v>121790</v>
      </c>
      <c r="W341" s="584">
        <f t="shared" si="113"/>
        <v>111683</v>
      </c>
      <c r="X341" s="587"/>
      <c r="Y341" s="585"/>
      <c r="Z341" s="587"/>
      <c r="AA341" s="585"/>
      <c r="AB341" s="587"/>
      <c r="AC341" s="585"/>
      <c r="AD341" s="587"/>
      <c r="AE341" s="585"/>
      <c r="AF341" s="583">
        <f t="shared" si="114"/>
        <v>0</v>
      </c>
      <c r="AG341" s="583">
        <f t="shared" si="115"/>
        <v>0</v>
      </c>
      <c r="AH341" s="584">
        <f t="shared" si="116"/>
        <v>0</v>
      </c>
      <c r="AI341" s="584">
        <f t="shared" si="117"/>
        <v>0</v>
      </c>
      <c r="AJ341" s="587"/>
      <c r="AK341" s="585"/>
      <c r="AL341" s="583">
        <f t="shared" si="100"/>
        <v>0</v>
      </c>
      <c r="AM341" s="584">
        <f t="shared" si="101"/>
        <v>0</v>
      </c>
      <c r="AN341" s="587"/>
      <c r="AO341" s="585"/>
      <c r="AP341" s="587">
        <v>6188</v>
      </c>
      <c r="AQ341" s="585">
        <v>8693</v>
      </c>
      <c r="AR341" s="587">
        <v>2431</v>
      </c>
      <c r="AS341" s="585">
        <v>2402</v>
      </c>
      <c r="AT341" s="587">
        <v>5870</v>
      </c>
      <c r="AU341" s="585">
        <v>8791</v>
      </c>
      <c r="AV341" s="583">
        <f t="shared" si="102"/>
        <v>14489</v>
      </c>
      <c r="AW341" s="583">
        <f t="shared" si="103"/>
        <v>603.70833333333337</v>
      </c>
      <c r="AX341" s="584">
        <f t="shared" si="104"/>
        <v>19886</v>
      </c>
      <c r="AY341" s="584">
        <f t="shared" si="105"/>
        <v>828.58333333333337</v>
      </c>
      <c r="AZ341" s="583">
        <f t="shared" si="106"/>
        <v>4663.375</v>
      </c>
      <c r="BA341" s="584">
        <f t="shared" si="107"/>
        <v>4551.3500000000004</v>
      </c>
    </row>
    <row r="342" spans="1:53">
      <c r="A342" s="431" t="s">
        <v>331</v>
      </c>
      <c r="B342" s="17" t="s">
        <v>384</v>
      </c>
      <c r="C342" s="18"/>
      <c r="D342" s="19">
        <v>206914</v>
      </c>
      <c r="E342" s="19">
        <v>5</v>
      </c>
      <c r="F342" s="582" t="s">
        <v>74</v>
      </c>
      <c r="G342" s="585" t="s">
        <v>74</v>
      </c>
      <c r="H342" s="587"/>
      <c r="I342" s="585"/>
      <c r="J342" s="587">
        <v>42601</v>
      </c>
      <c r="K342" s="585">
        <v>39377</v>
      </c>
      <c r="L342" s="587">
        <v>7452</v>
      </c>
      <c r="M342" s="585">
        <v>7292</v>
      </c>
      <c r="N342" s="587">
        <v>45607</v>
      </c>
      <c r="O342" s="585">
        <v>43978</v>
      </c>
      <c r="P342" s="583">
        <f t="shared" si="108"/>
        <v>95660</v>
      </c>
      <c r="Q342" s="583">
        <f t="shared" si="109"/>
        <v>3188.6666666666665</v>
      </c>
      <c r="R342" s="584">
        <f t="shared" si="110"/>
        <v>90647</v>
      </c>
      <c r="S342" s="584">
        <f t="shared" si="111"/>
        <v>3021.5666666666666</v>
      </c>
      <c r="T342" s="587">
        <v>3154</v>
      </c>
      <c r="U342" s="585">
        <v>3233</v>
      </c>
      <c r="V342" s="583">
        <f t="shared" si="112"/>
        <v>95660</v>
      </c>
      <c r="W342" s="584">
        <f t="shared" si="113"/>
        <v>90647</v>
      </c>
      <c r="X342" s="587"/>
      <c r="Y342" s="585"/>
      <c r="Z342" s="587"/>
      <c r="AA342" s="585"/>
      <c r="AB342" s="587"/>
      <c r="AC342" s="585"/>
      <c r="AD342" s="587"/>
      <c r="AE342" s="585"/>
      <c r="AF342" s="583">
        <f t="shared" si="114"/>
        <v>0</v>
      </c>
      <c r="AG342" s="583">
        <f t="shared" si="115"/>
        <v>0</v>
      </c>
      <c r="AH342" s="584">
        <f t="shared" si="116"/>
        <v>0</v>
      </c>
      <c r="AI342" s="584">
        <f t="shared" si="117"/>
        <v>0</v>
      </c>
      <c r="AJ342" s="587"/>
      <c r="AK342" s="585"/>
      <c r="AL342" s="583">
        <f t="shared" si="100"/>
        <v>0</v>
      </c>
      <c r="AM342" s="584">
        <f t="shared" si="101"/>
        <v>0</v>
      </c>
      <c r="AN342" s="587"/>
      <c r="AO342" s="585"/>
      <c r="AP342" s="587">
        <v>2278</v>
      </c>
      <c r="AQ342" s="585">
        <v>2154</v>
      </c>
      <c r="AR342" s="587">
        <v>683</v>
      </c>
      <c r="AS342" s="585">
        <v>711</v>
      </c>
      <c r="AT342" s="587">
        <v>2280</v>
      </c>
      <c r="AU342" s="585">
        <v>2331</v>
      </c>
      <c r="AV342" s="583">
        <f t="shared" si="102"/>
        <v>5241</v>
      </c>
      <c r="AW342" s="583">
        <f t="shared" si="103"/>
        <v>218.375</v>
      </c>
      <c r="AX342" s="584">
        <f t="shared" si="104"/>
        <v>5196</v>
      </c>
      <c r="AY342" s="584">
        <f t="shared" si="105"/>
        <v>216.5</v>
      </c>
      <c r="AZ342" s="583">
        <f t="shared" si="106"/>
        <v>3407.0416666666665</v>
      </c>
      <c r="BA342" s="584">
        <f t="shared" si="107"/>
        <v>3238.0666666666666</v>
      </c>
    </row>
    <row r="343" spans="1:53">
      <c r="A343" s="431" t="s">
        <v>331</v>
      </c>
      <c r="B343" s="17" t="s">
        <v>385</v>
      </c>
      <c r="C343" s="18" t="s">
        <v>916</v>
      </c>
      <c r="D343" s="19">
        <v>207041</v>
      </c>
      <c r="E343" s="19">
        <v>5</v>
      </c>
      <c r="F343" s="582" t="s">
        <v>74</v>
      </c>
      <c r="G343" s="585" t="s">
        <v>74</v>
      </c>
      <c r="H343" s="587"/>
      <c r="I343" s="585"/>
      <c r="J343" s="587">
        <v>37140</v>
      </c>
      <c r="K343" s="585">
        <v>34185</v>
      </c>
      <c r="L343" s="587">
        <v>5038</v>
      </c>
      <c r="M343" s="585">
        <v>4870</v>
      </c>
      <c r="N343" s="587">
        <v>38052</v>
      </c>
      <c r="O343" s="585">
        <v>37156</v>
      </c>
      <c r="P343" s="583">
        <f t="shared" si="108"/>
        <v>80230</v>
      </c>
      <c r="Q343" s="583">
        <f t="shared" si="109"/>
        <v>2674.3333333333335</v>
      </c>
      <c r="R343" s="584">
        <f t="shared" si="110"/>
        <v>76211</v>
      </c>
      <c r="S343" s="584">
        <f t="shared" si="111"/>
        <v>2540.3666666666668</v>
      </c>
      <c r="T343" s="587">
        <v>2195</v>
      </c>
      <c r="U343" s="585">
        <v>2348</v>
      </c>
      <c r="V343" s="583">
        <f t="shared" si="112"/>
        <v>80230</v>
      </c>
      <c r="W343" s="584">
        <f t="shared" si="113"/>
        <v>76211</v>
      </c>
      <c r="X343" s="587"/>
      <c r="Y343" s="585"/>
      <c r="Z343" s="587"/>
      <c r="AA343" s="585"/>
      <c r="AB343" s="587"/>
      <c r="AC343" s="585"/>
      <c r="AD343" s="587"/>
      <c r="AE343" s="585"/>
      <c r="AF343" s="583">
        <f t="shared" si="114"/>
        <v>0</v>
      </c>
      <c r="AG343" s="583">
        <f t="shared" si="115"/>
        <v>0</v>
      </c>
      <c r="AH343" s="584">
        <f t="shared" si="116"/>
        <v>0</v>
      </c>
      <c r="AI343" s="584">
        <f t="shared" si="117"/>
        <v>0</v>
      </c>
      <c r="AJ343" s="587"/>
      <c r="AK343" s="585"/>
      <c r="AL343" s="583">
        <f t="shared" si="100"/>
        <v>0</v>
      </c>
      <c r="AM343" s="584">
        <f t="shared" si="101"/>
        <v>0</v>
      </c>
      <c r="AN343" s="587"/>
      <c r="AO343" s="585"/>
      <c r="AP343" s="587">
        <v>4371</v>
      </c>
      <c r="AQ343" s="585">
        <v>4071</v>
      </c>
      <c r="AR343" s="587">
        <v>2194</v>
      </c>
      <c r="AS343" s="585">
        <v>2162</v>
      </c>
      <c r="AT343" s="587">
        <v>4106</v>
      </c>
      <c r="AU343" s="585">
        <v>4243</v>
      </c>
      <c r="AV343" s="583">
        <f t="shared" si="102"/>
        <v>10671</v>
      </c>
      <c r="AW343" s="583">
        <f t="shared" si="103"/>
        <v>444.625</v>
      </c>
      <c r="AX343" s="584">
        <f t="shared" si="104"/>
        <v>10476</v>
      </c>
      <c r="AY343" s="584">
        <f t="shared" si="105"/>
        <v>436.5</v>
      </c>
      <c r="AZ343" s="583">
        <f t="shared" si="106"/>
        <v>3118.9583333333335</v>
      </c>
      <c r="BA343" s="584">
        <f t="shared" si="107"/>
        <v>2976.8666666666668</v>
      </c>
    </row>
    <row r="344" spans="1:53">
      <c r="A344" s="431" t="s">
        <v>331</v>
      </c>
      <c r="B344" s="17" t="s">
        <v>386</v>
      </c>
      <c r="C344" s="18"/>
      <c r="D344" s="19">
        <v>207209</v>
      </c>
      <c r="E344" s="19">
        <v>5</v>
      </c>
      <c r="F344" s="582" t="s">
        <v>74</v>
      </c>
      <c r="G344" s="585" t="s">
        <v>74</v>
      </c>
      <c r="H344" s="587"/>
      <c r="I344" s="585"/>
      <c r="J344" s="587">
        <v>25545</v>
      </c>
      <c r="K344" s="585">
        <v>25507</v>
      </c>
      <c r="L344" s="587">
        <v>2687</v>
      </c>
      <c r="M344" s="585">
        <v>2690</v>
      </c>
      <c r="N344" s="587">
        <v>28335</v>
      </c>
      <c r="O344" s="585">
        <v>28275</v>
      </c>
      <c r="P344" s="583">
        <f t="shared" si="108"/>
        <v>56567</v>
      </c>
      <c r="Q344" s="583">
        <f t="shared" si="109"/>
        <v>1885.5666666666666</v>
      </c>
      <c r="R344" s="584">
        <f t="shared" si="110"/>
        <v>56472</v>
      </c>
      <c r="S344" s="584">
        <f t="shared" si="111"/>
        <v>1882.4</v>
      </c>
      <c r="T344" s="587">
        <v>59</v>
      </c>
      <c r="U344" s="585">
        <v>65</v>
      </c>
      <c r="V344" s="583">
        <f t="shared" si="112"/>
        <v>56567</v>
      </c>
      <c r="W344" s="584">
        <f t="shared" si="113"/>
        <v>56472</v>
      </c>
      <c r="X344" s="587"/>
      <c r="Y344" s="585"/>
      <c r="Z344" s="587"/>
      <c r="AA344" s="585"/>
      <c r="AB344" s="587"/>
      <c r="AC344" s="585"/>
      <c r="AD344" s="587"/>
      <c r="AE344" s="585"/>
      <c r="AF344" s="583">
        <f t="shared" si="114"/>
        <v>0</v>
      </c>
      <c r="AG344" s="583">
        <f t="shared" si="115"/>
        <v>0</v>
      </c>
      <c r="AH344" s="584">
        <f t="shared" si="116"/>
        <v>0</v>
      </c>
      <c r="AI344" s="584">
        <f t="shared" si="117"/>
        <v>0</v>
      </c>
      <c r="AJ344" s="587"/>
      <c r="AK344" s="585"/>
      <c r="AL344" s="583">
        <f t="shared" si="100"/>
        <v>0</v>
      </c>
      <c r="AM344" s="584">
        <f t="shared" si="101"/>
        <v>0</v>
      </c>
      <c r="AN344" s="587"/>
      <c r="AO344" s="585"/>
      <c r="AP344" s="587">
        <v>2339</v>
      </c>
      <c r="AQ344" s="585">
        <v>2121</v>
      </c>
      <c r="AR344" s="587">
        <v>1114</v>
      </c>
      <c r="AS344" s="585">
        <v>1111</v>
      </c>
      <c r="AT344" s="587">
        <v>2034</v>
      </c>
      <c r="AU344" s="585">
        <v>2035</v>
      </c>
      <c r="AV344" s="583">
        <f t="shared" si="102"/>
        <v>5487</v>
      </c>
      <c r="AW344" s="583">
        <f t="shared" si="103"/>
        <v>228.625</v>
      </c>
      <c r="AX344" s="584">
        <f t="shared" si="104"/>
        <v>5267</v>
      </c>
      <c r="AY344" s="584">
        <f t="shared" si="105"/>
        <v>219.45833333333334</v>
      </c>
      <c r="AZ344" s="583">
        <f t="shared" si="106"/>
        <v>2114.1916666666666</v>
      </c>
      <c r="BA344" s="584">
        <f t="shared" si="107"/>
        <v>2101.8583333333336</v>
      </c>
    </row>
    <row r="345" spans="1:53">
      <c r="A345" s="431" t="s">
        <v>331</v>
      </c>
      <c r="B345" s="17" t="s">
        <v>387</v>
      </c>
      <c r="C345" s="18"/>
      <c r="D345" s="19">
        <v>207306</v>
      </c>
      <c r="E345" s="19">
        <v>5</v>
      </c>
      <c r="F345" s="582" t="s">
        <v>74</v>
      </c>
      <c r="G345" s="585" t="s">
        <v>74</v>
      </c>
      <c r="H345" s="587"/>
      <c r="I345" s="585"/>
      <c r="J345" s="587">
        <v>21089</v>
      </c>
      <c r="K345" s="585">
        <v>20329</v>
      </c>
      <c r="L345" s="587">
        <v>3189</v>
      </c>
      <c r="M345" s="585">
        <v>2866</v>
      </c>
      <c r="N345" s="587">
        <v>23591</v>
      </c>
      <c r="O345" s="585">
        <v>22883</v>
      </c>
      <c r="P345" s="583">
        <f t="shared" si="108"/>
        <v>47869</v>
      </c>
      <c r="Q345" s="583">
        <f t="shared" si="109"/>
        <v>1595.6333333333334</v>
      </c>
      <c r="R345" s="584">
        <f t="shared" si="110"/>
        <v>46078</v>
      </c>
      <c r="S345" s="584">
        <f t="shared" si="111"/>
        <v>1535.9333333333334</v>
      </c>
      <c r="T345" s="587">
        <v>849</v>
      </c>
      <c r="U345" s="585">
        <v>782</v>
      </c>
      <c r="V345" s="583">
        <f t="shared" si="112"/>
        <v>47869</v>
      </c>
      <c r="W345" s="584">
        <f t="shared" si="113"/>
        <v>46078</v>
      </c>
      <c r="X345" s="587"/>
      <c r="Y345" s="585"/>
      <c r="Z345" s="587"/>
      <c r="AA345" s="585"/>
      <c r="AB345" s="587"/>
      <c r="AC345" s="585"/>
      <c r="AD345" s="587"/>
      <c r="AE345" s="585"/>
      <c r="AF345" s="583">
        <f t="shared" si="114"/>
        <v>0</v>
      </c>
      <c r="AG345" s="583">
        <f t="shared" si="115"/>
        <v>0</v>
      </c>
      <c r="AH345" s="584">
        <f t="shared" si="116"/>
        <v>0</v>
      </c>
      <c r="AI345" s="584">
        <f t="shared" si="117"/>
        <v>0</v>
      </c>
      <c r="AJ345" s="587"/>
      <c r="AK345" s="585"/>
      <c r="AL345" s="583">
        <f t="shared" si="100"/>
        <v>0</v>
      </c>
      <c r="AM345" s="584">
        <f t="shared" si="101"/>
        <v>0</v>
      </c>
      <c r="AN345" s="587"/>
      <c r="AO345" s="585"/>
      <c r="AP345" s="587">
        <v>1050</v>
      </c>
      <c r="AQ345" s="585">
        <v>1100</v>
      </c>
      <c r="AR345" s="587">
        <v>839</v>
      </c>
      <c r="AS345" s="585">
        <v>823</v>
      </c>
      <c r="AT345" s="587">
        <v>1291</v>
      </c>
      <c r="AU345" s="585">
        <v>1297</v>
      </c>
      <c r="AV345" s="583">
        <f t="shared" si="102"/>
        <v>3180</v>
      </c>
      <c r="AW345" s="583">
        <f t="shared" si="103"/>
        <v>132.5</v>
      </c>
      <c r="AX345" s="584">
        <f t="shared" si="104"/>
        <v>3220</v>
      </c>
      <c r="AY345" s="584">
        <f t="shared" si="105"/>
        <v>134.16666666666666</v>
      </c>
      <c r="AZ345" s="583">
        <f t="shared" si="106"/>
        <v>1728.1333333333334</v>
      </c>
      <c r="BA345" s="584">
        <f t="shared" si="107"/>
        <v>1670.1000000000001</v>
      </c>
    </row>
    <row r="346" spans="1:53">
      <c r="A346" s="431" t="s">
        <v>331</v>
      </c>
      <c r="B346" s="17" t="s">
        <v>389</v>
      </c>
      <c r="C346" s="18"/>
      <c r="D346" s="19">
        <v>207351</v>
      </c>
      <c r="E346" s="19">
        <v>6</v>
      </c>
      <c r="F346" s="582" t="s">
        <v>74</v>
      </c>
      <c r="G346" s="585" t="s">
        <v>74</v>
      </c>
      <c r="H346" s="587"/>
      <c r="I346" s="585"/>
      <c r="J346" s="587">
        <v>12943</v>
      </c>
      <c r="K346" s="585">
        <v>13254</v>
      </c>
      <c r="L346" s="587">
        <v>1928</v>
      </c>
      <c r="M346" s="585">
        <v>1848</v>
      </c>
      <c r="N346" s="587">
        <v>16122</v>
      </c>
      <c r="O346" s="585">
        <v>15573</v>
      </c>
      <c r="P346" s="583">
        <f t="shared" si="108"/>
        <v>30993</v>
      </c>
      <c r="Q346" s="583">
        <f t="shared" si="109"/>
        <v>1033.0999999999999</v>
      </c>
      <c r="R346" s="584">
        <f t="shared" si="110"/>
        <v>30675</v>
      </c>
      <c r="S346" s="584">
        <f t="shared" si="111"/>
        <v>1022.5</v>
      </c>
      <c r="T346" s="587">
        <v>1175</v>
      </c>
      <c r="U346" s="585">
        <v>1249</v>
      </c>
      <c r="V346" s="583">
        <f t="shared" si="112"/>
        <v>30993</v>
      </c>
      <c r="W346" s="584">
        <f t="shared" si="113"/>
        <v>30675</v>
      </c>
      <c r="X346" s="587"/>
      <c r="Y346" s="585"/>
      <c r="Z346" s="587"/>
      <c r="AA346" s="585"/>
      <c r="AB346" s="587"/>
      <c r="AC346" s="585"/>
      <c r="AD346" s="587"/>
      <c r="AE346" s="585"/>
      <c r="AF346" s="583">
        <f t="shared" si="114"/>
        <v>0</v>
      </c>
      <c r="AG346" s="583">
        <f t="shared" si="115"/>
        <v>0</v>
      </c>
      <c r="AH346" s="584">
        <f t="shared" si="116"/>
        <v>0</v>
      </c>
      <c r="AI346" s="584">
        <f t="shared" si="117"/>
        <v>0</v>
      </c>
      <c r="AJ346" s="587"/>
      <c r="AK346" s="585"/>
      <c r="AL346" s="583">
        <f t="shared" si="100"/>
        <v>0</v>
      </c>
      <c r="AM346" s="584">
        <f t="shared" si="101"/>
        <v>0</v>
      </c>
      <c r="AN346" s="587"/>
      <c r="AO346" s="585"/>
      <c r="AP346" s="587"/>
      <c r="AQ346" s="585"/>
      <c r="AR346" s="587"/>
      <c r="AS346" s="585"/>
      <c r="AT346" s="587"/>
      <c r="AU346" s="585"/>
      <c r="AV346" s="583">
        <f t="shared" si="102"/>
        <v>0</v>
      </c>
      <c r="AW346" s="583">
        <f t="shared" si="103"/>
        <v>0</v>
      </c>
      <c r="AX346" s="584">
        <f t="shared" si="104"/>
        <v>0</v>
      </c>
      <c r="AY346" s="584">
        <f t="shared" si="105"/>
        <v>0</v>
      </c>
      <c r="AZ346" s="583">
        <f t="shared" si="106"/>
        <v>1033.0999999999999</v>
      </c>
      <c r="BA346" s="584">
        <f t="shared" si="107"/>
        <v>1022.5</v>
      </c>
    </row>
    <row r="347" spans="1:53">
      <c r="A347" s="431" t="s">
        <v>331</v>
      </c>
      <c r="B347" s="17" t="s">
        <v>390</v>
      </c>
      <c r="C347" s="18"/>
      <c r="D347" s="19">
        <v>207661</v>
      </c>
      <c r="E347" s="42">
        <v>6</v>
      </c>
      <c r="F347" s="582" t="s">
        <v>74</v>
      </c>
      <c r="G347" s="585" t="s">
        <v>74</v>
      </c>
      <c r="H347" s="587"/>
      <c r="I347" s="585"/>
      <c r="J347" s="587">
        <v>37283</v>
      </c>
      <c r="K347" s="585">
        <v>33796</v>
      </c>
      <c r="L347" s="587">
        <v>4713</v>
      </c>
      <c r="M347" s="585">
        <v>4585</v>
      </c>
      <c r="N347" s="587">
        <v>39924</v>
      </c>
      <c r="O347" s="585">
        <v>37984</v>
      </c>
      <c r="P347" s="583">
        <f t="shared" si="108"/>
        <v>81920</v>
      </c>
      <c r="Q347" s="583">
        <f t="shared" si="109"/>
        <v>2730.6666666666665</v>
      </c>
      <c r="R347" s="584">
        <f t="shared" si="110"/>
        <v>76365</v>
      </c>
      <c r="S347" s="584">
        <f t="shared" si="111"/>
        <v>2545.5</v>
      </c>
      <c r="T347" s="587">
        <v>3850</v>
      </c>
      <c r="U347" s="585">
        <v>3885</v>
      </c>
      <c r="V347" s="583">
        <f t="shared" si="112"/>
        <v>81920</v>
      </c>
      <c r="W347" s="584">
        <f t="shared" si="113"/>
        <v>76365</v>
      </c>
      <c r="X347" s="587"/>
      <c r="Y347" s="585"/>
      <c r="Z347" s="587"/>
      <c r="AA347" s="585"/>
      <c r="AB347" s="587"/>
      <c r="AC347" s="585"/>
      <c r="AD347" s="587"/>
      <c r="AE347" s="585"/>
      <c r="AF347" s="583">
        <f t="shared" si="114"/>
        <v>0</v>
      </c>
      <c r="AG347" s="583">
        <f t="shared" si="115"/>
        <v>0</v>
      </c>
      <c r="AH347" s="584">
        <f t="shared" si="116"/>
        <v>0</v>
      </c>
      <c r="AI347" s="584">
        <f t="shared" si="117"/>
        <v>0</v>
      </c>
      <c r="AJ347" s="587"/>
      <c r="AK347" s="585"/>
      <c r="AL347" s="583">
        <f t="shared" si="100"/>
        <v>0</v>
      </c>
      <c r="AM347" s="584">
        <f t="shared" si="101"/>
        <v>0</v>
      </c>
      <c r="AN347" s="587"/>
      <c r="AO347" s="585"/>
      <c r="AP347" s="587">
        <v>222</v>
      </c>
      <c r="AQ347" s="585">
        <v>165</v>
      </c>
      <c r="AR347" s="587">
        <v>24</v>
      </c>
      <c r="AS347" s="585">
        <v>24</v>
      </c>
      <c r="AT347" s="587">
        <v>213</v>
      </c>
      <c r="AU347" s="585">
        <v>216</v>
      </c>
      <c r="AV347" s="583">
        <f t="shared" si="102"/>
        <v>459</v>
      </c>
      <c r="AW347" s="583">
        <f t="shared" si="103"/>
        <v>19.125</v>
      </c>
      <c r="AX347" s="584">
        <f t="shared" si="104"/>
        <v>405</v>
      </c>
      <c r="AY347" s="584">
        <f t="shared" si="105"/>
        <v>16.875</v>
      </c>
      <c r="AZ347" s="583">
        <f t="shared" si="106"/>
        <v>2749.7916666666665</v>
      </c>
      <c r="BA347" s="584">
        <f t="shared" si="107"/>
        <v>2562.375</v>
      </c>
    </row>
    <row r="348" spans="1:53">
      <c r="A348" s="431" t="s">
        <v>331</v>
      </c>
      <c r="B348" s="17" t="s">
        <v>391</v>
      </c>
      <c r="C348" s="18"/>
      <c r="D348" s="19">
        <v>207722</v>
      </c>
      <c r="E348" s="19">
        <v>6</v>
      </c>
      <c r="F348" s="582" t="s">
        <v>74</v>
      </c>
      <c r="G348" s="585" t="s">
        <v>74</v>
      </c>
      <c r="H348" s="587"/>
      <c r="I348" s="585"/>
      <c r="J348" s="587">
        <v>10796</v>
      </c>
      <c r="K348" s="585">
        <v>9138</v>
      </c>
      <c r="L348" s="587">
        <v>3265</v>
      </c>
      <c r="M348" s="585">
        <v>3251</v>
      </c>
      <c r="N348" s="587">
        <v>11425</v>
      </c>
      <c r="O348" s="585">
        <v>11411</v>
      </c>
      <c r="P348" s="583">
        <f t="shared" si="108"/>
        <v>25486</v>
      </c>
      <c r="Q348" s="583">
        <f t="shared" si="109"/>
        <v>849.5333333333333</v>
      </c>
      <c r="R348" s="584">
        <f t="shared" si="110"/>
        <v>23800</v>
      </c>
      <c r="S348" s="584">
        <f t="shared" si="111"/>
        <v>793.33333333333337</v>
      </c>
      <c r="T348" s="587">
        <v>76</v>
      </c>
      <c r="U348" s="585">
        <v>68</v>
      </c>
      <c r="V348" s="583">
        <f t="shared" si="112"/>
        <v>25486</v>
      </c>
      <c r="W348" s="584">
        <f t="shared" si="113"/>
        <v>23800</v>
      </c>
      <c r="X348" s="587"/>
      <c r="Y348" s="585"/>
      <c r="Z348" s="587"/>
      <c r="AA348" s="585"/>
      <c r="AB348" s="587"/>
      <c r="AC348" s="585"/>
      <c r="AD348" s="587"/>
      <c r="AE348" s="585"/>
      <c r="AF348" s="583">
        <f t="shared" si="114"/>
        <v>0</v>
      </c>
      <c r="AG348" s="583">
        <f t="shared" si="115"/>
        <v>0</v>
      </c>
      <c r="AH348" s="584">
        <f t="shared" si="116"/>
        <v>0</v>
      </c>
      <c r="AI348" s="584">
        <f t="shared" si="117"/>
        <v>0</v>
      </c>
      <c r="AJ348" s="587"/>
      <c r="AK348" s="585"/>
      <c r="AL348" s="583">
        <f t="shared" si="100"/>
        <v>0</v>
      </c>
      <c r="AM348" s="584">
        <f t="shared" si="101"/>
        <v>0</v>
      </c>
      <c r="AN348" s="587"/>
      <c r="AO348" s="585"/>
      <c r="AP348" s="587"/>
      <c r="AQ348" s="585"/>
      <c r="AR348" s="587"/>
      <c r="AS348" s="585"/>
      <c r="AT348" s="587"/>
      <c r="AU348" s="585"/>
      <c r="AV348" s="583">
        <f t="shared" si="102"/>
        <v>0</v>
      </c>
      <c r="AW348" s="583">
        <f t="shared" si="103"/>
        <v>0</v>
      </c>
      <c r="AX348" s="584">
        <f t="shared" si="104"/>
        <v>0</v>
      </c>
      <c r="AY348" s="584">
        <f t="shared" si="105"/>
        <v>0</v>
      </c>
      <c r="AZ348" s="583">
        <f t="shared" si="106"/>
        <v>849.5333333333333</v>
      </c>
      <c r="BA348" s="584">
        <f t="shared" si="107"/>
        <v>793.33333333333337</v>
      </c>
    </row>
    <row r="349" spans="1:53">
      <c r="A349" s="431" t="s">
        <v>331</v>
      </c>
      <c r="B349" s="17" t="s">
        <v>941</v>
      </c>
      <c r="C349" s="18"/>
      <c r="D349" s="19">
        <v>207564</v>
      </c>
      <c r="E349" s="19">
        <v>7</v>
      </c>
      <c r="F349" s="582" t="s">
        <v>74</v>
      </c>
      <c r="G349" s="585" t="s">
        <v>74</v>
      </c>
      <c r="H349" s="587"/>
      <c r="I349" s="585"/>
      <c r="J349" s="587">
        <v>25378</v>
      </c>
      <c r="K349" s="585">
        <v>23044</v>
      </c>
      <c r="L349" s="587">
        <v>18124</v>
      </c>
      <c r="M349" s="585">
        <v>17884</v>
      </c>
      <c r="N349" s="587">
        <v>27886</v>
      </c>
      <c r="O349" s="585">
        <v>26753</v>
      </c>
      <c r="P349" s="583">
        <f t="shared" si="108"/>
        <v>71388</v>
      </c>
      <c r="Q349" s="583">
        <f t="shared" si="109"/>
        <v>2379.6</v>
      </c>
      <c r="R349" s="584">
        <f t="shared" si="110"/>
        <v>67681</v>
      </c>
      <c r="S349" s="584">
        <f t="shared" si="111"/>
        <v>2256.0333333333333</v>
      </c>
      <c r="T349" s="587">
        <v>2474</v>
      </c>
      <c r="U349" s="585">
        <v>2465</v>
      </c>
      <c r="V349" s="583">
        <f t="shared" si="112"/>
        <v>71388</v>
      </c>
      <c r="W349" s="584">
        <f t="shared" si="113"/>
        <v>67681</v>
      </c>
      <c r="X349" s="587"/>
      <c r="Y349" s="585"/>
      <c r="Z349" s="587"/>
      <c r="AA349" s="585"/>
      <c r="AB349" s="587"/>
      <c r="AC349" s="585"/>
      <c r="AD349" s="587"/>
      <c r="AE349" s="585"/>
      <c r="AF349" s="583">
        <f t="shared" si="114"/>
        <v>0</v>
      </c>
      <c r="AG349" s="583">
        <f t="shared" si="115"/>
        <v>0</v>
      </c>
      <c r="AH349" s="584">
        <f t="shared" si="116"/>
        <v>0</v>
      </c>
      <c r="AI349" s="584">
        <f t="shared" si="117"/>
        <v>0</v>
      </c>
      <c r="AJ349" s="587"/>
      <c r="AK349" s="585"/>
      <c r="AL349" s="583">
        <f t="shared" si="100"/>
        <v>0</v>
      </c>
      <c r="AM349" s="584">
        <f t="shared" si="101"/>
        <v>0</v>
      </c>
      <c r="AN349" s="587"/>
      <c r="AO349" s="585"/>
      <c r="AP349" s="587"/>
      <c r="AQ349" s="585"/>
      <c r="AR349" s="587"/>
      <c r="AS349" s="585"/>
      <c r="AT349" s="587"/>
      <c r="AU349" s="585"/>
      <c r="AV349" s="583">
        <f t="shared" si="102"/>
        <v>0</v>
      </c>
      <c r="AW349" s="583">
        <f t="shared" si="103"/>
        <v>0</v>
      </c>
      <c r="AX349" s="584">
        <f t="shared" si="104"/>
        <v>0</v>
      </c>
      <c r="AY349" s="584">
        <f t="shared" si="105"/>
        <v>0</v>
      </c>
      <c r="AZ349" s="583">
        <f t="shared" si="106"/>
        <v>2379.6</v>
      </c>
      <c r="BA349" s="584">
        <f t="shared" si="107"/>
        <v>2256.0333333333333</v>
      </c>
    </row>
    <row r="350" spans="1:53">
      <c r="A350" s="431" t="s">
        <v>331</v>
      </c>
      <c r="B350" s="17" t="s">
        <v>392</v>
      </c>
      <c r="C350" s="18"/>
      <c r="D350" s="19">
        <v>207397</v>
      </c>
      <c r="E350" s="19">
        <v>7</v>
      </c>
      <c r="F350" s="582" t="s">
        <v>74</v>
      </c>
      <c r="G350" s="585" t="s">
        <v>74</v>
      </c>
      <c r="H350" s="587"/>
      <c r="I350" s="585"/>
      <c r="J350" s="587">
        <v>55763</v>
      </c>
      <c r="K350" s="585">
        <v>49705</v>
      </c>
      <c r="L350" s="587">
        <v>14322</v>
      </c>
      <c r="M350" s="585">
        <v>13222</v>
      </c>
      <c r="N350" s="587">
        <v>57147</v>
      </c>
      <c r="O350" s="585">
        <v>53799</v>
      </c>
      <c r="P350" s="583">
        <f t="shared" si="108"/>
        <v>127232</v>
      </c>
      <c r="Q350" s="583">
        <f t="shared" si="109"/>
        <v>4241.0666666666666</v>
      </c>
      <c r="R350" s="584">
        <f t="shared" si="110"/>
        <v>116726</v>
      </c>
      <c r="S350" s="584">
        <f t="shared" si="111"/>
        <v>3890.8666666666668</v>
      </c>
      <c r="T350" s="587">
        <v>6719</v>
      </c>
      <c r="U350" s="585">
        <v>7738</v>
      </c>
      <c r="V350" s="583">
        <f t="shared" si="112"/>
        <v>127232</v>
      </c>
      <c r="W350" s="584">
        <f t="shared" si="113"/>
        <v>116726</v>
      </c>
      <c r="X350" s="587"/>
      <c r="Y350" s="585"/>
      <c r="Z350" s="587"/>
      <c r="AA350" s="585"/>
      <c r="AB350" s="587"/>
      <c r="AC350" s="585"/>
      <c r="AD350" s="587"/>
      <c r="AE350" s="585"/>
      <c r="AF350" s="583">
        <f t="shared" si="114"/>
        <v>0</v>
      </c>
      <c r="AG350" s="583">
        <f t="shared" si="115"/>
        <v>0</v>
      </c>
      <c r="AH350" s="584">
        <f t="shared" si="116"/>
        <v>0</v>
      </c>
      <c r="AI350" s="584">
        <f t="shared" si="117"/>
        <v>0</v>
      </c>
      <c r="AJ350" s="587"/>
      <c r="AK350" s="585"/>
      <c r="AL350" s="583">
        <f t="shared" si="100"/>
        <v>0</v>
      </c>
      <c r="AM350" s="584">
        <f t="shared" si="101"/>
        <v>0</v>
      </c>
      <c r="AN350" s="587"/>
      <c r="AO350" s="585"/>
      <c r="AP350" s="587"/>
      <c r="AQ350" s="585"/>
      <c r="AR350" s="587"/>
      <c r="AS350" s="585"/>
      <c r="AT350" s="587"/>
      <c r="AU350" s="585"/>
      <c r="AV350" s="583">
        <f t="shared" si="102"/>
        <v>0</v>
      </c>
      <c r="AW350" s="583">
        <f t="shared" si="103"/>
        <v>0</v>
      </c>
      <c r="AX350" s="584">
        <f t="shared" si="104"/>
        <v>0</v>
      </c>
      <c r="AY350" s="584">
        <f t="shared" si="105"/>
        <v>0</v>
      </c>
      <c r="AZ350" s="583">
        <f t="shared" si="106"/>
        <v>4241.0666666666666</v>
      </c>
      <c r="BA350" s="584">
        <f t="shared" si="107"/>
        <v>3890.8666666666668</v>
      </c>
    </row>
    <row r="351" spans="1:53">
      <c r="A351" s="431" t="s">
        <v>331</v>
      </c>
      <c r="B351" s="21" t="s">
        <v>393</v>
      </c>
      <c r="C351" s="18"/>
      <c r="D351" s="19">
        <v>207449</v>
      </c>
      <c r="E351" s="19">
        <v>8</v>
      </c>
      <c r="F351" s="582" t="s">
        <v>74</v>
      </c>
      <c r="G351" s="585" t="s">
        <v>74</v>
      </c>
      <c r="H351" s="587"/>
      <c r="I351" s="585"/>
      <c r="J351" s="587">
        <v>95887</v>
      </c>
      <c r="K351" s="585">
        <v>84643</v>
      </c>
      <c r="L351" s="587">
        <v>25404</v>
      </c>
      <c r="M351" s="585">
        <v>23819</v>
      </c>
      <c r="N351" s="587">
        <v>105931</v>
      </c>
      <c r="O351" s="585">
        <v>97969</v>
      </c>
      <c r="P351" s="583">
        <f t="shared" si="108"/>
        <v>227222</v>
      </c>
      <c r="Q351" s="583">
        <f t="shared" si="109"/>
        <v>7574.0666666666666</v>
      </c>
      <c r="R351" s="584">
        <f t="shared" si="110"/>
        <v>206431</v>
      </c>
      <c r="S351" s="584">
        <f t="shared" si="111"/>
        <v>6881.0333333333338</v>
      </c>
      <c r="T351" s="587">
        <v>16932</v>
      </c>
      <c r="U351" s="585">
        <v>17587</v>
      </c>
      <c r="V351" s="583">
        <f t="shared" si="112"/>
        <v>227222</v>
      </c>
      <c r="W351" s="584">
        <f t="shared" si="113"/>
        <v>206431</v>
      </c>
      <c r="X351" s="587"/>
      <c r="Y351" s="585"/>
      <c r="Z351" s="587"/>
      <c r="AA351" s="585"/>
      <c r="AB351" s="587"/>
      <c r="AC351" s="585"/>
      <c r="AD351" s="587"/>
      <c r="AE351" s="585"/>
      <c r="AF351" s="583">
        <f t="shared" si="114"/>
        <v>0</v>
      </c>
      <c r="AG351" s="583">
        <f t="shared" si="115"/>
        <v>0</v>
      </c>
      <c r="AH351" s="584">
        <f t="shared" si="116"/>
        <v>0</v>
      </c>
      <c r="AI351" s="584">
        <f t="shared" si="117"/>
        <v>0</v>
      </c>
      <c r="AJ351" s="587"/>
      <c r="AK351" s="585"/>
      <c r="AL351" s="583">
        <f t="shared" si="100"/>
        <v>0</v>
      </c>
      <c r="AM351" s="584">
        <f t="shared" si="101"/>
        <v>0</v>
      </c>
      <c r="AN351" s="587"/>
      <c r="AO351" s="585"/>
      <c r="AP351" s="587"/>
      <c r="AQ351" s="585"/>
      <c r="AR351" s="587"/>
      <c r="AS351" s="585"/>
      <c r="AT351" s="587"/>
      <c r="AU351" s="585"/>
      <c r="AV351" s="583">
        <f t="shared" si="102"/>
        <v>0</v>
      </c>
      <c r="AW351" s="583">
        <f t="shared" si="103"/>
        <v>0</v>
      </c>
      <c r="AX351" s="584">
        <f t="shared" si="104"/>
        <v>0</v>
      </c>
      <c r="AY351" s="584">
        <f t="shared" si="105"/>
        <v>0</v>
      </c>
      <c r="AZ351" s="583">
        <f t="shared" si="106"/>
        <v>7574.0666666666666</v>
      </c>
      <c r="BA351" s="584">
        <f t="shared" si="107"/>
        <v>6881.0333333333338</v>
      </c>
    </row>
    <row r="352" spans="1:53">
      <c r="A352" s="431" t="s">
        <v>331</v>
      </c>
      <c r="B352" s="17" t="s">
        <v>394</v>
      </c>
      <c r="C352" s="18"/>
      <c r="D352" s="19">
        <v>207935</v>
      </c>
      <c r="E352" s="19">
        <v>8</v>
      </c>
      <c r="F352" s="582" t="s">
        <v>74</v>
      </c>
      <c r="G352" s="585" t="s">
        <v>74</v>
      </c>
      <c r="H352" s="587"/>
      <c r="I352" s="585"/>
      <c r="J352" s="587">
        <v>126064</v>
      </c>
      <c r="K352" s="585">
        <v>113955</v>
      </c>
      <c r="L352" s="587">
        <v>32240</v>
      </c>
      <c r="M352" s="585">
        <v>31246</v>
      </c>
      <c r="N352" s="587">
        <v>138552</v>
      </c>
      <c r="O352" s="585">
        <v>129059</v>
      </c>
      <c r="P352" s="583">
        <f t="shared" si="108"/>
        <v>296856</v>
      </c>
      <c r="Q352" s="583">
        <f t="shared" si="109"/>
        <v>9895.2000000000007</v>
      </c>
      <c r="R352" s="584">
        <f t="shared" si="110"/>
        <v>274260</v>
      </c>
      <c r="S352" s="584">
        <f t="shared" si="111"/>
        <v>9142</v>
      </c>
      <c r="T352" s="587">
        <v>20172</v>
      </c>
      <c r="U352" s="585">
        <v>21179</v>
      </c>
      <c r="V352" s="583">
        <f t="shared" si="112"/>
        <v>296856</v>
      </c>
      <c r="W352" s="584">
        <f t="shared" si="113"/>
        <v>274260</v>
      </c>
      <c r="X352" s="587"/>
      <c r="Y352" s="585"/>
      <c r="Z352" s="587"/>
      <c r="AA352" s="585"/>
      <c r="AB352" s="587"/>
      <c r="AC352" s="585"/>
      <c r="AD352" s="587"/>
      <c r="AE352" s="585"/>
      <c r="AF352" s="583">
        <f t="shared" si="114"/>
        <v>0</v>
      </c>
      <c r="AG352" s="583">
        <f t="shared" si="115"/>
        <v>0</v>
      </c>
      <c r="AH352" s="584">
        <f t="shared" si="116"/>
        <v>0</v>
      </c>
      <c r="AI352" s="584">
        <f t="shared" si="117"/>
        <v>0</v>
      </c>
      <c r="AJ352" s="587"/>
      <c r="AK352" s="585"/>
      <c r="AL352" s="583">
        <f t="shared" si="100"/>
        <v>0</v>
      </c>
      <c r="AM352" s="584">
        <f t="shared" si="101"/>
        <v>0</v>
      </c>
      <c r="AN352" s="587"/>
      <c r="AO352" s="585"/>
      <c r="AP352" s="587"/>
      <c r="AQ352" s="585"/>
      <c r="AR352" s="587"/>
      <c r="AS352" s="585"/>
      <c r="AT352" s="587"/>
      <c r="AU352" s="585"/>
      <c r="AV352" s="583">
        <f t="shared" si="102"/>
        <v>0</v>
      </c>
      <c r="AW352" s="583">
        <f t="shared" si="103"/>
        <v>0</v>
      </c>
      <c r="AX352" s="584">
        <f t="shared" si="104"/>
        <v>0</v>
      </c>
      <c r="AY352" s="584">
        <f t="shared" si="105"/>
        <v>0</v>
      </c>
      <c r="AZ352" s="583">
        <f t="shared" si="106"/>
        <v>9895.2000000000007</v>
      </c>
      <c r="BA352" s="584">
        <f t="shared" si="107"/>
        <v>9142</v>
      </c>
    </row>
    <row r="353" spans="1:53">
      <c r="A353" s="431" t="s">
        <v>331</v>
      </c>
      <c r="B353" s="21" t="s">
        <v>395</v>
      </c>
      <c r="C353" s="18"/>
      <c r="D353" s="19">
        <v>207281</v>
      </c>
      <c r="E353" s="19">
        <v>9</v>
      </c>
      <c r="F353" s="582" t="s">
        <v>74</v>
      </c>
      <c r="G353" s="585" t="s">
        <v>74</v>
      </c>
      <c r="H353" s="587"/>
      <c r="I353" s="585"/>
      <c r="J353" s="587">
        <v>33593</v>
      </c>
      <c r="K353" s="585">
        <v>30011</v>
      </c>
      <c r="L353" s="587">
        <v>6398</v>
      </c>
      <c r="M353" s="585">
        <v>6194</v>
      </c>
      <c r="N353" s="587">
        <v>37256</v>
      </c>
      <c r="O353" s="585">
        <v>35427</v>
      </c>
      <c r="P353" s="583">
        <f t="shared" si="108"/>
        <v>77247</v>
      </c>
      <c r="Q353" s="583">
        <f t="shared" si="109"/>
        <v>2574.9</v>
      </c>
      <c r="R353" s="584">
        <f t="shared" si="110"/>
        <v>71632</v>
      </c>
      <c r="S353" s="584">
        <f t="shared" si="111"/>
        <v>2387.7333333333331</v>
      </c>
      <c r="T353" s="587">
        <v>3535</v>
      </c>
      <c r="U353" s="585">
        <v>3817</v>
      </c>
      <c r="V353" s="583">
        <f t="shared" si="112"/>
        <v>77247</v>
      </c>
      <c r="W353" s="584">
        <f t="shared" si="113"/>
        <v>71632</v>
      </c>
      <c r="X353" s="587"/>
      <c r="Y353" s="585"/>
      <c r="Z353" s="587"/>
      <c r="AA353" s="585"/>
      <c r="AB353" s="587"/>
      <c r="AC353" s="585"/>
      <c r="AD353" s="587"/>
      <c r="AE353" s="585"/>
      <c r="AF353" s="583">
        <f t="shared" si="114"/>
        <v>0</v>
      </c>
      <c r="AG353" s="583">
        <f t="shared" si="115"/>
        <v>0</v>
      </c>
      <c r="AH353" s="584">
        <f t="shared" si="116"/>
        <v>0</v>
      </c>
      <c r="AI353" s="584">
        <f t="shared" si="117"/>
        <v>0</v>
      </c>
      <c r="AJ353" s="587"/>
      <c r="AK353" s="585"/>
      <c r="AL353" s="583">
        <f t="shared" si="100"/>
        <v>0</v>
      </c>
      <c r="AM353" s="584">
        <f t="shared" si="101"/>
        <v>0</v>
      </c>
      <c r="AN353" s="587"/>
      <c r="AO353" s="585"/>
      <c r="AP353" s="587"/>
      <c r="AQ353" s="585"/>
      <c r="AR353" s="587"/>
      <c r="AS353" s="585"/>
      <c r="AT353" s="587"/>
      <c r="AU353" s="585"/>
      <c r="AV353" s="583">
        <f t="shared" si="102"/>
        <v>0</v>
      </c>
      <c r="AW353" s="583">
        <f t="shared" si="103"/>
        <v>0</v>
      </c>
      <c r="AX353" s="584">
        <f t="shared" si="104"/>
        <v>0</v>
      </c>
      <c r="AY353" s="584">
        <f t="shared" si="105"/>
        <v>0</v>
      </c>
      <c r="AZ353" s="583">
        <f t="shared" si="106"/>
        <v>2574.9</v>
      </c>
      <c r="BA353" s="584">
        <f t="shared" si="107"/>
        <v>2387.7333333333331</v>
      </c>
    </row>
    <row r="354" spans="1:53">
      <c r="A354" s="431" t="s">
        <v>331</v>
      </c>
      <c r="B354" s="17" t="s">
        <v>396</v>
      </c>
      <c r="C354" s="41"/>
      <c r="D354" s="19">
        <v>207670</v>
      </c>
      <c r="E354" s="19">
        <v>9</v>
      </c>
      <c r="F354" s="582" t="s">
        <v>74</v>
      </c>
      <c r="G354" s="585" t="s">
        <v>74</v>
      </c>
      <c r="H354" s="587"/>
      <c r="I354" s="585"/>
      <c r="J354" s="587">
        <v>54742</v>
      </c>
      <c r="K354" s="585">
        <v>48051</v>
      </c>
      <c r="L354" s="587">
        <v>11982</v>
      </c>
      <c r="M354" s="585">
        <v>11603</v>
      </c>
      <c r="N354" s="587">
        <v>62502</v>
      </c>
      <c r="O354" s="585">
        <v>59505</v>
      </c>
      <c r="P354" s="583">
        <f t="shared" si="108"/>
        <v>129226</v>
      </c>
      <c r="Q354" s="583">
        <f t="shared" si="109"/>
        <v>4307.5333333333338</v>
      </c>
      <c r="R354" s="584">
        <f t="shared" si="110"/>
        <v>119159</v>
      </c>
      <c r="S354" s="584">
        <f t="shared" si="111"/>
        <v>3971.9666666666667</v>
      </c>
      <c r="T354" s="587">
        <v>6094</v>
      </c>
      <c r="U354" s="585">
        <v>6547</v>
      </c>
      <c r="V354" s="583">
        <f t="shared" si="112"/>
        <v>129226</v>
      </c>
      <c r="W354" s="584">
        <f t="shared" si="113"/>
        <v>119159</v>
      </c>
      <c r="X354" s="587"/>
      <c r="Y354" s="585"/>
      <c r="Z354" s="587"/>
      <c r="AA354" s="585"/>
      <c r="AB354" s="587"/>
      <c r="AC354" s="585"/>
      <c r="AD354" s="587"/>
      <c r="AE354" s="585"/>
      <c r="AF354" s="583">
        <f t="shared" si="114"/>
        <v>0</v>
      </c>
      <c r="AG354" s="583">
        <f t="shared" si="115"/>
        <v>0</v>
      </c>
      <c r="AH354" s="584">
        <f t="shared" si="116"/>
        <v>0</v>
      </c>
      <c r="AI354" s="584">
        <f t="shared" si="117"/>
        <v>0</v>
      </c>
      <c r="AJ354" s="587"/>
      <c r="AK354" s="585"/>
      <c r="AL354" s="583">
        <f t="shared" si="100"/>
        <v>0</v>
      </c>
      <c r="AM354" s="584">
        <f t="shared" si="101"/>
        <v>0</v>
      </c>
      <c r="AN354" s="587"/>
      <c r="AO354" s="585"/>
      <c r="AP354" s="587"/>
      <c r="AQ354" s="585"/>
      <c r="AR354" s="587"/>
      <c r="AS354" s="585"/>
      <c r="AT354" s="587"/>
      <c r="AU354" s="585"/>
      <c r="AV354" s="583">
        <f t="shared" si="102"/>
        <v>0</v>
      </c>
      <c r="AW354" s="583">
        <f t="shared" si="103"/>
        <v>0</v>
      </c>
      <c r="AX354" s="584">
        <f t="shared" si="104"/>
        <v>0</v>
      </c>
      <c r="AY354" s="584">
        <f t="shared" si="105"/>
        <v>0</v>
      </c>
      <c r="AZ354" s="583">
        <f t="shared" si="106"/>
        <v>4307.5333333333338</v>
      </c>
      <c r="BA354" s="584">
        <f t="shared" si="107"/>
        <v>3971.9666666666667</v>
      </c>
    </row>
    <row r="355" spans="1:53">
      <c r="A355" s="431" t="s">
        <v>331</v>
      </c>
      <c r="B355" s="17" t="s">
        <v>397</v>
      </c>
      <c r="C355" s="41"/>
      <c r="D355" s="19">
        <v>206923</v>
      </c>
      <c r="E355" s="19">
        <v>10</v>
      </c>
      <c r="F355" s="582" t="s">
        <v>74</v>
      </c>
      <c r="G355" s="585" t="s">
        <v>74</v>
      </c>
      <c r="H355" s="587"/>
      <c r="I355" s="585"/>
      <c r="J355" s="587">
        <v>19124</v>
      </c>
      <c r="K355" s="585">
        <v>15799</v>
      </c>
      <c r="L355" s="587">
        <v>2828</v>
      </c>
      <c r="M355" s="585">
        <v>2633</v>
      </c>
      <c r="N355" s="587">
        <v>20496</v>
      </c>
      <c r="O355" s="585">
        <v>18823</v>
      </c>
      <c r="P355" s="583">
        <f t="shared" si="108"/>
        <v>42448</v>
      </c>
      <c r="Q355" s="583">
        <f t="shared" si="109"/>
        <v>1414.9333333333334</v>
      </c>
      <c r="R355" s="584">
        <f t="shared" si="110"/>
        <v>37255</v>
      </c>
      <c r="S355" s="584">
        <f t="shared" si="111"/>
        <v>1241.8333333333333</v>
      </c>
      <c r="T355" s="587">
        <v>3823</v>
      </c>
      <c r="U355" s="585">
        <v>3537</v>
      </c>
      <c r="V355" s="583">
        <f t="shared" si="112"/>
        <v>42448</v>
      </c>
      <c r="W355" s="584">
        <f t="shared" si="113"/>
        <v>37255</v>
      </c>
      <c r="X355" s="587"/>
      <c r="Y355" s="585"/>
      <c r="Z355" s="587"/>
      <c r="AA355" s="585"/>
      <c r="AB355" s="587"/>
      <c r="AC355" s="585"/>
      <c r="AD355" s="587"/>
      <c r="AE355" s="585"/>
      <c r="AF355" s="583">
        <f t="shared" si="114"/>
        <v>0</v>
      </c>
      <c r="AG355" s="583">
        <f t="shared" si="115"/>
        <v>0</v>
      </c>
      <c r="AH355" s="584">
        <f t="shared" si="116"/>
        <v>0</v>
      </c>
      <c r="AI355" s="584">
        <f t="shared" si="117"/>
        <v>0</v>
      </c>
      <c r="AJ355" s="587"/>
      <c r="AK355" s="585"/>
      <c r="AL355" s="583">
        <f t="shared" si="100"/>
        <v>0</v>
      </c>
      <c r="AM355" s="584">
        <f t="shared" si="101"/>
        <v>0</v>
      </c>
      <c r="AN355" s="587"/>
      <c r="AO355" s="585"/>
      <c r="AP355" s="587"/>
      <c r="AQ355" s="585"/>
      <c r="AR355" s="587"/>
      <c r="AS355" s="585"/>
      <c r="AT355" s="587"/>
      <c r="AU355" s="585"/>
      <c r="AV355" s="583">
        <f t="shared" si="102"/>
        <v>0</v>
      </c>
      <c r="AW355" s="583">
        <f t="shared" si="103"/>
        <v>0</v>
      </c>
      <c r="AX355" s="584">
        <f t="shared" si="104"/>
        <v>0</v>
      </c>
      <c r="AY355" s="584">
        <f t="shared" si="105"/>
        <v>0</v>
      </c>
      <c r="AZ355" s="583">
        <f t="shared" si="106"/>
        <v>1414.9333333333334</v>
      </c>
      <c r="BA355" s="584">
        <f t="shared" si="107"/>
        <v>1241.8333333333333</v>
      </c>
    </row>
    <row r="356" spans="1:53">
      <c r="A356" s="431" t="s">
        <v>331</v>
      </c>
      <c r="B356" s="17" t="s">
        <v>398</v>
      </c>
      <c r="C356" s="18"/>
      <c r="D356" s="19">
        <v>206996</v>
      </c>
      <c r="E356" s="19">
        <v>10</v>
      </c>
      <c r="F356" s="582" t="s">
        <v>74</v>
      </c>
      <c r="G356" s="585" t="s">
        <v>74</v>
      </c>
      <c r="H356" s="587"/>
      <c r="I356" s="585"/>
      <c r="J356" s="587">
        <v>22125</v>
      </c>
      <c r="K356" s="585">
        <v>19270</v>
      </c>
      <c r="L356" s="587">
        <v>2663</v>
      </c>
      <c r="M356" s="585">
        <v>2531</v>
      </c>
      <c r="N356" s="587">
        <v>22663</v>
      </c>
      <c r="O356" s="585">
        <v>21263</v>
      </c>
      <c r="P356" s="583">
        <f t="shared" si="108"/>
        <v>47451</v>
      </c>
      <c r="Q356" s="583">
        <f t="shared" si="109"/>
        <v>1581.7</v>
      </c>
      <c r="R356" s="584">
        <f t="shared" si="110"/>
        <v>43064</v>
      </c>
      <c r="S356" s="584">
        <f t="shared" si="111"/>
        <v>1435.4666666666667</v>
      </c>
      <c r="T356" s="587">
        <v>3502</v>
      </c>
      <c r="U356" s="585">
        <v>2914</v>
      </c>
      <c r="V356" s="583">
        <f t="shared" si="112"/>
        <v>47451</v>
      </c>
      <c r="W356" s="584">
        <f t="shared" si="113"/>
        <v>43064</v>
      </c>
      <c r="X356" s="587"/>
      <c r="Y356" s="585"/>
      <c r="Z356" s="587"/>
      <c r="AA356" s="585"/>
      <c r="AB356" s="587"/>
      <c r="AC356" s="585"/>
      <c r="AD356" s="587"/>
      <c r="AE356" s="585"/>
      <c r="AF356" s="583">
        <f t="shared" si="114"/>
        <v>0</v>
      </c>
      <c r="AG356" s="583">
        <f t="shared" si="115"/>
        <v>0</v>
      </c>
      <c r="AH356" s="584">
        <f t="shared" si="116"/>
        <v>0</v>
      </c>
      <c r="AI356" s="584">
        <f t="shared" si="117"/>
        <v>0</v>
      </c>
      <c r="AJ356" s="587"/>
      <c r="AK356" s="585"/>
      <c r="AL356" s="583">
        <f t="shared" si="100"/>
        <v>0</v>
      </c>
      <c r="AM356" s="584">
        <f t="shared" si="101"/>
        <v>0</v>
      </c>
      <c r="AN356" s="587"/>
      <c r="AO356" s="585"/>
      <c r="AP356" s="587"/>
      <c r="AQ356" s="585"/>
      <c r="AR356" s="587"/>
      <c r="AS356" s="585"/>
      <c r="AT356" s="587"/>
      <c r="AU356" s="585"/>
      <c r="AV356" s="583">
        <f t="shared" si="102"/>
        <v>0</v>
      </c>
      <c r="AW356" s="583">
        <f t="shared" si="103"/>
        <v>0</v>
      </c>
      <c r="AX356" s="584">
        <f t="shared" si="104"/>
        <v>0</v>
      </c>
      <c r="AY356" s="584">
        <f t="shared" si="105"/>
        <v>0</v>
      </c>
      <c r="AZ356" s="583">
        <f t="shared" si="106"/>
        <v>1581.7</v>
      </c>
      <c r="BA356" s="584">
        <f t="shared" si="107"/>
        <v>1435.4666666666667</v>
      </c>
    </row>
    <row r="357" spans="1:53">
      <c r="A357" s="431" t="s">
        <v>331</v>
      </c>
      <c r="B357" s="17" t="s">
        <v>399</v>
      </c>
      <c r="C357" s="18"/>
      <c r="D357" s="19">
        <v>207050</v>
      </c>
      <c r="E357" s="19">
        <v>10</v>
      </c>
      <c r="F357" s="582" t="s">
        <v>74</v>
      </c>
      <c r="G357" s="585" t="s">
        <v>74</v>
      </c>
      <c r="H357" s="587"/>
      <c r="I357" s="585"/>
      <c r="J357" s="587">
        <v>14199</v>
      </c>
      <c r="K357" s="585">
        <v>11138</v>
      </c>
      <c r="L357" s="587">
        <v>2618</v>
      </c>
      <c r="M357" s="585">
        <v>2246</v>
      </c>
      <c r="N357" s="587">
        <v>15601</v>
      </c>
      <c r="O357" s="585">
        <v>13792</v>
      </c>
      <c r="P357" s="583">
        <f t="shared" si="108"/>
        <v>32418</v>
      </c>
      <c r="Q357" s="583">
        <f t="shared" si="109"/>
        <v>1080.5999999999999</v>
      </c>
      <c r="R357" s="584">
        <f t="shared" si="110"/>
        <v>27176</v>
      </c>
      <c r="S357" s="584">
        <f t="shared" si="111"/>
        <v>905.86666666666667</v>
      </c>
      <c r="T357" s="587">
        <v>3866</v>
      </c>
      <c r="U357" s="585">
        <v>3697</v>
      </c>
      <c r="V357" s="583">
        <f t="shared" si="112"/>
        <v>32418</v>
      </c>
      <c r="W357" s="584">
        <f t="shared" si="113"/>
        <v>27176</v>
      </c>
      <c r="X357" s="587"/>
      <c r="Y357" s="585"/>
      <c r="Z357" s="587"/>
      <c r="AA357" s="585"/>
      <c r="AB357" s="587"/>
      <c r="AC357" s="585"/>
      <c r="AD357" s="587"/>
      <c r="AE357" s="585"/>
      <c r="AF357" s="583">
        <f t="shared" si="114"/>
        <v>0</v>
      </c>
      <c r="AG357" s="583">
        <f t="shared" si="115"/>
        <v>0</v>
      </c>
      <c r="AH357" s="584">
        <f t="shared" si="116"/>
        <v>0</v>
      </c>
      <c r="AI357" s="584">
        <f t="shared" si="117"/>
        <v>0</v>
      </c>
      <c r="AJ357" s="587"/>
      <c r="AK357" s="585"/>
      <c r="AL357" s="583">
        <f t="shared" si="100"/>
        <v>0</v>
      </c>
      <c r="AM357" s="584">
        <f t="shared" si="101"/>
        <v>0</v>
      </c>
      <c r="AN357" s="587"/>
      <c r="AO357" s="585"/>
      <c r="AP357" s="587"/>
      <c r="AQ357" s="585"/>
      <c r="AR357" s="587"/>
      <c r="AS357" s="585"/>
      <c r="AT357" s="587"/>
      <c r="AU357" s="585"/>
      <c r="AV357" s="583">
        <f t="shared" si="102"/>
        <v>0</v>
      </c>
      <c r="AW357" s="583">
        <f t="shared" si="103"/>
        <v>0</v>
      </c>
      <c r="AX357" s="584">
        <f t="shared" si="104"/>
        <v>0</v>
      </c>
      <c r="AY357" s="584">
        <f t="shared" si="105"/>
        <v>0</v>
      </c>
      <c r="AZ357" s="583">
        <f t="shared" si="106"/>
        <v>1080.5999999999999</v>
      </c>
      <c r="BA357" s="584">
        <f t="shared" si="107"/>
        <v>905.86666666666667</v>
      </c>
    </row>
    <row r="358" spans="1:53">
      <c r="A358" s="431" t="s">
        <v>331</v>
      </c>
      <c r="B358" s="17" t="s">
        <v>400</v>
      </c>
      <c r="C358" s="18"/>
      <c r="D358" s="19">
        <v>207236</v>
      </c>
      <c r="E358" s="19">
        <v>10</v>
      </c>
      <c r="F358" s="582" t="s">
        <v>74</v>
      </c>
      <c r="G358" s="585" t="s">
        <v>74</v>
      </c>
      <c r="H358" s="587"/>
      <c r="I358" s="585"/>
      <c r="J358" s="587">
        <v>19791</v>
      </c>
      <c r="K358" s="585">
        <v>16301</v>
      </c>
      <c r="L358" s="587">
        <v>2956</v>
      </c>
      <c r="M358" s="585">
        <v>2565</v>
      </c>
      <c r="N358" s="587">
        <v>21425</v>
      </c>
      <c r="O358" s="585">
        <v>18964</v>
      </c>
      <c r="P358" s="583">
        <f t="shared" si="108"/>
        <v>44172</v>
      </c>
      <c r="Q358" s="583">
        <f t="shared" si="109"/>
        <v>1472.4</v>
      </c>
      <c r="R358" s="584">
        <f t="shared" si="110"/>
        <v>37830</v>
      </c>
      <c r="S358" s="584">
        <f t="shared" si="111"/>
        <v>1261</v>
      </c>
      <c r="T358" s="587">
        <v>5256</v>
      </c>
      <c r="U358" s="585">
        <v>5347</v>
      </c>
      <c r="V358" s="583">
        <f t="shared" si="112"/>
        <v>44172</v>
      </c>
      <c r="W358" s="584">
        <f t="shared" si="113"/>
        <v>37830</v>
      </c>
      <c r="X358" s="587"/>
      <c r="Y358" s="585"/>
      <c r="Z358" s="587"/>
      <c r="AA358" s="585"/>
      <c r="AB358" s="587"/>
      <c r="AC358" s="585"/>
      <c r="AD358" s="587"/>
      <c r="AE358" s="585"/>
      <c r="AF358" s="583">
        <f t="shared" si="114"/>
        <v>0</v>
      </c>
      <c r="AG358" s="583">
        <f t="shared" si="115"/>
        <v>0</v>
      </c>
      <c r="AH358" s="584">
        <f t="shared" si="116"/>
        <v>0</v>
      </c>
      <c r="AI358" s="584">
        <f t="shared" si="117"/>
        <v>0</v>
      </c>
      <c r="AJ358" s="587"/>
      <c r="AK358" s="585"/>
      <c r="AL358" s="583">
        <f t="shared" si="100"/>
        <v>0</v>
      </c>
      <c r="AM358" s="584">
        <f t="shared" si="101"/>
        <v>0</v>
      </c>
      <c r="AN358" s="587"/>
      <c r="AO358" s="585"/>
      <c r="AP358" s="587"/>
      <c r="AQ358" s="585"/>
      <c r="AR358" s="587"/>
      <c r="AS358" s="585"/>
      <c r="AT358" s="587"/>
      <c r="AU358" s="585"/>
      <c r="AV358" s="583">
        <f t="shared" si="102"/>
        <v>0</v>
      </c>
      <c r="AW358" s="583">
        <f t="shared" si="103"/>
        <v>0</v>
      </c>
      <c r="AX358" s="584">
        <f t="shared" si="104"/>
        <v>0</v>
      </c>
      <c r="AY358" s="584">
        <f t="shared" si="105"/>
        <v>0</v>
      </c>
      <c r="AZ358" s="583">
        <f t="shared" si="106"/>
        <v>1472.4</v>
      </c>
      <c r="BA358" s="584">
        <f t="shared" si="107"/>
        <v>1261</v>
      </c>
    </row>
    <row r="359" spans="1:53">
      <c r="A359" s="431" t="s">
        <v>331</v>
      </c>
      <c r="B359" s="17" t="s">
        <v>401</v>
      </c>
      <c r="C359" s="18"/>
      <c r="D359" s="19">
        <v>207290</v>
      </c>
      <c r="E359" s="19">
        <v>10</v>
      </c>
      <c r="F359" s="582" t="s">
        <v>74</v>
      </c>
      <c r="G359" s="585" t="s">
        <v>74</v>
      </c>
      <c r="H359" s="587"/>
      <c r="I359" s="585"/>
      <c r="J359" s="587">
        <v>22010</v>
      </c>
      <c r="K359" s="585">
        <v>19155</v>
      </c>
      <c r="L359" s="587">
        <v>3616</v>
      </c>
      <c r="M359" s="585">
        <v>3154</v>
      </c>
      <c r="N359" s="587">
        <v>24350</v>
      </c>
      <c r="O359" s="585">
        <v>23104</v>
      </c>
      <c r="P359" s="583">
        <f t="shared" si="108"/>
        <v>49976</v>
      </c>
      <c r="Q359" s="583">
        <f t="shared" si="109"/>
        <v>1665.8666666666666</v>
      </c>
      <c r="R359" s="584">
        <f t="shared" si="110"/>
        <v>45413</v>
      </c>
      <c r="S359" s="584">
        <f t="shared" si="111"/>
        <v>1513.7666666666667</v>
      </c>
      <c r="T359" s="587">
        <v>2871</v>
      </c>
      <c r="U359" s="585">
        <v>3075</v>
      </c>
      <c r="V359" s="583">
        <f t="shared" si="112"/>
        <v>49976</v>
      </c>
      <c r="W359" s="584">
        <f t="shared" si="113"/>
        <v>45413</v>
      </c>
      <c r="X359" s="587"/>
      <c r="Y359" s="585"/>
      <c r="Z359" s="587"/>
      <c r="AA359" s="585"/>
      <c r="AB359" s="587"/>
      <c r="AC359" s="585"/>
      <c r="AD359" s="587"/>
      <c r="AE359" s="585"/>
      <c r="AF359" s="583">
        <f t="shared" si="114"/>
        <v>0</v>
      </c>
      <c r="AG359" s="583">
        <f t="shared" si="115"/>
        <v>0</v>
      </c>
      <c r="AH359" s="584">
        <f t="shared" si="116"/>
        <v>0</v>
      </c>
      <c r="AI359" s="584">
        <f t="shared" si="117"/>
        <v>0</v>
      </c>
      <c r="AJ359" s="587"/>
      <c r="AK359" s="585"/>
      <c r="AL359" s="583">
        <f t="shared" si="100"/>
        <v>0</v>
      </c>
      <c r="AM359" s="584">
        <f t="shared" si="101"/>
        <v>0</v>
      </c>
      <c r="AN359" s="587"/>
      <c r="AO359" s="585"/>
      <c r="AP359" s="587"/>
      <c r="AQ359" s="585"/>
      <c r="AR359" s="587"/>
      <c r="AS359" s="585"/>
      <c r="AT359" s="587"/>
      <c r="AU359" s="585"/>
      <c r="AV359" s="583">
        <f t="shared" si="102"/>
        <v>0</v>
      </c>
      <c r="AW359" s="583">
        <f t="shared" si="103"/>
        <v>0</v>
      </c>
      <c r="AX359" s="584">
        <f t="shared" si="104"/>
        <v>0</v>
      </c>
      <c r="AY359" s="584">
        <f t="shared" si="105"/>
        <v>0</v>
      </c>
      <c r="AZ359" s="583">
        <f t="shared" si="106"/>
        <v>1665.8666666666666</v>
      </c>
      <c r="BA359" s="584">
        <f t="shared" si="107"/>
        <v>1513.7666666666667</v>
      </c>
    </row>
    <row r="360" spans="1:53">
      <c r="A360" s="431" t="s">
        <v>331</v>
      </c>
      <c r="B360" s="17" t="s">
        <v>402</v>
      </c>
      <c r="C360" s="18"/>
      <c r="D360" s="19">
        <v>207069</v>
      </c>
      <c r="E360" s="19">
        <v>10</v>
      </c>
      <c r="F360" s="582" t="s">
        <v>74</v>
      </c>
      <c r="G360" s="585" t="s">
        <v>74</v>
      </c>
      <c r="H360" s="587"/>
      <c r="I360" s="585"/>
      <c r="J360" s="587">
        <v>15165</v>
      </c>
      <c r="K360" s="585">
        <v>9933</v>
      </c>
      <c r="L360" s="587">
        <v>3448</v>
      </c>
      <c r="M360" s="585">
        <v>2602</v>
      </c>
      <c r="N360" s="587">
        <v>15450</v>
      </c>
      <c r="O360" s="585">
        <v>11285</v>
      </c>
      <c r="P360" s="583">
        <f t="shared" si="108"/>
        <v>34063</v>
      </c>
      <c r="Q360" s="583">
        <f t="shared" si="109"/>
        <v>1135.4333333333334</v>
      </c>
      <c r="R360" s="584">
        <f t="shared" si="110"/>
        <v>23820</v>
      </c>
      <c r="S360" s="584">
        <f t="shared" si="111"/>
        <v>794</v>
      </c>
      <c r="T360" s="587">
        <v>9885</v>
      </c>
      <c r="U360" s="585">
        <v>9220</v>
      </c>
      <c r="V360" s="583">
        <f t="shared" si="112"/>
        <v>34063</v>
      </c>
      <c r="W360" s="584">
        <f t="shared" si="113"/>
        <v>23820</v>
      </c>
      <c r="X360" s="587"/>
      <c r="Y360" s="585"/>
      <c r="Z360" s="587"/>
      <c r="AA360" s="585"/>
      <c r="AB360" s="587"/>
      <c r="AC360" s="585"/>
      <c r="AD360" s="587"/>
      <c r="AE360" s="585"/>
      <c r="AF360" s="583">
        <f t="shared" si="114"/>
        <v>0</v>
      </c>
      <c r="AG360" s="583">
        <f t="shared" si="115"/>
        <v>0</v>
      </c>
      <c r="AH360" s="584">
        <f t="shared" si="116"/>
        <v>0</v>
      </c>
      <c r="AI360" s="584">
        <f t="shared" si="117"/>
        <v>0</v>
      </c>
      <c r="AJ360" s="587"/>
      <c r="AK360" s="585"/>
      <c r="AL360" s="583">
        <f t="shared" si="100"/>
        <v>0</v>
      </c>
      <c r="AM360" s="584">
        <f t="shared" si="101"/>
        <v>0</v>
      </c>
      <c r="AN360" s="587"/>
      <c r="AO360" s="585"/>
      <c r="AP360" s="587"/>
      <c r="AQ360" s="585"/>
      <c r="AR360" s="587"/>
      <c r="AS360" s="585"/>
      <c r="AT360" s="587"/>
      <c r="AU360" s="585"/>
      <c r="AV360" s="583">
        <f t="shared" si="102"/>
        <v>0</v>
      </c>
      <c r="AW360" s="583">
        <f t="shared" si="103"/>
        <v>0</v>
      </c>
      <c r="AX360" s="584">
        <f t="shared" si="104"/>
        <v>0</v>
      </c>
      <c r="AY360" s="584">
        <f t="shared" si="105"/>
        <v>0</v>
      </c>
      <c r="AZ360" s="583">
        <f t="shared" si="106"/>
        <v>1135.4333333333334</v>
      </c>
      <c r="BA360" s="584">
        <f t="shared" si="107"/>
        <v>794</v>
      </c>
    </row>
    <row r="361" spans="1:53">
      <c r="A361" s="431" t="s">
        <v>331</v>
      </c>
      <c r="B361" s="17" t="s">
        <v>403</v>
      </c>
      <c r="C361" s="18"/>
      <c r="D361" s="19">
        <v>207740</v>
      </c>
      <c r="E361" s="19">
        <v>10</v>
      </c>
      <c r="F361" s="582" t="s">
        <v>74</v>
      </c>
      <c r="G361" s="585" t="s">
        <v>74</v>
      </c>
      <c r="H361" s="587"/>
      <c r="I361" s="585"/>
      <c r="J361" s="587">
        <v>15324</v>
      </c>
      <c r="K361" s="585">
        <v>13407</v>
      </c>
      <c r="L361" s="587">
        <v>2759</v>
      </c>
      <c r="M361" s="585">
        <v>2632</v>
      </c>
      <c r="N361" s="587">
        <v>16850</v>
      </c>
      <c r="O361" s="585">
        <v>15203</v>
      </c>
      <c r="P361" s="583">
        <f t="shared" si="108"/>
        <v>34933</v>
      </c>
      <c r="Q361" s="583">
        <f t="shared" si="109"/>
        <v>1164.4333333333334</v>
      </c>
      <c r="R361" s="584">
        <f t="shared" si="110"/>
        <v>31242</v>
      </c>
      <c r="S361" s="584">
        <f t="shared" si="111"/>
        <v>1041.4000000000001</v>
      </c>
      <c r="T361" s="587">
        <v>3022</v>
      </c>
      <c r="U361" s="585">
        <v>3314</v>
      </c>
      <c r="V361" s="583">
        <f t="shared" si="112"/>
        <v>34933</v>
      </c>
      <c r="W361" s="584">
        <f t="shared" si="113"/>
        <v>31242</v>
      </c>
      <c r="X361" s="587"/>
      <c r="Y361" s="585"/>
      <c r="Z361" s="587"/>
      <c r="AA361" s="585"/>
      <c r="AB361" s="587"/>
      <c r="AC361" s="585"/>
      <c r="AD361" s="587"/>
      <c r="AE361" s="585"/>
      <c r="AF361" s="583">
        <f t="shared" si="114"/>
        <v>0</v>
      </c>
      <c r="AG361" s="583">
        <f t="shared" si="115"/>
        <v>0</v>
      </c>
      <c r="AH361" s="584">
        <f t="shared" si="116"/>
        <v>0</v>
      </c>
      <c r="AI361" s="584">
        <f t="shared" si="117"/>
        <v>0</v>
      </c>
      <c r="AJ361" s="587"/>
      <c r="AK361" s="585"/>
      <c r="AL361" s="583">
        <f t="shared" si="100"/>
        <v>0</v>
      </c>
      <c r="AM361" s="584">
        <f t="shared" si="101"/>
        <v>0</v>
      </c>
      <c r="AN361" s="587"/>
      <c r="AO361" s="585"/>
      <c r="AP361" s="587"/>
      <c r="AQ361" s="585"/>
      <c r="AR361" s="587"/>
      <c r="AS361" s="585"/>
      <c r="AT361" s="587"/>
      <c r="AU361" s="585"/>
      <c r="AV361" s="583">
        <f t="shared" si="102"/>
        <v>0</v>
      </c>
      <c r="AW361" s="583">
        <f t="shared" si="103"/>
        <v>0</v>
      </c>
      <c r="AX361" s="584">
        <f t="shared" si="104"/>
        <v>0</v>
      </c>
      <c r="AY361" s="584">
        <f t="shared" si="105"/>
        <v>0</v>
      </c>
      <c r="AZ361" s="583">
        <f t="shared" si="106"/>
        <v>1164.4333333333334</v>
      </c>
      <c r="BA361" s="584">
        <f t="shared" si="107"/>
        <v>1041.4000000000001</v>
      </c>
    </row>
    <row r="362" spans="1:53" ht="13.5" thickBot="1">
      <c r="A362" s="431" t="s">
        <v>331</v>
      </c>
      <c r="B362" s="17" t="s">
        <v>404</v>
      </c>
      <c r="C362" s="18"/>
      <c r="D362" s="19">
        <v>208035</v>
      </c>
      <c r="E362" s="19">
        <v>10</v>
      </c>
      <c r="F362" s="582" t="s">
        <v>74</v>
      </c>
      <c r="G362" s="585" t="s">
        <v>74</v>
      </c>
      <c r="H362" s="587"/>
      <c r="I362" s="585"/>
      <c r="J362" s="587">
        <v>11582</v>
      </c>
      <c r="K362" s="585">
        <v>9639</v>
      </c>
      <c r="L362" s="587">
        <v>2302</v>
      </c>
      <c r="M362" s="585">
        <v>2120</v>
      </c>
      <c r="N362" s="587">
        <v>12139</v>
      </c>
      <c r="O362" s="585">
        <v>10726</v>
      </c>
      <c r="P362" s="583">
        <f t="shared" si="108"/>
        <v>26023</v>
      </c>
      <c r="Q362" s="583">
        <f t="shared" si="109"/>
        <v>867.43333333333328</v>
      </c>
      <c r="R362" s="584">
        <f t="shared" si="110"/>
        <v>22485</v>
      </c>
      <c r="S362" s="584">
        <f t="shared" si="111"/>
        <v>749.5</v>
      </c>
      <c r="T362" s="587">
        <v>2707</v>
      </c>
      <c r="U362" s="585">
        <v>2966</v>
      </c>
      <c r="V362" s="583">
        <f t="shared" si="112"/>
        <v>26023</v>
      </c>
      <c r="W362" s="584">
        <f t="shared" si="113"/>
        <v>22485</v>
      </c>
      <c r="X362" s="587"/>
      <c r="Y362" s="585"/>
      <c r="Z362" s="587"/>
      <c r="AA362" s="585"/>
      <c r="AB362" s="587"/>
      <c r="AC362" s="585"/>
      <c r="AD362" s="587"/>
      <c r="AE362" s="585"/>
      <c r="AF362" s="583">
        <f t="shared" si="114"/>
        <v>0</v>
      </c>
      <c r="AG362" s="583">
        <f t="shared" si="115"/>
        <v>0</v>
      </c>
      <c r="AH362" s="584">
        <f t="shared" si="116"/>
        <v>0</v>
      </c>
      <c r="AI362" s="584">
        <f t="shared" si="117"/>
        <v>0</v>
      </c>
      <c r="AJ362" s="587"/>
      <c r="AK362" s="585"/>
      <c r="AL362" s="583">
        <f t="shared" si="100"/>
        <v>0</v>
      </c>
      <c r="AM362" s="584">
        <f t="shared" si="101"/>
        <v>0</v>
      </c>
      <c r="AN362" s="587"/>
      <c r="AO362" s="585"/>
      <c r="AP362" s="587"/>
      <c r="AQ362" s="585"/>
      <c r="AR362" s="587"/>
      <c r="AS362" s="585"/>
      <c r="AT362" s="587"/>
      <c r="AU362" s="585"/>
      <c r="AV362" s="583">
        <f t="shared" si="102"/>
        <v>0</v>
      </c>
      <c r="AW362" s="583">
        <f t="shared" si="103"/>
        <v>0</v>
      </c>
      <c r="AX362" s="584">
        <f t="shared" si="104"/>
        <v>0</v>
      </c>
      <c r="AY362" s="584">
        <f t="shared" si="105"/>
        <v>0</v>
      </c>
      <c r="AZ362" s="583">
        <f t="shared" si="106"/>
        <v>867.43333333333328</v>
      </c>
      <c r="BA362" s="584">
        <f t="shared" si="107"/>
        <v>749.5</v>
      </c>
    </row>
    <row r="363" spans="1:53">
      <c r="A363" s="588" t="s">
        <v>331</v>
      </c>
      <c r="B363" s="589" t="s">
        <v>332</v>
      </c>
      <c r="C363" s="590"/>
      <c r="D363" s="591">
        <v>365374</v>
      </c>
      <c r="E363" s="592">
        <v>12</v>
      </c>
      <c r="F363" s="582"/>
      <c r="G363" s="585"/>
      <c r="H363" s="582"/>
      <c r="I363" s="585"/>
      <c r="J363" s="582"/>
      <c r="K363" s="585"/>
      <c r="L363" s="582"/>
      <c r="M363" s="585"/>
      <c r="N363" s="582"/>
      <c r="O363" s="585"/>
      <c r="P363" s="583">
        <f t="shared" si="108"/>
        <v>0</v>
      </c>
      <c r="Q363" s="583">
        <f t="shared" si="109"/>
        <v>0</v>
      </c>
      <c r="R363" s="584">
        <f t="shared" si="110"/>
        <v>0</v>
      </c>
      <c r="S363" s="584">
        <f t="shared" si="111"/>
        <v>0</v>
      </c>
      <c r="T363" s="582"/>
      <c r="U363" s="585"/>
      <c r="V363" s="583">
        <f t="shared" si="112"/>
        <v>0</v>
      </c>
      <c r="W363" s="584">
        <f t="shared" si="113"/>
        <v>0</v>
      </c>
      <c r="X363" s="582"/>
      <c r="Y363" s="585"/>
      <c r="Z363" s="582"/>
      <c r="AA363" s="585"/>
      <c r="AB363" s="582"/>
      <c r="AC363" s="585"/>
      <c r="AD363" s="582">
        <v>1069253.1499999999</v>
      </c>
      <c r="AE363" s="585">
        <v>1013178.47</v>
      </c>
      <c r="AF363" s="583">
        <f t="shared" si="114"/>
        <v>1069253.1499999999</v>
      </c>
      <c r="AG363" s="583">
        <f t="shared" si="115"/>
        <v>1188.0590555555555</v>
      </c>
      <c r="AH363" s="584">
        <f t="shared" si="116"/>
        <v>1013178.47</v>
      </c>
      <c r="AI363" s="584">
        <f t="shared" si="117"/>
        <v>1125.7538555555554</v>
      </c>
      <c r="AJ363" s="582"/>
      <c r="AK363" s="585"/>
      <c r="AL363" s="583">
        <f t="shared" si="100"/>
        <v>0</v>
      </c>
      <c r="AM363" s="584">
        <f t="shared" si="101"/>
        <v>0</v>
      </c>
      <c r="AN363" s="582"/>
      <c r="AO363" s="585"/>
      <c r="AP363" s="582"/>
      <c r="AQ363" s="585"/>
      <c r="AR363" s="582"/>
      <c r="AS363" s="585"/>
      <c r="AT363" s="582"/>
      <c r="AU363" s="585"/>
      <c r="AV363" s="583">
        <f t="shared" si="102"/>
        <v>0</v>
      </c>
      <c r="AW363" s="583">
        <f t="shared" si="103"/>
        <v>0</v>
      </c>
      <c r="AX363" s="584">
        <f t="shared" si="104"/>
        <v>0</v>
      </c>
      <c r="AY363" s="584">
        <f t="shared" si="105"/>
        <v>0</v>
      </c>
      <c r="AZ363" s="583">
        <f t="shared" si="106"/>
        <v>1188.0590555555555</v>
      </c>
      <c r="BA363" s="584">
        <f t="shared" si="107"/>
        <v>1125.7538555555554</v>
      </c>
    </row>
    <row r="364" spans="1:53">
      <c r="A364" s="11" t="s">
        <v>331</v>
      </c>
      <c r="B364" s="14" t="s">
        <v>333</v>
      </c>
      <c r="C364" s="529"/>
      <c r="D364" s="13">
        <v>245999</v>
      </c>
      <c r="E364" s="419">
        <v>12</v>
      </c>
      <c r="F364" s="582"/>
      <c r="G364" s="585"/>
      <c r="H364" s="582"/>
      <c r="I364" s="585"/>
      <c r="J364" s="582"/>
      <c r="K364" s="585"/>
      <c r="L364" s="582"/>
      <c r="M364" s="585"/>
      <c r="N364" s="582"/>
      <c r="O364" s="585"/>
      <c r="P364" s="583">
        <f t="shared" si="108"/>
        <v>0</v>
      </c>
      <c r="Q364" s="583">
        <f t="shared" si="109"/>
        <v>0</v>
      </c>
      <c r="R364" s="584">
        <f t="shared" si="110"/>
        <v>0</v>
      </c>
      <c r="S364" s="584">
        <f t="shared" si="111"/>
        <v>0</v>
      </c>
      <c r="T364" s="582"/>
      <c r="U364" s="585"/>
      <c r="V364" s="583">
        <f t="shared" si="112"/>
        <v>0</v>
      </c>
      <c r="W364" s="584">
        <f t="shared" si="113"/>
        <v>0</v>
      </c>
      <c r="X364" s="582"/>
      <c r="Y364" s="585"/>
      <c r="Z364" s="582"/>
      <c r="AA364" s="585"/>
      <c r="AB364" s="582"/>
      <c r="AC364" s="585"/>
      <c r="AD364" s="582">
        <v>1594984.13</v>
      </c>
      <c r="AE364" s="585">
        <v>1578505.76</v>
      </c>
      <c r="AF364" s="583">
        <f t="shared" si="114"/>
        <v>1594984.13</v>
      </c>
      <c r="AG364" s="583">
        <f t="shared" si="115"/>
        <v>1772.2045888888888</v>
      </c>
      <c r="AH364" s="584">
        <f t="shared" si="116"/>
        <v>1578505.76</v>
      </c>
      <c r="AI364" s="584">
        <f t="shared" si="117"/>
        <v>1753.8952888888889</v>
      </c>
      <c r="AJ364" s="582"/>
      <c r="AK364" s="585"/>
      <c r="AL364" s="583">
        <f t="shared" si="100"/>
        <v>0</v>
      </c>
      <c r="AM364" s="584">
        <f t="shared" si="101"/>
        <v>0</v>
      </c>
      <c r="AN364" s="582"/>
      <c r="AO364" s="585"/>
      <c r="AP364" s="582"/>
      <c r="AQ364" s="585"/>
      <c r="AR364" s="582"/>
      <c r="AS364" s="585"/>
      <c r="AT364" s="582"/>
      <c r="AU364" s="585"/>
      <c r="AV364" s="583">
        <f t="shared" si="102"/>
        <v>0</v>
      </c>
      <c r="AW364" s="583">
        <f t="shared" si="103"/>
        <v>0</v>
      </c>
      <c r="AX364" s="584">
        <f t="shared" si="104"/>
        <v>0</v>
      </c>
      <c r="AY364" s="584">
        <f t="shared" si="105"/>
        <v>0</v>
      </c>
      <c r="AZ364" s="583">
        <f t="shared" si="106"/>
        <v>1772.2045888888888</v>
      </c>
      <c r="BA364" s="584">
        <f t="shared" si="107"/>
        <v>1753.8952888888889</v>
      </c>
    </row>
    <row r="365" spans="1:53">
      <c r="A365" s="11" t="s">
        <v>331</v>
      </c>
      <c r="B365" s="14" t="s">
        <v>335</v>
      </c>
      <c r="C365" s="416" t="s">
        <v>942</v>
      </c>
      <c r="D365" s="13">
        <v>261375</v>
      </c>
      <c r="E365" s="419">
        <v>12</v>
      </c>
      <c r="F365" s="582"/>
      <c r="G365" s="585"/>
      <c r="H365" s="582"/>
      <c r="I365" s="585"/>
      <c r="J365" s="582"/>
      <c r="K365" s="585"/>
      <c r="L365" s="582"/>
      <c r="M365" s="585"/>
      <c r="N365" s="582"/>
      <c r="O365" s="585"/>
      <c r="P365" s="583">
        <f t="shared" si="108"/>
        <v>0</v>
      </c>
      <c r="Q365" s="583">
        <f t="shared" si="109"/>
        <v>0</v>
      </c>
      <c r="R365" s="584">
        <f t="shared" si="110"/>
        <v>0</v>
      </c>
      <c r="S365" s="584">
        <f t="shared" si="111"/>
        <v>0</v>
      </c>
      <c r="T365" s="582"/>
      <c r="U365" s="585"/>
      <c r="V365" s="583">
        <f t="shared" si="112"/>
        <v>0</v>
      </c>
      <c r="W365" s="584">
        <f t="shared" si="113"/>
        <v>0</v>
      </c>
      <c r="X365" s="582"/>
      <c r="Y365" s="585"/>
      <c r="Z365" s="582"/>
      <c r="AA365" s="585"/>
      <c r="AB365" s="582"/>
      <c r="AC365" s="585"/>
      <c r="AD365" s="582">
        <v>1406166.27</v>
      </c>
      <c r="AE365" s="585">
        <v>751564.71</v>
      </c>
      <c r="AF365" s="583">
        <f t="shared" si="114"/>
        <v>1406166.27</v>
      </c>
      <c r="AG365" s="583">
        <f t="shared" si="115"/>
        <v>1562.4069666666667</v>
      </c>
      <c r="AH365" s="584">
        <f t="shared" si="116"/>
        <v>751564.71</v>
      </c>
      <c r="AI365" s="584">
        <f t="shared" si="117"/>
        <v>835.07189999999991</v>
      </c>
      <c r="AJ365" s="582"/>
      <c r="AK365" s="585"/>
      <c r="AL365" s="583">
        <f t="shared" si="100"/>
        <v>0</v>
      </c>
      <c r="AM365" s="584">
        <f t="shared" si="101"/>
        <v>0</v>
      </c>
      <c r="AN365" s="582"/>
      <c r="AO365" s="585"/>
      <c r="AP365" s="582"/>
      <c r="AQ365" s="585"/>
      <c r="AR365" s="582"/>
      <c r="AS365" s="585"/>
      <c r="AT365" s="582"/>
      <c r="AU365" s="585"/>
      <c r="AV365" s="583">
        <f t="shared" si="102"/>
        <v>0</v>
      </c>
      <c r="AW365" s="583">
        <f t="shared" si="103"/>
        <v>0</v>
      </c>
      <c r="AX365" s="584">
        <f t="shared" si="104"/>
        <v>0</v>
      </c>
      <c r="AY365" s="584">
        <f t="shared" si="105"/>
        <v>0</v>
      </c>
      <c r="AZ365" s="583">
        <f t="shared" si="106"/>
        <v>1562.4069666666667</v>
      </c>
      <c r="BA365" s="584">
        <f t="shared" si="107"/>
        <v>835.07189999999991</v>
      </c>
    </row>
    <row r="366" spans="1:53">
      <c r="A366" s="11" t="s">
        <v>331</v>
      </c>
      <c r="B366" s="14" t="s">
        <v>336</v>
      </c>
      <c r="C366" s="529"/>
      <c r="D366" s="13">
        <v>365213</v>
      </c>
      <c r="E366" s="419">
        <v>13</v>
      </c>
      <c r="F366" s="582"/>
      <c r="G366" s="585"/>
      <c r="H366" s="582"/>
      <c r="I366" s="585"/>
      <c r="J366" s="582"/>
      <c r="K366" s="585"/>
      <c r="L366" s="582"/>
      <c r="M366" s="585"/>
      <c r="N366" s="582"/>
      <c r="O366" s="585"/>
      <c r="P366" s="583">
        <f t="shared" si="108"/>
        <v>0</v>
      </c>
      <c r="Q366" s="583">
        <f t="shared" si="109"/>
        <v>0</v>
      </c>
      <c r="R366" s="584">
        <f t="shared" si="110"/>
        <v>0</v>
      </c>
      <c r="S366" s="584">
        <f t="shared" si="111"/>
        <v>0</v>
      </c>
      <c r="T366" s="582"/>
      <c r="U366" s="585"/>
      <c r="V366" s="583">
        <f t="shared" si="112"/>
        <v>0</v>
      </c>
      <c r="W366" s="584">
        <f t="shared" si="113"/>
        <v>0</v>
      </c>
      <c r="X366" s="582"/>
      <c r="Y366" s="585"/>
      <c r="Z366" s="582"/>
      <c r="AA366" s="585"/>
      <c r="AB366" s="582"/>
      <c r="AC366" s="585"/>
      <c r="AD366" s="582">
        <v>482141</v>
      </c>
      <c r="AE366" s="585">
        <v>368359.08</v>
      </c>
      <c r="AF366" s="583">
        <f t="shared" si="114"/>
        <v>482141</v>
      </c>
      <c r="AG366" s="583">
        <f t="shared" si="115"/>
        <v>535.71222222222218</v>
      </c>
      <c r="AH366" s="584">
        <f t="shared" si="116"/>
        <v>368359.08</v>
      </c>
      <c r="AI366" s="584">
        <f t="shared" si="117"/>
        <v>409.28786666666667</v>
      </c>
      <c r="AJ366" s="582"/>
      <c r="AK366" s="585"/>
      <c r="AL366" s="583">
        <f t="shared" si="100"/>
        <v>0</v>
      </c>
      <c r="AM366" s="584">
        <f t="shared" si="101"/>
        <v>0</v>
      </c>
      <c r="AN366" s="582"/>
      <c r="AO366" s="585"/>
      <c r="AP366" s="582"/>
      <c r="AQ366" s="585"/>
      <c r="AR366" s="582"/>
      <c r="AS366" s="585"/>
      <c r="AT366" s="582"/>
      <c r="AU366" s="585"/>
      <c r="AV366" s="583">
        <f t="shared" si="102"/>
        <v>0</v>
      </c>
      <c r="AW366" s="583">
        <f t="shared" si="103"/>
        <v>0</v>
      </c>
      <c r="AX366" s="584">
        <f t="shared" si="104"/>
        <v>0</v>
      </c>
      <c r="AY366" s="584">
        <f t="shared" si="105"/>
        <v>0</v>
      </c>
      <c r="AZ366" s="583">
        <f t="shared" si="106"/>
        <v>535.71222222222218</v>
      </c>
      <c r="BA366" s="584">
        <f t="shared" si="107"/>
        <v>409.28786666666667</v>
      </c>
    </row>
    <row r="367" spans="1:53">
      <c r="A367" s="11" t="s">
        <v>331</v>
      </c>
      <c r="B367" s="14" t="s">
        <v>337</v>
      </c>
      <c r="C367" s="529"/>
      <c r="D367" s="13">
        <v>364946</v>
      </c>
      <c r="E367" s="419">
        <v>13</v>
      </c>
      <c r="F367" s="582"/>
      <c r="G367" s="585"/>
      <c r="H367" s="582"/>
      <c r="I367" s="585"/>
      <c r="J367" s="582"/>
      <c r="K367" s="585"/>
      <c r="L367" s="582"/>
      <c r="M367" s="585"/>
      <c r="N367" s="582"/>
      <c r="O367" s="585"/>
      <c r="P367" s="583">
        <f t="shared" si="108"/>
        <v>0</v>
      </c>
      <c r="Q367" s="583">
        <f t="shared" si="109"/>
        <v>0</v>
      </c>
      <c r="R367" s="584">
        <f t="shared" si="110"/>
        <v>0</v>
      </c>
      <c r="S367" s="584">
        <f t="shared" si="111"/>
        <v>0</v>
      </c>
      <c r="T367" s="582"/>
      <c r="U367" s="585"/>
      <c r="V367" s="583">
        <f t="shared" si="112"/>
        <v>0</v>
      </c>
      <c r="W367" s="584">
        <f t="shared" si="113"/>
        <v>0</v>
      </c>
      <c r="X367" s="582"/>
      <c r="Y367" s="585"/>
      <c r="Z367" s="582"/>
      <c r="AA367" s="585"/>
      <c r="AB367" s="582"/>
      <c r="AC367" s="585"/>
      <c r="AD367" s="582">
        <v>302326.62</v>
      </c>
      <c r="AE367" s="585">
        <v>290951.09999999998</v>
      </c>
      <c r="AF367" s="583">
        <f t="shared" si="114"/>
        <v>302326.62</v>
      </c>
      <c r="AG367" s="583">
        <f t="shared" si="115"/>
        <v>335.91846666666669</v>
      </c>
      <c r="AH367" s="584">
        <f t="shared" si="116"/>
        <v>290951.09999999998</v>
      </c>
      <c r="AI367" s="584">
        <f t="shared" si="117"/>
        <v>323.279</v>
      </c>
      <c r="AJ367" s="582"/>
      <c r="AK367" s="585"/>
      <c r="AL367" s="583">
        <f t="shared" si="100"/>
        <v>0</v>
      </c>
      <c r="AM367" s="584">
        <f t="shared" si="101"/>
        <v>0</v>
      </c>
      <c r="AN367" s="582"/>
      <c r="AO367" s="585"/>
      <c r="AP367" s="582"/>
      <c r="AQ367" s="585"/>
      <c r="AR367" s="582"/>
      <c r="AS367" s="585"/>
      <c r="AT367" s="582"/>
      <c r="AU367" s="585"/>
      <c r="AV367" s="583">
        <f t="shared" si="102"/>
        <v>0</v>
      </c>
      <c r="AW367" s="583">
        <f t="shared" si="103"/>
        <v>0</v>
      </c>
      <c r="AX367" s="584">
        <f t="shared" si="104"/>
        <v>0</v>
      </c>
      <c r="AY367" s="584">
        <f t="shared" si="105"/>
        <v>0</v>
      </c>
      <c r="AZ367" s="583">
        <f t="shared" si="106"/>
        <v>335.91846666666669</v>
      </c>
      <c r="BA367" s="584">
        <f t="shared" si="107"/>
        <v>323.279</v>
      </c>
    </row>
    <row r="368" spans="1:53">
      <c r="A368" s="11" t="s">
        <v>331</v>
      </c>
      <c r="B368" s="14" t="s">
        <v>338</v>
      </c>
      <c r="C368" s="529"/>
      <c r="D368" s="13">
        <v>246017</v>
      </c>
      <c r="E368" s="419">
        <v>13</v>
      </c>
      <c r="F368" s="582"/>
      <c r="G368" s="585"/>
      <c r="H368" s="582"/>
      <c r="I368" s="585"/>
      <c r="J368" s="582"/>
      <c r="K368" s="585"/>
      <c r="L368" s="582"/>
      <c r="M368" s="585"/>
      <c r="N368" s="582"/>
      <c r="O368" s="585"/>
      <c r="P368" s="583">
        <f t="shared" si="108"/>
        <v>0</v>
      </c>
      <c r="Q368" s="583">
        <f t="shared" si="109"/>
        <v>0</v>
      </c>
      <c r="R368" s="584">
        <f t="shared" si="110"/>
        <v>0</v>
      </c>
      <c r="S368" s="584">
        <f t="shared" si="111"/>
        <v>0</v>
      </c>
      <c r="T368" s="582"/>
      <c r="U368" s="585"/>
      <c r="V368" s="583">
        <f t="shared" si="112"/>
        <v>0</v>
      </c>
      <c r="W368" s="584">
        <f t="shared" si="113"/>
        <v>0</v>
      </c>
      <c r="X368" s="582"/>
      <c r="Y368" s="585"/>
      <c r="Z368" s="582"/>
      <c r="AA368" s="585"/>
      <c r="AB368" s="582"/>
      <c r="AC368" s="585"/>
      <c r="AD368" s="582">
        <v>830823</v>
      </c>
      <c r="AE368" s="585">
        <v>852056.76</v>
      </c>
      <c r="AF368" s="583">
        <f t="shared" si="114"/>
        <v>830823</v>
      </c>
      <c r="AG368" s="583">
        <f t="shared" si="115"/>
        <v>923.13666666666666</v>
      </c>
      <c r="AH368" s="584">
        <f t="shared" si="116"/>
        <v>852056.76</v>
      </c>
      <c r="AI368" s="584">
        <f t="shared" si="117"/>
        <v>946.72973333333334</v>
      </c>
      <c r="AJ368" s="582"/>
      <c r="AK368" s="585"/>
      <c r="AL368" s="583">
        <f t="shared" si="100"/>
        <v>0</v>
      </c>
      <c r="AM368" s="584">
        <f t="shared" si="101"/>
        <v>0</v>
      </c>
      <c r="AN368" s="582"/>
      <c r="AO368" s="585"/>
      <c r="AP368" s="582"/>
      <c r="AQ368" s="585"/>
      <c r="AR368" s="582"/>
      <c r="AS368" s="585"/>
      <c r="AT368" s="582"/>
      <c r="AU368" s="585"/>
      <c r="AV368" s="583">
        <f t="shared" si="102"/>
        <v>0</v>
      </c>
      <c r="AW368" s="583">
        <f t="shared" si="103"/>
        <v>0</v>
      </c>
      <c r="AX368" s="584">
        <f t="shared" si="104"/>
        <v>0</v>
      </c>
      <c r="AY368" s="584">
        <f t="shared" si="105"/>
        <v>0</v>
      </c>
      <c r="AZ368" s="583">
        <f t="shared" si="106"/>
        <v>923.13666666666666</v>
      </c>
      <c r="BA368" s="584">
        <f t="shared" si="107"/>
        <v>946.72973333333334</v>
      </c>
    </row>
    <row r="369" spans="1:53">
      <c r="A369" s="11" t="s">
        <v>331</v>
      </c>
      <c r="B369" s="14" t="s">
        <v>339</v>
      </c>
      <c r="C369" s="529"/>
      <c r="D369" s="13">
        <v>375656</v>
      </c>
      <c r="E369" s="419">
        <v>13</v>
      </c>
      <c r="F369" s="582"/>
      <c r="G369" s="585"/>
      <c r="H369" s="582"/>
      <c r="I369" s="585"/>
      <c r="J369" s="582"/>
      <c r="K369" s="585"/>
      <c r="L369" s="582"/>
      <c r="M369" s="585"/>
      <c r="N369" s="582"/>
      <c r="O369" s="585"/>
      <c r="P369" s="583">
        <f t="shared" si="108"/>
        <v>0</v>
      </c>
      <c r="Q369" s="583">
        <f t="shared" si="109"/>
        <v>0</v>
      </c>
      <c r="R369" s="584">
        <f t="shared" si="110"/>
        <v>0</v>
      </c>
      <c r="S369" s="584">
        <f t="shared" si="111"/>
        <v>0</v>
      </c>
      <c r="T369" s="582"/>
      <c r="U369" s="585"/>
      <c r="V369" s="583">
        <f t="shared" si="112"/>
        <v>0</v>
      </c>
      <c r="W369" s="584">
        <f t="shared" si="113"/>
        <v>0</v>
      </c>
      <c r="X369" s="582"/>
      <c r="Y369" s="585"/>
      <c r="Z369" s="582"/>
      <c r="AA369" s="585"/>
      <c r="AB369" s="582"/>
      <c r="AC369" s="585"/>
      <c r="AD369" s="582">
        <v>88180.5</v>
      </c>
      <c r="AE369" s="585">
        <v>145383.78</v>
      </c>
      <c r="AF369" s="583">
        <f t="shared" si="114"/>
        <v>88180.5</v>
      </c>
      <c r="AG369" s="583">
        <f t="shared" si="115"/>
        <v>97.978333333333339</v>
      </c>
      <c r="AH369" s="584">
        <f t="shared" si="116"/>
        <v>145383.78</v>
      </c>
      <c r="AI369" s="584">
        <f t="shared" si="117"/>
        <v>161.53753333333333</v>
      </c>
      <c r="AJ369" s="582"/>
      <c r="AK369" s="585"/>
      <c r="AL369" s="583">
        <f t="shared" si="100"/>
        <v>0</v>
      </c>
      <c r="AM369" s="584">
        <f t="shared" si="101"/>
        <v>0</v>
      </c>
      <c r="AN369" s="582"/>
      <c r="AO369" s="585"/>
      <c r="AP369" s="582"/>
      <c r="AQ369" s="585"/>
      <c r="AR369" s="582"/>
      <c r="AS369" s="585"/>
      <c r="AT369" s="582"/>
      <c r="AU369" s="585"/>
      <c r="AV369" s="583">
        <f t="shared" si="102"/>
        <v>0</v>
      </c>
      <c r="AW369" s="583">
        <f t="shared" si="103"/>
        <v>0</v>
      </c>
      <c r="AX369" s="584">
        <f t="shared" si="104"/>
        <v>0</v>
      </c>
      <c r="AY369" s="584">
        <f t="shared" si="105"/>
        <v>0</v>
      </c>
      <c r="AZ369" s="583">
        <f t="shared" si="106"/>
        <v>97.978333333333339</v>
      </c>
      <c r="BA369" s="584">
        <f t="shared" si="107"/>
        <v>161.53753333333333</v>
      </c>
    </row>
    <row r="370" spans="1:53">
      <c r="A370" s="11" t="s">
        <v>331</v>
      </c>
      <c r="B370" s="14" t="s">
        <v>340</v>
      </c>
      <c r="C370" s="529"/>
      <c r="D370" s="13">
        <v>418348</v>
      </c>
      <c r="E370" s="419">
        <v>13</v>
      </c>
      <c r="F370" s="582"/>
      <c r="G370" s="585"/>
      <c r="H370" s="582"/>
      <c r="I370" s="585"/>
      <c r="J370" s="582"/>
      <c r="K370" s="585"/>
      <c r="L370" s="582"/>
      <c r="M370" s="585"/>
      <c r="N370" s="582"/>
      <c r="O370" s="585"/>
      <c r="P370" s="583">
        <f t="shared" si="108"/>
        <v>0</v>
      </c>
      <c r="Q370" s="583">
        <f t="shared" si="109"/>
        <v>0</v>
      </c>
      <c r="R370" s="584">
        <f t="shared" si="110"/>
        <v>0</v>
      </c>
      <c r="S370" s="584">
        <f t="shared" si="111"/>
        <v>0</v>
      </c>
      <c r="T370" s="582"/>
      <c r="U370" s="585"/>
      <c r="V370" s="583">
        <f t="shared" si="112"/>
        <v>0</v>
      </c>
      <c r="W370" s="584">
        <f t="shared" si="113"/>
        <v>0</v>
      </c>
      <c r="X370" s="582"/>
      <c r="Y370" s="585"/>
      <c r="Z370" s="582"/>
      <c r="AA370" s="585"/>
      <c r="AB370" s="582"/>
      <c r="AC370" s="585"/>
      <c r="AD370" s="582">
        <v>319534</v>
      </c>
      <c r="AE370" s="585">
        <v>366625.33</v>
      </c>
      <c r="AF370" s="583">
        <f t="shared" si="114"/>
        <v>319534</v>
      </c>
      <c r="AG370" s="583">
        <f t="shared" si="115"/>
        <v>355.03777777777776</v>
      </c>
      <c r="AH370" s="584">
        <f t="shared" si="116"/>
        <v>366625.33</v>
      </c>
      <c r="AI370" s="584">
        <f t="shared" si="117"/>
        <v>407.36147777777779</v>
      </c>
      <c r="AJ370" s="582"/>
      <c r="AK370" s="585"/>
      <c r="AL370" s="583">
        <f t="shared" si="100"/>
        <v>0</v>
      </c>
      <c r="AM370" s="584">
        <f t="shared" si="101"/>
        <v>0</v>
      </c>
      <c r="AN370" s="582"/>
      <c r="AO370" s="585"/>
      <c r="AP370" s="582"/>
      <c r="AQ370" s="585"/>
      <c r="AR370" s="582"/>
      <c r="AS370" s="585"/>
      <c r="AT370" s="582"/>
      <c r="AU370" s="585"/>
      <c r="AV370" s="583">
        <f t="shared" si="102"/>
        <v>0</v>
      </c>
      <c r="AW370" s="583">
        <f t="shared" si="103"/>
        <v>0</v>
      </c>
      <c r="AX370" s="584">
        <f t="shared" si="104"/>
        <v>0</v>
      </c>
      <c r="AY370" s="584">
        <f t="shared" si="105"/>
        <v>0</v>
      </c>
      <c r="AZ370" s="583">
        <f t="shared" si="106"/>
        <v>355.03777777777776</v>
      </c>
      <c r="BA370" s="584">
        <f t="shared" si="107"/>
        <v>407.36147777777779</v>
      </c>
    </row>
    <row r="371" spans="1:53">
      <c r="A371" s="11" t="s">
        <v>331</v>
      </c>
      <c r="B371" s="14" t="s">
        <v>341</v>
      </c>
      <c r="C371" s="529"/>
      <c r="D371" s="13">
        <v>375683</v>
      </c>
      <c r="E371" s="419">
        <v>13</v>
      </c>
      <c r="F371" s="582"/>
      <c r="G371" s="585"/>
      <c r="H371" s="582"/>
      <c r="I371" s="585"/>
      <c r="J371" s="582"/>
      <c r="K371" s="585"/>
      <c r="L371" s="582"/>
      <c r="M371" s="585"/>
      <c r="N371" s="582"/>
      <c r="O371" s="585"/>
      <c r="P371" s="583">
        <f t="shared" si="108"/>
        <v>0</v>
      </c>
      <c r="Q371" s="583">
        <f t="shared" si="109"/>
        <v>0</v>
      </c>
      <c r="R371" s="584">
        <f t="shared" si="110"/>
        <v>0</v>
      </c>
      <c r="S371" s="584">
        <f t="shared" si="111"/>
        <v>0</v>
      </c>
      <c r="T371" s="582"/>
      <c r="U371" s="585"/>
      <c r="V371" s="583">
        <f t="shared" si="112"/>
        <v>0</v>
      </c>
      <c r="W371" s="584">
        <f t="shared" si="113"/>
        <v>0</v>
      </c>
      <c r="X371" s="582"/>
      <c r="Y371" s="585"/>
      <c r="Z371" s="582"/>
      <c r="AA371" s="585"/>
      <c r="AB371" s="582"/>
      <c r="AC371" s="585"/>
      <c r="AD371" s="582">
        <v>647934.25</v>
      </c>
      <c r="AE371" s="585">
        <v>593311.30000000005</v>
      </c>
      <c r="AF371" s="583">
        <f t="shared" si="114"/>
        <v>647934.25</v>
      </c>
      <c r="AG371" s="583">
        <f t="shared" si="115"/>
        <v>719.92694444444442</v>
      </c>
      <c r="AH371" s="584">
        <f t="shared" si="116"/>
        <v>593311.30000000005</v>
      </c>
      <c r="AI371" s="584">
        <f t="shared" si="117"/>
        <v>659.23477777777782</v>
      </c>
      <c r="AJ371" s="582"/>
      <c r="AK371" s="585"/>
      <c r="AL371" s="583">
        <f t="shared" si="100"/>
        <v>0</v>
      </c>
      <c r="AM371" s="584">
        <f t="shared" si="101"/>
        <v>0</v>
      </c>
      <c r="AN371" s="582"/>
      <c r="AO371" s="585"/>
      <c r="AP371" s="582"/>
      <c r="AQ371" s="585"/>
      <c r="AR371" s="582"/>
      <c r="AS371" s="585"/>
      <c r="AT371" s="582"/>
      <c r="AU371" s="585"/>
      <c r="AV371" s="583">
        <f t="shared" si="102"/>
        <v>0</v>
      </c>
      <c r="AW371" s="583">
        <f t="shared" si="103"/>
        <v>0</v>
      </c>
      <c r="AX371" s="584">
        <f t="shared" si="104"/>
        <v>0</v>
      </c>
      <c r="AY371" s="584">
        <f t="shared" si="105"/>
        <v>0</v>
      </c>
      <c r="AZ371" s="583">
        <f t="shared" si="106"/>
        <v>719.92694444444442</v>
      </c>
      <c r="BA371" s="584">
        <f t="shared" si="107"/>
        <v>659.23477777777782</v>
      </c>
    </row>
    <row r="372" spans="1:53">
      <c r="A372" s="11" t="s">
        <v>331</v>
      </c>
      <c r="B372" s="14" t="s">
        <v>342</v>
      </c>
      <c r="C372" s="12"/>
      <c r="D372" s="13">
        <v>364548</v>
      </c>
      <c r="E372" s="419">
        <v>13</v>
      </c>
      <c r="F372" s="582"/>
      <c r="G372" s="585"/>
      <c r="H372" s="582"/>
      <c r="I372" s="585"/>
      <c r="J372" s="582"/>
      <c r="K372" s="585"/>
      <c r="L372" s="582"/>
      <c r="M372" s="585"/>
      <c r="N372" s="582"/>
      <c r="O372" s="585"/>
      <c r="P372" s="583">
        <f t="shared" si="108"/>
        <v>0</v>
      </c>
      <c r="Q372" s="583">
        <f t="shared" si="109"/>
        <v>0</v>
      </c>
      <c r="R372" s="584">
        <f t="shared" si="110"/>
        <v>0</v>
      </c>
      <c r="S372" s="584">
        <f t="shared" si="111"/>
        <v>0</v>
      </c>
      <c r="T372" s="582"/>
      <c r="U372" s="585"/>
      <c r="V372" s="583">
        <f t="shared" si="112"/>
        <v>0</v>
      </c>
      <c r="W372" s="584">
        <f t="shared" si="113"/>
        <v>0</v>
      </c>
      <c r="X372" s="582"/>
      <c r="Y372" s="585"/>
      <c r="Z372" s="582"/>
      <c r="AA372" s="585"/>
      <c r="AB372" s="582"/>
      <c r="AC372" s="585"/>
      <c r="AD372" s="582">
        <v>789953.98999999894</v>
      </c>
      <c r="AE372" s="585">
        <v>766348.03</v>
      </c>
      <c r="AF372" s="583">
        <f t="shared" si="114"/>
        <v>789953.98999999894</v>
      </c>
      <c r="AG372" s="583">
        <f t="shared" si="115"/>
        <v>877.72665555555443</v>
      </c>
      <c r="AH372" s="584">
        <f t="shared" si="116"/>
        <v>766348.03</v>
      </c>
      <c r="AI372" s="584">
        <f t="shared" si="117"/>
        <v>851.4978111111111</v>
      </c>
      <c r="AJ372" s="582"/>
      <c r="AK372" s="585"/>
      <c r="AL372" s="583">
        <f t="shared" si="100"/>
        <v>0</v>
      </c>
      <c r="AM372" s="584">
        <f t="shared" si="101"/>
        <v>0</v>
      </c>
      <c r="AN372" s="582"/>
      <c r="AO372" s="585"/>
      <c r="AP372" s="582"/>
      <c r="AQ372" s="585"/>
      <c r="AR372" s="582"/>
      <c r="AS372" s="585"/>
      <c r="AT372" s="582"/>
      <c r="AU372" s="585"/>
      <c r="AV372" s="583">
        <f t="shared" si="102"/>
        <v>0</v>
      </c>
      <c r="AW372" s="583">
        <f t="shared" si="103"/>
        <v>0</v>
      </c>
      <c r="AX372" s="584">
        <f t="shared" si="104"/>
        <v>0</v>
      </c>
      <c r="AY372" s="584">
        <f t="shared" si="105"/>
        <v>0</v>
      </c>
      <c r="AZ372" s="583">
        <f t="shared" si="106"/>
        <v>877.72665555555443</v>
      </c>
      <c r="BA372" s="584">
        <f t="shared" si="107"/>
        <v>851.4978111111111</v>
      </c>
    </row>
    <row r="373" spans="1:53">
      <c r="A373" s="415" t="s">
        <v>331</v>
      </c>
      <c r="B373" s="14" t="s">
        <v>343</v>
      </c>
      <c r="C373" s="529"/>
      <c r="D373" s="13">
        <v>428019</v>
      </c>
      <c r="E373" s="419">
        <v>13</v>
      </c>
      <c r="F373" s="582"/>
      <c r="G373" s="585"/>
      <c r="H373" s="582"/>
      <c r="I373" s="585"/>
      <c r="J373" s="582"/>
      <c r="K373" s="585"/>
      <c r="L373" s="582"/>
      <c r="M373" s="585"/>
      <c r="N373" s="582"/>
      <c r="O373" s="585"/>
      <c r="P373" s="583">
        <f t="shared" si="108"/>
        <v>0</v>
      </c>
      <c r="Q373" s="583">
        <f t="shared" si="109"/>
        <v>0</v>
      </c>
      <c r="R373" s="584">
        <f t="shared" si="110"/>
        <v>0</v>
      </c>
      <c r="S373" s="584">
        <f t="shared" si="111"/>
        <v>0</v>
      </c>
      <c r="T373" s="582"/>
      <c r="U373" s="585"/>
      <c r="V373" s="583">
        <f t="shared" si="112"/>
        <v>0</v>
      </c>
      <c r="W373" s="584">
        <f t="shared" si="113"/>
        <v>0</v>
      </c>
      <c r="X373" s="582"/>
      <c r="Y373" s="585"/>
      <c r="Z373" s="582"/>
      <c r="AA373" s="585"/>
      <c r="AB373" s="582"/>
      <c r="AC373" s="585"/>
      <c r="AD373" s="582">
        <v>197214.78</v>
      </c>
      <c r="AE373" s="585">
        <v>186012.7</v>
      </c>
      <c r="AF373" s="583">
        <f t="shared" si="114"/>
        <v>197214.78</v>
      </c>
      <c r="AG373" s="583">
        <f t="shared" si="115"/>
        <v>219.12753333333333</v>
      </c>
      <c r="AH373" s="584">
        <f t="shared" si="116"/>
        <v>186012.7</v>
      </c>
      <c r="AI373" s="584">
        <f t="shared" si="117"/>
        <v>206.68077777777779</v>
      </c>
      <c r="AJ373" s="582"/>
      <c r="AK373" s="585"/>
      <c r="AL373" s="583">
        <f t="shared" si="100"/>
        <v>0</v>
      </c>
      <c r="AM373" s="584">
        <f t="shared" si="101"/>
        <v>0</v>
      </c>
      <c r="AN373" s="582"/>
      <c r="AO373" s="585"/>
      <c r="AP373" s="582"/>
      <c r="AQ373" s="585"/>
      <c r="AR373" s="582"/>
      <c r="AS373" s="585"/>
      <c r="AT373" s="582"/>
      <c r="AU373" s="585"/>
      <c r="AV373" s="583">
        <f t="shared" si="102"/>
        <v>0</v>
      </c>
      <c r="AW373" s="583">
        <f t="shared" si="103"/>
        <v>0</v>
      </c>
      <c r="AX373" s="584">
        <f t="shared" si="104"/>
        <v>0</v>
      </c>
      <c r="AY373" s="584">
        <f t="shared" si="105"/>
        <v>0</v>
      </c>
      <c r="AZ373" s="583">
        <f t="shared" si="106"/>
        <v>219.12753333333333</v>
      </c>
      <c r="BA373" s="584">
        <f t="shared" si="107"/>
        <v>206.68077777777779</v>
      </c>
    </row>
    <row r="374" spans="1:53">
      <c r="A374" s="11" t="s">
        <v>331</v>
      </c>
      <c r="B374" s="14" t="s">
        <v>344</v>
      </c>
      <c r="C374" s="529"/>
      <c r="D374" s="13">
        <v>208053</v>
      </c>
      <c r="E374" s="419">
        <v>13</v>
      </c>
      <c r="F374" s="582"/>
      <c r="G374" s="585"/>
      <c r="H374" s="582"/>
      <c r="I374" s="585"/>
      <c r="J374" s="582"/>
      <c r="K374" s="585"/>
      <c r="L374" s="582"/>
      <c r="M374" s="585"/>
      <c r="N374" s="582"/>
      <c r="O374" s="585"/>
      <c r="P374" s="583">
        <f t="shared" si="108"/>
        <v>0</v>
      </c>
      <c r="Q374" s="583">
        <f t="shared" si="109"/>
        <v>0</v>
      </c>
      <c r="R374" s="584">
        <f t="shared" si="110"/>
        <v>0</v>
      </c>
      <c r="S374" s="584">
        <f t="shared" si="111"/>
        <v>0</v>
      </c>
      <c r="T374" s="582"/>
      <c r="U374" s="585"/>
      <c r="V374" s="583">
        <f t="shared" si="112"/>
        <v>0</v>
      </c>
      <c r="W374" s="584">
        <f t="shared" si="113"/>
        <v>0</v>
      </c>
      <c r="X374" s="582"/>
      <c r="Y374" s="585"/>
      <c r="Z374" s="582"/>
      <c r="AA374" s="585"/>
      <c r="AB374" s="582"/>
      <c r="AC374" s="585"/>
      <c r="AD374" s="582">
        <v>202706.91</v>
      </c>
      <c r="AE374" s="585">
        <v>203650.91</v>
      </c>
      <c r="AF374" s="583">
        <f t="shared" si="114"/>
        <v>202706.91</v>
      </c>
      <c r="AG374" s="583">
        <f t="shared" si="115"/>
        <v>225.22990000000001</v>
      </c>
      <c r="AH374" s="584">
        <f t="shared" si="116"/>
        <v>203650.91</v>
      </c>
      <c r="AI374" s="584">
        <f t="shared" si="117"/>
        <v>226.2787888888889</v>
      </c>
      <c r="AJ374" s="582"/>
      <c r="AK374" s="585"/>
      <c r="AL374" s="583">
        <f t="shared" si="100"/>
        <v>0</v>
      </c>
      <c r="AM374" s="584">
        <f t="shared" si="101"/>
        <v>0</v>
      </c>
      <c r="AN374" s="582"/>
      <c r="AO374" s="585"/>
      <c r="AP374" s="582"/>
      <c r="AQ374" s="585"/>
      <c r="AR374" s="582"/>
      <c r="AS374" s="585"/>
      <c r="AT374" s="582"/>
      <c r="AU374" s="585"/>
      <c r="AV374" s="583">
        <f t="shared" si="102"/>
        <v>0</v>
      </c>
      <c r="AW374" s="583">
        <f t="shared" si="103"/>
        <v>0</v>
      </c>
      <c r="AX374" s="584">
        <f t="shared" si="104"/>
        <v>0</v>
      </c>
      <c r="AY374" s="584">
        <f t="shared" si="105"/>
        <v>0</v>
      </c>
      <c r="AZ374" s="583">
        <f t="shared" si="106"/>
        <v>225.22990000000001</v>
      </c>
      <c r="BA374" s="584">
        <f t="shared" si="107"/>
        <v>226.2787888888889</v>
      </c>
    </row>
    <row r="375" spans="1:53">
      <c r="A375" s="11" t="s">
        <v>331</v>
      </c>
      <c r="B375" s="14" t="s">
        <v>345</v>
      </c>
      <c r="C375" s="529"/>
      <c r="D375" s="13">
        <v>418296</v>
      </c>
      <c r="E375" s="419">
        <v>13</v>
      </c>
      <c r="F375" s="582"/>
      <c r="G375" s="585"/>
      <c r="H375" s="582"/>
      <c r="I375" s="585"/>
      <c r="J375" s="582"/>
      <c r="K375" s="585"/>
      <c r="L375" s="582"/>
      <c r="M375" s="585"/>
      <c r="N375" s="582"/>
      <c r="O375" s="585"/>
      <c r="P375" s="583">
        <f t="shared" si="108"/>
        <v>0</v>
      </c>
      <c r="Q375" s="583">
        <f t="shared" si="109"/>
        <v>0</v>
      </c>
      <c r="R375" s="584">
        <f t="shared" si="110"/>
        <v>0</v>
      </c>
      <c r="S375" s="584">
        <f t="shared" si="111"/>
        <v>0</v>
      </c>
      <c r="T375" s="582"/>
      <c r="U375" s="585"/>
      <c r="V375" s="583">
        <f t="shared" si="112"/>
        <v>0</v>
      </c>
      <c r="W375" s="584">
        <f t="shared" si="113"/>
        <v>0</v>
      </c>
      <c r="X375" s="582"/>
      <c r="Y375" s="585"/>
      <c r="Z375" s="582"/>
      <c r="AA375" s="585"/>
      <c r="AB375" s="582"/>
      <c r="AC375" s="585"/>
      <c r="AD375" s="582">
        <v>539866.15</v>
      </c>
      <c r="AE375" s="585">
        <v>452639.67</v>
      </c>
      <c r="AF375" s="583">
        <f t="shared" si="114"/>
        <v>539866.15</v>
      </c>
      <c r="AG375" s="583">
        <f t="shared" si="115"/>
        <v>599.8512777777778</v>
      </c>
      <c r="AH375" s="584">
        <f t="shared" si="116"/>
        <v>452639.67</v>
      </c>
      <c r="AI375" s="584">
        <f t="shared" si="117"/>
        <v>502.93296666666663</v>
      </c>
      <c r="AJ375" s="582"/>
      <c r="AK375" s="585"/>
      <c r="AL375" s="583">
        <f t="shared" si="100"/>
        <v>0</v>
      </c>
      <c r="AM375" s="584">
        <f t="shared" si="101"/>
        <v>0</v>
      </c>
      <c r="AN375" s="582"/>
      <c r="AO375" s="585"/>
      <c r="AP375" s="582"/>
      <c r="AQ375" s="585"/>
      <c r="AR375" s="582"/>
      <c r="AS375" s="585"/>
      <c r="AT375" s="582"/>
      <c r="AU375" s="585"/>
      <c r="AV375" s="583">
        <f t="shared" si="102"/>
        <v>0</v>
      </c>
      <c r="AW375" s="583">
        <f t="shared" si="103"/>
        <v>0</v>
      </c>
      <c r="AX375" s="584">
        <f t="shared" si="104"/>
        <v>0</v>
      </c>
      <c r="AY375" s="584">
        <f t="shared" si="105"/>
        <v>0</v>
      </c>
      <c r="AZ375" s="583">
        <f t="shared" si="106"/>
        <v>599.8512777777778</v>
      </c>
      <c r="BA375" s="584">
        <f t="shared" si="107"/>
        <v>502.93296666666663</v>
      </c>
    </row>
    <row r="376" spans="1:53">
      <c r="A376" s="11" t="s">
        <v>331</v>
      </c>
      <c r="B376" s="14" t="s">
        <v>346</v>
      </c>
      <c r="C376" s="529"/>
      <c r="D376" s="13">
        <v>421540</v>
      </c>
      <c r="E376" s="419">
        <v>13</v>
      </c>
      <c r="F376" s="582"/>
      <c r="G376" s="585"/>
      <c r="H376" s="582"/>
      <c r="I376" s="585"/>
      <c r="J376" s="582"/>
      <c r="K376" s="585"/>
      <c r="L376" s="582"/>
      <c r="M376" s="585"/>
      <c r="N376" s="582"/>
      <c r="O376" s="585"/>
      <c r="P376" s="583">
        <f t="shared" si="108"/>
        <v>0</v>
      </c>
      <c r="Q376" s="583">
        <f t="shared" si="109"/>
        <v>0</v>
      </c>
      <c r="R376" s="584">
        <f t="shared" si="110"/>
        <v>0</v>
      </c>
      <c r="S376" s="584">
        <f t="shared" si="111"/>
        <v>0</v>
      </c>
      <c r="T376" s="582"/>
      <c r="U376" s="585"/>
      <c r="V376" s="583">
        <f t="shared" si="112"/>
        <v>0</v>
      </c>
      <c r="W376" s="584">
        <f t="shared" si="113"/>
        <v>0</v>
      </c>
      <c r="X376" s="582"/>
      <c r="Y376" s="585"/>
      <c r="Z376" s="582"/>
      <c r="AA376" s="585"/>
      <c r="AB376" s="582"/>
      <c r="AC376" s="585"/>
      <c r="AD376" s="582">
        <v>132482</v>
      </c>
      <c r="AE376" s="585">
        <v>120424.69</v>
      </c>
      <c r="AF376" s="583">
        <f t="shared" si="114"/>
        <v>132482</v>
      </c>
      <c r="AG376" s="583">
        <f t="shared" si="115"/>
        <v>147.20222222222222</v>
      </c>
      <c r="AH376" s="584">
        <f t="shared" si="116"/>
        <v>120424.69</v>
      </c>
      <c r="AI376" s="584">
        <f t="shared" si="117"/>
        <v>133.80521111111111</v>
      </c>
      <c r="AJ376" s="582"/>
      <c r="AK376" s="585"/>
      <c r="AL376" s="583">
        <f t="shared" si="100"/>
        <v>0</v>
      </c>
      <c r="AM376" s="584">
        <f t="shared" si="101"/>
        <v>0</v>
      </c>
      <c r="AN376" s="582"/>
      <c r="AO376" s="585"/>
      <c r="AP376" s="582"/>
      <c r="AQ376" s="585"/>
      <c r="AR376" s="582"/>
      <c r="AS376" s="585"/>
      <c r="AT376" s="582"/>
      <c r="AU376" s="585"/>
      <c r="AV376" s="583">
        <f t="shared" si="102"/>
        <v>0</v>
      </c>
      <c r="AW376" s="583">
        <f t="shared" si="103"/>
        <v>0</v>
      </c>
      <c r="AX376" s="584">
        <f t="shared" si="104"/>
        <v>0</v>
      </c>
      <c r="AY376" s="584">
        <f t="shared" si="105"/>
        <v>0</v>
      </c>
      <c r="AZ376" s="583">
        <f t="shared" si="106"/>
        <v>147.20222222222222</v>
      </c>
      <c r="BA376" s="584">
        <f t="shared" si="107"/>
        <v>133.80521111111111</v>
      </c>
    </row>
    <row r="377" spans="1:53">
      <c r="A377" s="11" t="s">
        <v>331</v>
      </c>
      <c r="B377" s="14" t="s">
        <v>347</v>
      </c>
      <c r="C377" s="529"/>
      <c r="D377" s="13">
        <v>421559</v>
      </c>
      <c r="E377" s="419">
        <v>13</v>
      </c>
      <c r="F377" s="582"/>
      <c r="G377" s="585"/>
      <c r="H377" s="582"/>
      <c r="I377" s="585"/>
      <c r="J377" s="582"/>
      <c r="K377" s="585"/>
      <c r="L377" s="582"/>
      <c r="M377" s="585"/>
      <c r="N377" s="582"/>
      <c r="O377" s="585"/>
      <c r="P377" s="583">
        <f t="shared" si="108"/>
        <v>0</v>
      </c>
      <c r="Q377" s="583">
        <f t="shared" si="109"/>
        <v>0</v>
      </c>
      <c r="R377" s="584">
        <f t="shared" si="110"/>
        <v>0</v>
      </c>
      <c r="S377" s="584">
        <f t="shared" si="111"/>
        <v>0</v>
      </c>
      <c r="T377" s="582"/>
      <c r="U377" s="585"/>
      <c r="V377" s="583">
        <f t="shared" si="112"/>
        <v>0</v>
      </c>
      <c r="W377" s="584">
        <f t="shared" si="113"/>
        <v>0</v>
      </c>
      <c r="X377" s="582"/>
      <c r="Y377" s="585"/>
      <c r="Z377" s="582"/>
      <c r="AA377" s="585"/>
      <c r="AB377" s="582"/>
      <c r="AC377" s="585"/>
      <c r="AD377" s="582">
        <v>109921</v>
      </c>
      <c r="AE377" s="585">
        <v>96298.68</v>
      </c>
      <c r="AF377" s="583">
        <f t="shared" si="114"/>
        <v>109921</v>
      </c>
      <c r="AG377" s="583">
        <f t="shared" si="115"/>
        <v>122.13444444444444</v>
      </c>
      <c r="AH377" s="584">
        <f t="shared" si="116"/>
        <v>96298.68</v>
      </c>
      <c r="AI377" s="584">
        <f t="shared" si="117"/>
        <v>106.99853333333333</v>
      </c>
      <c r="AJ377" s="582"/>
      <c r="AK377" s="585"/>
      <c r="AL377" s="583">
        <f t="shared" si="100"/>
        <v>0</v>
      </c>
      <c r="AM377" s="584">
        <f t="shared" si="101"/>
        <v>0</v>
      </c>
      <c r="AN377" s="582"/>
      <c r="AO377" s="585"/>
      <c r="AP377" s="582"/>
      <c r="AQ377" s="585"/>
      <c r="AR377" s="582"/>
      <c r="AS377" s="585"/>
      <c r="AT377" s="582"/>
      <c r="AU377" s="585"/>
      <c r="AV377" s="583">
        <f t="shared" si="102"/>
        <v>0</v>
      </c>
      <c r="AW377" s="583">
        <f t="shared" si="103"/>
        <v>0</v>
      </c>
      <c r="AX377" s="584">
        <f t="shared" si="104"/>
        <v>0</v>
      </c>
      <c r="AY377" s="584">
        <f t="shared" si="105"/>
        <v>0</v>
      </c>
      <c r="AZ377" s="583">
        <f t="shared" si="106"/>
        <v>122.13444444444444</v>
      </c>
      <c r="BA377" s="584">
        <f t="shared" si="107"/>
        <v>106.99853333333333</v>
      </c>
    </row>
    <row r="378" spans="1:53">
      <c r="A378" s="11" t="s">
        <v>331</v>
      </c>
      <c r="B378" s="14" t="s">
        <v>348</v>
      </c>
      <c r="C378" s="529"/>
      <c r="D378" s="13">
        <v>208026</v>
      </c>
      <c r="E378" s="419">
        <v>13</v>
      </c>
      <c r="F378" s="582"/>
      <c r="G378" s="585"/>
      <c r="H378" s="582"/>
      <c r="I378" s="585"/>
      <c r="J378" s="582"/>
      <c r="K378" s="585"/>
      <c r="L378" s="582"/>
      <c r="M378" s="585"/>
      <c r="N378" s="582"/>
      <c r="O378" s="585"/>
      <c r="P378" s="583">
        <f t="shared" si="108"/>
        <v>0</v>
      </c>
      <c r="Q378" s="583">
        <f t="shared" si="109"/>
        <v>0</v>
      </c>
      <c r="R378" s="584">
        <f t="shared" si="110"/>
        <v>0</v>
      </c>
      <c r="S378" s="584">
        <f t="shared" si="111"/>
        <v>0</v>
      </c>
      <c r="T378" s="582"/>
      <c r="U378" s="585"/>
      <c r="V378" s="583">
        <f t="shared" si="112"/>
        <v>0</v>
      </c>
      <c r="W378" s="584">
        <f t="shared" si="113"/>
        <v>0</v>
      </c>
      <c r="X378" s="582"/>
      <c r="Y378" s="585"/>
      <c r="Z378" s="582"/>
      <c r="AA378" s="585"/>
      <c r="AB378" s="582"/>
      <c r="AC378" s="585"/>
      <c r="AD378" s="582">
        <v>231258</v>
      </c>
      <c r="AE378" s="585">
        <v>196529.22</v>
      </c>
      <c r="AF378" s="583">
        <f t="shared" si="114"/>
        <v>231258</v>
      </c>
      <c r="AG378" s="583">
        <f t="shared" si="115"/>
        <v>256.95333333333332</v>
      </c>
      <c r="AH378" s="584">
        <f t="shared" si="116"/>
        <v>196529.22</v>
      </c>
      <c r="AI378" s="584">
        <f t="shared" si="117"/>
        <v>218.36580000000001</v>
      </c>
      <c r="AJ378" s="582"/>
      <c r="AK378" s="585"/>
      <c r="AL378" s="583">
        <f t="shared" si="100"/>
        <v>0</v>
      </c>
      <c r="AM378" s="584">
        <f t="shared" si="101"/>
        <v>0</v>
      </c>
      <c r="AN378" s="582"/>
      <c r="AO378" s="585"/>
      <c r="AP378" s="582"/>
      <c r="AQ378" s="585"/>
      <c r="AR378" s="582"/>
      <c r="AS378" s="585"/>
      <c r="AT378" s="582"/>
      <c r="AU378" s="585"/>
      <c r="AV378" s="583">
        <f t="shared" si="102"/>
        <v>0</v>
      </c>
      <c r="AW378" s="583">
        <f t="shared" si="103"/>
        <v>0</v>
      </c>
      <c r="AX378" s="584">
        <f t="shared" si="104"/>
        <v>0</v>
      </c>
      <c r="AY378" s="584">
        <f t="shared" si="105"/>
        <v>0</v>
      </c>
      <c r="AZ378" s="583">
        <f t="shared" si="106"/>
        <v>256.95333333333332</v>
      </c>
      <c r="BA378" s="584">
        <f t="shared" si="107"/>
        <v>218.36580000000001</v>
      </c>
    </row>
    <row r="379" spans="1:53">
      <c r="A379" s="11" t="s">
        <v>331</v>
      </c>
      <c r="B379" s="14" t="s">
        <v>349</v>
      </c>
      <c r="C379" s="529"/>
      <c r="D379" s="13">
        <v>375692</v>
      </c>
      <c r="E379" s="419">
        <v>13</v>
      </c>
      <c r="F379" s="582"/>
      <c r="G379" s="585"/>
      <c r="H379" s="582"/>
      <c r="I379" s="585"/>
      <c r="J379" s="582"/>
      <c r="K379" s="585"/>
      <c r="L379" s="582"/>
      <c r="M379" s="585"/>
      <c r="N379" s="582"/>
      <c r="O379" s="585"/>
      <c r="P379" s="583">
        <f t="shared" si="108"/>
        <v>0</v>
      </c>
      <c r="Q379" s="583">
        <f t="shared" si="109"/>
        <v>0</v>
      </c>
      <c r="R379" s="584">
        <f t="shared" si="110"/>
        <v>0</v>
      </c>
      <c r="S379" s="584">
        <f t="shared" si="111"/>
        <v>0</v>
      </c>
      <c r="T379" s="582"/>
      <c r="U379" s="585"/>
      <c r="V379" s="583">
        <f t="shared" si="112"/>
        <v>0</v>
      </c>
      <c r="W379" s="584">
        <f t="shared" si="113"/>
        <v>0</v>
      </c>
      <c r="X379" s="582"/>
      <c r="Y379" s="585"/>
      <c r="Z379" s="582"/>
      <c r="AA379" s="585"/>
      <c r="AB379" s="582"/>
      <c r="AC379" s="585"/>
      <c r="AD379" s="582">
        <v>103580.45</v>
      </c>
      <c r="AE379" s="585">
        <v>121865.98</v>
      </c>
      <c r="AF379" s="583">
        <f t="shared" si="114"/>
        <v>103580.45</v>
      </c>
      <c r="AG379" s="583">
        <f t="shared" si="115"/>
        <v>115.08938888888889</v>
      </c>
      <c r="AH379" s="584">
        <f t="shared" si="116"/>
        <v>121865.98</v>
      </c>
      <c r="AI379" s="584">
        <f t="shared" si="117"/>
        <v>135.40664444444445</v>
      </c>
      <c r="AJ379" s="582"/>
      <c r="AK379" s="585"/>
      <c r="AL379" s="583">
        <f t="shared" si="100"/>
        <v>0</v>
      </c>
      <c r="AM379" s="584">
        <f t="shared" si="101"/>
        <v>0</v>
      </c>
      <c r="AN379" s="582"/>
      <c r="AO379" s="585"/>
      <c r="AP379" s="582"/>
      <c r="AQ379" s="585"/>
      <c r="AR379" s="582"/>
      <c r="AS379" s="585"/>
      <c r="AT379" s="582"/>
      <c r="AU379" s="585"/>
      <c r="AV379" s="583">
        <f t="shared" si="102"/>
        <v>0</v>
      </c>
      <c r="AW379" s="583">
        <f t="shared" si="103"/>
        <v>0</v>
      </c>
      <c r="AX379" s="584">
        <f t="shared" si="104"/>
        <v>0</v>
      </c>
      <c r="AY379" s="584">
        <f t="shared" si="105"/>
        <v>0</v>
      </c>
      <c r="AZ379" s="583">
        <f t="shared" si="106"/>
        <v>115.08938888888889</v>
      </c>
      <c r="BA379" s="584">
        <f t="shared" si="107"/>
        <v>135.40664444444445</v>
      </c>
    </row>
    <row r="380" spans="1:53">
      <c r="A380" s="11" t="s">
        <v>331</v>
      </c>
      <c r="B380" s="14" t="s">
        <v>350</v>
      </c>
      <c r="C380" s="529"/>
      <c r="D380" s="13">
        <v>375708</v>
      </c>
      <c r="E380" s="419">
        <v>13</v>
      </c>
      <c r="F380" s="582"/>
      <c r="G380" s="585"/>
      <c r="H380" s="582"/>
      <c r="I380" s="585"/>
      <c r="J380" s="582"/>
      <c r="K380" s="585"/>
      <c r="L380" s="582"/>
      <c r="M380" s="585"/>
      <c r="N380" s="582"/>
      <c r="O380" s="585"/>
      <c r="P380" s="583">
        <f t="shared" si="108"/>
        <v>0</v>
      </c>
      <c r="Q380" s="583">
        <f t="shared" si="109"/>
        <v>0</v>
      </c>
      <c r="R380" s="584">
        <f t="shared" si="110"/>
        <v>0</v>
      </c>
      <c r="S380" s="584">
        <f t="shared" si="111"/>
        <v>0</v>
      </c>
      <c r="T380" s="582"/>
      <c r="U380" s="585"/>
      <c r="V380" s="583">
        <f t="shared" si="112"/>
        <v>0</v>
      </c>
      <c r="W380" s="584">
        <f t="shared" si="113"/>
        <v>0</v>
      </c>
      <c r="X380" s="582"/>
      <c r="Y380" s="585"/>
      <c r="Z380" s="582"/>
      <c r="AA380" s="585"/>
      <c r="AB380" s="582"/>
      <c r="AC380" s="585"/>
      <c r="AD380" s="582">
        <v>202547.14</v>
      </c>
      <c r="AE380" s="585">
        <v>173694.75</v>
      </c>
      <c r="AF380" s="583">
        <f t="shared" si="114"/>
        <v>202547.14</v>
      </c>
      <c r="AG380" s="583">
        <f t="shared" si="115"/>
        <v>225.05237777777779</v>
      </c>
      <c r="AH380" s="584">
        <f t="shared" si="116"/>
        <v>173694.75</v>
      </c>
      <c r="AI380" s="584">
        <f t="shared" si="117"/>
        <v>192.99416666666667</v>
      </c>
      <c r="AJ380" s="582"/>
      <c r="AK380" s="585"/>
      <c r="AL380" s="583">
        <f t="shared" si="100"/>
        <v>0</v>
      </c>
      <c r="AM380" s="584">
        <f t="shared" si="101"/>
        <v>0</v>
      </c>
      <c r="AN380" s="582"/>
      <c r="AO380" s="585"/>
      <c r="AP380" s="582"/>
      <c r="AQ380" s="585"/>
      <c r="AR380" s="582"/>
      <c r="AS380" s="585"/>
      <c r="AT380" s="582"/>
      <c r="AU380" s="585"/>
      <c r="AV380" s="583">
        <f t="shared" si="102"/>
        <v>0</v>
      </c>
      <c r="AW380" s="583">
        <f t="shared" si="103"/>
        <v>0</v>
      </c>
      <c r="AX380" s="584">
        <f t="shared" si="104"/>
        <v>0</v>
      </c>
      <c r="AY380" s="584">
        <f t="shared" si="105"/>
        <v>0</v>
      </c>
      <c r="AZ380" s="583">
        <f t="shared" si="106"/>
        <v>225.05237777777779</v>
      </c>
      <c r="BA380" s="584">
        <f t="shared" si="107"/>
        <v>192.99416666666667</v>
      </c>
    </row>
    <row r="381" spans="1:53">
      <c r="A381" s="11" t="s">
        <v>331</v>
      </c>
      <c r="B381" s="14" t="s">
        <v>351</v>
      </c>
      <c r="C381" s="529"/>
      <c r="D381" s="13">
        <v>375717</v>
      </c>
      <c r="E381" s="419">
        <v>13</v>
      </c>
      <c r="F381" s="582"/>
      <c r="G381" s="585"/>
      <c r="H381" s="582"/>
      <c r="I381" s="585"/>
      <c r="J381" s="582"/>
      <c r="K381" s="585"/>
      <c r="L381" s="582"/>
      <c r="M381" s="585"/>
      <c r="N381" s="582"/>
      <c r="O381" s="585"/>
      <c r="P381" s="583">
        <f t="shared" si="108"/>
        <v>0</v>
      </c>
      <c r="Q381" s="583">
        <f t="shared" si="109"/>
        <v>0</v>
      </c>
      <c r="R381" s="584">
        <f t="shared" si="110"/>
        <v>0</v>
      </c>
      <c r="S381" s="584">
        <f t="shared" si="111"/>
        <v>0</v>
      </c>
      <c r="T381" s="582"/>
      <c r="U381" s="585"/>
      <c r="V381" s="583">
        <f t="shared" si="112"/>
        <v>0</v>
      </c>
      <c r="W381" s="584">
        <f t="shared" si="113"/>
        <v>0</v>
      </c>
      <c r="X381" s="582"/>
      <c r="Y381" s="585"/>
      <c r="Z381" s="582"/>
      <c r="AA381" s="585"/>
      <c r="AB381" s="582"/>
      <c r="AC381" s="585"/>
      <c r="AD381" s="582">
        <v>113767</v>
      </c>
      <c r="AE381" s="585">
        <v>94510.59</v>
      </c>
      <c r="AF381" s="583">
        <f t="shared" si="114"/>
        <v>113767</v>
      </c>
      <c r="AG381" s="583">
        <f t="shared" si="115"/>
        <v>126.40777777777778</v>
      </c>
      <c r="AH381" s="584">
        <f t="shared" si="116"/>
        <v>94510.59</v>
      </c>
      <c r="AI381" s="584">
        <f t="shared" si="117"/>
        <v>105.01176666666666</v>
      </c>
      <c r="AJ381" s="582"/>
      <c r="AK381" s="585"/>
      <c r="AL381" s="583">
        <f t="shared" si="100"/>
        <v>0</v>
      </c>
      <c r="AM381" s="584">
        <f t="shared" si="101"/>
        <v>0</v>
      </c>
      <c r="AN381" s="582"/>
      <c r="AO381" s="585"/>
      <c r="AP381" s="582"/>
      <c r="AQ381" s="585"/>
      <c r="AR381" s="582"/>
      <c r="AS381" s="585"/>
      <c r="AT381" s="582"/>
      <c r="AU381" s="585"/>
      <c r="AV381" s="583">
        <f t="shared" si="102"/>
        <v>0</v>
      </c>
      <c r="AW381" s="583">
        <f t="shared" si="103"/>
        <v>0</v>
      </c>
      <c r="AX381" s="584">
        <f t="shared" si="104"/>
        <v>0</v>
      </c>
      <c r="AY381" s="584">
        <f t="shared" si="105"/>
        <v>0</v>
      </c>
      <c r="AZ381" s="583">
        <f t="shared" si="106"/>
        <v>126.40777777777778</v>
      </c>
      <c r="BA381" s="584">
        <f t="shared" si="107"/>
        <v>105.01176666666666</v>
      </c>
    </row>
    <row r="382" spans="1:53">
      <c r="A382" s="11" t="s">
        <v>331</v>
      </c>
      <c r="B382" s="14" t="s">
        <v>352</v>
      </c>
      <c r="C382" s="529"/>
      <c r="D382" s="13">
        <v>375735</v>
      </c>
      <c r="E382" s="419">
        <v>13</v>
      </c>
      <c r="F382" s="582"/>
      <c r="G382" s="585"/>
      <c r="H382" s="582"/>
      <c r="I382" s="585"/>
      <c r="J382" s="582"/>
      <c r="K382" s="585"/>
      <c r="L382" s="582"/>
      <c r="M382" s="585"/>
      <c r="N382" s="582"/>
      <c r="O382" s="585"/>
      <c r="P382" s="583">
        <f t="shared" si="108"/>
        <v>0</v>
      </c>
      <c r="Q382" s="583">
        <f t="shared" si="109"/>
        <v>0</v>
      </c>
      <c r="R382" s="584">
        <f t="shared" si="110"/>
        <v>0</v>
      </c>
      <c r="S382" s="584">
        <f t="shared" si="111"/>
        <v>0</v>
      </c>
      <c r="T382" s="582"/>
      <c r="U382" s="585"/>
      <c r="V382" s="583">
        <f t="shared" si="112"/>
        <v>0</v>
      </c>
      <c r="W382" s="584">
        <f t="shared" si="113"/>
        <v>0</v>
      </c>
      <c r="X382" s="582"/>
      <c r="Y382" s="585"/>
      <c r="Z382" s="582"/>
      <c r="AA382" s="585"/>
      <c r="AB382" s="582"/>
      <c r="AC382" s="585"/>
      <c r="AD382" s="582">
        <v>180681.25</v>
      </c>
      <c r="AE382" s="585">
        <v>168725.32</v>
      </c>
      <c r="AF382" s="583">
        <f t="shared" si="114"/>
        <v>180681.25</v>
      </c>
      <c r="AG382" s="583">
        <f t="shared" si="115"/>
        <v>200.75694444444446</v>
      </c>
      <c r="AH382" s="584">
        <f t="shared" si="116"/>
        <v>168725.32</v>
      </c>
      <c r="AI382" s="584">
        <f t="shared" si="117"/>
        <v>187.47257777777779</v>
      </c>
      <c r="AJ382" s="582"/>
      <c r="AK382" s="585"/>
      <c r="AL382" s="583">
        <f t="shared" si="100"/>
        <v>0</v>
      </c>
      <c r="AM382" s="584">
        <f t="shared" si="101"/>
        <v>0</v>
      </c>
      <c r="AN382" s="582"/>
      <c r="AO382" s="585"/>
      <c r="AP382" s="582"/>
      <c r="AQ382" s="585"/>
      <c r="AR382" s="582"/>
      <c r="AS382" s="585"/>
      <c r="AT382" s="582"/>
      <c r="AU382" s="585"/>
      <c r="AV382" s="583">
        <f t="shared" si="102"/>
        <v>0</v>
      </c>
      <c r="AW382" s="583">
        <f t="shared" si="103"/>
        <v>0</v>
      </c>
      <c r="AX382" s="584">
        <f t="shared" si="104"/>
        <v>0</v>
      </c>
      <c r="AY382" s="584">
        <f t="shared" si="105"/>
        <v>0</v>
      </c>
      <c r="AZ382" s="583">
        <f t="shared" si="106"/>
        <v>200.75694444444446</v>
      </c>
      <c r="BA382" s="584">
        <f t="shared" si="107"/>
        <v>187.47257777777779</v>
      </c>
    </row>
    <row r="383" spans="1:53">
      <c r="A383" s="11" t="s">
        <v>331</v>
      </c>
      <c r="B383" s="14" t="s">
        <v>353</v>
      </c>
      <c r="C383" s="529"/>
      <c r="D383" s="13">
        <v>375726</v>
      </c>
      <c r="E383" s="419">
        <v>13</v>
      </c>
      <c r="F383" s="582"/>
      <c r="G383" s="585"/>
      <c r="H383" s="582"/>
      <c r="I383" s="585"/>
      <c r="J383" s="582"/>
      <c r="K383" s="585"/>
      <c r="L383" s="582"/>
      <c r="M383" s="585"/>
      <c r="N383" s="582"/>
      <c r="O383" s="585"/>
      <c r="P383" s="583">
        <f t="shared" si="108"/>
        <v>0</v>
      </c>
      <c r="Q383" s="583">
        <f t="shared" si="109"/>
        <v>0</v>
      </c>
      <c r="R383" s="584">
        <f t="shared" si="110"/>
        <v>0</v>
      </c>
      <c r="S383" s="584">
        <f t="shared" si="111"/>
        <v>0</v>
      </c>
      <c r="T383" s="582"/>
      <c r="U383" s="585"/>
      <c r="V383" s="583">
        <f t="shared" si="112"/>
        <v>0</v>
      </c>
      <c r="W383" s="584">
        <f t="shared" si="113"/>
        <v>0</v>
      </c>
      <c r="X383" s="582"/>
      <c r="Y383" s="585"/>
      <c r="Z383" s="582"/>
      <c r="AA383" s="585"/>
      <c r="AB383" s="582"/>
      <c r="AC383" s="585"/>
      <c r="AD383" s="582">
        <v>275512</v>
      </c>
      <c r="AE383" s="585">
        <v>283838.7</v>
      </c>
      <c r="AF383" s="583">
        <f t="shared" si="114"/>
        <v>275512</v>
      </c>
      <c r="AG383" s="583">
        <f t="shared" si="115"/>
        <v>306.12444444444446</v>
      </c>
      <c r="AH383" s="584">
        <f t="shared" si="116"/>
        <v>283838.7</v>
      </c>
      <c r="AI383" s="584">
        <f t="shared" si="117"/>
        <v>315.37633333333332</v>
      </c>
      <c r="AJ383" s="582"/>
      <c r="AK383" s="585"/>
      <c r="AL383" s="583">
        <f t="shared" si="100"/>
        <v>0</v>
      </c>
      <c r="AM383" s="584">
        <f t="shared" si="101"/>
        <v>0</v>
      </c>
      <c r="AN383" s="582"/>
      <c r="AO383" s="585"/>
      <c r="AP383" s="582"/>
      <c r="AQ383" s="585"/>
      <c r="AR383" s="582"/>
      <c r="AS383" s="585"/>
      <c r="AT383" s="582"/>
      <c r="AU383" s="585"/>
      <c r="AV383" s="583">
        <f t="shared" si="102"/>
        <v>0</v>
      </c>
      <c r="AW383" s="583">
        <f t="shared" si="103"/>
        <v>0</v>
      </c>
      <c r="AX383" s="584">
        <f t="shared" si="104"/>
        <v>0</v>
      </c>
      <c r="AY383" s="584">
        <f t="shared" si="105"/>
        <v>0</v>
      </c>
      <c r="AZ383" s="583">
        <f t="shared" si="106"/>
        <v>306.12444444444446</v>
      </c>
      <c r="BA383" s="584">
        <f t="shared" si="107"/>
        <v>315.37633333333332</v>
      </c>
    </row>
    <row r="384" spans="1:53">
      <c r="A384" s="11" t="s">
        <v>331</v>
      </c>
      <c r="B384" s="14" t="s">
        <v>354</v>
      </c>
      <c r="C384" s="529"/>
      <c r="D384" s="13">
        <v>375744</v>
      </c>
      <c r="E384" s="419">
        <v>13</v>
      </c>
      <c r="F384" s="582"/>
      <c r="G384" s="585"/>
      <c r="H384" s="582"/>
      <c r="I384" s="585"/>
      <c r="J384" s="582"/>
      <c r="K384" s="585"/>
      <c r="L384" s="582"/>
      <c r="M384" s="585"/>
      <c r="N384" s="582"/>
      <c r="O384" s="585"/>
      <c r="P384" s="583">
        <f t="shared" si="108"/>
        <v>0</v>
      </c>
      <c r="Q384" s="583">
        <f t="shared" si="109"/>
        <v>0</v>
      </c>
      <c r="R384" s="584">
        <f t="shared" si="110"/>
        <v>0</v>
      </c>
      <c r="S384" s="584">
        <f t="shared" si="111"/>
        <v>0</v>
      </c>
      <c r="T384" s="582"/>
      <c r="U384" s="585"/>
      <c r="V384" s="583">
        <f t="shared" si="112"/>
        <v>0</v>
      </c>
      <c r="W384" s="584">
        <f t="shared" si="113"/>
        <v>0</v>
      </c>
      <c r="X384" s="582"/>
      <c r="Y384" s="585"/>
      <c r="Z384" s="582"/>
      <c r="AA384" s="585"/>
      <c r="AB384" s="582"/>
      <c r="AC384" s="585"/>
      <c r="AD384" s="582">
        <v>232972.5</v>
      </c>
      <c r="AE384" s="585">
        <v>229024.9</v>
      </c>
      <c r="AF384" s="583">
        <f t="shared" si="114"/>
        <v>232972.5</v>
      </c>
      <c r="AG384" s="583">
        <f t="shared" si="115"/>
        <v>258.85833333333335</v>
      </c>
      <c r="AH384" s="584">
        <f t="shared" si="116"/>
        <v>229024.9</v>
      </c>
      <c r="AI384" s="584">
        <f t="shared" si="117"/>
        <v>254.4721111111111</v>
      </c>
      <c r="AJ384" s="582"/>
      <c r="AK384" s="585"/>
      <c r="AL384" s="583">
        <f t="shared" si="100"/>
        <v>0</v>
      </c>
      <c r="AM384" s="584">
        <f t="shared" si="101"/>
        <v>0</v>
      </c>
      <c r="AN384" s="582"/>
      <c r="AO384" s="585"/>
      <c r="AP384" s="582"/>
      <c r="AQ384" s="585"/>
      <c r="AR384" s="582"/>
      <c r="AS384" s="585"/>
      <c r="AT384" s="582"/>
      <c r="AU384" s="585"/>
      <c r="AV384" s="583">
        <f t="shared" si="102"/>
        <v>0</v>
      </c>
      <c r="AW384" s="583">
        <f t="shared" si="103"/>
        <v>0</v>
      </c>
      <c r="AX384" s="584">
        <f t="shared" si="104"/>
        <v>0</v>
      </c>
      <c r="AY384" s="584">
        <f t="shared" si="105"/>
        <v>0</v>
      </c>
      <c r="AZ384" s="583">
        <f t="shared" si="106"/>
        <v>258.85833333333335</v>
      </c>
      <c r="BA384" s="584">
        <f t="shared" si="107"/>
        <v>254.4721111111111</v>
      </c>
    </row>
    <row r="385" spans="1:53">
      <c r="A385" s="11" t="s">
        <v>331</v>
      </c>
      <c r="B385" s="14" t="s">
        <v>355</v>
      </c>
      <c r="C385" s="529"/>
      <c r="D385" s="13">
        <v>375753</v>
      </c>
      <c r="E385" s="419">
        <v>13</v>
      </c>
      <c r="F385" s="582"/>
      <c r="G385" s="585"/>
      <c r="H385" s="582"/>
      <c r="I385" s="585"/>
      <c r="J385" s="582"/>
      <c r="K385" s="585"/>
      <c r="L385" s="582"/>
      <c r="M385" s="585"/>
      <c r="N385" s="582"/>
      <c r="O385" s="585"/>
      <c r="P385" s="583">
        <f t="shared" si="108"/>
        <v>0</v>
      </c>
      <c r="Q385" s="583">
        <f t="shared" si="109"/>
        <v>0</v>
      </c>
      <c r="R385" s="584">
        <f t="shared" si="110"/>
        <v>0</v>
      </c>
      <c r="S385" s="584">
        <f t="shared" si="111"/>
        <v>0</v>
      </c>
      <c r="T385" s="582"/>
      <c r="U385" s="585"/>
      <c r="V385" s="583">
        <f t="shared" si="112"/>
        <v>0</v>
      </c>
      <c r="W385" s="584">
        <f t="shared" si="113"/>
        <v>0</v>
      </c>
      <c r="X385" s="582"/>
      <c r="Y385" s="585"/>
      <c r="Z385" s="582"/>
      <c r="AA385" s="585"/>
      <c r="AB385" s="582"/>
      <c r="AC385" s="585"/>
      <c r="AD385" s="582">
        <v>15105</v>
      </c>
      <c r="AE385" s="585">
        <v>16925</v>
      </c>
      <c r="AF385" s="583">
        <f t="shared" si="114"/>
        <v>15105</v>
      </c>
      <c r="AG385" s="583">
        <f t="shared" si="115"/>
        <v>16.783333333333335</v>
      </c>
      <c r="AH385" s="584">
        <f t="shared" si="116"/>
        <v>16925</v>
      </c>
      <c r="AI385" s="584">
        <f t="shared" si="117"/>
        <v>18.805555555555557</v>
      </c>
      <c r="AJ385" s="582"/>
      <c r="AK385" s="585"/>
      <c r="AL385" s="583">
        <f t="shared" si="100"/>
        <v>0</v>
      </c>
      <c r="AM385" s="584">
        <f t="shared" si="101"/>
        <v>0</v>
      </c>
      <c r="AN385" s="582"/>
      <c r="AO385" s="585"/>
      <c r="AP385" s="582"/>
      <c r="AQ385" s="585"/>
      <c r="AR385" s="582"/>
      <c r="AS385" s="585"/>
      <c r="AT385" s="582"/>
      <c r="AU385" s="585"/>
      <c r="AV385" s="583">
        <f t="shared" si="102"/>
        <v>0</v>
      </c>
      <c r="AW385" s="583">
        <f t="shared" si="103"/>
        <v>0</v>
      </c>
      <c r="AX385" s="584">
        <f t="shared" si="104"/>
        <v>0</v>
      </c>
      <c r="AY385" s="584">
        <f t="shared" si="105"/>
        <v>0</v>
      </c>
      <c r="AZ385" s="583">
        <f t="shared" si="106"/>
        <v>16.783333333333335</v>
      </c>
      <c r="BA385" s="584">
        <f t="shared" si="107"/>
        <v>18.805555555555557</v>
      </c>
    </row>
    <row r="386" spans="1:53">
      <c r="A386" s="11" t="s">
        <v>331</v>
      </c>
      <c r="B386" s="14" t="s">
        <v>356</v>
      </c>
      <c r="C386" s="529"/>
      <c r="D386" s="13">
        <v>405748</v>
      </c>
      <c r="E386" s="419">
        <v>13</v>
      </c>
      <c r="F386" s="582"/>
      <c r="G386" s="585"/>
      <c r="H386" s="582"/>
      <c r="I386" s="585"/>
      <c r="J386" s="582"/>
      <c r="K386" s="585"/>
      <c r="L386" s="582"/>
      <c r="M386" s="585"/>
      <c r="N386" s="582"/>
      <c r="O386" s="585"/>
      <c r="P386" s="583">
        <f t="shared" si="108"/>
        <v>0</v>
      </c>
      <c r="Q386" s="583">
        <f t="shared" si="109"/>
        <v>0</v>
      </c>
      <c r="R386" s="584">
        <f t="shared" si="110"/>
        <v>0</v>
      </c>
      <c r="S386" s="584">
        <f t="shared" si="111"/>
        <v>0</v>
      </c>
      <c r="T386" s="582"/>
      <c r="U386" s="585"/>
      <c r="V386" s="583">
        <f t="shared" si="112"/>
        <v>0</v>
      </c>
      <c r="W386" s="584">
        <f t="shared" si="113"/>
        <v>0</v>
      </c>
      <c r="X386" s="582"/>
      <c r="Y386" s="585"/>
      <c r="Z386" s="582"/>
      <c r="AA386" s="585"/>
      <c r="AB386" s="582"/>
      <c r="AC386" s="585"/>
      <c r="AD386" s="582">
        <v>81930.5</v>
      </c>
      <c r="AE386" s="585">
        <v>81216.78</v>
      </c>
      <c r="AF386" s="583">
        <f t="shared" si="114"/>
        <v>81930.5</v>
      </c>
      <c r="AG386" s="583">
        <f t="shared" si="115"/>
        <v>91.033888888888896</v>
      </c>
      <c r="AH386" s="584">
        <f t="shared" si="116"/>
        <v>81216.78</v>
      </c>
      <c r="AI386" s="584">
        <f t="shared" si="117"/>
        <v>90.240866666666662</v>
      </c>
      <c r="AJ386" s="582"/>
      <c r="AK386" s="585"/>
      <c r="AL386" s="583">
        <f t="shared" si="100"/>
        <v>0</v>
      </c>
      <c r="AM386" s="584">
        <f t="shared" si="101"/>
        <v>0</v>
      </c>
      <c r="AN386" s="582"/>
      <c r="AO386" s="585"/>
      <c r="AP386" s="582"/>
      <c r="AQ386" s="585"/>
      <c r="AR386" s="582"/>
      <c r="AS386" s="585"/>
      <c r="AT386" s="582"/>
      <c r="AU386" s="585"/>
      <c r="AV386" s="583">
        <f t="shared" si="102"/>
        <v>0</v>
      </c>
      <c r="AW386" s="583">
        <f t="shared" si="103"/>
        <v>0</v>
      </c>
      <c r="AX386" s="584">
        <f t="shared" si="104"/>
        <v>0</v>
      </c>
      <c r="AY386" s="584">
        <f t="shared" si="105"/>
        <v>0</v>
      </c>
      <c r="AZ386" s="583">
        <f t="shared" si="106"/>
        <v>91.033888888888896</v>
      </c>
      <c r="BA386" s="584">
        <f t="shared" si="107"/>
        <v>90.240866666666662</v>
      </c>
    </row>
    <row r="387" spans="1:53">
      <c r="A387" s="11" t="s">
        <v>331</v>
      </c>
      <c r="B387" s="14" t="s">
        <v>357</v>
      </c>
      <c r="C387" s="529"/>
      <c r="D387" s="13">
        <v>375762</v>
      </c>
      <c r="E387" s="419">
        <v>13</v>
      </c>
      <c r="F387" s="582"/>
      <c r="G387" s="585"/>
      <c r="H387" s="582"/>
      <c r="I387" s="585"/>
      <c r="J387" s="582"/>
      <c r="K387" s="585"/>
      <c r="L387" s="582"/>
      <c r="M387" s="585"/>
      <c r="N387" s="582"/>
      <c r="O387" s="585"/>
      <c r="P387" s="583">
        <f t="shared" si="108"/>
        <v>0</v>
      </c>
      <c r="Q387" s="583">
        <f t="shared" si="109"/>
        <v>0</v>
      </c>
      <c r="R387" s="584">
        <f t="shared" si="110"/>
        <v>0</v>
      </c>
      <c r="S387" s="584">
        <f t="shared" si="111"/>
        <v>0</v>
      </c>
      <c r="T387" s="582"/>
      <c r="U387" s="585"/>
      <c r="V387" s="583">
        <f t="shared" si="112"/>
        <v>0</v>
      </c>
      <c r="W387" s="584">
        <f t="shared" si="113"/>
        <v>0</v>
      </c>
      <c r="X387" s="582"/>
      <c r="Y387" s="585"/>
      <c r="Z387" s="582"/>
      <c r="AA387" s="585"/>
      <c r="AB387" s="582"/>
      <c r="AC387" s="585"/>
      <c r="AD387" s="582">
        <v>68826.5</v>
      </c>
      <c r="AE387" s="585">
        <v>65027.33</v>
      </c>
      <c r="AF387" s="583">
        <f t="shared" si="114"/>
        <v>68826.5</v>
      </c>
      <c r="AG387" s="583">
        <f t="shared" si="115"/>
        <v>76.473888888888894</v>
      </c>
      <c r="AH387" s="584">
        <f t="shared" si="116"/>
        <v>65027.33</v>
      </c>
      <c r="AI387" s="584">
        <f t="shared" si="117"/>
        <v>72.252588888888894</v>
      </c>
      <c r="AJ387" s="582"/>
      <c r="AK387" s="585"/>
      <c r="AL387" s="583">
        <f t="shared" si="100"/>
        <v>0</v>
      </c>
      <c r="AM387" s="584">
        <f t="shared" si="101"/>
        <v>0</v>
      </c>
      <c r="AN387" s="582"/>
      <c r="AO387" s="585"/>
      <c r="AP387" s="582"/>
      <c r="AQ387" s="585"/>
      <c r="AR387" s="582"/>
      <c r="AS387" s="585"/>
      <c r="AT387" s="582"/>
      <c r="AU387" s="585"/>
      <c r="AV387" s="583">
        <f t="shared" si="102"/>
        <v>0</v>
      </c>
      <c r="AW387" s="583">
        <f t="shared" si="103"/>
        <v>0</v>
      </c>
      <c r="AX387" s="584">
        <f t="shared" si="104"/>
        <v>0</v>
      </c>
      <c r="AY387" s="584">
        <f t="shared" si="105"/>
        <v>0</v>
      </c>
      <c r="AZ387" s="583">
        <f t="shared" si="106"/>
        <v>76.473888888888894</v>
      </c>
      <c r="BA387" s="584">
        <f t="shared" si="107"/>
        <v>72.252588888888894</v>
      </c>
    </row>
    <row r="388" spans="1:53">
      <c r="A388" s="11" t="s">
        <v>331</v>
      </c>
      <c r="B388" s="14" t="s">
        <v>358</v>
      </c>
      <c r="C388" s="529"/>
      <c r="D388" s="13">
        <v>365480</v>
      </c>
      <c r="E388" s="419">
        <v>13</v>
      </c>
      <c r="F388" s="582"/>
      <c r="G388" s="585"/>
      <c r="H388" s="582"/>
      <c r="I388" s="585"/>
      <c r="J388" s="582"/>
      <c r="K388" s="585"/>
      <c r="L388" s="582"/>
      <c r="M388" s="585"/>
      <c r="N388" s="582"/>
      <c r="O388" s="585"/>
      <c r="P388" s="583">
        <f t="shared" si="108"/>
        <v>0</v>
      </c>
      <c r="Q388" s="583">
        <f t="shared" si="109"/>
        <v>0</v>
      </c>
      <c r="R388" s="584">
        <f t="shared" si="110"/>
        <v>0</v>
      </c>
      <c r="S388" s="584">
        <f t="shared" si="111"/>
        <v>0</v>
      </c>
      <c r="T388" s="582"/>
      <c r="U388" s="585"/>
      <c r="V388" s="583">
        <f t="shared" si="112"/>
        <v>0</v>
      </c>
      <c r="W388" s="584">
        <f t="shared" si="113"/>
        <v>0</v>
      </c>
      <c r="X388" s="582"/>
      <c r="Y388" s="585"/>
      <c r="Z388" s="582"/>
      <c r="AA388" s="585"/>
      <c r="AB388" s="582"/>
      <c r="AC388" s="585"/>
      <c r="AD388" s="582">
        <v>517997.7</v>
      </c>
      <c r="AE388" s="585">
        <v>509245.37</v>
      </c>
      <c r="AF388" s="583">
        <f t="shared" si="114"/>
        <v>517997.7</v>
      </c>
      <c r="AG388" s="583">
        <f t="shared" si="115"/>
        <v>575.553</v>
      </c>
      <c r="AH388" s="584">
        <f t="shared" si="116"/>
        <v>509245.37</v>
      </c>
      <c r="AI388" s="584">
        <f t="shared" si="117"/>
        <v>565.82818888888892</v>
      </c>
      <c r="AJ388" s="582"/>
      <c r="AK388" s="585"/>
      <c r="AL388" s="583">
        <f t="shared" si="100"/>
        <v>0</v>
      </c>
      <c r="AM388" s="584">
        <f t="shared" si="101"/>
        <v>0</v>
      </c>
      <c r="AN388" s="582"/>
      <c r="AO388" s="585"/>
      <c r="AP388" s="582"/>
      <c r="AQ388" s="585"/>
      <c r="AR388" s="582"/>
      <c r="AS388" s="585"/>
      <c r="AT388" s="582"/>
      <c r="AU388" s="585"/>
      <c r="AV388" s="583">
        <f t="shared" si="102"/>
        <v>0</v>
      </c>
      <c r="AW388" s="583">
        <f t="shared" si="103"/>
        <v>0</v>
      </c>
      <c r="AX388" s="584">
        <f t="shared" si="104"/>
        <v>0</v>
      </c>
      <c r="AY388" s="584">
        <f t="shared" si="105"/>
        <v>0</v>
      </c>
      <c r="AZ388" s="583">
        <f t="shared" si="106"/>
        <v>575.553</v>
      </c>
      <c r="BA388" s="584">
        <f t="shared" si="107"/>
        <v>565.82818888888892</v>
      </c>
    </row>
    <row r="389" spans="1:53">
      <c r="A389" s="11" t="s">
        <v>331</v>
      </c>
      <c r="B389" s="14" t="s">
        <v>334</v>
      </c>
      <c r="C389" s="12"/>
      <c r="D389" s="13">
        <v>363165</v>
      </c>
      <c r="E389" s="419">
        <v>13</v>
      </c>
      <c r="F389" s="582"/>
      <c r="G389" s="585"/>
      <c r="H389" s="582"/>
      <c r="I389" s="585"/>
      <c r="J389" s="582"/>
      <c r="K389" s="585"/>
      <c r="L389" s="582"/>
      <c r="M389" s="585"/>
      <c r="N389" s="582"/>
      <c r="O389" s="585"/>
      <c r="P389" s="583">
        <f t="shared" si="108"/>
        <v>0</v>
      </c>
      <c r="Q389" s="583">
        <f t="shared" si="109"/>
        <v>0</v>
      </c>
      <c r="R389" s="584">
        <f t="shared" si="110"/>
        <v>0</v>
      </c>
      <c r="S389" s="584">
        <f t="shared" si="111"/>
        <v>0</v>
      </c>
      <c r="T389" s="582"/>
      <c r="U389" s="585"/>
      <c r="V389" s="583">
        <f t="shared" si="112"/>
        <v>0</v>
      </c>
      <c r="W389" s="584">
        <f t="shared" si="113"/>
        <v>0</v>
      </c>
      <c r="X389" s="582"/>
      <c r="Y389" s="585"/>
      <c r="Z389" s="582"/>
      <c r="AA389" s="585"/>
      <c r="AB389" s="582"/>
      <c r="AC389" s="585"/>
      <c r="AD389" s="582">
        <v>813191.06</v>
      </c>
      <c r="AE389" s="585">
        <v>712439.32</v>
      </c>
      <c r="AF389" s="583">
        <f t="shared" si="114"/>
        <v>813191.06</v>
      </c>
      <c r="AG389" s="583">
        <f t="shared" si="115"/>
        <v>903.54562222222228</v>
      </c>
      <c r="AH389" s="584">
        <f t="shared" si="116"/>
        <v>712439.32</v>
      </c>
      <c r="AI389" s="584">
        <f t="shared" si="117"/>
        <v>791.59924444444437</v>
      </c>
      <c r="AJ389" s="582"/>
      <c r="AK389" s="585"/>
      <c r="AL389" s="583">
        <f t="shared" si="100"/>
        <v>0</v>
      </c>
      <c r="AM389" s="584">
        <f t="shared" si="101"/>
        <v>0</v>
      </c>
      <c r="AN389" s="582"/>
      <c r="AO389" s="585"/>
      <c r="AP389" s="582"/>
      <c r="AQ389" s="585"/>
      <c r="AR389" s="582"/>
      <c r="AS389" s="585"/>
      <c r="AT389" s="582"/>
      <c r="AU389" s="585"/>
      <c r="AV389" s="583">
        <f t="shared" si="102"/>
        <v>0</v>
      </c>
      <c r="AW389" s="583">
        <f t="shared" si="103"/>
        <v>0</v>
      </c>
      <c r="AX389" s="584">
        <f t="shared" si="104"/>
        <v>0</v>
      </c>
      <c r="AY389" s="584">
        <f t="shared" si="105"/>
        <v>0</v>
      </c>
      <c r="AZ389" s="583">
        <f t="shared" si="106"/>
        <v>903.54562222222228</v>
      </c>
      <c r="BA389" s="584">
        <f t="shared" si="107"/>
        <v>791.59924444444437</v>
      </c>
    </row>
    <row r="390" spans="1:53">
      <c r="A390" s="11" t="s">
        <v>331</v>
      </c>
      <c r="B390" s="14" t="s">
        <v>359</v>
      </c>
      <c r="C390" s="529"/>
      <c r="D390" s="13">
        <v>418320</v>
      </c>
      <c r="E390" s="419">
        <v>13</v>
      </c>
      <c r="F390" s="582"/>
      <c r="G390" s="585"/>
      <c r="H390" s="582"/>
      <c r="I390" s="585"/>
      <c r="J390" s="582"/>
      <c r="K390" s="585"/>
      <c r="L390" s="582"/>
      <c r="M390" s="585"/>
      <c r="N390" s="582"/>
      <c r="O390" s="585"/>
      <c r="P390" s="583">
        <f t="shared" si="108"/>
        <v>0</v>
      </c>
      <c r="Q390" s="583">
        <f t="shared" si="109"/>
        <v>0</v>
      </c>
      <c r="R390" s="584">
        <f t="shared" si="110"/>
        <v>0</v>
      </c>
      <c r="S390" s="584">
        <f t="shared" si="111"/>
        <v>0</v>
      </c>
      <c r="T390" s="582"/>
      <c r="U390" s="585"/>
      <c r="V390" s="583">
        <f t="shared" si="112"/>
        <v>0</v>
      </c>
      <c r="W390" s="584">
        <f t="shared" si="113"/>
        <v>0</v>
      </c>
      <c r="X390" s="582"/>
      <c r="Y390" s="585"/>
      <c r="Z390" s="582"/>
      <c r="AA390" s="585"/>
      <c r="AB390" s="582"/>
      <c r="AC390" s="585"/>
      <c r="AD390" s="582">
        <v>520285.5</v>
      </c>
      <c r="AE390" s="585">
        <v>489818.93</v>
      </c>
      <c r="AF390" s="583">
        <f t="shared" si="114"/>
        <v>520285.5</v>
      </c>
      <c r="AG390" s="583">
        <f t="shared" si="115"/>
        <v>578.09500000000003</v>
      </c>
      <c r="AH390" s="584">
        <f t="shared" si="116"/>
        <v>489818.93</v>
      </c>
      <c r="AI390" s="584">
        <f t="shared" si="117"/>
        <v>544.24325555555549</v>
      </c>
      <c r="AJ390" s="582"/>
      <c r="AK390" s="585"/>
      <c r="AL390" s="583">
        <f t="shared" si="100"/>
        <v>0</v>
      </c>
      <c r="AM390" s="584">
        <f t="shared" si="101"/>
        <v>0</v>
      </c>
      <c r="AN390" s="582"/>
      <c r="AO390" s="585"/>
      <c r="AP390" s="582"/>
      <c r="AQ390" s="585"/>
      <c r="AR390" s="582"/>
      <c r="AS390" s="585"/>
      <c r="AT390" s="582"/>
      <c r="AU390" s="585"/>
      <c r="AV390" s="583">
        <f t="shared" si="102"/>
        <v>0</v>
      </c>
      <c r="AW390" s="583">
        <f t="shared" si="103"/>
        <v>0</v>
      </c>
      <c r="AX390" s="584">
        <f t="shared" si="104"/>
        <v>0</v>
      </c>
      <c r="AY390" s="584">
        <f t="shared" si="105"/>
        <v>0</v>
      </c>
      <c r="AZ390" s="583">
        <f t="shared" si="106"/>
        <v>578.09500000000003</v>
      </c>
      <c r="BA390" s="584">
        <f t="shared" si="107"/>
        <v>544.24325555555549</v>
      </c>
    </row>
    <row r="391" spans="1:53">
      <c r="A391" s="11" t="s">
        <v>331</v>
      </c>
      <c r="B391" s="14" t="s">
        <v>360</v>
      </c>
      <c r="C391" s="529"/>
      <c r="D391" s="13">
        <v>431017</v>
      </c>
      <c r="E391" s="419">
        <v>13</v>
      </c>
      <c r="F391" s="582"/>
      <c r="G391" s="585"/>
      <c r="H391" s="582"/>
      <c r="I391" s="585"/>
      <c r="J391" s="582"/>
      <c r="K391" s="585"/>
      <c r="L391" s="582"/>
      <c r="M391" s="585"/>
      <c r="N391" s="582"/>
      <c r="O391" s="585"/>
      <c r="P391" s="583">
        <f t="shared" si="108"/>
        <v>0</v>
      </c>
      <c r="Q391" s="583">
        <f t="shared" si="109"/>
        <v>0</v>
      </c>
      <c r="R391" s="584">
        <f t="shared" si="110"/>
        <v>0</v>
      </c>
      <c r="S391" s="584">
        <f t="shared" si="111"/>
        <v>0</v>
      </c>
      <c r="T391" s="582"/>
      <c r="U391" s="585"/>
      <c r="V391" s="583">
        <f t="shared" si="112"/>
        <v>0</v>
      </c>
      <c r="W391" s="584">
        <f t="shared" si="113"/>
        <v>0</v>
      </c>
      <c r="X391" s="582"/>
      <c r="Y391" s="585"/>
      <c r="Z391" s="582"/>
      <c r="AA391" s="585"/>
      <c r="AB391" s="582"/>
      <c r="AC391" s="585"/>
      <c r="AD391" s="582">
        <v>369502.5</v>
      </c>
      <c r="AE391" s="585">
        <v>340899.65</v>
      </c>
      <c r="AF391" s="583">
        <f t="shared" si="114"/>
        <v>369502.5</v>
      </c>
      <c r="AG391" s="583">
        <f t="shared" si="115"/>
        <v>410.55833333333334</v>
      </c>
      <c r="AH391" s="584">
        <f t="shared" si="116"/>
        <v>340899.65</v>
      </c>
      <c r="AI391" s="584">
        <f t="shared" si="117"/>
        <v>378.77738888888894</v>
      </c>
      <c r="AJ391" s="582"/>
      <c r="AK391" s="585"/>
      <c r="AL391" s="583">
        <f t="shared" ref="AL391:AL454" si="118">IF(ISBLANK(AJ391),0,AF391)</f>
        <v>0</v>
      </c>
      <c r="AM391" s="584">
        <f t="shared" ref="AM391:AM454" si="119">IF(ISBLANK(AK391),0,AH391)</f>
        <v>0</v>
      </c>
      <c r="AN391" s="582"/>
      <c r="AO391" s="585"/>
      <c r="AP391" s="582"/>
      <c r="AQ391" s="585"/>
      <c r="AR391" s="582"/>
      <c r="AS391" s="585"/>
      <c r="AT391" s="582"/>
      <c r="AU391" s="585"/>
      <c r="AV391" s="583">
        <f t="shared" ref="AV391:AV454" si="120">SUM(AN391,AP391,AR391,AT391)</f>
        <v>0</v>
      </c>
      <c r="AW391" s="583">
        <f t="shared" ref="AW391:AW454" si="121">+AV391/24</f>
        <v>0</v>
      </c>
      <c r="AX391" s="584">
        <f t="shared" ref="AX391:AX454" si="122">SUM(AO391,AQ391,AS391,AU391)</f>
        <v>0</v>
      </c>
      <c r="AY391" s="584">
        <f t="shared" ref="AY391:AY454" si="123">+AX391/24</f>
        <v>0</v>
      </c>
      <c r="AZ391" s="583">
        <f t="shared" ref="AZ391:AZ454" si="124">SUM(Q391,AG391,AW391)</f>
        <v>410.55833333333334</v>
      </c>
      <c r="BA391" s="584">
        <f t="shared" ref="BA391:BA454" si="125">SUM(S391,AI391,AY391)</f>
        <v>378.77738888888894</v>
      </c>
    </row>
    <row r="392" spans="1:53">
      <c r="A392" s="11" t="s">
        <v>331</v>
      </c>
      <c r="B392" s="38" t="s">
        <v>361</v>
      </c>
      <c r="C392" s="416" t="s">
        <v>943</v>
      </c>
      <c r="D392" s="13">
        <v>248606</v>
      </c>
      <c r="E392" s="419">
        <v>13</v>
      </c>
      <c r="F392" s="582"/>
      <c r="G392" s="585"/>
      <c r="H392" s="582"/>
      <c r="I392" s="585"/>
      <c r="J392" s="582"/>
      <c r="K392" s="585"/>
      <c r="L392" s="582"/>
      <c r="M392" s="585"/>
      <c r="N392" s="582"/>
      <c r="O392" s="585"/>
      <c r="P392" s="583">
        <f t="shared" si="108"/>
        <v>0</v>
      </c>
      <c r="Q392" s="583">
        <f t="shared" si="109"/>
        <v>0</v>
      </c>
      <c r="R392" s="584">
        <f t="shared" si="110"/>
        <v>0</v>
      </c>
      <c r="S392" s="584">
        <f t="shared" si="111"/>
        <v>0</v>
      </c>
      <c r="T392" s="582"/>
      <c r="U392" s="585"/>
      <c r="V392" s="583">
        <f t="shared" si="112"/>
        <v>0</v>
      </c>
      <c r="W392" s="584">
        <f t="shared" si="113"/>
        <v>0</v>
      </c>
      <c r="X392" s="582"/>
      <c r="Y392" s="585"/>
      <c r="Z392" s="582"/>
      <c r="AA392" s="585"/>
      <c r="AB392" s="582"/>
      <c r="AC392" s="585"/>
      <c r="AD392" s="582">
        <v>854010</v>
      </c>
      <c r="AE392" s="585">
        <v>965709</v>
      </c>
      <c r="AF392" s="583">
        <f t="shared" si="114"/>
        <v>854010</v>
      </c>
      <c r="AG392" s="583">
        <f t="shared" si="115"/>
        <v>948.9</v>
      </c>
      <c r="AH392" s="584">
        <f t="shared" si="116"/>
        <v>965709</v>
      </c>
      <c r="AI392" s="584">
        <f t="shared" si="117"/>
        <v>1073.01</v>
      </c>
      <c r="AJ392" s="582"/>
      <c r="AK392" s="585"/>
      <c r="AL392" s="583">
        <f t="shared" si="118"/>
        <v>0</v>
      </c>
      <c r="AM392" s="584">
        <f t="shared" si="119"/>
        <v>0</v>
      </c>
      <c r="AN392" s="582"/>
      <c r="AO392" s="585"/>
      <c r="AP392" s="582"/>
      <c r="AQ392" s="585"/>
      <c r="AR392" s="582"/>
      <c r="AS392" s="585"/>
      <c r="AT392" s="582"/>
      <c r="AU392" s="585"/>
      <c r="AV392" s="583">
        <f t="shared" si="120"/>
        <v>0</v>
      </c>
      <c r="AW392" s="583">
        <f t="shared" si="121"/>
        <v>0</v>
      </c>
      <c r="AX392" s="584">
        <f t="shared" si="122"/>
        <v>0</v>
      </c>
      <c r="AY392" s="584">
        <f t="shared" si="123"/>
        <v>0</v>
      </c>
      <c r="AZ392" s="583">
        <f t="shared" si="124"/>
        <v>948.9</v>
      </c>
      <c r="BA392" s="584">
        <f t="shared" si="125"/>
        <v>1073.01</v>
      </c>
    </row>
    <row r="393" spans="1:53">
      <c r="A393" s="11" t="s">
        <v>331</v>
      </c>
      <c r="B393" s="14" t="s">
        <v>362</v>
      </c>
      <c r="C393" s="529"/>
      <c r="D393" s="13">
        <v>420459</v>
      </c>
      <c r="E393" s="419">
        <v>13</v>
      </c>
      <c r="F393" s="582"/>
      <c r="G393" s="585"/>
      <c r="H393" s="582"/>
      <c r="I393" s="585"/>
      <c r="J393" s="582"/>
      <c r="K393" s="585"/>
      <c r="L393" s="582"/>
      <c r="M393" s="585"/>
      <c r="N393" s="582"/>
      <c r="O393" s="585"/>
      <c r="P393" s="583">
        <f t="shared" si="108"/>
        <v>0</v>
      </c>
      <c r="Q393" s="583">
        <f t="shared" si="109"/>
        <v>0</v>
      </c>
      <c r="R393" s="584">
        <f t="shared" si="110"/>
        <v>0</v>
      </c>
      <c r="S393" s="584">
        <f t="shared" si="111"/>
        <v>0</v>
      </c>
      <c r="T393" s="582"/>
      <c r="U393" s="585"/>
      <c r="V393" s="583">
        <f t="shared" si="112"/>
        <v>0</v>
      </c>
      <c r="W393" s="584">
        <f t="shared" si="113"/>
        <v>0</v>
      </c>
      <c r="X393" s="582"/>
      <c r="Y393" s="585"/>
      <c r="Z393" s="582"/>
      <c r="AA393" s="585"/>
      <c r="AB393" s="582"/>
      <c r="AC393" s="585"/>
      <c r="AD393" s="582">
        <v>287298</v>
      </c>
      <c r="AE393" s="585">
        <v>278844.75</v>
      </c>
      <c r="AF393" s="583">
        <f t="shared" si="114"/>
        <v>287298</v>
      </c>
      <c r="AG393" s="583">
        <f t="shared" si="115"/>
        <v>319.22000000000003</v>
      </c>
      <c r="AH393" s="584">
        <f t="shared" si="116"/>
        <v>278844.75</v>
      </c>
      <c r="AI393" s="584">
        <f t="shared" si="117"/>
        <v>309.82749999999999</v>
      </c>
      <c r="AJ393" s="582"/>
      <c r="AK393" s="585"/>
      <c r="AL393" s="583">
        <f t="shared" si="118"/>
        <v>0</v>
      </c>
      <c r="AM393" s="584">
        <f t="shared" si="119"/>
        <v>0</v>
      </c>
      <c r="AN393" s="582"/>
      <c r="AO393" s="585"/>
      <c r="AP393" s="582"/>
      <c r="AQ393" s="585"/>
      <c r="AR393" s="582"/>
      <c r="AS393" s="585"/>
      <c r="AT393" s="582"/>
      <c r="AU393" s="585"/>
      <c r="AV393" s="583">
        <f t="shared" si="120"/>
        <v>0</v>
      </c>
      <c r="AW393" s="583">
        <f t="shared" si="121"/>
        <v>0</v>
      </c>
      <c r="AX393" s="584">
        <f t="shared" si="122"/>
        <v>0</v>
      </c>
      <c r="AY393" s="584">
        <f t="shared" si="123"/>
        <v>0</v>
      </c>
      <c r="AZ393" s="583">
        <f t="shared" si="124"/>
        <v>319.22000000000003</v>
      </c>
      <c r="BA393" s="584">
        <f t="shared" si="125"/>
        <v>309.82749999999999</v>
      </c>
    </row>
    <row r="394" spans="1:53">
      <c r="A394" s="11" t="s">
        <v>331</v>
      </c>
      <c r="B394" s="14" t="s">
        <v>363</v>
      </c>
      <c r="C394" s="529"/>
      <c r="D394" s="39">
        <v>456560</v>
      </c>
      <c r="E394" s="419">
        <v>13</v>
      </c>
      <c r="F394" s="582"/>
      <c r="G394" s="585"/>
      <c r="H394" s="582"/>
      <c r="I394" s="585"/>
      <c r="J394" s="582"/>
      <c r="K394" s="585"/>
      <c r="L394" s="582"/>
      <c r="M394" s="585"/>
      <c r="N394" s="582"/>
      <c r="O394" s="585"/>
      <c r="P394" s="583">
        <f t="shared" si="108"/>
        <v>0</v>
      </c>
      <c r="Q394" s="583">
        <f t="shared" si="109"/>
        <v>0</v>
      </c>
      <c r="R394" s="584">
        <f t="shared" si="110"/>
        <v>0</v>
      </c>
      <c r="S394" s="584">
        <f t="shared" si="111"/>
        <v>0</v>
      </c>
      <c r="T394" s="582"/>
      <c r="U394" s="585"/>
      <c r="V394" s="583">
        <f t="shared" si="112"/>
        <v>0</v>
      </c>
      <c r="W394" s="584">
        <f t="shared" si="113"/>
        <v>0</v>
      </c>
      <c r="X394" s="582"/>
      <c r="Y394" s="585"/>
      <c r="Z394" s="582"/>
      <c r="AA394" s="585"/>
      <c r="AB394" s="582"/>
      <c r="AC394" s="585"/>
      <c r="AD394" s="582">
        <v>168846.5</v>
      </c>
      <c r="AE394" s="585">
        <v>238524.75</v>
      </c>
      <c r="AF394" s="583">
        <f t="shared" si="114"/>
        <v>168846.5</v>
      </c>
      <c r="AG394" s="583">
        <f t="shared" si="115"/>
        <v>187.60722222222222</v>
      </c>
      <c r="AH394" s="584">
        <f t="shared" si="116"/>
        <v>238524.75</v>
      </c>
      <c r="AI394" s="584">
        <f t="shared" si="117"/>
        <v>265.02749999999997</v>
      </c>
      <c r="AJ394" s="582"/>
      <c r="AK394" s="585"/>
      <c r="AL394" s="583">
        <f t="shared" si="118"/>
        <v>0</v>
      </c>
      <c r="AM394" s="584">
        <f t="shared" si="119"/>
        <v>0</v>
      </c>
      <c r="AN394" s="582"/>
      <c r="AO394" s="585"/>
      <c r="AP394" s="582"/>
      <c r="AQ394" s="585"/>
      <c r="AR394" s="582"/>
      <c r="AS394" s="585"/>
      <c r="AT394" s="582"/>
      <c r="AU394" s="585"/>
      <c r="AV394" s="583">
        <f t="shared" si="120"/>
        <v>0</v>
      </c>
      <c r="AW394" s="583">
        <f t="shared" si="121"/>
        <v>0</v>
      </c>
      <c r="AX394" s="584">
        <f t="shared" si="122"/>
        <v>0</v>
      </c>
      <c r="AY394" s="584">
        <f t="shared" si="123"/>
        <v>0</v>
      </c>
      <c r="AZ394" s="583">
        <f t="shared" si="124"/>
        <v>187.60722222222222</v>
      </c>
      <c r="BA394" s="584">
        <f t="shared" si="125"/>
        <v>265.02749999999997</v>
      </c>
    </row>
    <row r="395" spans="1:53">
      <c r="A395" s="11" t="s">
        <v>331</v>
      </c>
      <c r="B395" s="14" t="s">
        <v>364</v>
      </c>
      <c r="C395" s="529"/>
      <c r="D395" s="13">
        <v>432074</v>
      </c>
      <c r="E395" s="419">
        <v>13</v>
      </c>
      <c r="F395" s="582"/>
      <c r="G395" s="585"/>
      <c r="H395" s="582"/>
      <c r="I395" s="585"/>
      <c r="J395" s="582"/>
      <c r="K395" s="585"/>
      <c r="L395" s="582"/>
      <c r="M395" s="585"/>
      <c r="N395" s="582"/>
      <c r="O395" s="585"/>
      <c r="P395" s="583">
        <f t="shared" si="108"/>
        <v>0</v>
      </c>
      <c r="Q395" s="583">
        <f t="shared" si="109"/>
        <v>0</v>
      </c>
      <c r="R395" s="584">
        <f t="shared" si="110"/>
        <v>0</v>
      </c>
      <c r="S395" s="584">
        <f t="shared" si="111"/>
        <v>0</v>
      </c>
      <c r="T395" s="582"/>
      <c r="U395" s="585"/>
      <c r="V395" s="583">
        <f t="shared" si="112"/>
        <v>0</v>
      </c>
      <c r="W395" s="584">
        <f t="shared" si="113"/>
        <v>0</v>
      </c>
      <c r="X395" s="582"/>
      <c r="Y395" s="585"/>
      <c r="Z395" s="582"/>
      <c r="AA395" s="585"/>
      <c r="AB395" s="582"/>
      <c r="AC395" s="585"/>
      <c r="AD395" s="582">
        <v>163414</v>
      </c>
      <c r="AE395" s="585">
        <v>136506.5</v>
      </c>
      <c r="AF395" s="583">
        <f t="shared" si="114"/>
        <v>163414</v>
      </c>
      <c r="AG395" s="583">
        <f t="shared" si="115"/>
        <v>181.57111111111112</v>
      </c>
      <c r="AH395" s="584">
        <f t="shared" si="116"/>
        <v>136506.5</v>
      </c>
      <c r="AI395" s="584">
        <f t="shared" si="117"/>
        <v>151.67388888888888</v>
      </c>
      <c r="AJ395" s="582"/>
      <c r="AK395" s="585"/>
      <c r="AL395" s="583">
        <f t="shared" si="118"/>
        <v>0</v>
      </c>
      <c r="AM395" s="584">
        <f t="shared" si="119"/>
        <v>0</v>
      </c>
      <c r="AN395" s="582"/>
      <c r="AO395" s="585"/>
      <c r="AP395" s="582"/>
      <c r="AQ395" s="585"/>
      <c r="AR395" s="582"/>
      <c r="AS395" s="585"/>
      <c r="AT395" s="582"/>
      <c r="AU395" s="585"/>
      <c r="AV395" s="583">
        <f t="shared" si="120"/>
        <v>0</v>
      </c>
      <c r="AW395" s="583">
        <f t="shared" si="121"/>
        <v>0</v>
      </c>
      <c r="AX395" s="584">
        <f t="shared" si="122"/>
        <v>0</v>
      </c>
      <c r="AY395" s="584">
        <f t="shared" si="123"/>
        <v>0</v>
      </c>
      <c r="AZ395" s="583">
        <f t="shared" si="124"/>
        <v>181.57111111111112</v>
      </c>
      <c r="BA395" s="584">
        <f t="shared" si="125"/>
        <v>151.67388888888888</v>
      </c>
    </row>
    <row r="396" spans="1:53">
      <c r="A396" s="11" t="s">
        <v>331</v>
      </c>
      <c r="B396" s="14" t="s">
        <v>365</v>
      </c>
      <c r="C396" s="529"/>
      <c r="D396" s="13">
        <v>418339</v>
      </c>
      <c r="E396" s="419">
        <v>13</v>
      </c>
      <c r="F396" s="582"/>
      <c r="G396" s="585"/>
      <c r="H396" s="582"/>
      <c r="I396" s="585"/>
      <c r="J396" s="582"/>
      <c r="K396" s="585"/>
      <c r="L396" s="582"/>
      <c r="M396" s="585"/>
      <c r="N396" s="582"/>
      <c r="O396" s="585"/>
      <c r="P396" s="583">
        <f t="shared" si="108"/>
        <v>0</v>
      </c>
      <c r="Q396" s="583">
        <f t="shared" si="109"/>
        <v>0</v>
      </c>
      <c r="R396" s="584">
        <f t="shared" si="110"/>
        <v>0</v>
      </c>
      <c r="S396" s="584">
        <f t="shared" si="111"/>
        <v>0</v>
      </c>
      <c r="T396" s="582"/>
      <c r="U396" s="585"/>
      <c r="V396" s="583">
        <f t="shared" si="112"/>
        <v>0</v>
      </c>
      <c r="W396" s="584">
        <f t="shared" si="113"/>
        <v>0</v>
      </c>
      <c r="X396" s="582"/>
      <c r="Y396" s="585"/>
      <c r="Z396" s="582"/>
      <c r="AA396" s="585"/>
      <c r="AB396" s="582"/>
      <c r="AC396" s="585"/>
      <c r="AD396" s="582">
        <v>307108</v>
      </c>
      <c r="AE396" s="585">
        <v>292105.96999999997</v>
      </c>
      <c r="AF396" s="583">
        <f t="shared" si="114"/>
        <v>307108</v>
      </c>
      <c r="AG396" s="583">
        <f t="shared" si="115"/>
        <v>341.23111111111109</v>
      </c>
      <c r="AH396" s="584">
        <f t="shared" si="116"/>
        <v>292105.96999999997</v>
      </c>
      <c r="AI396" s="584">
        <f t="shared" si="117"/>
        <v>324.56218888888884</v>
      </c>
      <c r="AJ396" s="582"/>
      <c r="AK396" s="585"/>
      <c r="AL396" s="583">
        <f t="shared" si="118"/>
        <v>0</v>
      </c>
      <c r="AM396" s="584">
        <f t="shared" si="119"/>
        <v>0</v>
      </c>
      <c r="AN396" s="582"/>
      <c r="AO396" s="585"/>
      <c r="AP396" s="582"/>
      <c r="AQ396" s="585"/>
      <c r="AR396" s="582"/>
      <c r="AS396" s="585"/>
      <c r="AT396" s="582"/>
      <c r="AU396" s="585"/>
      <c r="AV396" s="583">
        <f t="shared" si="120"/>
        <v>0</v>
      </c>
      <c r="AW396" s="583">
        <f t="shared" si="121"/>
        <v>0</v>
      </c>
      <c r="AX396" s="584">
        <f t="shared" si="122"/>
        <v>0</v>
      </c>
      <c r="AY396" s="584">
        <f t="shared" si="123"/>
        <v>0</v>
      </c>
      <c r="AZ396" s="583">
        <f t="shared" si="124"/>
        <v>341.23111111111109</v>
      </c>
      <c r="BA396" s="584">
        <f t="shared" si="125"/>
        <v>324.56218888888884</v>
      </c>
    </row>
    <row r="397" spans="1:53">
      <c r="A397" s="11" t="s">
        <v>331</v>
      </c>
      <c r="B397" s="14" t="s">
        <v>366</v>
      </c>
      <c r="C397" s="529"/>
      <c r="D397" s="13">
        <v>366623</v>
      </c>
      <c r="E397" s="419">
        <v>13</v>
      </c>
      <c r="F397" s="582"/>
      <c r="G397" s="585"/>
      <c r="H397" s="582"/>
      <c r="I397" s="585"/>
      <c r="J397" s="582"/>
      <c r="K397" s="585"/>
      <c r="L397" s="582"/>
      <c r="M397" s="585"/>
      <c r="N397" s="582"/>
      <c r="O397" s="585"/>
      <c r="P397" s="583">
        <f t="shared" si="108"/>
        <v>0</v>
      </c>
      <c r="Q397" s="583">
        <f t="shared" si="109"/>
        <v>0</v>
      </c>
      <c r="R397" s="584">
        <f t="shared" si="110"/>
        <v>0</v>
      </c>
      <c r="S397" s="584">
        <f t="shared" si="111"/>
        <v>0</v>
      </c>
      <c r="T397" s="582"/>
      <c r="U397" s="585"/>
      <c r="V397" s="583">
        <f t="shared" si="112"/>
        <v>0</v>
      </c>
      <c r="W397" s="584">
        <f t="shared" si="113"/>
        <v>0</v>
      </c>
      <c r="X397" s="582"/>
      <c r="Y397" s="585"/>
      <c r="Z397" s="582"/>
      <c r="AA397" s="585"/>
      <c r="AB397" s="582"/>
      <c r="AC397" s="585"/>
      <c r="AD397" s="582">
        <v>100785.5</v>
      </c>
      <c r="AE397" s="585">
        <v>102168</v>
      </c>
      <c r="AF397" s="583">
        <f t="shared" si="114"/>
        <v>100785.5</v>
      </c>
      <c r="AG397" s="583">
        <f t="shared" si="115"/>
        <v>111.98388888888888</v>
      </c>
      <c r="AH397" s="584">
        <f t="shared" si="116"/>
        <v>102168</v>
      </c>
      <c r="AI397" s="584">
        <f t="shared" si="117"/>
        <v>113.52</v>
      </c>
      <c r="AJ397" s="582"/>
      <c r="AK397" s="585"/>
      <c r="AL397" s="583">
        <f t="shared" si="118"/>
        <v>0</v>
      </c>
      <c r="AM397" s="584">
        <f t="shared" si="119"/>
        <v>0</v>
      </c>
      <c r="AN397" s="582"/>
      <c r="AO397" s="585"/>
      <c r="AP397" s="582"/>
      <c r="AQ397" s="585"/>
      <c r="AR397" s="582"/>
      <c r="AS397" s="585"/>
      <c r="AT397" s="582"/>
      <c r="AU397" s="585"/>
      <c r="AV397" s="583">
        <f t="shared" si="120"/>
        <v>0</v>
      </c>
      <c r="AW397" s="583">
        <f t="shared" si="121"/>
        <v>0</v>
      </c>
      <c r="AX397" s="584">
        <f t="shared" si="122"/>
        <v>0</v>
      </c>
      <c r="AY397" s="584">
        <f t="shared" si="123"/>
        <v>0</v>
      </c>
      <c r="AZ397" s="583">
        <f t="shared" si="124"/>
        <v>111.98388888888888</v>
      </c>
      <c r="BA397" s="584">
        <f t="shared" si="125"/>
        <v>113.52</v>
      </c>
    </row>
    <row r="398" spans="1:53">
      <c r="A398" s="11" t="s">
        <v>331</v>
      </c>
      <c r="B398" s="14" t="s">
        <v>367</v>
      </c>
      <c r="C398" s="529"/>
      <c r="D398" s="13">
        <v>407601</v>
      </c>
      <c r="E398" s="419">
        <v>13</v>
      </c>
      <c r="F398" s="582"/>
      <c r="G398" s="585"/>
      <c r="H398" s="582"/>
      <c r="I398" s="585"/>
      <c r="J398" s="582"/>
      <c r="K398" s="585"/>
      <c r="L398" s="582"/>
      <c r="M398" s="585"/>
      <c r="N398" s="582"/>
      <c r="O398" s="585"/>
      <c r="P398" s="583">
        <f t="shared" si="108"/>
        <v>0</v>
      </c>
      <c r="Q398" s="583">
        <f t="shared" si="109"/>
        <v>0</v>
      </c>
      <c r="R398" s="584">
        <f t="shared" si="110"/>
        <v>0</v>
      </c>
      <c r="S398" s="584">
        <f t="shared" si="111"/>
        <v>0</v>
      </c>
      <c r="T398" s="582"/>
      <c r="U398" s="585"/>
      <c r="V398" s="583">
        <f t="shared" si="112"/>
        <v>0</v>
      </c>
      <c r="W398" s="584">
        <f t="shared" si="113"/>
        <v>0</v>
      </c>
      <c r="X398" s="582"/>
      <c r="Y398" s="585"/>
      <c r="Z398" s="582"/>
      <c r="AA398" s="585"/>
      <c r="AB398" s="582"/>
      <c r="AC398" s="585"/>
      <c r="AD398" s="582">
        <v>70849.5</v>
      </c>
      <c r="AE398" s="585">
        <v>75018.62</v>
      </c>
      <c r="AF398" s="583">
        <f t="shared" si="114"/>
        <v>70849.5</v>
      </c>
      <c r="AG398" s="583">
        <f t="shared" si="115"/>
        <v>78.721666666666664</v>
      </c>
      <c r="AH398" s="584">
        <f t="shared" si="116"/>
        <v>75018.62</v>
      </c>
      <c r="AI398" s="584">
        <f t="shared" si="117"/>
        <v>83.354022222222213</v>
      </c>
      <c r="AJ398" s="582"/>
      <c r="AK398" s="585"/>
      <c r="AL398" s="583">
        <f t="shared" si="118"/>
        <v>0</v>
      </c>
      <c r="AM398" s="584">
        <f t="shared" si="119"/>
        <v>0</v>
      </c>
      <c r="AN398" s="582"/>
      <c r="AO398" s="585"/>
      <c r="AP398" s="582"/>
      <c r="AQ398" s="585"/>
      <c r="AR398" s="582"/>
      <c r="AS398" s="585"/>
      <c r="AT398" s="582"/>
      <c r="AU398" s="585"/>
      <c r="AV398" s="583">
        <f t="shared" si="120"/>
        <v>0</v>
      </c>
      <c r="AW398" s="583">
        <f t="shared" si="121"/>
        <v>0</v>
      </c>
      <c r="AX398" s="584">
        <f t="shared" si="122"/>
        <v>0</v>
      </c>
      <c r="AY398" s="584">
        <f t="shared" si="123"/>
        <v>0</v>
      </c>
      <c r="AZ398" s="583">
        <f t="shared" si="124"/>
        <v>78.721666666666664</v>
      </c>
      <c r="BA398" s="584">
        <f t="shared" si="125"/>
        <v>83.354022222222213</v>
      </c>
    </row>
    <row r="399" spans="1:53">
      <c r="A399" s="11" t="s">
        <v>331</v>
      </c>
      <c r="B399" s="14" t="s">
        <v>368</v>
      </c>
      <c r="C399" s="529"/>
      <c r="D399" s="13">
        <v>364627</v>
      </c>
      <c r="E399" s="419">
        <v>13</v>
      </c>
      <c r="F399" s="582"/>
      <c r="G399" s="585"/>
      <c r="H399" s="582"/>
      <c r="I399" s="585"/>
      <c r="J399" s="582"/>
      <c r="K399" s="585"/>
      <c r="L399" s="582"/>
      <c r="M399" s="585"/>
      <c r="N399" s="582"/>
      <c r="O399" s="585"/>
      <c r="P399" s="583">
        <f t="shared" si="108"/>
        <v>0</v>
      </c>
      <c r="Q399" s="583">
        <f t="shared" si="109"/>
        <v>0</v>
      </c>
      <c r="R399" s="584">
        <f t="shared" si="110"/>
        <v>0</v>
      </c>
      <c r="S399" s="584">
        <f t="shared" si="111"/>
        <v>0</v>
      </c>
      <c r="T399" s="582"/>
      <c r="U399" s="585"/>
      <c r="V399" s="583">
        <f t="shared" si="112"/>
        <v>0</v>
      </c>
      <c r="W399" s="584">
        <f t="shared" si="113"/>
        <v>0</v>
      </c>
      <c r="X399" s="582"/>
      <c r="Y399" s="585"/>
      <c r="Z399" s="582"/>
      <c r="AA399" s="585"/>
      <c r="AB399" s="582"/>
      <c r="AC399" s="585"/>
      <c r="AD399" s="582">
        <v>316587.25</v>
      </c>
      <c r="AE399" s="585">
        <v>329025.89</v>
      </c>
      <c r="AF399" s="583">
        <f t="shared" si="114"/>
        <v>316587.25</v>
      </c>
      <c r="AG399" s="583">
        <f t="shared" si="115"/>
        <v>351.76361111111112</v>
      </c>
      <c r="AH399" s="584">
        <f t="shared" si="116"/>
        <v>329025.89</v>
      </c>
      <c r="AI399" s="584">
        <f t="shared" si="117"/>
        <v>365.58432222222223</v>
      </c>
      <c r="AJ399" s="582"/>
      <c r="AK399" s="585"/>
      <c r="AL399" s="583">
        <f t="shared" si="118"/>
        <v>0</v>
      </c>
      <c r="AM399" s="584">
        <f t="shared" si="119"/>
        <v>0</v>
      </c>
      <c r="AN399" s="582"/>
      <c r="AO399" s="585"/>
      <c r="AP399" s="582"/>
      <c r="AQ399" s="585"/>
      <c r="AR399" s="582"/>
      <c r="AS399" s="585"/>
      <c r="AT399" s="582"/>
      <c r="AU399" s="585"/>
      <c r="AV399" s="583">
        <f t="shared" si="120"/>
        <v>0</v>
      </c>
      <c r="AW399" s="583">
        <f t="shared" si="121"/>
        <v>0</v>
      </c>
      <c r="AX399" s="584">
        <f t="shared" si="122"/>
        <v>0</v>
      </c>
      <c r="AY399" s="584">
        <f t="shared" si="123"/>
        <v>0</v>
      </c>
      <c r="AZ399" s="583">
        <f t="shared" si="124"/>
        <v>351.76361111111112</v>
      </c>
      <c r="BA399" s="584">
        <f t="shared" si="125"/>
        <v>365.58432222222223</v>
      </c>
    </row>
    <row r="400" spans="1:53">
      <c r="A400" s="11" t="s">
        <v>331</v>
      </c>
      <c r="B400" s="14" t="s">
        <v>369</v>
      </c>
      <c r="C400" s="529"/>
      <c r="D400" s="13">
        <v>206905</v>
      </c>
      <c r="E400" s="419">
        <v>13</v>
      </c>
      <c r="F400" s="582"/>
      <c r="G400" s="585"/>
      <c r="H400" s="582"/>
      <c r="I400" s="585"/>
      <c r="J400" s="582"/>
      <c r="K400" s="585"/>
      <c r="L400" s="582"/>
      <c r="M400" s="585"/>
      <c r="N400" s="582"/>
      <c r="O400" s="585"/>
      <c r="P400" s="583">
        <f t="shared" si="108"/>
        <v>0</v>
      </c>
      <c r="Q400" s="583">
        <f t="shared" si="109"/>
        <v>0</v>
      </c>
      <c r="R400" s="584">
        <f t="shared" si="110"/>
        <v>0</v>
      </c>
      <c r="S400" s="584">
        <f t="shared" si="111"/>
        <v>0</v>
      </c>
      <c r="T400" s="582"/>
      <c r="U400" s="585"/>
      <c r="V400" s="583">
        <f t="shared" si="112"/>
        <v>0</v>
      </c>
      <c r="W400" s="584">
        <f t="shared" si="113"/>
        <v>0</v>
      </c>
      <c r="X400" s="582"/>
      <c r="Y400" s="585"/>
      <c r="Z400" s="582"/>
      <c r="AA400" s="585"/>
      <c r="AB400" s="582"/>
      <c r="AC400" s="585"/>
      <c r="AD400" s="582">
        <v>196335.66</v>
      </c>
      <c r="AE400" s="585">
        <v>178204.59</v>
      </c>
      <c r="AF400" s="583">
        <f t="shared" si="114"/>
        <v>196335.66</v>
      </c>
      <c r="AG400" s="583">
        <f t="shared" si="115"/>
        <v>218.15073333333333</v>
      </c>
      <c r="AH400" s="584">
        <f t="shared" si="116"/>
        <v>178204.59</v>
      </c>
      <c r="AI400" s="584">
        <f t="shared" si="117"/>
        <v>198.0051</v>
      </c>
      <c r="AJ400" s="582"/>
      <c r="AK400" s="585"/>
      <c r="AL400" s="583">
        <f t="shared" si="118"/>
        <v>0</v>
      </c>
      <c r="AM400" s="584">
        <f t="shared" si="119"/>
        <v>0</v>
      </c>
      <c r="AN400" s="582"/>
      <c r="AO400" s="585"/>
      <c r="AP400" s="582"/>
      <c r="AQ400" s="585"/>
      <c r="AR400" s="582"/>
      <c r="AS400" s="585"/>
      <c r="AT400" s="582"/>
      <c r="AU400" s="585"/>
      <c r="AV400" s="583">
        <f t="shared" si="120"/>
        <v>0</v>
      </c>
      <c r="AW400" s="583">
        <f t="shared" si="121"/>
        <v>0</v>
      </c>
      <c r="AX400" s="584">
        <f t="shared" si="122"/>
        <v>0</v>
      </c>
      <c r="AY400" s="584">
        <f t="shared" si="123"/>
        <v>0</v>
      </c>
      <c r="AZ400" s="583">
        <f t="shared" si="124"/>
        <v>218.15073333333333</v>
      </c>
      <c r="BA400" s="584">
        <f t="shared" si="125"/>
        <v>198.0051</v>
      </c>
    </row>
    <row r="401" spans="1:53">
      <c r="A401" s="11" t="s">
        <v>331</v>
      </c>
      <c r="B401" s="14" t="s">
        <v>370</v>
      </c>
      <c r="C401" s="529"/>
      <c r="D401" s="13">
        <v>250993</v>
      </c>
      <c r="E401" s="419">
        <v>13</v>
      </c>
      <c r="F401" s="582"/>
      <c r="G401" s="585"/>
      <c r="H401" s="582"/>
      <c r="I401" s="585"/>
      <c r="J401" s="582"/>
      <c r="K401" s="585"/>
      <c r="L401" s="582"/>
      <c r="M401" s="585"/>
      <c r="N401" s="582"/>
      <c r="O401" s="585"/>
      <c r="P401" s="583">
        <f t="shared" si="108"/>
        <v>0</v>
      </c>
      <c r="Q401" s="583">
        <f t="shared" si="109"/>
        <v>0</v>
      </c>
      <c r="R401" s="584">
        <f t="shared" si="110"/>
        <v>0</v>
      </c>
      <c r="S401" s="584">
        <f t="shared" si="111"/>
        <v>0</v>
      </c>
      <c r="T401" s="582"/>
      <c r="U401" s="585"/>
      <c r="V401" s="583">
        <f t="shared" si="112"/>
        <v>0</v>
      </c>
      <c r="W401" s="584">
        <f t="shared" si="113"/>
        <v>0</v>
      </c>
      <c r="X401" s="582"/>
      <c r="Y401" s="585"/>
      <c r="Z401" s="582"/>
      <c r="AA401" s="585"/>
      <c r="AB401" s="582"/>
      <c r="AC401" s="585"/>
      <c r="AD401" s="582">
        <v>317392.64000000001</v>
      </c>
      <c r="AE401" s="585">
        <v>237938.52</v>
      </c>
      <c r="AF401" s="583">
        <f t="shared" si="114"/>
        <v>317392.64000000001</v>
      </c>
      <c r="AG401" s="583">
        <f t="shared" si="115"/>
        <v>352.65848888888888</v>
      </c>
      <c r="AH401" s="584">
        <f t="shared" si="116"/>
        <v>237938.52</v>
      </c>
      <c r="AI401" s="584">
        <f t="shared" si="117"/>
        <v>264.37613333333331</v>
      </c>
      <c r="AJ401" s="582"/>
      <c r="AK401" s="585"/>
      <c r="AL401" s="583">
        <f t="shared" si="118"/>
        <v>0</v>
      </c>
      <c r="AM401" s="584">
        <f t="shared" si="119"/>
        <v>0</v>
      </c>
      <c r="AN401" s="582"/>
      <c r="AO401" s="585"/>
      <c r="AP401" s="582"/>
      <c r="AQ401" s="585"/>
      <c r="AR401" s="582"/>
      <c r="AS401" s="585"/>
      <c r="AT401" s="582"/>
      <c r="AU401" s="585"/>
      <c r="AV401" s="583">
        <f t="shared" si="120"/>
        <v>0</v>
      </c>
      <c r="AW401" s="583">
        <f t="shared" si="121"/>
        <v>0</v>
      </c>
      <c r="AX401" s="584">
        <f t="shared" si="122"/>
        <v>0</v>
      </c>
      <c r="AY401" s="584">
        <f t="shared" si="123"/>
        <v>0</v>
      </c>
      <c r="AZ401" s="583">
        <f t="shared" si="124"/>
        <v>352.65848888888888</v>
      </c>
      <c r="BA401" s="584">
        <f t="shared" si="125"/>
        <v>264.37613333333331</v>
      </c>
    </row>
    <row r="402" spans="1:53">
      <c r="A402" s="11" t="s">
        <v>331</v>
      </c>
      <c r="B402" s="14" t="s">
        <v>371</v>
      </c>
      <c r="C402" s="529"/>
      <c r="D402" s="13">
        <v>365198</v>
      </c>
      <c r="E402" s="419">
        <v>13</v>
      </c>
      <c r="F402" s="582"/>
      <c r="G402" s="585"/>
      <c r="H402" s="582"/>
      <c r="I402" s="585"/>
      <c r="J402" s="582"/>
      <c r="K402" s="585"/>
      <c r="L402" s="582"/>
      <c r="M402" s="585"/>
      <c r="N402" s="582"/>
      <c r="O402" s="585"/>
      <c r="P402" s="583">
        <f t="shared" si="108"/>
        <v>0</v>
      </c>
      <c r="Q402" s="583">
        <f t="shared" si="109"/>
        <v>0</v>
      </c>
      <c r="R402" s="584">
        <f t="shared" si="110"/>
        <v>0</v>
      </c>
      <c r="S402" s="584">
        <f t="shared" si="111"/>
        <v>0</v>
      </c>
      <c r="T402" s="582"/>
      <c r="U402" s="585"/>
      <c r="V402" s="583">
        <f t="shared" si="112"/>
        <v>0</v>
      </c>
      <c r="W402" s="584">
        <f t="shared" si="113"/>
        <v>0</v>
      </c>
      <c r="X402" s="582"/>
      <c r="Y402" s="585"/>
      <c r="Z402" s="582"/>
      <c r="AA402" s="585"/>
      <c r="AB402" s="582"/>
      <c r="AC402" s="585"/>
      <c r="AD402" s="582">
        <v>451598.07</v>
      </c>
      <c r="AE402" s="585">
        <v>406473.71</v>
      </c>
      <c r="AF402" s="583">
        <f t="shared" si="114"/>
        <v>451598.07</v>
      </c>
      <c r="AG402" s="583">
        <f t="shared" si="115"/>
        <v>501.77563333333336</v>
      </c>
      <c r="AH402" s="584">
        <f t="shared" si="116"/>
        <v>406473.71</v>
      </c>
      <c r="AI402" s="584">
        <f t="shared" si="117"/>
        <v>451.63745555555556</v>
      </c>
      <c r="AJ402" s="582"/>
      <c r="AK402" s="585"/>
      <c r="AL402" s="583">
        <f t="shared" si="118"/>
        <v>0</v>
      </c>
      <c r="AM402" s="584">
        <f t="shared" si="119"/>
        <v>0</v>
      </c>
      <c r="AN402" s="582"/>
      <c r="AO402" s="585"/>
      <c r="AP402" s="582"/>
      <c r="AQ402" s="585"/>
      <c r="AR402" s="582"/>
      <c r="AS402" s="585"/>
      <c r="AT402" s="582"/>
      <c r="AU402" s="585"/>
      <c r="AV402" s="583">
        <f t="shared" si="120"/>
        <v>0</v>
      </c>
      <c r="AW402" s="583">
        <f t="shared" si="121"/>
        <v>0</v>
      </c>
      <c r="AX402" s="584">
        <f t="shared" si="122"/>
        <v>0</v>
      </c>
      <c r="AY402" s="584">
        <f t="shared" si="123"/>
        <v>0</v>
      </c>
      <c r="AZ402" s="583">
        <f t="shared" si="124"/>
        <v>501.77563333333336</v>
      </c>
      <c r="BA402" s="584">
        <f t="shared" si="125"/>
        <v>451.63745555555556</v>
      </c>
    </row>
    <row r="403" spans="1:53">
      <c r="A403" s="11" t="s">
        <v>331</v>
      </c>
      <c r="B403" s="14" t="s">
        <v>372</v>
      </c>
      <c r="C403" s="529"/>
      <c r="D403" s="13">
        <v>368364</v>
      </c>
      <c r="E403" s="419">
        <v>13</v>
      </c>
      <c r="F403" s="582"/>
      <c r="G403" s="585"/>
      <c r="H403" s="582"/>
      <c r="I403" s="585"/>
      <c r="J403" s="582"/>
      <c r="K403" s="585"/>
      <c r="L403" s="582"/>
      <c r="M403" s="585"/>
      <c r="N403" s="582"/>
      <c r="O403" s="585"/>
      <c r="P403" s="583">
        <f t="shared" si="108"/>
        <v>0</v>
      </c>
      <c r="Q403" s="583">
        <f t="shared" si="109"/>
        <v>0</v>
      </c>
      <c r="R403" s="584">
        <f t="shared" si="110"/>
        <v>0</v>
      </c>
      <c r="S403" s="584">
        <f t="shared" si="111"/>
        <v>0</v>
      </c>
      <c r="T403" s="582"/>
      <c r="U403" s="585"/>
      <c r="V403" s="583">
        <f t="shared" si="112"/>
        <v>0</v>
      </c>
      <c r="W403" s="584">
        <f t="shared" si="113"/>
        <v>0</v>
      </c>
      <c r="X403" s="582"/>
      <c r="Y403" s="585"/>
      <c r="Z403" s="582"/>
      <c r="AA403" s="585"/>
      <c r="AB403" s="582"/>
      <c r="AC403" s="585"/>
      <c r="AD403" s="582">
        <v>230765.5</v>
      </c>
      <c r="AE403" s="585">
        <v>179521.29</v>
      </c>
      <c r="AF403" s="583">
        <f t="shared" si="114"/>
        <v>230765.5</v>
      </c>
      <c r="AG403" s="583">
        <f t="shared" si="115"/>
        <v>256.4061111111111</v>
      </c>
      <c r="AH403" s="584">
        <f t="shared" si="116"/>
        <v>179521.29</v>
      </c>
      <c r="AI403" s="584">
        <f t="shared" si="117"/>
        <v>199.46810000000002</v>
      </c>
      <c r="AJ403" s="582"/>
      <c r="AK403" s="585"/>
      <c r="AL403" s="583">
        <f t="shared" si="118"/>
        <v>0</v>
      </c>
      <c r="AM403" s="584">
        <f t="shared" si="119"/>
        <v>0</v>
      </c>
      <c r="AN403" s="582"/>
      <c r="AO403" s="585"/>
      <c r="AP403" s="582"/>
      <c r="AQ403" s="585"/>
      <c r="AR403" s="582"/>
      <c r="AS403" s="585"/>
      <c r="AT403" s="582"/>
      <c r="AU403" s="585"/>
      <c r="AV403" s="583">
        <f t="shared" si="120"/>
        <v>0</v>
      </c>
      <c r="AW403" s="583">
        <f t="shared" si="121"/>
        <v>0</v>
      </c>
      <c r="AX403" s="584">
        <f t="shared" si="122"/>
        <v>0</v>
      </c>
      <c r="AY403" s="584">
        <f t="shared" si="123"/>
        <v>0</v>
      </c>
      <c r="AZ403" s="583">
        <f t="shared" si="124"/>
        <v>256.4061111111111</v>
      </c>
      <c r="BA403" s="584">
        <f t="shared" si="125"/>
        <v>199.46810000000002</v>
      </c>
    </row>
    <row r="404" spans="1:53">
      <c r="A404" s="11" t="s">
        <v>331</v>
      </c>
      <c r="B404" s="14" t="s">
        <v>373</v>
      </c>
      <c r="C404" s="529"/>
      <c r="D404" s="13">
        <v>418287</v>
      </c>
      <c r="E404" s="419">
        <v>13</v>
      </c>
      <c r="F404" s="582"/>
      <c r="G404" s="585"/>
      <c r="H404" s="582"/>
      <c r="I404" s="585"/>
      <c r="J404" s="582"/>
      <c r="K404" s="585"/>
      <c r="L404" s="582"/>
      <c r="M404" s="585"/>
      <c r="N404" s="582"/>
      <c r="O404" s="585"/>
      <c r="P404" s="583">
        <f t="shared" si="108"/>
        <v>0</v>
      </c>
      <c r="Q404" s="583">
        <f t="shared" si="109"/>
        <v>0</v>
      </c>
      <c r="R404" s="584">
        <f t="shared" si="110"/>
        <v>0</v>
      </c>
      <c r="S404" s="584">
        <f t="shared" si="111"/>
        <v>0</v>
      </c>
      <c r="T404" s="582"/>
      <c r="U404" s="585"/>
      <c r="V404" s="583">
        <f t="shared" si="112"/>
        <v>0</v>
      </c>
      <c r="W404" s="584">
        <f t="shared" si="113"/>
        <v>0</v>
      </c>
      <c r="X404" s="582"/>
      <c r="Y404" s="585"/>
      <c r="Z404" s="582"/>
      <c r="AA404" s="585"/>
      <c r="AB404" s="582"/>
      <c r="AC404" s="585"/>
      <c r="AD404" s="582">
        <v>307609.45</v>
      </c>
      <c r="AE404" s="585">
        <v>362212.89</v>
      </c>
      <c r="AF404" s="583">
        <f t="shared" si="114"/>
        <v>307609.45</v>
      </c>
      <c r="AG404" s="583">
        <f t="shared" si="115"/>
        <v>341.78827777777781</v>
      </c>
      <c r="AH404" s="584">
        <f t="shared" si="116"/>
        <v>362212.89</v>
      </c>
      <c r="AI404" s="584">
        <f t="shared" si="117"/>
        <v>402.45876666666669</v>
      </c>
      <c r="AJ404" s="582"/>
      <c r="AK404" s="585"/>
      <c r="AL404" s="583">
        <f t="shared" si="118"/>
        <v>0</v>
      </c>
      <c r="AM404" s="584">
        <f t="shared" si="119"/>
        <v>0</v>
      </c>
      <c r="AN404" s="582"/>
      <c r="AO404" s="585"/>
      <c r="AP404" s="582"/>
      <c r="AQ404" s="585"/>
      <c r="AR404" s="582"/>
      <c r="AS404" s="585"/>
      <c r="AT404" s="582"/>
      <c r="AU404" s="585"/>
      <c r="AV404" s="583">
        <f t="shared" si="120"/>
        <v>0</v>
      </c>
      <c r="AW404" s="583">
        <f t="shared" si="121"/>
        <v>0</v>
      </c>
      <c r="AX404" s="584">
        <f t="shared" si="122"/>
        <v>0</v>
      </c>
      <c r="AY404" s="584">
        <f t="shared" si="123"/>
        <v>0</v>
      </c>
      <c r="AZ404" s="583">
        <f t="shared" si="124"/>
        <v>341.78827777777781</v>
      </c>
      <c r="BA404" s="584">
        <f t="shared" si="125"/>
        <v>402.45876666666669</v>
      </c>
    </row>
    <row r="405" spans="1:53">
      <c r="A405" s="11" t="s">
        <v>331</v>
      </c>
      <c r="B405" s="14" t="s">
        <v>374</v>
      </c>
      <c r="C405" s="529"/>
      <c r="D405" s="13">
        <v>207607</v>
      </c>
      <c r="E405" s="419">
        <v>13</v>
      </c>
      <c r="F405" s="582"/>
      <c r="G405" s="585"/>
      <c r="H405" s="582"/>
      <c r="I405" s="585"/>
      <c r="J405" s="582"/>
      <c r="K405" s="585"/>
      <c r="L405" s="582"/>
      <c r="M405" s="585"/>
      <c r="N405" s="582"/>
      <c r="O405" s="585"/>
      <c r="P405" s="583">
        <f t="shared" si="108"/>
        <v>0</v>
      </c>
      <c r="Q405" s="583">
        <f t="shared" si="109"/>
        <v>0</v>
      </c>
      <c r="R405" s="584">
        <f t="shared" si="110"/>
        <v>0</v>
      </c>
      <c r="S405" s="584">
        <f t="shared" si="111"/>
        <v>0</v>
      </c>
      <c r="T405" s="582"/>
      <c r="U405" s="585"/>
      <c r="V405" s="583">
        <f t="shared" si="112"/>
        <v>0</v>
      </c>
      <c r="W405" s="584">
        <f t="shared" si="113"/>
        <v>0</v>
      </c>
      <c r="X405" s="582"/>
      <c r="Y405" s="585"/>
      <c r="Z405" s="582"/>
      <c r="AA405" s="585"/>
      <c r="AB405" s="582"/>
      <c r="AC405" s="585"/>
      <c r="AD405" s="582">
        <v>328184</v>
      </c>
      <c r="AE405" s="585">
        <v>372974.93</v>
      </c>
      <c r="AF405" s="583">
        <f t="shared" si="114"/>
        <v>328184</v>
      </c>
      <c r="AG405" s="583">
        <f t="shared" si="115"/>
        <v>364.64888888888891</v>
      </c>
      <c r="AH405" s="584">
        <f t="shared" si="116"/>
        <v>372974.93</v>
      </c>
      <c r="AI405" s="584">
        <f t="shared" si="117"/>
        <v>414.4165888888889</v>
      </c>
      <c r="AJ405" s="582"/>
      <c r="AK405" s="585"/>
      <c r="AL405" s="583">
        <f t="shared" si="118"/>
        <v>0</v>
      </c>
      <c r="AM405" s="584">
        <f t="shared" si="119"/>
        <v>0</v>
      </c>
      <c r="AN405" s="582"/>
      <c r="AO405" s="585"/>
      <c r="AP405" s="582"/>
      <c r="AQ405" s="585"/>
      <c r="AR405" s="582"/>
      <c r="AS405" s="585"/>
      <c r="AT405" s="582"/>
      <c r="AU405" s="585"/>
      <c r="AV405" s="583">
        <f t="shared" si="120"/>
        <v>0</v>
      </c>
      <c r="AW405" s="583">
        <f t="shared" si="121"/>
        <v>0</v>
      </c>
      <c r="AX405" s="584">
        <f t="shared" si="122"/>
        <v>0</v>
      </c>
      <c r="AY405" s="584">
        <f t="shared" si="123"/>
        <v>0</v>
      </c>
      <c r="AZ405" s="583">
        <f t="shared" si="124"/>
        <v>364.64888888888891</v>
      </c>
      <c r="BA405" s="584">
        <f t="shared" si="125"/>
        <v>414.4165888888889</v>
      </c>
    </row>
    <row r="406" spans="1:53" ht="12.5">
      <c r="A406" s="11" t="s">
        <v>331</v>
      </c>
      <c r="B406" s="14" t="s">
        <v>375</v>
      </c>
      <c r="C406" s="14"/>
      <c r="D406" s="13">
        <v>261393</v>
      </c>
      <c r="E406" s="419">
        <v>13</v>
      </c>
      <c r="F406" s="582"/>
      <c r="G406" s="585"/>
      <c r="H406" s="582"/>
      <c r="I406" s="585"/>
      <c r="J406" s="582"/>
      <c r="K406" s="585"/>
      <c r="L406" s="582"/>
      <c r="M406" s="585"/>
      <c r="N406" s="582"/>
      <c r="O406" s="585"/>
      <c r="P406" s="583">
        <f t="shared" si="108"/>
        <v>0</v>
      </c>
      <c r="Q406" s="583">
        <f t="shared" si="109"/>
        <v>0</v>
      </c>
      <c r="R406" s="584">
        <f t="shared" si="110"/>
        <v>0</v>
      </c>
      <c r="S406" s="584">
        <f t="shared" si="111"/>
        <v>0</v>
      </c>
      <c r="T406" s="582"/>
      <c r="U406" s="585"/>
      <c r="V406" s="583">
        <f t="shared" si="112"/>
        <v>0</v>
      </c>
      <c r="W406" s="584">
        <f t="shared" si="113"/>
        <v>0</v>
      </c>
      <c r="X406" s="582"/>
      <c r="Y406" s="585"/>
      <c r="Z406" s="582"/>
      <c r="AA406" s="585"/>
      <c r="AB406" s="582"/>
      <c r="AC406" s="585"/>
      <c r="AD406" s="582">
        <v>456158.5</v>
      </c>
      <c r="AE406" s="585">
        <v>445145.86</v>
      </c>
      <c r="AF406" s="583">
        <f t="shared" si="114"/>
        <v>456158.5</v>
      </c>
      <c r="AG406" s="583">
        <f t="shared" si="115"/>
        <v>506.84277777777777</v>
      </c>
      <c r="AH406" s="584">
        <f t="shared" si="116"/>
        <v>445145.86</v>
      </c>
      <c r="AI406" s="584">
        <f t="shared" si="117"/>
        <v>494.6065111111111</v>
      </c>
      <c r="AJ406" s="582"/>
      <c r="AK406" s="585"/>
      <c r="AL406" s="583">
        <f t="shared" si="118"/>
        <v>0</v>
      </c>
      <c r="AM406" s="584">
        <f t="shared" si="119"/>
        <v>0</v>
      </c>
      <c r="AN406" s="582"/>
      <c r="AO406" s="585"/>
      <c r="AP406" s="582"/>
      <c r="AQ406" s="585"/>
      <c r="AR406" s="582"/>
      <c r="AS406" s="585"/>
      <c r="AT406" s="582"/>
      <c r="AU406" s="585"/>
      <c r="AV406" s="583">
        <f t="shared" si="120"/>
        <v>0</v>
      </c>
      <c r="AW406" s="583">
        <f t="shared" si="121"/>
        <v>0</v>
      </c>
      <c r="AX406" s="584">
        <f t="shared" si="122"/>
        <v>0</v>
      </c>
      <c r="AY406" s="584">
        <f t="shared" si="123"/>
        <v>0</v>
      </c>
      <c r="AZ406" s="583">
        <f t="shared" si="124"/>
        <v>506.84277777777777</v>
      </c>
      <c r="BA406" s="584">
        <f t="shared" si="125"/>
        <v>494.6065111111111</v>
      </c>
    </row>
    <row r="407" spans="1:53" ht="12.5">
      <c r="A407" s="11" t="s">
        <v>331</v>
      </c>
      <c r="B407" s="10" t="s">
        <v>893</v>
      </c>
      <c r="C407" s="14"/>
      <c r="D407" s="444">
        <v>482264</v>
      </c>
      <c r="E407" s="419">
        <v>13</v>
      </c>
      <c r="F407" s="582"/>
      <c r="G407" s="585"/>
      <c r="H407" s="582"/>
      <c r="I407" s="585"/>
      <c r="J407" s="582"/>
      <c r="K407" s="585"/>
      <c r="L407" s="582"/>
      <c r="M407" s="585"/>
      <c r="N407" s="582"/>
      <c r="O407" s="585"/>
      <c r="P407" s="583">
        <f t="shared" si="108"/>
        <v>0</v>
      </c>
      <c r="Q407" s="583">
        <f t="shared" si="109"/>
        <v>0</v>
      </c>
      <c r="R407" s="584">
        <f t="shared" si="110"/>
        <v>0</v>
      </c>
      <c r="S407" s="584">
        <f t="shared" si="111"/>
        <v>0</v>
      </c>
      <c r="T407" s="582"/>
      <c r="U407" s="585"/>
      <c r="V407" s="583">
        <f t="shared" si="112"/>
        <v>0</v>
      </c>
      <c r="W407" s="584">
        <f t="shared" si="113"/>
        <v>0</v>
      </c>
      <c r="X407" s="582"/>
      <c r="Y407" s="585"/>
      <c r="Z407" s="582"/>
      <c r="AA407" s="585"/>
      <c r="AB407" s="582"/>
      <c r="AC407" s="585"/>
      <c r="AD407" s="582">
        <v>247921</v>
      </c>
      <c r="AE407" s="585">
        <v>273866.96999999997</v>
      </c>
      <c r="AF407" s="583">
        <f t="shared" si="114"/>
        <v>247921</v>
      </c>
      <c r="AG407" s="583">
        <f t="shared" si="115"/>
        <v>275.46777777777777</v>
      </c>
      <c r="AH407" s="584">
        <f t="shared" si="116"/>
        <v>273866.96999999997</v>
      </c>
      <c r="AI407" s="584">
        <f t="shared" si="117"/>
        <v>304.29663333333332</v>
      </c>
      <c r="AJ407" s="582"/>
      <c r="AK407" s="585"/>
      <c r="AL407" s="583">
        <f t="shared" si="118"/>
        <v>0</v>
      </c>
      <c r="AM407" s="584">
        <f t="shared" si="119"/>
        <v>0</v>
      </c>
      <c r="AN407" s="582"/>
      <c r="AO407" s="585"/>
      <c r="AP407" s="582"/>
      <c r="AQ407" s="585"/>
      <c r="AR407" s="582"/>
      <c r="AS407" s="585"/>
      <c r="AT407" s="582"/>
      <c r="AU407" s="585"/>
      <c r="AV407" s="583">
        <f t="shared" si="120"/>
        <v>0</v>
      </c>
      <c r="AW407" s="583">
        <f t="shared" si="121"/>
        <v>0</v>
      </c>
      <c r="AX407" s="584">
        <f t="shared" si="122"/>
        <v>0</v>
      </c>
      <c r="AY407" s="584">
        <f t="shared" si="123"/>
        <v>0</v>
      </c>
      <c r="AZ407" s="583">
        <f t="shared" si="124"/>
        <v>275.46777777777777</v>
      </c>
      <c r="BA407" s="584">
        <f t="shared" si="125"/>
        <v>304.29663333333332</v>
      </c>
    </row>
    <row r="408" spans="1:53">
      <c r="A408" s="11" t="s">
        <v>331</v>
      </c>
      <c r="B408" s="14" t="s">
        <v>376</v>
      </c>
      <c r="C408" s="529"/>
      <c r="D408" s="13">
        <v>261384</v>
      </c>
      <c r="E408" s="419">
        <v>13</v>
      </c>
      <c r="F408" s="582"/>
      <c r="G408" s="585"/>
      <c r="H408" s="582"/>
      <c r="I408" s="585"/>
      <c r="J408" s="582"/>
      <c r="K408" s="585"/>
      <c r="L408" s="582"/>
      <c r="M408" s="585"/>
      <c r="N408" s="582"/>
      <c r="O408" s="585"/>
      <c r="P408" s="583">
        <f t="shared" si="108"/>
        <v>0</v>
      </c>
      <c r="Q408" s="583">
        <f t="shared" si="109"/>
        <v>0</v>
      </c>
      <c r="R408" s="584">
        <f t="shared" si="110"/>
        <v>0</v>
      </c>
      <c r="S408" s="584">
        <f t="shared" si="111"/>
        <v>0</v>
      </c>
      <c r="T408" s="582"/>
      <c r="U408" s="585"/>
      <c r="V408" s="583">
        <f t="shared" si="112"/>
        <v>0</v>
      </c>
      <c r="W408" s="584">
        <f t="shared" si="113"/>
        <v>0</v>
      </c>
      <c r="X408" s="582"/>
      <c r="Y408" s="585"/>
      <c r="Z408" s="582"/>
      <c r="AA408" s="585"/>
      <c r="AB408" s="582"/>
      <c r="AC408" s="585"/>
      <c r="AD408" s="582">
        <v>464517</v>
      </c>
      <c r="AE408" s="585">
        <v>441856.48</v>
      </c>
      <c r="AF408" s="583">
        <f t="shared" si="114"/>
        <v>464517</v>
      </c>
      <c r="AG408" s="583">
        <f t="shared" si="115"/>
        <v>516.13</v>
      </c>
      <c r="AH408" s="584">
        <f t="shared" si="116"/>
        <v>441856.48</v>
      </c>
      <c r="AI408" s="584">
        <f t="shared" si="117"/>
        <v>490.95164444444441</v>
      </c>
      <c r="AJ408" s="582"/>
      <c r="AK408" s="585"/>
      <c r="AL408" s="583">
        <f t="shared" si="118"/>
        <v>0</v>
      </c>
      <c r="AM408" s="584">
        <f t="shared" si="119"/>
        <v>0</v>
      </c>
      <c r="AN408" s="582"/>
      <c r="AO408" s="585"/>
      <c r="AP408" s="582"/>
      <c r="AQ408" s="585"/>
      <c r="AR408" s="582"/>
      <c r="AS408" s="585"/>
      <c r="AT408" s="582"/>
      <c r="AU408" s="585"/>
      <c r="AV408" s="583">
        <f t="shared" si="120"/>
        <v>0</v>
      </c>
      <c r="AW408" s="583">
        <f t="shared" si="121"/>
        <v>0</v>
      </c>
      <c r="AX408" s="584">
        <f t="shared" si="122"/>
        <v>0</v>
      </c>
      <c r="AY408" s="584">
        <f t="shared" si="123"/>
        <v>0</v>
      </c>
      <c r="AZ408" s="583">
        <f t="shared" si="124"/>
        <v>516.13</v>
      </c>
      <c r="BA408" s="584">
        <f t="shared" si="125"/>
        <v>490.95164444444441</v>
      </c>
    </row>
    <row r="409" spans="1:53">
      <c r="A409" s="11" t="s">
        <v>331</v>
      </c>
      <c r="B409" s="10" t="s">
        <v>894</v>
      </c>
      <c r="C409" s="529"/>
      <c r="D409" s="444">
        <v>482273</v>
      </c>
      <c r="E409" s="419">
        <v>13</v>
      </c>
      <c r="F409" s="582"/>
      <c r="G409" s="585"/>
      <c r="H409" s="582"/>
      <c r="I409" s="585"/>
      <c r="J409" s="582"/>
      <c r="K409" s="585"/>
      <c r="L409" s="582"/>
      <c r="M409" s="585"/>
      <c r="N409" s="582"/>
      <c r="O409" s="585"/>
      <c r="P409" s="583">
        <f t="shared" si="108"/>
        <v>0</v>
      </c>
      <c r="Q409" s="583">
        <f t="shared" si="109"/>
        <v>0</v>
      </c>
      <c r="R409" s="584">
        <f t="shared" si="110"/>
        <v>0</v>
      </c>
      <c r="S409" s="584">
        <f t="shared" si="111"/>
        <v>0</v>
      </c>
      <c r="T409" s="582"/>
      <c r="U409" s="585"/>
      <c r="V409" s="583">
        <f t="shared" si="112"/>
        <v>0</v>
      </c>
      <c r="W409" s="584">
        <f t="shared" si="113"/>
        <v>0</v>
      </c>
      <c r="X409" s="582"/>
      <c r="Y409" s="585"/>
      <c r="Z409" s="582"/>
      <c r="AA409" s="585"/>
      <c r="AB409" s="582"/>
      <c r="AC409" s="585"/>
      <c r="AD409" s="582">
        <v>121723</v>
      </c>
      <c r="AE409" s="585">
        <v>141856.54</v>
      </c>
      <c r="AF409" s="583">
        <f t="shared" si="114"/>
        <v>121723</v>
      </c>
      <c r="AG409" s="583">
        <f t="shared" si="115"/>
        <v>135.24777777777777</v>
      </c>
      <c r="AH409" s="584">
        <f t="shared" si="116"/>
        <v>141856.54</v>
      </c>
      <c r="AI409" s="584">
        <f t="shared" si="117"/>
        <v>157.61837777777779</v>
      </c>
      <c r="AJ409" s="582"/>
      <c r="AK409" s="585"/>
      <c r="AL409" s="583">
        <f t="shared" si="118"/>
        <v>0</v>
      </c>
      <c r="AM409" s="584">
        <f t="shared" si="119"/>
        <v>0</v>
      </c>
      <c r="AN409" s="582"/>
      <c r="AO409" s="585"/>
      <c r="AP409" s="582"/>
      <c r="AQ409" s="585"/>
      <c r="AR409" s="582"/>
      <c r="AS409" s="585"/>
      <c r="AT409" s="582"/>
      <c r="AU409" s="585"/>
      <c r="AV409" s="583">
        <f t="shared" si="120"/>
        <v>0</v>
      </c>
      <c r="AW409" s="583">
        <f t="shared" si="121"/>
        <v>0</v>
      </c>
      <c r="AX409" s="584">
        <f t="shared" si="122"/>
        <v>0</v>
      </c>
      <c r="AY409" s="584">
        <f t="shared" si="123"/>
        <v>0</v>
      </c>
      <c r="AZ409" s="583">
        <f t="shared" si="124"/>
        <v>135.24777777777777</v>
      </c>
      <c r="BA409" s="584">
        <f t="shared" si="125"/>
        <v>157.61837777777779</v>
      </c>
    </row>
    <row r="410" spans="1:53">
      <c r="A410" s="11" t="s">
        <v>331</v>
      </c>
      <c r="B410" s="14" t="s">
        <v>377</v>
      </c>
      <c r="C410" s="529"/>
      <c r="D410" s="13">
        <v>418357</v>
      </c>
      <c r="E410" s="419">
        <v>13</v>
      </c>
      <c r="F410" s="593"/>
      <c r="G410" s="585"/>
      <c r="H410" s="582"/>
      <c r="I410" s="585"/>
      <c r="J410" s="582"/>
      <c r="K410" s="585"/>
      <c r="L410" s="582"/>
      <c r="M410" s="585"/>
      <c r="N410" s="582"/>
      <c r="O410" s="585"/>
      <c r="P410" s="583">
        <f t="shared" si="108"/>
        <v>0</v>
      </c>
      <c r="Q410" s="583">
        <f t="shared" si="109"/>
        <v>0</v>
      </c>
      <c r="R410" s="584">
        <f t="shared" si="110"/>
        <v>0</v>
      </c>
      <c r="S410" s="584">
        <f t="shared" si="111"/>
        <v>0</v>
      </c>
      <c r="T410" s="582"/>
      <c r="U410" s="585"/>
      <c r="V410" s="583">
        <f t="shared" si="112"/>
        <v>0</v>
      </c>
      <c r="W410" s="584">
        <f t="shared" si="113"/>
        <v>0</v>
      </c>
      <c r="X410" s="582"/>
      <c r="Y410" s="585"/>
      <c r="Z410" s="582"/>
      <c r="AA410" s="585"/>
      <c r="AB410" s="582"/>
      <c r="AC410" s="585"/>
      <c r="AD410" s="582">
        <v>144593.98000000001</v>
      </c>
      <c r="AE410" s="585">
        <v>130496.63</v>
      </c>
      <c r="AF410" s="583">
        <f t="shared" si="114"/>
        <v>144593.98000000001</v>
      </c>
      <c r="AG410" s="583">
        <f t="shared" si="115"/>
        <v>160.65997777777778</v>
      </c>
      <c r="AH410" s="584">
        <f t="shared" si="116"/>
        <v>130496.63</v>
      </c>
      <c r="AI410" s="584">
        <f t="shared" si="117"/>
        <v>144.99625555555556</v>
      </c>
      <c r="AJ410" s="582"/>
      <c r="AK410" s="585"/>
      <c r="AL410" s="583">
        <f t="shared" si="118"/>
        <v>0</v>
      </c>
      <c r="AM410" s="584">
        <f t="shared" si="119"/>
        <v>0</v>
      </c>
      <c r="AN410" s="582"/>
      <c r="AO410" s="585"/>
      <c r="AP410" s="582"/>
      <c r="AQ410" s="585"/>
      <c r="AR410" s="582"/>
      <c r="AS410" s="585"/>
      <c r="AT410" s="582"/>
      <c r="AU410" s="585"/>
      <c r="AV410" s="583">
        <f t="shared" si="120"/>
        <v>0</v>
      </c>
      <c r="AW410" s="583">
        <f t="shared" si="121"/>
        <v>0</v>
      </c>
      <c r="AX410" s="584">
        <f t="shared" si="122"/>
        <v>0</v>
      </c>
      <c r="AY410" s="584">
        <f t="shared" si="123"/>
        <v>0</v>
      </c>
      <c r="AZ410" s="583">
        <f t="shared" si="124"/>
        <v>160.65997777777778</v>
      </c>
      <c r="BA410" s="584">
        <f t="shared" si="125"/>
        <v>144.99625555555556</v>
      </c>
    </row>
    <row r="411" spans="1:53">
      <c r="A411" s="11" t="s">
        <v>331</v>
      </c>
      <c r="B411" s="14" t="s">
        <v>378</v>
      </c>
      <c r="C411" s="529"/>
      <c r="D411" s="13">
        <v>418302</v>
      </c>
      <c r="E411" s="419">
        <v>13</v>
      </c>
      <c r="F411" s="593"/>
      <c r="G411" s="585"/>
      <c r="H411" s="582"/>
      <c r="I411" s="585"/>
      <c r="J411" s="582"/>
      <c r="K411" s="585"/>
      <c r="L411" s="582"/>
      <c r="M411" s="585"/>
      <c r="N411" s="582"/>
      <c r="O411" s="585"/>
      <c r="P411" s="583">
        <f t="shared" si="108"/>
        <v>0</v>
      </c>
      <c r="Q411" s="583">
        <f t="shared" si="109"/>
        <v>0</v>
      </c>
      <c r="R411" s="584">
        <f t="shared" si="110"/>
        <v>0</v>
      </c>
      <c r="S411" s="584">
        <f t="shared" si="111"/>
        <v>0</v>
      </c>
      <c r="T411" s="582"/>
      <c r="U411" s="585"/>
      <c r="V411" s="583">
        <f t="shared" si="112"/>
        <v>0</v>
      </c>
      <c r="W411" s="584">
        <f t="shared" si="113"/>
        <v>0</v>
      </c>
      <c r="X411" s="582"/>
      <c r="Y411" s="585"/>
      <c r="Z411" s="582"/>
      <c r="AA411" s="585"/>
      <c r="AB411" s="582"/>
      <c r="AC411" s="585"/>
      <c r="AD411" s="582">
        <v>316466.5</v>
      </c>
      <c r="AE411" s="585">
        <v>288010.40999999997</v>
      </c>
      <c r="AF411" s="583">
        <f t="shared" si="114"/>
        <v>316466.5</v>
      </c>
      <c r="AG411" s="583">
        <f t="shared" si="115"/>
        <v>351.62944444444446</v>
      </c>
      <c r="AH411" s="584">
        <f t="shared" si="116"/>
        <v>288010.40999999997</v>
      </c>
      <c r="AI411" s="584">
        <f t="shared" si="117"/>
        <v>320.01156666666662</v>
      </c>
      <c r="AJ411" s="582"/>
      <c r="AK411" s="585"/>
      <c r="AL411" s="583">
        <f t="shared" si="118"/>
        <v>0</v>
      </c>
      <c r="AM411" s="584">
        <f t="shared" si="119"/>
        <v>0</v>
      </c>
      <c r="AN411" s="582"/>
      <c r="AO411" s="585"/>
      <c r="AP411" s="582"/>
      <c r="AQ411" s="585"/>
      <c r="AR411" s="582"/>
      <c r="AS411" s="585"/>
      <c r="AT411" s="582"/>
      <c r="AU411" s="585"/>
      <c r="AV411" s="583">
        <f t="shared" si="120"/>
        <v>0</v>
      </c>
      <c r="AW411" s="583">
        <f t="shared" si="121"/>
        <v>0</v>
      </c>
      <c r="AX411" s="584">
        <f t="shared" si="122"/>
        <v>0</v>
      </c>
      <c r="AY411" s="584">
        <f t="shared" si="123"/>
        <v>0</v>
      </c>
      <c r="AZ411" s="583">
        <f t="shared" si="124"/>
        <v>351.62944444444446</v>
      </c>
      <c r="BA411" s="584">
        <f t="shared" si="125"/>
        <v>320.01156666666662</v>
      </c>
    </row>
    <row r="412" spans="1:53">
      <c r="A412" s="432" t="s">
        <v>538</v>
      </c>
      <c r="B412" s="50" t="s">
        <v>539</v>
      </c>
      <c r="C412" s="51"/>
      <c r="D412" s="52">
        <v>217882</v>
      </c>
      <c r="E412" s="52">
        <v>1</v>
      </c>
      <c r="F412" s="582" t="s">
        <v>74</v>
      </c>
      <c r="G412" s="585" t="s">
        <v>74</v>
      </c>
      <c r="H412" s="587"/>
      <c r="I412" s="585"/>
      <c r="J412" s="587">
        <v>268967</v>
      </c>
      <c r="K412" s="585">
        <v>272130</v>
      </c>
      <c r="L412" s="587">
        <v>34394</v>
      </c>
      <c r="M412" s="585">
        <v>36670</v>
      </c>
      <c r="N412" s="587">
        <v>296147</v>
      </c>
      <c r="O412" s="585">
        <v>303943</v>
      </c>
      <c r="P412" s="583">
        <f t="shared" si="108"/>
        <v>599508</v>
      </c>
      <c r="Q412" s="583">
        <f t="shared" si="109"/>
        <v>19983.599999999999</v>
      </c>
      <c r="R412" s="584">
        <f t="shared" si="110"/>
        <v>612743</v>
      </c>
      <c r="S412" s="584">
        <f t="shared" si="111"/>
        <v>20424.766666666666</v>
      </c>
      <c r="T412" s="587">
        <v>294</v>
      </c>
      <c r="U412" s="585">
        <v>217</v>
      </c>
      <c r="V412" s="583">
        <f t="shared" si="112"/>
        <v>599508</v>
      </c>
      <c r="W412" s="584">
        <f t="shared" si="113"/>
        <v>612743</v>
      </c>
      <c r="X412" s="587"/>
      <c r="Y412" s="585"/>
      <c r="Z412" s="587"/>
      <c r="AA412" s="585"/>
      <c r="AB412" s="587"/>
      <c r="AC412" s="585"/>
      <c r="AD412" s="587"/>
      <c r="AE412" s="585"/>
      <c r="AF412" s="583">
        <f t="shared" si="114"/>
        <v>0</v>
      </c>
      <c r="AG412" s="583">
        <f t="shared" si="115"/>
        <v>0</v>
      </c>
      <c r="AH412" s="584">
        <f t="shared" si="116"/>
        <v>0</v>
      </c>
      <c r="AI412" s="584">
        <f t="shared" si="117"/>
        <v>0</v>
      </c>
      <c r="AJ412" s="587"/>
      <c r="AK412" s="585"/>
      <c r="AL412" s="583">
        <f t="shared" si="118"/>
        <v>0</v>
      </c>
      <c r="AM412" s="584">
        <f t="shared" si="119"/>
        <v>0</v>
      </c>
      <c r="AN412" s="587"/>
      <c r="AO412" s="585"/>
      <c r="AP412" s="587">
        <v>38086</v>
      </c>
      <c r="AQ412" s="585">
        <v>39239</v>
      </c>
      <c r="AR412" s="587">
        <v>17344</v>
      </c>
      <c r="AS412" s="585">
        <v>17690</v>
      </c>
      <c r="AT412" s="587">
        <v>42267</v>
      </c>
      <c r="AU412" s="585">
        <v>44605</v>
      </c>
      <c r="AV412" s="583">
        <f t="shared" si="120"/>
        <v>97697</v>
      </c>
      <c r="AW412" s="583">
        <f t="shared" si="121"/>
        <v>4070.7083333333335</v>
      </c>
      <c r="AX412" s="584">
        <f t="shared" si="122"/>
        <v>101534</v>
      </c>
      <c r="AY412" s="584">
        <f t="shared" si="123"/>
        <v>4230.583333333333</v>
      </c>
      <c r="AZ412" s="583">
        <f t="shared" si="124"/>
        <v>24054.308333333331</v>
      </c>
      <c r="BA412" s="584">
        <f t="shared" si="125"/>
        <v>24655.35</v>
      </c>
    </row>
    <row r="413" spans="1:53">
      <c r="A413" s="432" t="s">
        <v>538</v>
      </c>
      <c r="B413" s="50" t="s">
        <v>540</v>
      </c>
      <c r="C413" s="51"/>
      <c r="D413" s="52">
        <v>218663</v>
      </c>
      <c r="E413" s="52">
        <v>1</v>
      </c>
      <c r="F413" s="582" t="s">
        <v>74</v>
      </c>
      <c r="G413" s="585" t="s">
        <v>74</v>
      </c>
      <c r="H413" s="587"/>
      <c r="I413" s="585"/>
      <c r="J413" s="587">
        <v>356057</v>
      </c>
      <c r="K413" s="585">
        <v>363381</v>
      </c>
      <c r="L413" s="587">
        <v>45579</v>
      </c>
      <c r="M413" s="585">
        <v>46434</v>
      </c>
      <c r="N413" s="587">
        <v>398668</v>
      </c>
      <c r="O413" s="585">
        <v>409689</v>
      </c>
      <c r="P413" s="583">
        <f t="shared" si="108"/>
        <v>800304</v>
      </c>
      <c r="Q413" s="583">
        <f t="shared" si="109"/>
        <v>26676.799999999999</v>
      </c>
      <c r="R413" s="584">
        <f t="shared" si="110"/>
        <v>819504</v>
      </c>
      <c r="S413" s="584">
        <f t="shared" si="111"/>
        <v>27316.799999999999</v>
      </c>
      <c r="T413" s="587">
        <v>62</v>
      </c>
      <c r="U413" s="585">
        <v>45</v>
      </c>
      <c r="V413" s="583">
        <f t="shared" si="112"/>
        <v>800304</v>
      </c>
      <c r="W413" s="584">
        <f t="shared" si="113"/>
        <v>819504</v>
      </c>
      <c r="X413" s="587"/>
      <c r="Y413" s="585"/>
      <c r="Z413" s="587"/>
      <c r="AA413" s="585"/>
      <c r="AB413" s="587"/>
      <c r="AC413" s="585"/>
      <c r="AD413" s="587"/>
      <c r="AE413" s="585"/>
      <c r="AF413" s="583">
        <f t="shared" si="114"/>
        <v>0</v>
      </c>
      <c r="AG413" s="583">
        <f t="shared" si="115"/>
        <v>0</v>
      </c>
      <c r="AH413" s="584">
        <f t="shared" si="116"/>
        <v>0</v>
      </c>
      <c r="AI413" s="584">
        <f t="shared" si="117"/>
        <v>0</v>
      </c>
      <c r="AJ413" s="587"/>
      <c r="AK413" s="585"/>
      <c r="AL413" s="583">
        <f t="shared" si="118"/>
        <v>0</v>
      </c>
      <c r="AM413" s="584">
        <f t="shared" si="119"/>
        <v>0</v>
      </c>
      <c r="AN413" s="587"/>
      <c r="AO413" s="585"/>
      <c r="AP413" s="587">
        <v>76337</v>
      </c>
      <c r="AQ413" s="585">
        <v>73988</v>
      </c>
      <c r="AR413" s="587">
        <v>23831</v>
      </c>
      <c r="AS413" s="585">
        <v>23418</v>
      </c>
      <c r="AT413" s="587">
        <v>78392</v>
      </c>
      <c r="AU413" s="585">
        <v>77796</v>
      </c>
      <c r="AV413" s="583">
        <f t="shared" si="120"/>
        <v>178560</v>
      </c>
      <c r="AW413" s="583">
        <f t="shared" si="121"/>
        <v>7440</v>
      </c>
      <c r="AX413" s="584">
        <f t="shared" si="122"/>
        <v>175202</v>
      </c>
      <c r="AY413" s="584">
        <f t="shared" si="123"/>
        <v>7300.083333333333</v>
      </c>
      <c r="AZ413" s="583">
        <f t="shared" si="124"/>
        <v>34116.800000000003</v>
      </c>
      <c r="BA413" s="584">
        <f t="shared" si="125"/>
        <v>34616.883333333331</v>
      </c>
    </row>
    <row r="414" spans="1:53">
      <c r="A414" s="432" t="s">
        <v>538</v>
      </c>
      <c r="B414" s="50" t="s">
        <v>541</v>
      </c>
      <c r="C414" s="51"/>
      <c r="D414" s="52">
        <v>217819</v>
      </c>
      <c r="E414" s="52">
        <v>3</v>
      </c>
      <c r="F414" s="582" t="s">
        <v>74</v>
      </c>
      <c r="G414" s="585" t="s">
        <v>74</v>
      </c>
      <c r="H414" s="587"/>
      <c r="I414" s="585"/>
      <c r="J414" s="587">
        <v>135927</v>
      </c>
      <c r="K414" s="585">
        <v>134199</v>
      </c>
      <c r="L414" s="587">
        <v>15743</v>
      </c>
      <c r="M414" s="585">
        <v>15077</v>
      </c>
      <c r="N414" s="587">
        <v>141862</v>
      </c>
      <c r="O414" s="585">
        <v>137451</v>
      </c>
      <c r="P414" s="583">
        <f t="shared" si="108"/>
        <v>293532</v>
      </c>
      <c r="Q414" s="583">
        <f t="shared" si="109"/>
        <v>9784.4</v>
      </c>
      <c r="R414" s="584">
        <f t="shared" si="110"/>
        <v>286727</v>
      </c>
      <c r="S414" s="584">
        <f t="shared" si="111"/>
        <v>9557.5666666666675</v>
      </c>
      <c r="T414" s="587">
        <v>767</v>
      </c>
      <c r="U414" s="585">
        <v>769</v>
      </c>
      <c r="V414" s="583">
        <f t="shared" si="112"/>
        <v>293532</v>
      </c>
      <c r="W414" s="584">
        <f t="shared" si="113"/>
        <v>286727</v>
      </c>
      <c r="X414" s="587"/>
      <c r="Y414" s="585"/>
      <c r="Z414" s="587"/>
      <c r="AA414" s="585"/>
      <c r="AB414" s="587"/>
      <c r="AC414" s="585"/>
      <c r="AD414" s="587"/>
      <c r="AE414" s="585"/>
      <c r="AF414" s="583">
        <f t="shared" si="114"/>
        <v>0</v>
      </c>
      <c r="AG414" s="583">
        <f t="shared" si="115"/>
        <v>0</v>
      </c>
      <c r="AH414" s="584">
        <f t="shared" si="116"/>
        <v>0</v>
      </c>
      <c r="AI414" s="584">
        <f t="shared" si="117"/>
        <v>0</v>
      </c>
      <c r="AJ414" s="587"/>
      <c r="AK414" s="585"/>
      <c r="AL414" s="583">
        <f t="shared" si="118"/>
        <v>0</v>
      </c>
      <c r="AM414" s="584">
        <f t="shared" si="119"/>
        <v>0</v>
      </c>
      <c r="AN414" s="587"/>
      <c r="AO414" s="585"/>
      <c r="AP414" s="587">
        <v>5707</v>
      </c>
      <c r="AQ414" s="585">
        <v>5496</v>
      </c>
      <c r="AR414" s="587">
        <v>2813</v>
      </c>
      <c r="AS414" s="585">
        <v>3231</v>
      </c>
      <c r="AT414" s="587">
        <v>4770</v>
      </c>
      <c r="AU414" s="585">
        <v>4943</v>
      </c>
      <c r="AV414" s="583">
        <f t="shared" si="120"/>
        <v>13290</v>
      </c>
      <c r="AW414" s="583">
        <f t="shared" si="121"/>
        <v>553.75</v>
      </c>
      <c r="AX414" s="584">
        <f t="shared" si="122"/>
        <v>13670</v>
      </c>
      <c r="AY414" s="584">
        <f t="shared" si="123"/>
        <v>569.58333333333337</v>
      </c>
      <c r="AZ414" s="583">
        <f t="shared" si="124"/>
        <v>10338.15</v>
      </c>
      <c r="BA414" s="584">
        <f t="shared" si="125"/>
        <v>10127.150000000001</v>
      </c>
    </row>
    <row r="415" spans="1:53">
      <c r="A415" s="432" t="s">
        <v>538</v>
      </c>
      <c r="B415" s="50" t="s">
        <v>542</v>
      </c>
      <c r="C415" s="53"/>
      <c r="D415" s="52">
        <v>217864</v>
      </c>
      <c r="E415" s="52">
        <v>3</v>
      </c>
      <c r="F415" s="582" t="s">
        <v>74</v>
      </c>
      <c r="G415" s="585" t="s">
        <v>74</v>
      </c>
      <c r="H415" s="587"/>
      <c r="I415" s="585"/>
      <c r="J415" s="587">
        <v>44742</v>
      </c>
      <c r="K415" s="585">
        <v>46323</v>
      </c>
      <c r="L415" s="587">
        <v>7276</v>
      </c>
      <c r="M415" s="585">
        <v>6577</v>
      </c>
      <c r="N415" s="587">
        <v>48579</v>
      </c>
      <c r="O415" s="585">
        <v>47998</v>
      </c>
      <c r="P415" s="583">
        <f t="shared" si="108"/>
        <v>100597</v>
      </c>
      <c r="Q415" s="583">
        <f t="shared" si="109"/>
        <v>3353.2333333333331</v>
      </c>
      <c r="R415" s="584">
        <f t="shared" si="110"/>
        <v>100898</v>
      </c>
      <c r="S415" s="584">
        <f t="shared" si="111"/>
        <v>3363.2666666666669</v>
      </c>
      <c r="T415" s="587"/>
      <c r="U415" s="585">
        <v>45</v>
      </c>
      <c r="V415" s="583">
        <f t="shared" si="112"/>
        <v>0</v>
      </c>
      <c r="W415" s="584">
        <f t="shared" si="113"/>
        <v>100898</v>
      </c>
      <c r="X415" s="587"/>
      <c r="Y415" s="585"/>
      <c r="Z415" s="587"/>
      <c r="AA415" s="585"/>
      <c r="AB415" s="587"/>
      <c r="AC415" s="585"/>
      <c r="AD415" s="587"/>
      <c r="AE415" s="585"/>
      <c r="AF415" s="583">
        <f t="shared" si="114"/>
        <v>0</v>
      </c>
      <c r="AG415" s="583">
        <f t="shared" si="115"/>
        <v>0</v>
      </c>
      <c r="AH415" s="584">
        <f t="shared" si="116"/>
        <v>0</v>
      </c>
      <c r="AI415" s="584">
        <f t="shared" si="117"/>
        <v>0</v>
      </c>
      <c r="AJ415" s="587"/>
      <c r="AK415" s="585"/>
      <c r="AL415" s="583">
        <f t="shared" si="118"/>
        <v>0</v>
      </c>
      <c r="AM415" s="584">
        <f t="shared" si="119"/>
        <v>0</v>
      </c>
      <c r="AN415" s="587"/>
      <c r="AO415" s="585"/>
      <c r="AP415" s="587">
        <v>5400</v>
      </c>
      <c r="AQ415" s="585">
        <v>5286</v>
      </c>
      <c r="AR415" s="587">
        <v>4639</v>
      </c>
      <c r="AS415" s="585">
        <v>4330</v>
      </c>
      <c r="AT415" s="587">
        <v>5322</v>
      </c>
      <c r="AU415" s="585">
        <v>5344</v>
      </c>
      <c r="AV415" s="583">
        <f t="shared" si="120"/>
        <v>15361</v>
      </c>
      <c r="AW415" s="583">
        <f t="shared" si="121"/>
        <v>640.04166666666663</v>
      </c>
      <c r="AX415" s="584">
        <f t="shared" si="122"/>
        <v>14960</v>
      </c>
      <c r="AY415" s="584">
        <f t="shared" si="123"/>
        <v>623.33333333333337</v>
      </c>
      <c r="AZ415" s="583">
        <f t="shared" si="124"/>
        <v>3993.2749999999996</v>
      </c>
      <c r="BA415" s="584">
        <f t="shared" si="125"/>
        <v>3986.6000000000004</v>
      </c>
    </row>
    <row r="416" spans="1:53">
      <c r="A416" s="432" t="s">
        <v>538</v>
      </c>
      <c r="B416" s="50" t="s">
        <v>543</v>
      </c>
      <c r="C416" s="51"/>
      <c r="D416" s="52">
        <v>218964</v>
      </c>
      <c r="E416" s="52">
        <v>3</v>
      </c>
      <c r="F416" s="582" t="s">
        <v>74</v>
      </c>
      <c r="G416" s="585" t="s">
        <v>74</v>
      </c>
      <c r="H416" s="587"/>
      <c r="I416" s="585"/>
      <c r="J416" s="587">
        <v>66604.5</v>
      </c>
      <c r="K416" s="585">
        <v>62708</v>
      </c>
      <c r="L416" s="587">
        <v>5625</v>
      </c>
      <c r="M416" s="585">
        <v>5253</v>
      </c>
      <c r="N416" s="587">
        <v>68997</v>
      </c>
      <c r="O416" s="585">
        <v>67863</v>
      </c>
      <c r="P416" s="583">
        <f t="shared" si="108"/>
        <v>141226.5</v>
      </c>
      <c r="Q416" s="583">
        <f t="shared" si="109"/>
        <v>4707.55</v>
      </c>
      <c r="R416" s="584">
        <f t="shared" si="110"/>
        <v>135824</v>
      </c>
      <c r="S416" s="584">
        <f t="shared" si="111"/>
        <v>4527.4666666666662</v>
      </c>
      <c r="T416" s="587">
        <v>1506</v>
      </c>
      <c r="U416" s="585">
        <v>1476</v>
      </c>
      <c r="V416" s="583">
        <f t="shared" si="112"/>
        <v>141226.5</v>
      </c>
      <c r="W416" s="584">
        <f t="shared" si="113"/>
        <v>135824</v>
      </c>
      <c r="X416" s="587"/>
      <c r="Y416" s="585"/>
      <c r="Z416" s="587"/>
      <c r="AA416" s="585"/>
      <c r="AB416" s="587"/>
      <c r="AC416" s="585"/>
      <c r="AD416" s="587"/>
      <c r="AE416" s="585"/>
      <c r="AF416" s="583">
        <f t="shared" si="114"/>
        <v>0</v>
      </c>
      <c r="AG416" s="583">
        <f t="shared" si="115"/>
        <v>0</v>
      </c>
      <c r="AH416" s="584">
        <f t="shared" si="116"/>
        <v>0</v>
      </c>
      <c r="AI416" s="584">
        <f t="shared" si="117"/>
        <v>0</v>
      </c>
      <c r="AJ416" s="587"/>
      <c r="AK416" s="585"/>
      <c r="AL416" s="583">
        <f t="shared" si="118"/>
        <v>0</v>
      </c>
      <c r="AM416" s="584">
        <f t="shared" si="119"/>
        <v>0</v>
      </c>
      <c r="AN416" s="587"/>
      <c r="AO416" s="585"/>
      <c r="AP416" s="587">
        <v>6316</v>
      </c>
      <c r="AQ416" s="585">
        <v>6037</v>
      </c>
      <c r="AR416" s="587">
        <v>2987</v>
      </c>
      <c r="AS416" s="585">
        <v>3503</v>
      </c>
      <c r="AT416" s="587">
        <v>6019</v>
      </c>
      <c r="AU416" s="585">
        <v>6683</v>
      </c>
      <c r="AV416" s="583">
        <f t="shared" si="120"/>
        <v>15322</v>
      </c>
      <c r="AW416" s="583">
        <f t="shared" si="121"/>
        <v>638.41666666666663</v>
      </c>
      <c r="AX416" s="584">
        <f t="shared" si="122"/>
        <v>16223</v>
      </c>
      <c r="AY416" s="584">
        <f t="shared" si="123"/>
        <v>675.95833333333337</v>
      </c>
      <c r="AZ416" s="583">
        <f t="shared" si="124"/>
        <v>5345.9666666666672</v>
      </c>
      <c r="BA416" s="584">
        <f t="shared" si="125"/>
        <v>5203.4249999999993</v>
      </c>
    </row>
    <row r="417" spans="1:53" ht="14.5">
      <c r="A417" s="432" t="s">
        <v>538</v>
      </c>
      <c r="B417" s="50" t="s">
        <v>544</v>
      </c>
      <c r="C417" s="530"/>
      <c r="D417" s="52">
        <v>218724</v>
      </c>
      <c r="E417" s="52">
        <v>4</v>
      </c>
      <c r="F417" s="582" t="s">
        <v>74</v>
      </c>
      <c r="G417" s="585" t="s">
        <v>74</v>
      </c>
      <c r="H417" s="587"/>
      <c r="I417" s="585"/>
      <c r="J417" s="587">
        <v>131138</v>
      </c>
      <c r="K417" s="585">
        <v>130819</v>
      </c>
      <c r="L417" s="587">
        <v>17712</v>
      </c>
      <c r="M417" s="585">
        <v>17312</v>
      </c>
      <c r="N417" s="587">
        <v>143502</v>
      </c>
      <c r="O417" s="585">
        <v>142967</v>
      </c>
      <c r="P417" s="583">
        <f t="shared" si="108"/>
        <v>292352</v>
      </c>
      <c r="Q417" s="583">
        <f t="shared" si="109"/>
        <v>9745.0666666666675</v>
      </c>
      <c r="R417" s="584">
        <f t="shared" si="110"/>
        <v>291098</v>
      </c>
      <c r="S417" s="584">
        <f t="shared" si="111"/>
        <v>9703.2666666666664</v>
      </c>
      <c r="T417" s="587">
        <v>2460</v>
      </c>
      <c r="U417" s="585">
        <v>2674</v>
      </c>
      <c r="V417" s="583">
        <f t="shared" si="112"/>
        <v>292352</v>
      </c>
      <c r="W417" s="584">
        <f t="shared" si="113"/>
        <v>291098</v>
      </c>
      <c r="X417" s="587"/>
      <c r="Y417" s="585"/>
      <c r="Z417" s="587"/>
      <c r="AA417" s="585"/>
      <c r="AB417" s="587"/>
      <c r="AC417" s="585"/>
      <c r="AD417" s="587"/>
      <c r="AE417" s="585"/>
      <c r="AF417" s="583">
        <f t="shared" si="114"/>
        <v>0</v>
      </c>
      <c r="AG417" s="583">
        <f t="shared" si="115"/>
        <v>0</v>
      </c>
      <c r="AH417" s="584">
        <f t="shared" si="116"/>
        <v>0</v>
      </c>
      <c r="AI417" s="584">
        <f t="shared" si="117"/>
        <v>0</v>
      </c>
      <c r="AJ417" s="587"/>
      <c r="AK417" s="585"/>
      <c r="AL417" s="583">
        <f t="shared" si="118"/>
        <v>0</v>
      </c>
      <c r="AM417" s="584">
        <f t="shared" si="119"/>
        <v>0</v>
      </c>
      <c r="AN417" s="587"/>
      <c r="AO417" s="585"/>
      <c r="AP417" s="587">
        <v>4062</v>
      </c>
      <c r="AQ417" s="585">
        <v>4186</v>
      </c>
      <c r="AR417" s="587">
        <v>4186</v>
      </c>
      <c r="AS417" s="585">
        <v>3901</v>
      </c>
      <c r="AT417" s="587">
        <v>4594</v>
      </c>
      <c r="AU417" s="585">
        <v>4589</v>
      </c>
      <c r="AV417" s="583">
        <f t="shared" si="120"/>
        <v>12842</v>
      </c>
      <c r="AW417" s="583">
        <f t="shared" si="121"/>
        <v>535.08333333333337</v>
      </c>
      <c r="AX417" s="584">
        <f t="shared" si="122"/>
        <v>12676</v>
      </c>
      <c r="AY417" s="584">
        <f t="shared" si="123"/>
        <v>528.16666666666663</v>
      </c>
      <c r="AZ417" s="583">
        <f t="shared" si="124"/>
        <v>10280.150000000001</v>
      </c>
      <c r="BA417" s="584">
        <f t="shared" si="125"/>
        <v>10231.433333333332</v>
      </c>
    </row>
    <row r="418" spans="1:53" ht="14.5">
      <c r="A418" s="432" t="s">
        <v>538</v>
      </c>
      <c r="B418" s="50" t="s">
        <v>545</v>
      </c>
      <c r="C418" s="531"/>
      <c r="D418" s="52">
        <v>218061</v>
      </c>
      <c r="E418" s="52">
        <v>5</v>
      </c>
      <c r="F418" s="582" t="s">
        <v>74</v>
      </c>
      <c r="G418" s="585" t="s">
        <v>74</v>
      </c>
      <c r="H418" s="587"/>
      <c r="I418" s="585"/>
      <c r="J418" s="587">
        <v>41435</v>
      </c>
      <c r="K418" s="585">
        <v>33667</v>
      </c>
      <c r="L418" s="587">
        <v>2360</v>
      </c>
      <c r="M418" s="585">
        <v>0</v>
      </c>
      <c r="N418" s="587">
        <v>46655</v>
      </c>
      <c r="O418" s="585">
        <v>46709</v>
      </c>
      <c r="P418" s="583">
        <f t="shared" si="108"/>
        <v>90450</v>
      </c>
      <c r="Q418" s="583">
        <f t="shared" si="109"/>
        <v>3015</v>
      </c>
      <c r="R418" s="584">
        <f t="shared" si="110"/>
        <v>80376</v>
      </c>
      <c r="S418" s="584">
        <f t="shared" si="111"/>
        <v>2679.2</v>
      </c>
      <c r="T418" s="587">
        <v>1178</v>
      </c>
      <c r="U418" s="585">
        <v>3015</v>
      </c>
      <c r="V418" s="583">
        <f t="shared" si="112"/>
        <v>90450</v>
      </c>
      <c r="W418" s="584">
        <f t="shared" si="113"/>
        <v>80376</v>
      </c>
      <c r="X418" s="587"/>
      <c r="Y418" s="585"/>
      <c r="Z418" s="587"/>
      <c r="AA418" s="585"/>
      <c r="AB418" s="587"/>
      <c r="AC418" s="585"/>
      <c r="AD418" s="587"/>
      <c r="AE418" s="585"/>
      <c r="AF418" s="583">
        <f t="shared" si="114"/>
        <v>0</v>
      </c>
      <c r="AG418" s="583">
        <f t="shared" si="115"/>
        <v>0</v>
      </c>
      <c r="AH418" s="584">
        <f t="shared" si="116"/>
        <v>0</v>
      </c>
      <c r="AI418" s="584">
        <f t="shared" si="117"/>
        <v>0</v>
      </c>
      <c r="AJ418" s="587"/>
      <c r="AK418" s="585"/>
      <c r="AL418" s="583">
        <f t="shared" si="118"/>
        <v>0</v>
      </c>
      <c r="AM418" s="584">
        <f t="shared" si="119"/>
        <v>0</v>
      </c>
      <c r="AN418" s="587"/>
      <c r="AO418" s="585"/>
      <c r="AP418" s="587">
        <v>2829</v>
      </c>
      <c r="AQ418" s="585">
        <v>7856</v>
      </c>
      <c r="AR418" s="587">
        <v>2554</v>
      </c>
      <c r="AS418" s="585">
        <v>1994</v>
      </c>
      <c r="AT418" s="587">
        <v>3910</v>
      </c>
      <c r="AU418" s="585">
        <v>3667</v>
      </c>
      <c r="AV418" s="583">
        <f t="shared" si="120"/>
        <v>9293</v>
      </c>
      <c r="AW418" s="583">
        <f t="shared" si="121"/>
        <v>387.20833333333331</v>
      </c>
      <c r="AX418" s="584">
        <f t="shared" si="122"/>
        <v>13517</v>
      </c>
      <c r="AY418" s="584">
        <f t="shared" si="123"/>
        <v>563.20833333333337</v>
      </c>
      <c r="AZ418" s="583">
        <f t="shared" si="124"/>
        <v>3402.2083333333335</v>
      </c>
      <c r="BA418" s="584">
        <f t="shared" si="125"/>
        <v>3242.4083333333333</v>
      </c>
    </row>
    <row r="419" spans="1:53" ht="14.5">
      <c r="A419" s="432" t="s">
        <v>538</v>
      </c>
      <c r="B419" s="50" t="s">
        <v>546</v>
      </c>
      <c r="C419" s="531"/>
      <c r="D419" s="52">
        <v>218733</v>
      </c>
      <c r="E419" s="52">
        <v>5</v>
      </c>
      <c r="F419" s="582" t="s">
        <v>74</v>
      </c>
      <c r="G419" s="585" t="s">
        <v>74</v>
      </c>
      <c r="H419" s="587"/>
      <c r="I419" s="585"/>
      <c r="J419" s="587">
        <v>31376</v>
      </c>
      <c r="K419" s="585">
        <v>30751</v>
      </c>
      <c r="L419" s="587">
        <v>1941</v>
      </c>
      <c r="M419" s="585">
        <v>1896</v>
      </c>
      <c r="N419" s="587">
        <v>34719</v>
      </c>
      <c r="O419" s="585">
        <v>31188</v>
      </c>
      <c r="P419" s="583">
        <f t="shared" si="108"/>
        <v>68036</v>
      </c>
      <c r="Q419" s="583">
        <f t="shared" si="109"/>
        <v>2267.8666666666668</v>
      </c>
      <c r="R419" s="584">
        <f t="shared" si="110"/>
        <v>63835</v>
      </c>
      <c r="S419" s="584">
        <f t="shared" si="111"/>
        <v>2127.8333333333335</v>
      </c>
      <c r="T419" s="587"/>
      <c r="U419" s="585"/>
      <c r="V419" s="583">
        <f t="shared" si="112"/>
        <v>0</v>
      </c>
      <c r="W419" s="584">
        <f t="shared" si="113"/>
        <v>0</v>
      </c>
      <c r="X419" s="587"/>
      <c r="Y419" s="585"/>
      <c r="Z419" s="587"/>
      <c r="AA419" s="585"/>
      <c r="AB419" s="587"/>
      <c r="AC419" s="585"/>
      <c r="AD419" s="587"/>
      <c r="AE419" s="585"/>
      <c r="AF419" s="583">
        <f t="shared" si="114"/>
        <v>0</v>
      </c>
      <c r="AG419" s="583">
        <f t="shared" si="115"/>
        <v>0</v>
      </c>
      <c r="AH419" s="584">
        <f t="shared" si="116"/>
        <v>0</v>
      </c>
      <c r="AI419" s="584">
        <f t="shared" si="117"/>
        <v>0</v>
      </c>
      <c r="AJ419" s="587"/>
      <c r="AK419" s="585"/>
      <c r="AL419" s="583">
        <f t="shared" si="118"/>
        <v>0</v>
      </c>
      <c r="AM419" s="584">
        <f t="shared" si="119"/>
        <v>0</v>
      </c>
      <c r="AN419" s="587"/>
      <c r="AO419" s="585"/>
      <c r="AP419" s="587">
        <v>3169</v>
      </c>
      <c r="AQ419" s="585">
        <v>2732</v>
      </c>
      <c r="AR419" s="587">
        <v>1259</v>
      </c>
      <c r="AS419" s="585">
        <v>917</v>
      </c>
      <c r="AT419" s="587">
        <v>3811</v>
      </c>
      <c r="AU419" s="585">
        <v>2464</v>
      </c>
      <c r="AV419" s="583">
        <f t="shared" si="120"/>
        <v>8239</v>
      </c>
      <c r="AW419" s="583">
        <f t="shared" si="121"/>
        <v>343.29166666666669</v>
      </c>
      <c r="AX419" s="584">
        <f t="shared" si="122"/>
        <v>6113</v>
      </c>
      <c r="AY419" s="584">
        <f t="shared" si="123"/>
        <v>254.70833333333334</v>
      </c>
      <c r="AZ419" s="583">
        <f t="shared" si="124"/>
        <v>2611.1583333333333</v>
      </c>
      <c r="BA419" s="584">
        <f t="shared" si="125"/>
        <v>2382.541666666667</v>
      </c>
    </row>
    <row r="420" spans="1:53" ht="14.5">
      <c r="A420" s="432" t="s">
        <v>538</v>
      </c>
      <c r="B420" s="50" t="s">
        <v>547</v>
      </c>
      <c r="C420" s="531" t="s">
        <v>917</v>
      </c>
      <c r="D420" s="52">
        <v>218229</v>
      </c>
      <c r="E420" s="52">
        <v>6</v>
      </c>
      <c r="F420" s="582" t="s">
        <v>74</v>
      </c>
      <c r="G420" s="585" t="s">
        <v>74</v>
      </c>
      <c r="H420" s="587"/>
      <c r="I420" s="585"/>
      <c r="J420" s="587">
        <v>36288.5</v>
      </c>
      <c r="K420" s="585">
        <v>38379.5</v>
      </c>
      <c r="L420" s="587">
        <v>3011.5</v>
      </c>
      <c r="M420" s="585">
        <v>3709.5</v>
      </c>
      <c r="N420" s="587">
        <v>42716.5</v>
      </c>
      <c r="O420" s="585">
        <v>45775.5</v>
      </c>
      <c r="P420" s="583">
        <f t="shared" si="108"/>
        <v>82016.5</v>
      </c>
      <c r="Q420" s="583">
        <f t="shared" si="109"/>
        <v>2733.8833333333332</v>
      </c>
      <c r="R420" s="584">
        <f t="shared" si="110"/>
        <v>87864.5</v>
      </c>
      <c r="S420" s="584">
        <f t="shared" si="111"/>
        <v>2928.8166666666666</v>
      </c>
      <c r="T420" s="587">
        <v>272</v>
      </c>
      <c r="U420" s="585">
        <v>351</v>
      </c>
      <c r="V420" s="583">
        <f t="shared" si="112"/>
        <v>82016.5</v>
      </c>
      <c r="W420" s="584">
        <f t="shared" si="113"/>
        <v>87864.5</v>
      </c>
      <c r="X420" s="587"/>
      <c r="Y420" s="585"/>
      <c r="Z420" s="587"/>
      <c r="AA420" s="585"/>
      <c r="AB420" s="587"/>
      <c r="AC420" s="585"/>
      <c r="AD420" s="587"/>
      <c r="AE420" s="585"/>
      <c r="AF420" s="583">
        <f t="shared" si="114"/>
        <v>0</v>
      </c>
      <c r="AG420" s="583">
        <f t="shared" si="115"/>
        <v>0</v>
      </c>
      <c r="AH420" s="584">
        <f t="shared" si="116"/>
        <v>0</v>
      </c>
      <c r="AI420" s="584">
        <f t="shared" si="117"/>
        <v>0</v>
      </c>
      <c r="AJ420" s="587"/>
      <c r="AK420" s="585"/>
      <c r="AL420" s="583">
        <f t="shared" si="118"/>
        <v>0</v>
      </c>
      <c r="AM420" s="584">
        <f t="shared" si="119"/>
        <v>0</v>
      </c>
      <c r="AN420" s="587"/>
      <c r="AO420" s="585"/>
      <c r="AP420" s="587">
        <v>483</v>
      </c>
      <c r="AQ420" s="585">
        <v>491</v>
      </c>
      <c r="AR420" s="587">
        <v>678</v>
      </c>
      <c r="AS420" s="585">
        <v>529</v>
      </c>
      <c r="AT420" s="587">
        <v>449</v>
      </c>
      <c r="AU420" s="585">
        <v>533</v>
      </c>
      <c r="AV420" s="583">
        <f t="shared" si="120"/>
        <v>1610</v>
      </c>
      <c r="AW420" s="583">
        <f t="shared" si="121"/>
        <v>67.083333333333329</v>
      </c>
      <c r="AX420" s="584">
        <f t="shared" si="122"/>
        <v>1553</v>
      </c>
      <c r="AY420" s="584">
        <f t="shared" si="123"/>
        <v>64.708333333333329</v>
      </c>
      <c r="AZ420" s="583">
        <f t="shared" si="124"/>
        <v>2800.9666666666667</v>
      </c>
      <c r="BA420" s="584">
        <f t="shared" si="125"/>
        <v>2993.5250000000001</v>
      </c>
    </row>
    <row r="421" spans="1:53" ht="14.5">
      <c r="A421" s="432" t="s">
        <v>538</v>
      </c>
      <c r="B421" s="50" t="s">
        <v>548</v>
      </c>
      <c r="C421" s="531" t="s">
        <v>917</v>
      </c>
      <c r="D421" s="52">
        <v>218645</v>
      </c>
      <c r="E421" s="52">
        <v>6</v>
      </c>
      <c r="F421" s="582" t="s">
        <v>74</v>
      </c>
      <c r="G421" s="585" t="s">
        <v>74</v>
      </c>
      <c r="H421" s="587"/>
      <c r="I421" s="585"/>
      <c r="J421" s="587">
        <v>40186</v>
      </c>
      <c r="K421" s="585">
        <v>38990</v>
      </c>
      <c r="L421" s="587">
        <v>5426</v>
      </c>
      <c r="M421" s="585">
        <v>5239</v>
      </c>
      <c r="N421" s="587">
        <v>43467</v>
      </c>
      <c r="O421" s="585">
        <v>41962</v>
      </c>
      <c r="P421" s="583">
        <f t="shared" si="108"/>
        <v>89079</v>
      </c>
      <c r="Q421" s="583">
        <f t="shared" si="109"/>
        <v>2969.3</v>
      </c>
      <c r="R421" s="584">
        <f t="shared" si="110"/>
        <v>86191</v>
      </c>
      <c r="S421" s="584">
        <f t="shared" si="111"/>
        <v>2873.0333333333333</v>
      </c>
      <c r="T421" s="587">
        <v>1690</v>
      </c>
      <c r="U421" s="585">
        <v>1623</v>
      </c>
      <c r="V421" s="583">
        <f t="shared" si="112"/>
        <v>89079</v>
      </c>
      <c r="W421" s="584">
        <f t="shared" si="113"/>
        <v>86191</v>
      </c>
      <c r="X421" s="587"/>
      <c r="Y421" s="585"/>
      <c r="Z421" s="587"/>
      <c r="AA421" s="585"/>
      <c r="AB421" s="587"/>
      <c r="AC421" s="585"/>
      <c r="AD421" s="587"/>
      <c r="AE421" s="585"/>
      <c r="AF421" s="583">
        <f t="shared" si="114"/>
        <v>0</v>
      </c>
      <c r="AG421" s="583">
        <f t="shared" si="115"/>
        <v>0</v>
      </c>
      <c r="AH421" s="584">
        <f t="shared" si="116"/>
        <v>0</v>
      </c>
      <c r="AI421" s="584">
        <f t="shared" si="117"/>
        <v>0</v>
      </c>
      <c r="AJ421" s="587"/>
      <c r="AK421" s="585"/>
      <c r="AL421" s="583">
        <f t="shared" si="118"/>
        <v>0</v>
      </c>
      <c r="AM421" s="584">
        <f t="shared" si="119"/>
        <v>0</v>
      </c>
      <c r="AN421" s="587"/>
      <c r="AO421" s="585"/>
      <c r="AP421" s="587">
        <v>1271</v>
      </c>
      <c r="AQ421" s="585">
        <v>2156</v>
      </c>
      <c r="AR421" s="587">
        <v>1492</v>
      </c>
      <c r="AS421" s="585">
        <v>1959</v>
      </c>
      <c r="AT421" s="587">
        <v>1624</v>
      </c>
      <c r="AU421" s="585">
        <v>2197</v>
      </c>
      <c r="AV421" s="583">
        <f t="shared" si="120"/>
        <v>4387</v>
      </c>
      <c r="AW421" s="583">
        <f t="shared" si="121"/>
        <v>182.79166666666666</v>
      </c>
      <c r="AX421" s="584">
        <f t="shared" si="122"/>
        <v>6312</v>
      </c>
      <c r="AY421" s="584">
        <f t="shared" si="123"/>
        <v>263</v>
      </c>
      <c r="AZ421" s="583">
        <f t="shared" si="124"/>
        <v>3152.0916666666667</v>
      </c>
      <c r="BA421" s="584">
        <f t="shared" si="125"/>
        <v>3136.0333333333333</v>
      </c>
    </row>
    <row r="422" spans="1:53" ht="14.5">
      <c r="A422" s="432" t="s">
        <v>538</v>
      </c>
      <c r="B422" s="54" t="s">
        <v>549</v>
      </c>
      <c r="C422" s="531"/>
      <c r="D422" s="52">
        <v>218654</v>
      </c>
      <c r="E422" s="52">
        <v>6</v>
      </c>
      <c r="F422" s="582" t="s">
        <v>74</v>
      </c>
      <c r="G422" s="585" t="s">
        <v>74</v>
      </c>
      <c r="H422" s="587"/>
      <c r="I422" s="585"/>
      <c r="J422" s="587">
        <v>26759</v>
      </c>
      <c r="K422" s="585">
        <v>27004</v>
      </c>
      <c r="L422" s="587">
        <v>2875</v>
      </c>
      <c r="M422" s="585">
        <v>3526</v>
      </c>
      <c r="N422" s="587">
        <v>29185</v>
      </c>
      <c r="O422" s="585">
        <v>28932</v>
      </c>
      <c r="P422" s="583">
        <f t="shared" si="108"/>
        <v>58819</v>
      </c>
      <c r="Q422" s="583">
        <f t="shared" si="109"/>
        <v>1960.6333333333334</v>
      </c>
      <c r="R422" s="584">
        <f t="shared" si="110"/>
        <v>59462</v>
      </c>
      <c r="S422" s="584">
        <f t="shared" si="111"/>
        <v>1982.0666666666666</v>
      </c>
      <c r="T422" s="587">
        <v>790</v>
      </c>
      <c r="U422" s="585">
        <v>940</v>
      </c>
      <c r="V422" s="583">
        <f t="shared" si="112"/>
        <v>58819</v>
      </c>
      <c r="W422" s="584">
        <f t="shared" si="113"/>
        <v>59462</v>
      </c>
      <c r="X422" s="587"/>
      <c r="Y422" s="585"/>
      <c r="Z422" s="587"/>
      <c r="AA422" s="585"/>
      <c r="AB422" s="587"/>
      <c r="AC422" s="585"/>
      <c r="AD422" s="587"/>
      <c r="AE422" s="585"/>
      <c r="AF422" s="583">
        <f t="shared" si="114"/>
        <v>0</v>
      </c>
      <c r="AG422" s="583">
        <f t="shared" si="115"/>
        <v>0</v>
      </c>
      <c r="AH422" s="584">
        <f t="shared" si="116"/>
        <v>0</v>
      </c>
      <c r="AI422" s="584">
        <f t="shared" si="117"/>
        <v>0</v>
      </c>
      <c r="AJ422" s="587"/>
      <c r="AK422" s="585"/>
      <c r="AL422" s="583">
        <f t="shared" si="118"/>
        <v>0</v>
      </c>
      <c r="AM422" s="584">
        <f t="shared" si="119"/>
        <v>0</v>
      </c>
      <c r="AN422" s="587"/>
      <c r="AO422" s="585"/>
      <c r="AP422" s="587"/>
      <c r="AQ422" s="585"/>
      <c r="AR422" s="587"/>
      <c r="AS422" s="585"/>
      <c r="AT422" s="587"/>
      <c r="AU422" s="585">
        <v>39</v>
      </c>
      <c r="AV422" s="583">
        <f t="shared" si="120"/>
        <v>0</v>
      </c>
      <c r="AW422" s="583">
        <f t="shared" si="121"/>
        <v>0</v>
      </c>
      <c r="AX422" s="584">
        <f t="shared" si="122"/>
        <v>39</v>
      </c>
      <c r="AY422" s="584">
        <f t="shared" si="123"/>
        <v>1.625</v>
      </c>
      <c r="AZ422" s="583">
        <f t="shared" si="124"/>
        <v>1960.6333333333334</v>
      </c>
      <c r="BA422" s="584">
        <f t="shared" si="125"/>
        <v>1983.6916666666666</v>
      </c>
    </row>
    <row r="423" spans="1:53" ht="14.5">
      <c r="A423" s="432" t="s">
        <v>538</v>
      </c>
      <c r="B423" s="50" t="s">
        <v>550</v>
      </c>
      <c r="C423" s="531"/>
      <c r="D423" s="52">
        <v>218742</v>
      </c>
      <c r="E423" s="52">
        <v>6</v>
      </c>
      <c r="F423" s="582" t="s">
        <v>74</v>
      </c>
      <c r="G423" s="585" t="s">
        <v>74</v>
      </c>
      <c r="H423" s="587"/>
      <c r="I423" s="585"/>
      <c r="J423" s="587">
        <v>69541</v>
      </c>
      <c r="K423" s="585">
        <v>69951</v>
      </c>
      <c r="L423" s="587">
        <v>11306</v>
      </c>
      <c r="M423" s="585">
        <v>10702</v>
      </c>
      <c r="N423" s="587">
        <v>78007</v>
      </c>
      <c r="O423" s="585">
        <v>75607</v>
      </c>
      <c r="P423" s="583">
        <f t="shared" si="108"/>
        <v>158854</v>
      </c>
      <c r="Q423" s="583">
        <f t="shared" si="109"/>
        <v>5295.1333333333332</v>
      </c>
      <c r="R423" s="584">
        <f t="shared" si="110"/>
        <v>156260</v>
      </c>
      <c r="S423" s="584">
        <f t="shared" si="111"/>
        <v>5208.666666666667</v>
      </c>
      <c r="T423" s="587">
        <v>5433</v>
      </c>
      <c r="U423" s="585">
        <v>5197</v>
      </c>
      <c r="V423" s="583">
        <f t="shared" si="112"/>
        <v>158854</v>
      </c>
      <c r="W423" s="584">
        <f t="shared" si="113"/>
        <v>156260</v>
      </c>
      <c r="X423" s="587"/>
      <c r="Y423" s="585"/>
      <c r="Z423" s="587"/>
      <c r="AA423" s="585"/>
      <c r="AB423" s="587"/>
      <c r="AC423" s="585"/>
      <c r="AD423" s="587"/>
      <c r="AE423" s="585"/>
      <c r="AF423" s="583">
        <f t="shared" si="114"/>
        <v>0</v>
      </c>
      <c r="AG423" s="583">
        <f t="shared" si="115"/>
        <v>0</v>
      </c>
      <c r="AH423" s="584">
        <f t="shared" si="116"/>
        <v>0</v>
      </c>
      <c r="AI423" s="584">
        <f t="shared" si="117"/>
        <v>0</v>
      </c>
      <c r="AJ423" s="587"/>
      <c r="AK423" s="585"/>
      <c r="AL423" s="583">
        <f t="shared" si="118"/>
        <v>0</v>
      </c>
      <c r="AM423" s="584">
        <f t="shared" si="119"/>
        <v>0</v>
      </c>
      <c r="AN423" s="587"/>
      <c r="AO423" s="585"/>
      <c r="AP423" s="587">
        <v>813</v>
      </c>
      <c r="AQ423" s="585">
        <v>1461</v>
      </c>
      <c r="AR423" s="587">
        <v>904</v>
      </c>
      <c r="AS423" s="585">
        <v>1464</v>
      </c>
      <c r="AT423" s="587">
        <v>558</v>
      </c>
      <c r="AU423" s="585">
        <v>2324</v>
      </c>
      <c r="AV423" s="583">
        <f t="shared" si="120"/>
        <v>2275</v>
      </c>
      <c r="AW423" s="583">
        <f t="shared" si="121"/>
        <v>94.791666666666671</v>
      </c>
      <c r="AX423" s="584">
        <f t="shared" si="122"/>
        <v>5249</v>
      </c>
      <c r="AY423" s="584">
        <f t="shared" si="123"/>
        <v>218.70833333333334</v>
      </c>
      <c r="AZ423" s="583">
        <f t="shared" si="124"/>
        <v>5389.9250000000002</v>
      </c>
      <c r="BA423" s="584">
        <f t="shared" si="125"/>
        <v>5427.375</v>
      </c>
    </row>
    <row r="424" spans="1:53" ht="14.5">
      <c r="A424" s="432" t="s">
        <v>538</v>
      </c>
      <c r="B424" s="50" t="s">
        <v>552</v>
      </c>
      <c r="C424" s="532"/>
      <c r="D424" s="52">
        <v>218113</v>
      </c>
      <c r="E424" s="52">
        <v>8</v>
      </c>
      <c r="F424" s="582" t="s">
        <v>74</v>
      </c>
      <c r="G424" s="585" t="s">
        <v>74</v>
      </c>
      <c r="H424" s="587"/>
      <c r="I424" s="585"/>
      <c r="J424" s="587">
        <v>94951</v>
      </c>
      <c r="K424" s="585">
        <v>90583</v>
      </c>
      <c r="L424" s="587">
        <v>34479</v>
      </c>
      <c r="M424" s="585">
        <v>33118</v>
      </c>
      <c r="N424" s="587">
        <v>100480</v>
      </c>
      <c r="O424" s="585">
        <v>104339</v>
      </c>
      <c r="P424" s="583">
        <f t="shared" si="108"/>
        <v>229910</v>
      </c>
      <c r="Q424" s="583">
        <f t="shared" si="109"/>
        <v>7663.666666666667</v>
      </c>
      <c r="R424" s="584">
        <f t="shared" si="110"/>
        <v>228040</v>
      </c>
      <c r="S424" s="584">
        <f t="shared" si="111"/>
        <v>7601.333333333333</v>
      </c>
      <c r="T424" s="587">
        <v>13706</v>
      </c>
      <c r="U424" s="585">
        <v>15952</v>
      </c>
      <c r="V424" s="583">
        <f t="shared" si="112"/>
        <v>229910</v>
      </c>
      <c r="W424" s="584">
        <f t="shared" si="113"/>
        <v>228040</v>
      </c>
      <c r="X424" s="587"/>
      <c r="Y424" s="585"/>
      <c r="Z424" s="587"/>
      <c r="AA424" s="585"/>
      <c r="AB424" s="587"/>
      <c r="AC424" s="585"/>
      <c r="AD424" s="587"/>
      <c r="AE424" s="585"/>
      <c r="AF424" s="583">
        <f t="shared" si="114"/>
        <v>0</v>
      </c>
      <c r="AG424" s="583">
        <f t="shared" si="115"/>
        <v>0</v>
      </c>
      <c r="AH424" s="584">
        <f t="shared" si="116"/>
        <v>0</v>
      </c>
      <c r="AI424" s="584">
        <f t="shared" si="117"/>
        <v>0</v>
      </c>
      <c r="AJ424" s="587"/>
      <c r="AK424" s="585"/>
      <c r="AL424" s="583">
        <f t="shared" si="118"/>
        <v>0</v>
      </c>
      <c r="AM424" s="584">
        <f t="shared" si="119"/>
        <v>0</v>
      </c>
      <c r="AN424" s="587"/>
      <c r="AO424" s="585"/>
      <c r="AP424" s="587"/>
      <c r="AQ424" s="585"/>
      <c r="AR424" s="587"/>
      <c r="AS424" s="585"/>
      <c r="AT424" s="587"/>
      <c r="AU424" s="585"/>
      <c r="AV424" s="583">
        <f t="shared" si="120"/>
        <v>0</v>
      </c>
      <c r="AW424" s="583">
        <f t="shared" si="121"/>
        <v>0</v>
      </c>
      <c r="AX424" s="584">
        <f t="shared" si="122"/>
        <v>0</v>
      </c>
      <c r="AY424" s="584">
        <f t="shared" si="123"/>
        <v>0</v>
      </c>
      <c r="AZ424" s="583">
        <f t="shared" si="124"/>
        <v>7663.666666666667</v>
      </c>
      <c r="BA424" s="584">
        <f t="shared" si="125"/>
        <v>7601.333333333333</v>
      </c>
    </row>
    <row r="425" spans="1:53" ht="14.5">
      <c r="A425" s="432" t="s">
        <v>538</v>
      </c>
      <c r="B425" s="56" t="s">
        <v>553</v>
      </c>
      <c r="C425" s="532"/>
      <c r="D425" s="52">
        <v>218140</v>
      </c>
      <c r="E425" s="52">
        <v>8</v>
      </c>
      <c r="F425" s="582" t="s">
        <v>74</v>
      </c>
      <c r="G425" s="585" t="s">
        <v>74</v>
      </c>
      <c r="H425" s="587"/>
      <c r="I425" s="585"/>
      <c r="J425" s="587">
        <v>63568</v>
      </c>
      <c r="K425" s="585">
        <v>63855</v>
      </c>
      <c r="L425" s="587">
        <v>22316</v>
      </c>
      <c r="M425" s="585">
        <v>22104</v>
      </c>
      <c r="N425" s="587">
        <v>69803</v>
      </c>
      <c r="O425" s="585">
        <v>68248</v>
      </c>
      <c r="P425" s="583">
        <f t="shared" si="108"/>
        <v>155687</v>
      </c>
      <c r="Q425" s="583">
        <f t="shared" si="109"/>
        <v>5189.5666666666666</v>
      </c>
      <c r="R425" s="584">
        <f t="shared" si="110"/>
        <v>154207</v>
      </c>
      <c r="S425" s="584">
        <f t="shared" si="111"/>
        <v>5140.2333333333336</v>
      </c>
      <c r="T425" s="587">
        <v>7647</v>
      </c>
      <c r="U425" s="585">
        <v>4776</v>
      </c>
      <c r="V425" s="583">
        <f t="shared" si="112"/>
        <v>155687</v>
      </c>
      <c r="W425" s="584">
        <f t="shared" si="113"/>
        <v>154207</v>
      </c>
      <c r="X425" s="587"/>
      <c r="Y425" s="585"/>
      <c r="Z425" s="587"/>
      <c r="AA425" s="585"/>
      <c r="AB425" s="587"/>
      <c r="AC425" s="585"/>
      <c r="AD425" s="587"/>
      <c r="AE425" s="585"/>
      <c r="AF425" s="583">
        <f t="shared" si="114"/>
        <v>0</v>
      </c>
      <c r="AG425" s="583">
        <f t="shared" si="115"/>
        <v>0</v>
      </c>
      <c r="AH425" s="584">
        <f t="shared" si="116"/>
        <v>0</v>
      </c>
      <c r="AI425" s="584">
        <f t="shared" si="117"/>
        <v>0</v>
      </c>
      <c r="AJ425" s="587"/>
      <c r="AK425" s="585"/>
      <c r="AL425" s="583">
        <f t="shared" si="118"/>
        <v>0</v>
      </c>
      <c r="AM425" s="584">
        <f t="shared" si="119"/>
        <v>0</v>
      </c>
      <c r="AN425" s="587"/>
      <c r="AO425" s="585"/>
      <c r="AP425" s="587"/>
      <c r="AQ425" s="585"/>
      <c r="AR425" s="587"/>
      <c r="AS425" s="585"/>
      <c r="AT425" s="587"/>
      <c r="AU425" s="585"/>
      <c r="AV425" s="583">
        <f t="shared" si="120"/>
        <v>0</v>
      </c>
      <c r="AW425" s="583">
        <f t="shared" si="121"/>
        <v>0</v>
      </c>
      <c r="AX425" s="584">
        <f t="shared" si="122"/>
        <v>0</v>
      </c>
      <c r="AY425" s="584">
        <f t="shared" si="123"/>
        <v>0</v>
      </c>
      <c r="AZ425" s="583">
        <f t="shared" si="124"/>
        <v>5189.5666666666666</v>
      </c>
      <c r="BA425" s="584">
        <f t="shared" si="125"/>
        <v>5140.2333333333336</v>
      </c>
    </row>
    <row r="426" spans="1:53" ht="14.5">
      <c r="A426" s="432" t="s">
        <v>538</v>
      </c>
      <c r="B426" s="50" t="s">
        <v>554</v>
      </c>
      <c r="C426" s="532"/>
      <c r="D426" s="52">
        <v>218353</v>
      </c>
      <c r="E426" s="52">
        <v>8</v>
      </c>
      <c r="F426" s="582" t="s">
        <v>74</v>
      </c>
      <c r="G426" s="585" t="s">
        <v>74</v>
      </c>
      <c r="H426" s="587"/>
      <c r="I426" s="585"/>
      <c r="J426" s="587">
        <v>89600</v>
      </c>
      <c r="K426" s="585">
        <v>83297</v>
      </c>
      <c r="L426" s="587">
        <v>32669</v>
      </c>
      <c r="M426" s="585">
        <v>28839</v>
      </c>
      <c r="N426" s="587">
        <v>96141</v>
      </c>
      <c r="O426" s="585">
        <v>91135</v>
      </c>
      <c r="P426" s="583">
        <f t="shared" si="108"/>
        <v>218410</v>
      </c>
      <c r="Q426" s="583">
        <f t="shared" si="109"/>
        <v>7280.333333333333</v>
      </c>
      <c r="R426" s="584">
        <f t="shared" si="110"/>
        <v>203271</v>
      </c>
      <c r="S426" s="584">
        <f t="shared" si="111"/>
        <v>6775.7</v>
      </c>
      <c r="T426" s="587">
        <v>7301</v>
      </c>
      <c r="U426" s="585">
        <v>7359</v>
      </c>
      <c r="V426" s="583">
        <f t="shared" si="112"/>
        <v>218410</v>
      </c>
      <c r="W426" s="584">
        <f t="shared" si="113"/>
        <v>203271</v>
      </c>
      <c r="X426" s="587"/>
      <c r="Y426" s="585"/>
      <c r="Z426" s="587"/>
      <c r="AA426" s="585"/>
      <c r="AB426" s="587"/>
      <c r="AC426" s="585"/>
      <c r="AD426" s="587"/>
      <c r="AE426" s="585"/>
      <c r="AF426" s="583">
        <f t="shared" si="114"/>
        <v>0</v>
      </c>
      <c r="AG426" s="583">
        <f t="shared" si="115"/>
        <v>0</v>
      </c>
      <c r="AH426" s="584">
        <f t="shared" si="116"/>
        <v>0</v>
      </c>
      <c r="AI426" s="584">
        <f t="shared" si="117"/>
        <v>0</v>
      </c>
      <c r="AJ426" s="587"/>
      <c r="AK426" s="585"/>
      <c r="AL426" s="583">
        <f t="shared" si="118"/>
        <v>0</v>
      </c>
      <c r="AM426" s="584">
        <f t="shared" si="119"/>
        <v>0</v>
      </c>
      <c r="AN426" s="587"/>
      <c r="AO426" s="585"/>
      <c r="AP426" s="587"/>
      <c r="AQ426" s="585"/>
      <c r="AR426" s="587"/>
      <c r="AS426" s="585"/>
      <c r="AT426" s="587"/>
      <c r="AU426" s="585"/>
      <c r="AV426" s="583">
        <f t="shared" si="120"/>
        <v>0</v>
      </c>
      <c r="AW426" s="583">
        <f t="shared" si="121"/>
        <v>0</v>
      </c>
      <c r="AX426" s="584">
        <f t="shared" si="122"/>
        <v>0</v>
      </c>
      <c r="AY426" s="584">
        <f t="shared" si="123"/>
        <v>0</v>
      </c>
      <c r="AZ426" s="583">
        <f t="shared" si="124"/>
        <v>7280.333333333333</v>
      </c>
      <c r="BA426" s="584">
        <f t="shared" si="125"/>
        <v>6775.7</v>
      </c>
    </row>
    <row r="427" spans="1:53" ht="14.5">
      <c r="A427" s="432" t="s">
        <v>538</v>
      </c>
      <c r="B427" s="50" t="s">
        <v>557</v>
      </c>
      <c r="C427" s="532"/>
      <c r="D427" s="52">
        <v>218894</v>
      </c>
      <c r="E427" s="52">
        <v>8</v>
      </c>
      <c r="F427" s="582" t="s">
        <v>74</v>
      </c>
      <c r="G427" s="585" t="s">
        <v>74</v>
      </c>
      <c r="H427" s="587"/>
      <c r="I427" s="585"/>
      <c r="J427" s="587">
        <v>101880</v>
      </c>
      <c r="K427" s="585">
        <v>98790</v>
      </c>
      <c r="L427" s="587">
        <v>42119</v>
      </c>
      <c r="M427" s="585">
        <v>41544</v>
      </c>
      <c r="N427" s="587">
        <v>111421</v>
      </c>
      <c r="O427" s="585">
        <v>111506</v>
      </c>
      <c r="P427" s="583">
        <f t="shared" ref="P427:P490" si="126">SUM(H427,J427,L427,N427)</f>
        <v>255420</v>
      </c>
      <c r="Q427" s="583">
        <f t="shared" ref="Q427:Q490" si="127">+P427/30</f>
        <v>8514</v>
      </c>
      <c r="R427" s="584">
        <f t="shared" ref="R427:R490" si="128">SUM(I427,K427,M427,O427)</f>
        <v>251840</v>
      </c>
      <c r="S427" s="584">
        <f t="shared" ref="S427:S490" si="129">+R427/30</f>
        <v>8394.6666666666661</v>
      </c>
      <c r="T427" s="587">
        <v>25924</v>
      </c>
      <c r="U427" s="585">
        <v>31190</v>
      </c>
      <c r="V427" s="583">
        <f t="shared" ref="V427:V490" si="130">IF(ISBLANK(T427),0,P427)</f>
        <v>255420</v>
      </c>
      <c r="W427" s="584">
        <f t="shared" ref="W427:W490" si="131">IF(ISBLANK(U427),0,R427)</f>
        <v>251840</v>
      </c>
      <c r="X427" s="587"/>
      <c r="Y427" s="585"/>
      <c r="Z427" s="587"/>
      <c r="AA427" s="585"/>
      <c r="AB427" s="587"/>
      <c r="AC427" s="585"/>
      <c r="AD427" s="587"/>
      <c r="AE427" s="585"/>
      <c r="AF427" s="583">
        <f t="shared" ref="AF427:AF490" si="132">SUM(X427,Z427,AB427,AD427)</f>
        <v>0</v>
      </c>
      <c r="AG427" s="583">
        <f t="shared" ref="AG427:AG490" si="133">+AF427/900</f>
        <v>0</v>
      </c>
      <c r="AH427" s="584">
        <f t="shared" ref="AH427:AH490" si="134">SUM(Y427,AA427,AC427,AE427)</f>
        <v>0</v>
      </c>
      <c r="AI427" s="584">
        <f t="shared" ref="AI427:AI490" si="135">+AH427/900</f>
        <v>0</v>
      </c>
      <c r="AJ427" s="587"/>
      <c r="AK427" s="585"/>
      <c r="AL427" s="583">
        <f t="shared" si="118"/>
        <v>0</v>
      </c>
      <c r="AM427" s="584">
        <f t="shared" si="119"/>
        <v>0</v>
      </c>
      <c r="AN427" s="587"/>
      <c r="AO427" s="585"/>
      <c r="AP427" s="587"/>
      <c r="AQ427" s="585"/>
      <c r="AR427" s="587"/>
      <c r="AS427" s="585"/>
      <c r="AT427" s="587"/>
      <c r="AU427" s="585"/>
      <c r="AV427" s="583">
        <f t="shared" si="120"/>
        <v>0</v>
      </c>
      <c r="AW427" s="583">
        <f t="shared" si="121"/>
        <v>0</v>
      </c>
      <c r="AX427" s="584">
        <f t="shared" si="122"/>
        <v>0</v>
      </c>
      <c r="AY427" s="584">
        <f t="shared" si="123"/>
        <v>0</v>
      </c>
      <c r="AZ427" s="583">
        <f t="shared" si="124"/>
        <v>8514</v>
      </c>
      <c r="BA427" s="584">
        <f t="shared" si="125"/>
        <v>8394.6666666666661</v>
      </c>
    </row>
    <row r="428" spans="1:53" ht="14.5">
      <c r="A428" s="432" t="s">
        <v>538</v>
      </c>
      <c r="B428" s="50" t="s">
        <v>559</v>
      </c>
      <c r="C428" s="532"/>
      <c r="D428" s="52">
        <v>218858</v>
      </c>
      <c r="E428" s="52">
        <v>9</v>
      </c>
      <c r="F428" s="582" t="s">
        <v>74</v>
      </c>
      <c r="G428" s="585" t="s">
        <v>74</v>
      </c>
      <c r="H428" s="587"/>
      <c r="I428" s="585"/>
      <c r="J428" s="587">
        <v>30311</v>
      </c>
      <c r="K428" s="585">
        <v>29606</v>
      </c>
      <c r="L428" s="587">
        <v>13720</v>
      </c>
      <c r="M428" s="585">
        <v>13310</v>
      </c>
      <c r="N428" s="587">
        <v>32730</v>
      </c>
      <c r="O428" s="585">
        <v>30261</v>
      </c>
      <c r="P428" s="583">
        <f t="shared" si="126"/>
        <v>76761</v>
      </c>
      <c r="Q428" s="583">
        <f t="shared" si="127"/>
        <v>2558.6999999999998</v>
      </c>
      <c r="R428" s="584">
        <f t="shared" si="128"/>
        <v>73177</v>
      </c>
      <c r="S428" s="584">
        <f t="shared" si="129"/>
        <v>2439.2333333333331</v>
      </c>
      <c r="T428" s="587">
        <v>9132</v>
      </c>
      <c r="U428" s="585">
        <v>9762</v>
      </c>
      <c r="V428" s="583">
        <f t="shared" si="130"/>
        <v>76761</v>
      </c>
      <c r="W428" s="584">
        <f t="shared" si="131"/>
        <v>73177</v>
      </c>
      <c r="X428" s="587"/>
      <c r="Y428" s="585"/>
      <c r="Z428" s="587"/>
      <c r="AA428" s="585"/>
      <c r="AB428" s="587"/>
      <c r="AC428" s="585"/>
      <c r="AD428" s="587"/>
      <c r="AE428" s="585"/>
      <c r="AF428" s="583">
        <f t="shared" si="132"/>
        <v>0</v>
      </c>
      <c r="AG428" s="583">
        <f t="shared" si="133"/>
        <v>0</v>
      </c>
      <c r="AH428" s="584">
        <f t="shared" si="134"/>
        <v>0</v>
      </c>
      <c r="AI428" s="584">
        <f t="shared" si="135"/>
        <v>0</v>
      </c>
      <c r="AJ428" s="587"/>
      <c r="AK428" s="585"/>
      <c r="AL428" s="583">
        <f t="shared" si="118"/>
        <v>0</v>
      </c>
      <c r="AM428" s="584">
        <f t="shared" si="119"/>
        <v>0</v>
      </c>
      <c r="AN428" s="587"/>
      <c r="AO428" s="585"/>
      <c r="AP428" s="587"/>
      <c r="AQ428" s="585"/>
      <c r="AR428" s="587"/>
      <c r="AS428" s="585"/>
      <c r="AT428" s="587"/>
      <c r="AU428" s="585"/>
      <c r="AV428" s="583">
        <f t="shared" si="120"/>
        <v>0</v>
      </c>
      <c r="AW428" s="583">
        <f t="shared" si="121"/>
        <v>0</v>
      </c>
      <c r="AX428" s="584">
        <f t="shared" si="122"/>
        <v>0</v>
      </c>
      <c r="AY428" s="584">
        <f t="shared" si="123"/>
        <v>0</v>
      </c>
      <c r="AZ428" s="583">
        <f t="shared" si="124"/>
        <v>2558.6999999999998</v>
      </c>
      <c r="BA428" s="584">
        <f t="shared" si="125"/>
        <v>2439.2333333333331</v>
      </c>
    </row>
    <row r="429" spans="1:53" ht="14.5">
      <c r="A429" s="432" t="s">
        <v>538</v>
      </c>
      <c r="B429" s="56" t="s">
        <v>551</v>
      </c>
      <c r="C429" s="533"/>
      <c r="D429" s="52">
        <v>218025</v>
      </c>
      <c r="E429" s="52">
        <v>9</v>
      </c>
      <c r="F429" s="582" t="s">
        <v>74</v>
      </c>
      <c r="G429" s="585" t="s">
        <v>74</v>
      </c>
      <c r="H429" s="587"/>
      <c r="I429" s="585"/>
      <c r="J429" s="587">
        <v>44453</v>
      </c>
      <c r="K429" s="585">
        <v>32862</v>
      </c>
      <c r="L429" s="587">
        <v>13563</v>
      </c>
      <c r="M429" s="585">
        <v>11566</v>
      </c>
      <c r="N429" s="587">
        <v>39504</v>
      </c>
      <c r="O429" s="585">
        <v>34102</v>
      </c>
      <c r="P429" s="583">
        <f t="shared" si="126"/>
        <v>97520</v>
      </c>
      <c r="Q429" s="583">
        <f t="shared" si="127"/>
        <v>3250.6666666666665</v>
      </c>
      <c r="R429" s="584">
        <f t="shared" si="128"/>
        <v>78530</v>
      </c>
      <c r="S429" s="584">
        <f t="shared" si="129"/>
        <v>2617.6666666666665</v>
      </c>
      <c r="T429" s="587">
        <v>11574</v>
      </c>
      <c r="U429" s="585">
        <v>5696</v>
      </c>
      <c r="V429" s="583">
        <f t="shared" si="130"/>
        <v>97520</v>
      </c>
      <c r="W429" s="584">
        <f t="shared" si="131"/>
        <v>78530</v>
      </c>
      <c r="X429" s="587"/>
      <c r="Y429" s="585"/>
      <c r="Z429" s="587"/>
      <c r="AA429" s="585"/>
      <c r="AB429" s="587"/>
      <c r="AC429" s="585"/>
      <c r="AD429" s="587"/>
      <c r="AE429" s="585"/>
      <c r="AF429" s="583">
        <f t="shared" si="132"/>
        <v>0</v>
      </c>
      <c r="AG429" s="583">
        <f t="shared" si="133"/>
        <v>0</v>
      </c>
      <c r="AH429" s="584">
        <f t="shared" si="134"/>
        <v>0</v>
      </c>
      <c r="AI429" s="584">
        <f t="shared" si="135"/>
        <v>0</v>
      </c>
      <c r="AJ429" s="587"/>
      <c r="AK429" s="585"/>
      <c r="AL429" s="583">
        <f t="shared" si="118"/>
        <v>0</v>
      </c>
      <c r="AM429" s="584">
        <f t="shared" si="119"/>
        <v>0</v>
      </c>
      <c r="AN429" s="587"/>
      <c r="AO429" s="585"/>
      <c r="AP429" s="587"/>
      <c r="AQ429" s="585"/>
      <c r="AR429" s="587"/>
      <c r="AS429" s="585"/>
      <c r="AT429" s="587"/>
      <c r="AU429" s="585"/>
      <c r="AV429" s="583">
        <f t="shared" si="120"/>
        <v>0</v>
      </c>
      <c r="AW429" s="583">
        <f t="shared" si="121"/>
        <v>0</v>
      </c>
      <c r="AX429" s="584">
        <f t="shared" si="122"/>
        <v>0</v>
      </c>
      <c r="AY429" s="584">
        <f t="shared" si="123"/>
        <v>0</v>
      </c>
      <c r="AZ429" s="583">
        <f t="shared" si="124"/>
        <v>3250.6666666666665</v>
      </c>
      <c r="BA429" s="584">
        <f t="shared" si="125"/>
        <v>2617.6666666666665</v>
      </c>
    </row>
    <row r="430" spans="1:53" ht="14.5">
      <c r="A430" s="432" t="s">
        <v>538</v>
      </c>
      <c r="B430" s="56" t="s">
        <v>555</v>
      </c>
      <c r="C430" s="533"/>
      <c r="D430" s="52">
        <v>218520</v>
      </c>
      <c r="E430" s="52">
        <v>9</v>
      </c>
      <c r="F430" s="582" t="s">
        <v>74</v>
      </c>
      <c r="G430" s="585" t="s">
        <v>74</v>
      </c>
      <c r="H430" s="587"/>
      <c r="I430" s="585"/>
      <c r="J430" s="587">
        <v>38650</v>
      </c>
      <c r="K430" s="585">
        <v>39982</v>
      </c>
      <c r="L430" s="587">
        <v>17009</v>
      </c>
      <c r="M430" s="585">
        <v>17581</v>
      </c>
      <c r="N430" s="587">
        <v>42873</v>
      </c>
      <c r="O430" s="585">
        <v>46262</v>
      </c>
      <c r="P430" s="583">
        <f t="shared" si="126"/>
        <v>98532</v>
      </c>
      <c r="Q430" s="583">
        <f t="shared" si="127"/>
        <v>3284.4</v>
      </c>
      <c r="R430" s="584">
        <f t="shared" si="128"/>
        <v>103825</v>
      </c>
      <c r="S430" s="584">
        <f t="shared" si="129"/>
        <v>3460.8333333333335</v>
      </c>
      <c r="T430" s="587">
        <v>9256</v>
      </c>
      <c r="U430" s="585">
        <v>9599</v>
      </c>
      <c r="V430" s="583">
        <f t="shared" si="130"/>
        <v>98532</v>
      </c>
      <c r="W430" s="584">
        <f t="shared" si="131"/>
        <v>103825</v>
      </c>
      <c r="X430" s="587"/>
      <c r="Y430" s="585"/>
      <c r="Z430" s="587"/>
      <c r="AA430" s="585"/>
      <c r="AB430" s="587"/>
      <c r="AC430" s="585"/>
      <c r="AD430" s="587"/>
      <c r="AE430" s="585"/>
      <c r="AF430" s="583">
        <f t="shared" si="132"/>
        <v>0</v>
      </c>
      <c r="AG430" s="583">
        <f t="shared" si="133"/>
        <v>0</v>
      </c>
      <c r="AH430" s="584">
        <f t="shared" si="134"/>
        <v>0</v>
      </c>
      <c r="AI430" s="584">
        <f t="shared" si="135"/>
        <v>0</v>
      </c>
      <c r="AJ430" s="587"/>
      <c r="AK430" s="585"/>
      <c r="AL430" s="583">
        <f t="shared" si="118"/>
        <v>0</v>
      </c>
      <c r="AM430" s="584">
        <f t="shared" si="119"/>
        <v>0</v>
      </c>
      <c r="AN430" s="587"/>
      <c r="AO430" s="585"/>
      <c r="AP430" s="587"/>
      <c r="AQ430" s="585"/>
      <c r="AR430" s="587"/>
      <c r="AS430" s="585"/>
      <c r="AT430" s="587"/>
      <c r="AU430" s="585"/>
      <c r="AV430" s="583">
        <f t="shared" si="120"/>
        <v>0</v>
      </c>
      <c r="AW430" s="583">
        <f t="shared" si="121"/>
        <v>0</v>
      </c>
      <c r="AX430" s="584">
        <f t="shared" si="122"/>
        <v>0</v>
      </c>
      <c r="AY430" s="584">
        <f t="shared" si="123"/>
        <v>0</v>
      </c>
      <c r="AZ430" s="583">
        <f t="shared" si="124"/>
        <v>3284.4</v>
      </c>
      <c r="BA430" s="584">
        <f t="shared" si="125"/>
        <v>3460.8333333333335</v>
      </c>
    </row>
    <row r="431" spans="1:53" ht="14.5">
      <c r="A431" s="432" t="s">
        <v>538</v>
      </c>
      <c r="B431" s="56" t="s">
        <v>561</v>
      </c>
      <c r="C431" s="531"/>
      <c r="D431" s="52">
        <v>218830</v>
      </c>
      <c r="E431" s="52">
        <v>9</v>
      </c>
      <c r="F431" s="582" t="s">
        <v>74</v>
      </c>
      <c r="G431" s="585" t="s">
        <v>74</v>
      </c>
      <c r="H431" s="587"/>
      <c r="I431" s="585"/>
      <c r="J431" s="587">
        <v>39864</v>
      </c>
      <c r="K431" s="585">
        <v>39143</v>
      </c>
      <c r="L431" s="587">
        <v>13030</v>
      </c>
      <c r="M431" s="585">
        <v>13116</v>
      </c>
      <c r="N431" s="587">
        <v>44059</v>
      </c>
      <c r="O431" s="585">
        <v>44864</v>
      </c>
      <c r="P431" s="583">
        <f t="shared" si="126"/>
        <v>96953</v>
      </c>
      <c r="Q431" s="583">
        <f t="shared" si="127"/>
        <v>3231.7666666666669</v>
      </c>
      <c r="R431" s="584">
        <f t="shared" si="128"/>
        <v>97123</v>
      </c>
      <c r="S431" s="584">
        <f t="shared" si="129"/>
        <v>3237.4333333333334</v>
      </c>
      <c r="T431" s="587">
        <v>9623</v>
      </c>
      <c r="U431" s="585">
        <v>10291</v>
      </c>
      <c r="V431" s="583">
        <f t="shared" si="130"/>
        <v>96953</v>
      </c>
      <c r="W431" s="584">
        <f t="shared" si="131"/>
        <v>97123</v>
      </c>
      <c r="X431" s="587"/>
      <c r="Y431" s="585"/>
      <c r="Z431" s="587"/>
      <c r="AA431" s="585"/>
      <c r="AB431" s="587"/>
      <c r="AC431" s="585"/>
      <c r="AD431" s="587"/>
      <c r="AE431" s="585"/>
      <c r="AF431" s="583">
        <f t="shared" si="132"/>
        <v>0</v>
      </c>
      <c r="AG431" s="583">
        <f t="shared" si="133"/>
        <v>0</v>
      </c>
      <c r="AH431" s="584">
        <f t="shared" si="134"/>
        <v>0</v>
      </c>
      <c r="AI431" s="584">
        <f t="shared" si="135"/>
        <v>0</v>
      </c>
      <c r="AJ431" s="587"/>
      <c r="AK431" s="585"/>
      <c r="AL431" s="583">
        <f t="shared" si="118"/>
        <v>0</v>
      </c>
      <c r="AM431" s="584">
        <f t="shared" si="119"/>
        <v>0</v>
      </c>
      <c r="AN431" s="587"/>
      <c r="AO431" s="585"/>
      <c r="AP431" s="587"/>
      <c r="AQ431" s="585"/>
      <c r="AR431" s="587"/>
      <c r="AS431" s="585"/>
      <c r="AT431" s="587"/>
      <c r="AU431" s="585"/>
      <c r="AV431" s="583">
        <f t="shared" si="120"/>
        <v>0</v>
      </c>
      <c r="AW431" s="583">
        <f t="shared" si="121"/>
        <v>0</v>
      </c>
      <c r="AX431" s="584">
        <f t="shared" si="122"/>
        <v>0</v>
      </c>
      <c r="AY431" s="584">
        <f t="shared" si="123"/>
        <v>0</v>
      </c>
      <c r="AZ431" s="583">
        <f t="shared" si="124"/>
        <v>3231.7666666666669</v>
      </c>
      <c r="BA431" s="584">
        <f t="shared" si="125"/>
        <v>3237.4333333333334</v>
      </c>
    </row>
    <row r="432" spans="1:53" ht="14.5">
      <c r="A432" s="432" t="s">
        <v>538</v>
      </c>
      <c r="B432" s="50" t="s">
        <v>556</v>
      </c>
      <c r="C432" s="530"/>
      <c r="D432" s="52">
        <v>218885</v>
      </c>
      <c r="E432" s="52">
        <v>9</v>
      </c>
      <c r="F432" s="582" t="s">
        <v>74</v>
      </c>
      <c r="G432" s="585" t="s">
        <v>74</v>
      </c>
      <c r="H432" s="587"/>
      <c r="I432" s="585"/>
      <c r="J432" s="587">
        <v>58325</v>
      </c>
      <c r="K432" s="585">
        <v>58698</v>
      </c>
      <c r="L432" s="587">
        <v>19308</v>
      </c>
      <c r="M432" s="585">
        <v>18963</v>
      </c>
      <c r="N432" s="587">
        <v>66261</v>
      </c>
      <c r="O432" s="585">
        <v>68215</v>
      </c>
      <c r="P432" s="583">
        <f t="shared" si="126"/>
        <v>143894</v>
      </c>
      <c r="Q432" s="583">
        <f t="shared" si="127"/>
        <v>4796.4666666666662</v>
      </c>
      <c r="R432" s="584">
        <f t="shared" si="128"/>
        <v>145876</v>
      </c>
      <c r="S432" s="584">
        <f t="shared" si="129"/>
        <v>4862.5333333333338</v>
      </c>
      <c r="T432" s="587">
        <v>8116</v>
      </c>
      <c r="U432" s="585">
        <v>8439</v>
      </c>
      <c r="V432" s="583">
        <f t="shared" si="130"/>
        <v>143894</v>
      </c>
      <c r="W432" s="584">
        <f t="shared" si="131"/>
        <v>145876</v>
      </c>
      <c r="X432" s="587"/>
      <c r="Y432" s="585"/>
      <c r="Z432" s="587"/>
      <c r="AA432" s="585"/>
      <c r="AB432" s="587"/>
      <c r="AC432" s="585"/>
      <c r="AD432" s="587"/>
      <c r="AE432" s="585"/>
      <c r="AF432" s="583">
        <f t="shared" si="132"/>
        <v>0</v>
      </c>
      <c r="AG432" s="583">
        <f t="shared" si="133"/>
        <v>0</v>
      </c>
      <c r="AH432" s="584">
        <f t="shared" si="134"/>
        <v>0</v>
      </c>
      <c r="AI432" s="584">
        <f t="shared" si="135"/>
        <v>0</v>
      </c>
      <c r="AJ432" s="587"/>
      <c r="AK432" s="585"/>
      <c r="AL432" s="583">
        <f t="shared" si="118"/>
        <v>0</v>
      </c>
      <c r="AM432" s="584">
        <f t="shared" si="119"/>
        <v>0</v>
      </c>
      <c r="AN432" s="587"/>
      <c r="AO432" s="585"/>
      <c r="AP432" s="587"/>
      <c r="AQ432" s="585"/>
      <c r="AR432" s="587"/>
      <c r="AS432" s="585"/>
      <c r="AT432" s="587"/>
      <c r="AU432" s="585"/>
      <c r="AV432" s="583">
        <f t="shared" si="120"/>
        <v>0</v>
      </c>
      <c r="AW432" s="583">
        <f t="shared" si="121"/>
        <v>0</v>
      </c>
      <c r="AX432" s="584">
        <f t="shared" si="122"/>
        <v>0</v>
      </c>
      <c r="AY432" s="584">
        <f t="shared" si="123"/>
        <v>0</v>
      </c>
      <c r="AZ432" s="583">
        <f t="shared" si="124"/>
        <v>4796.4666666666662</v>
      </c>
      <c r="BA432" s="584">
        <f t="shared" si="125"/>
        <v>4862.5333333333338</v>
      </c>
    </row>
    <row r="433" spans="1:53" ht="14.5">
      <c r="A433" s="432" t="s">
        <v>538</v>
      </c>
      <c r="B433" s="56" t="s">
        <v>562</v>
      </c>
      <c r="C433" s="531"/>
      <c r="D433" s="52">
        <v>218991</v>
      </c>
      <c r="E433" s="52">
        <v>9</v>
      </c>
      <c r="F433" s="582" t="s">
        <v>74</v>
      </c>
      <c r="G433" s="585" t="s">
        <v>74</v>
      </c>
      <c r="H433" s="587"/>
      <c r="I433" s="585"/>
      <c r="J433" s="587">
        <v>41110</v>
      </c>
      <c r="K433" s="585">
        <v>39180</v>
      </c>
      <c r="L433" s="587">
        <v>13417</v>
      </c>
      <c r="M433" s="585">
        <v>12714</v>
      </c>
      <c r="N433" s="587">
        <v>43259</v>
      </c>
      <c r="O433" s="585">
        <v>47329</v>
      </c>
      <c r="P433" s="583">
        <f t="shared" si="126"/>
        <v>97786</v>
      </c>
      <c r="Q433" s="583">
        <f t="shared" si="127"/>
        <v>3259.5333333333333</v>
      </c>
      <c r="R433" s="584">
        <f t="shared" si="128"/>
        <v>99223</v>
      </c>
      <c r="S433" s="584">
        <f t="shared" si="129"/>
        <v>3307.4333333333334</v>
      </c>
      <c r="T433" s="587">
        <v>4824</v>
      </c>
      <c r="U433" s="585">
        <v>6463</v>
      </c>
      <c r="V433" s="583">
        <f t="shared" si="130"/>
        <v>97786</v>
      </c>
      <c r="W433" s="584">
        <f t="shared" si="131"/>
        <v>99223</v>
      </c>
      <c r="X433" s="587"/>
      <c r="Y433" s="585"/>
      <c r="Z433" s="587"/>
      <c r="AA433" s="585"/>
      <c r="AB433" s="587"/>
      <c r="AC433" s="585"/>
      <c r="AD433" s="587"/>
      <c r="AE433" s="585"/>
      <c r="AF433" s="583">
        <f t="shared" si="132"/>
        <v>0</v>
      </c>
      <c r="AG433" s="583">
        <f t="shared" si="133"/>
        <v>0</v>
      </c>
      <c r="AH433" s="584">
        <f t="shared" si="134"/>
        <v>0</v>
      </c>
      <c r="AI433" s="584">
        <f t="shared" si="135"/>
        <v>0</v>
      </c>
      <c r="AJ433" s="587"/>
      <c r="AK433" s="585"/>
      <c r="AL433" s="583">
        <f t="shared" si="118"/>
        <v>0</v>
      </c>
      <c r="AM433" s="584">
        <f t="shared" si="119"/>
        <v>0</v>
      </c>
      <c r="AN433" s="587"/>
      <c r="AO433" s="585"/>
      <c r="AP433" s="587"/>
      <c r="AQ433" s="585"/>
      <c r="AR433" s="587"/>
      <c r="AS433" s="585"/>
      <c r="AT433" s="587"/>
      <c r="AU433" s="585"/>
      <c r="AV433" s="583">
        <f t="shared" si="120"/>
        <v>0</v>
      </c>
      <c r="AW433" s="583">
        <f t="shared" si="121"/>
        <v>0</v>
      </c>
      <c r="AX433" s="584">
        <f t="shared" si="122"/>
        <v>0</v>
      </c>
      <c r="AY433" s="584">
        <f t="shared" si="123"/>
        <v>0</v>
      </c>
      <c r="AZ433" s="583">
        <f t="shared" si="124"/>
        <v>3259.5333333333333</v>
      </c>
      <c r="BA433" s="584">
        <f t="shared" si="125"/>
        <v>3307.4333333333334</v>
      </c>
    </row>
    <row r="434" spans="1:53" ht="14.5">
      <c r="A434" s="432" t="s">
        <v>538</v>
      </c>
      <c r="B434" s="50" t="s">
        <v>558</v>
      </c>
      <c r="C434" s="533"/>
      <c r="D434" s="52">
        <v>217615</v>
      </c>
      <c r="E434" s="55">
        <v>10</v>
      </c>
      <c r="F434" s="582" t="s">
        <v>74</v>
      </c>
      <c r="G434" s="585" t="s">
        <v>74</v>
      </c>
      <c r="H434" s="587"/>
      <c r="I434" s="585"/>
      <c r="J434" s="587">
        <v>20375</v>
      </c>
      <c r="K434" s="585">
        <v>18768</v>
      </c>
      <c r="L434" s="587">
        <v>8275</v>
      </c>
      <c r="M434" s="585">
        <v>7531</v>
      </c>
      <c r="N434" s="587">
        <v>20452</v>
      </c>
      <c r="O434" s="585">
        <v>20335</v>
      </c>
      <c r="P434" s="583">
        <f t="shared" si="126"/>
        <v>49102</v>
      </c>
      <c r="Q434" s="583">
        <f t="shared" si="127"/>
        <v>1636.7333333333333</v>
      </c>
      <c r="R434" s="584">
        <f t="shared" si="128"/>
        <v>46634</v>
      </c>
      <c r="S434" s="584">
        <f t="shared" si="129"/>
        <v>1554.4666666666667</v>
      </c>
      <c r="T434" s="587">
        <v>2004</v>
      </c>
      <c r="U434" s="585">
        <v>2154</v>
      </c>
      <c r="V434" s="583">
        <f t="shared" si="130"/>
        <v>49102</v>
      </c>
      <c r="W434" s="584">
        <f t="shared" si="131"/>
        <v>46634</v>
      </c>
      <c r="X434" s="587"/>
      <c r="Y434" s="585"/>
      <c r="Z434" s="587"/>
      <c r="AA434" s="585"/>
      <c r="AB434" s="587"/>
      <c r="AC434" s="585"/>
      <c r="AD434" s="587"/>
      <c r="AE434" s="585"/>
      <c r="AF434" s="583">
        <f t="shared" si="132"/>
        <v>0</v>
      </c>
      <c r="AG434" s="583">
        <f t="shared" si="133"/>
        <v>0</v>
      </c>
      <c r="AH434" s="584">
        <f t="shared" si="134"/>
        <v>0</v>
      </c>
      <c r="AI434" s="584">
        <f t="shared" si="135"/>
        <v>0</v>
      </c>
      <c r="AJ434" s="587"/>
      <c r="AK434" s="585"/>
      <c r="AL434" s="583">
        <f t="shared" si="118"/>
        <v>0</v>
      </c>
      <c r="AM434" s="584">
        <f t="shared" si="119"/>
        <v>0</v>
      </c>
      <c r="AN434" s="587"/>
      <c r="AO434" s="585"/>
      <c r="AP434" s="587"/>
      <c r="AQ434" s="585"/>
      <c r="AR434" s="587"/>
      <c r="AS434" s="585"/>
      <c r="AT434" s="587"/>
      <c r="AU434" s="585"/>
      <c r="AV434" s="583">
        <f t="shared" si="120"/>
        <v>0</v>
      </c>
      <c r="AW434" s="583">
        <f t="shared" si="121"/>
        <v>0</v>
      </c>
      <c r="AX434" s="584">
        <f t="shared" si="122"/>
        <v>0</v>
      </c>
      <c r="AY434" s="584">
        <f t="shared" si="123"/>
        <v>0</v>
      </c>
      <c r="AZ434" s="583">
        <f t="shared" si="124"/>
        <v>1636.7333333333333</v>
      </c>
      <c r="BA434" s="584">
        <f t="shared" si="125"/>
        <v>1554.4666666666667</v>
      </c>
    </row>
    <row r="435" spans="1:53">
      <c r="A435" s="432" t="s">
        <v>538</v>
      </c>
      <c r="B435" s="50" t="s">
        <v>563</v>
      </c>
      <c r="C435" s="57"/>
      <c r="D435" s="52">
        <v>217989</v>
      </c>
      <c r="E435" s="55">
        <v>10</v>
      </c>
      <c r="F435" s="582" t="s">
        <v>74</v>
      </c>
      <c r="G435" s="585" t="s">
        <v>74</v>
      </c>
      <c r="H435" s="587"/>
      <c r="I435" s="585"/>
      <c r="J435" s="587">
        <v>5791</v>
      </c>
      <c r="K435" s="585">
        <v>4721</v>
      </c>
      <c r="L435" s="587">
        <v>2457</v>
      </c>
      <c r="M435" s="585">
        <v>2196</v>
      </c>
      <c r="N435" s="587">
        <v>5443</v>
      </c>
      <c r="O435" s="585">
        <v>4984</v>
      </c>
      <c r="P435" s="583">
        <f t="shared" si="126"/>
        <v>13691</v>
      </c>
      <c r="Q435" s="583">
        <f t="shared" si="127"/>
        <v>456.36666666666667</v>
      </c>
      <c r="R435" s="584">
        <f t="shared" si="128"/>
        <v>11901</v>
      </c>
      <c r="S435" s="584">
        <f t="shared" si="129"/>
        <v>396.7</v>
      </c>
      <c r="T435" s="587">
        <v>1843</v>
      </c>
      <c r="U435" s="585">
        <v>2030</v>
      </c>
      <c r="V435" s="583">
        <f t="shared" si="130"/>
        <v>13691</v>
      </c>
      <c r="W435" s="584">
        <f t="shared" si="131"/>
        <v>11901</v>
      </c>
      <c r="X435" s="587"/>
      <c r="Y435" s="585"/>
      <c r="Z435" s="587"/>
      <c r="AA435" s="585"/>
      <c r="AB435" s="587"/>
      <c r="AC435" s="585"/>
      <c r="AD435" s="587"/>
      <c r="AE435" s="585"/>
      <c r="AF435" s="583">
        <f t="shared" si="132"/>
        <v>0</v>
      </c>
      <c r="AG435" s="583">
        <f t="shared" si="133"/>
        <v>0</v>
      </c>
      <c r="AH435" s="584">
        <f t="shared" si="134"/>
        <v>0</v>
      </c>
      <c r="AI435" s="584">
        <f t="shared" si="135"/>
        <v>0</v>
      </c>
      <c r="AJ435" s="587"/>
      <c r="AK435" s="585"/>
      <c r="AL435" s="583">
        <f t="shared" si="118"/>
        <v>0</v>
      </c>
      <c r="AM435" s="584">
        <f t="shared" si="119"/>
        <v>0</v>
      </c>
      <c r="AN435" s="587"/>
      <c r="AO435" s="585"/>
      <c r="AP435" s="587"/>
      <c r="AQ435" s="585"/>
      <c r="AR435" s="587"/>
      <c r="AS435" s="585"/>
      <c r="AT435" s="587"/>
      <c r="AU435" s="585"/>
      <c r="AV435" s="583">
        <f t="shared" si="120"/>
        <v>0</v>
      </c>
      <c r="AW435" s="583">
        <f t="shared" si="121"/>
        <v>0</v>
      </c>
      <c r="AX435" s="584">
        <f t="shared" si="122"/>
        <v>0</v>
      </c>
      <c r="AY435" s="584">
        <f t="shared" si="123"/>
        <v>0</v>
      </c>
      <c r="AZ435" s="583">
        <f t="shared" si="124"/>
        <v>456.36666666666667</v>
      </c>
      <c r="BA435" s="584">
        <f t="shared" si="125"/>
        <v>396.7</v>
      </c>
    </row>
    <row r="436" spans="1:53">
      <c r="A436" s="432" t="s">
        <v>538</v>
      </c>
      <c r="B436" s="50" t="s">
        <v>564</v>
      </c>
      <c r="C436" s="57"/>
      <c r="D436" s="52">
        <v>217837</v>
      </c>
      <c r="E436" s="55">
        <v>10</v>
      </c>
      <c r="F436" s="582" t="s">
        <v>74</v>
      </c>
      <c r="G436" s="585" t="s">
        <v>74</v>
      </c>
      <c r="H436" s="587"/>
      <c r="I436" s="585"/>
      <c r="J436" s="587">
        <v>8640</v>
      </c>
      <c r="K436" s="585">
        <v>10672</v>
      </c>
      <c r="L436" s="587">
        <v>4409</v>
      </c>
      <c r="M436" s="585">
        <v>4766</v>
      </c>
      <c r="N436" s="587">
        <v>11706</v>
      </c>
      <c r="O436" s="585">
        <v>11853</v>
      </c>
      <c r="P436" s="583">
        <f t="shared" si="126"/>
        <v>24755</v>
      </c>
      <c r="Q436" s="583">
        <f t="shared" si="127"/>
        <v>825.16666666666663</v>
      </c>
      <c r="R436" s="584">
        <f t="shared" si="128"/>
        <v>27291</v>
      </c>
      <c r="S436" s="584">
        <f t="shared" si="129"/>
        <v>909.7</v>
      </c>
      <c r="T436" s="587">
        <v>3857</v>
      </c>
      <c r="U436" s="585">
        <v>6133</v>
      </c>
      <c r="V436" s="583">
        <f t="shared" si="130"/>
        <v>24755</v>
      </c>
      <c r="W436" s="584">
        <f t="shared" si="131"/>
        <v>27291</v>
      </c>
      <c r="X436" s="587"/>
      <c r="Y436" s="585"/>
      <c r="Z436" s="587"/>
      <c r="AA436" s="585"/>
      <c r="AB436" s="587"/>
      <c r="AC436" s="585"/>
      <c r="AD436" s="587"/>
      <c r="AE436" s="585"/>
      <c r="AF436" s="583">
        <f t="shared" si="132"/>
        <v>0</v>
      </c>
      <c r="AG436" s="583">
        <f t="shared" si="133"/>
        <v>0</v>
      </c>
      <c r="AH436" s="584">
        <f t="shared" si="134"/>
        <v>0</v>
      </c>
      <c r="AI436" s="584">
        <f t="shared" si="135"/>
        <v>0</v>
      </c>
      <c r="AJ436" s="587"/>
      <c r="AK436" s="585"/>
      <c r="AL436" s="583">
        <f t="shared" si="118"/>
        <v>0</v>
      </c>
      <c r="AM436" s="584">
        <f t="shared" si="119"/>
        <v>0</v>
      </c>
      <c r="AN436" s="587"/>
      <c r="AO436" s="585"/>
      <c r="AP436" s="587"/>
      <c r="AQ436" s="585"/>
      <c r="AR436" s="587"/>
      <c r="AS436" s="585"/>
      <c r="AT436" s="587"/>
      <c r="AU436" s="585"/>
      <c r="AV436" s="583">
        <f t="shared" si="120"/>
        <v>0</v>
      </c>
      <c r="AW436" s="583">
        <f t="shared" si="121"/>
        <v>0</v>
      </c>
      <c r="AX436" s="584">
        <f t="shared" si="122"/>
        <v>0</v>
      </c>
      <c r="AY436" s="584">
        <f t="shared" si="123"/>
        <v>0</v>
      </c>
      <c r="AZ436" s="583">
        <f t="shared" si="124"/>
        <v>825.16666666666663</v>
      </c>
      <c r="BA436" s="584">
        <f t="shared" si="125"/>
        <v>909.7</v>
      </c>
    </row>
    <row r="437" spans="1:53" ht="14.5">
      <c r="A437" s="432" t="s">
        <v>538</v>
      </c>
      <c r="B437" s="50" t="s">
        <v>560</v>
      </c>
      <c r="C437" s="530"/>
      <c r="D437" s="52">
        <v>218487</v>
      </c>
      <c r="E437" s="55">
        <v>10</v>
      </c>
      <c r="F437" s="582" t="s">
        <v>74</v>
      </c>
      <c r="G437" s="585" t="s">
        <v>74</v>
      </c>
      <c r="H437" s="587"/>
      <c r="I437" s="585"/>
      <c r="J437" s="587">
        <v>19233</v>
      </c>
      <c r="K437" s="585">
        <v>20426</v>
      </c>
      <c r="L437" s="587">
        <v>8611</v>
      </c>
      <c r="M437" s="585">
        <v>8961</v>
      </c>
      <c r="N437" s="587">
        <v>22360</v>
      </c>
      <c r="O437" s="585">
        <v>21181</v>
      </c>
      <c r="P437" s="583">
        <f t="shared" si="126"/>
        <v>50204</v>
      </c>
      <c r="Q437" s="583">
        <f t="shared" si="127"/>
        <v>1673.4666666666667</v>
      </c>
      <c r="R437" s="584">
        <f t="shared" si="128"/>
        <v>50568</v>
      </c>
      <c r="S437" s="584">
        <f t="shared" si="129"/>
        <v>1685.6</v>
      </c>
      <c r="T437" s="587">
        <v>7236</v>
      </c>
      <c r="U437" s="585">
        <v>7664</v>
      </c>
      <c r="V437" s="583">
        <f t="shared" si="130"/>
        <v>50204</v>
      </c>
      <c r="W437" s="584">
        <f t="shared" si="131"/>
        <v>50568</v>
      </c>
      <c r="X437" s="587"/>
      <c r="Y437" s="585"/>
      <c r="Z437" s="587"/>
      <c r="AA437" s="585"/>
      <c r="AB437" s="587"/>
      <c r="AC437" s="585"/>
      <c r="AD437" s="587"/>
      <c r="AE437" s="585"/>
      <c r="AF437" s="583">
        <f t="shared" si="132"/>
        <v>0</v>
      </c>
      <c r="AG437" s="583">
        <f t="shared" si="133"/>
        <v>0</v>
      </c>
      <c r="AH437" s="584">
        <f t="shared" si="134"/>
        <v>0</v>
      </c>
      <c r="AI437" s="584">
        <f t="shared" si="135"/>
        <v>0</v>
      </c>
      <c r="AJ437" s="587"/>
      <c r="AK437" s="585"/>
      <c r="AL437" s="583">
        <f t="shared" si="118"/>
        <v>0</v>
      </c>
      <c r="AM437" s="584">
        <f t="shared" si="119"/>
        <v>0</v>
      </c>
      <c r="AN437" s="587"/>
      <c r="AO437" s="585"/>
      <c r="AP437" s="587"/>
      <c r="AQ437" s="585"/>
      <c r="AR437" s="587"/>
      <c r="AS437" s="585"/>
      <c r="AT437" s="587"/>
      <c r="AU437" s="585"/>
      <c r="AV437" s="583">
        <f t="shared" si="120"/>
        <v>0</v>
      </c>
      <c r="AW437" s="583">
        <f t="shared" si="121"/>
        <v>0</v>
      </c>
      <c r="AX437" s="584">
        <f t="shared" si="122"/>
        <v>0</v>
      </c>
      <c r="AY437" s="584">
        <f t="shared" si="123"/>
        <v>0</v>
      </c>
      <c r="AZ437" s="583">
        <f t="shared" si="124"/>
        <v>1673.4666666666667</v>
      </c>
      <c r="BA437" s="584">
        <f t="shared" si="125"/>
        <v>1685.6</v>
      </c>
    </row>
    <row r="438" spans="1:53">
      <c r="A438" s="432" t="s">
        <v>538</v>
      </c>
      <c r="B438" s="50" t="s">
        <v>565</v>
      </c>
      <c r="C438" s="57"/>
      <c r="D438" s="52">
        <v>217712</v>
      </c>
      <c r="E438" s="55">
        <v>10</v>
      </c>
      <c r="F438" s="582" t="s">
        <v>74</v>
      </c>
      <c r="G438" s="585" t="s">
        <v>74</v>
      </c>
      <c r="H438" s="587"/>
      <c r="I438" s="585"/>
      <c r="J438" s="587">
        <v>18926</v>
      </c>
      <c r="K438" s="585">
        <v>18050</v>
      </c>
      <c r="L438" s="587">
        <v>7262</v>
      </c>
      <c r="M438" s="585">
        <v>6968</v>
      </c>
      <c r="N438" s="587">
        <v>19213</v>
      </c>
      <c r="O438" s="585">
        <v>19187</v>
      </c>
      <c r="P438" s="583">
        <f t="shared" si="126"/>
        <v>45401</v>
      </c>
      <c r="Q438" s="583">
        <f t="shared" si="127"/>
        <v>1513.3666666666666</v>
      </c>
      <c r="R438" s="584">
        <f t="shared" si="128"/>
        <v>44205</v>
      </c>
      <c r="S438" s="584">
        <f t="shared" si="129"/>
        <v>1473.5</v>
      </c>
      <c r="T438" s="587">
        <v>6045</v>
      </c>
      <c r="U438" s="585">
        <v>6051</v>
      </c>
      <c r="V438" s="583">
        <f t="shared" si="130"/>
        <v>45401</v>
      </c>
      <c r="W438" s="584">
        <f t="shared" si="131"/>
        <v>44205</v>
      </c>
      <c r="X438" s="587"/>
      <c r="Y438" s="585"/>
      <c r="Z438" s="587"/>
      <c r="AA438" s="585"/>
      <c r="AB438" s="587"/>
      <c r="AC438" s="585"/>
      <c r="AD438" s="587"/>
      <c r="AE438" s="585"/>
      <c r="AF438" s="583">
        <f t="shared" si="132"/>
        <v>0</v>
      </c>
      <c r="AG438" s="583">
        <f t="shared" si="133"/>
        <v>0</v>
      </c>
      <c r="AH438" s="584">
        <f t="shared" si="134"/>
        <v>0</v>
      </c>
      <c r="AI438" s="584">
        <f t="shared" si="135"/>
        <v>0</v>
      </c>
      <c r="AJ438" s="587"/>
      <c r="AK438" s="585"/>
      <c r="AL438" s="583">
        <f t="shared" si="118"/>
        <v>0</v>
      </c>
      <c r="AM438" s="584">
        <f t="shared" si="119"/>
        <v>0</v>
      </c>
      <c r="AN438" s="587"/>
      <c r="AO438" s="585"/>
      <c r="AP438" s="587"/>
      <c r="AQ438" s="585"/>
      <c r="AR438" s="587"/>
      <c r="AS438" s="585"/>
      <c r="AT438" s="587"/>
      <c r="AU438" s="585"/>
      <c r="AV438" s="583">
        <f t="shared" si="120"/>
        <v>0</v>
      </c>
      <c r="AW438" s="583">
        <f t="shared" si="121"/>
        <v>0</v>
      </c>
      <c r="AX438" s="584">
        <f t="shared" si="122"/>
        <v>0</v>
      </c>
      <c r="AY438" s="584">
        <f t="shared" si="123"/>
        <v>0</v>
      </c>
      <c r="AZ438" s="583">
        <f t="shared" si="124"/>
        <v>1513.3666666666666</v>
      </c>
      <c r="BA438" s="584">
        <f t="shared" si="125"/>
        <v>1473.5</v>
      </c>
    </row>
    <row r="439" spans="1:53">
      <c r="A439" s="432" t="s">
        <v>538</v>
      </c>
      <c r="B439" s="50" t="s">
        <v>566</v>
      </c>
      <c r="C439" s="57"/>
      <c r="D439" s="52">
        <v>218672</v>
      </c>
      <c r="E439" s="55">
        <v>10</v>
      </c>
      <c r="F439" s="582" t="s">
        <v>74</v>
      </c>
      <c r="G439" s="585" t="s">
        <v>74</v>
      </c>
      <c r="H439" s="587"/>
      <c r="I439" s="585"/>
      <c r="J439" s="587">
        <v>14612</v>
      </c>
      <c r="K439" s="585">
        <v>13781</v>
      </c>
      <c r="L439" s="587">
        <v>2867</v>
      </c>
      <c r="M439" s="585">
        <v>2983</v>
      </c>
      <c r="N439" s="587">
        <v>15887</v>
      </c>
      <c r="O439" s="585">
        <v>16679</v>
      </c>
      <c r="P439" s="583">
        <f t="shared" si="126"/>
        <v>33366</v>
      </c>
      <c r="Q439" s="583">
        <f t="shared" si="127"/>
        <v>1112.2</v>
      </c>
      <c r="R439" s="584">
        <f t="shared" si="128"/>
        <v>33443</v>
      </c>
      <c r="S439" s="584">
        <f t="shared" si="129"/>
        <v>1114.7666666666667</v>
      </c>
      <c r="T439" s="587">
        <v>4166</v>
      </c>
      <c r="U439" s="585">
        <v>10579</v>
      </c>
      <c r="V439" s="583">
        <f t="shared" si="130"/>
        <v>33366</v>
      </c>
      <c r="W439" s="584">
        <f t="shared" si="131"/>
        <v>33443</v>
      </c>
      <c r="X439" s="587"/>
      <c r="Y439" s="585"/>
      <c r="Z439" s="587"/>
      <c r="AA439" s="585"/>
      <c r="AB439" s="587"/>
      <c r="AC439" s="585"/>
      <c r="AD439" s="587"/>
      <c r="AE439" s="585"/>
      <c r="AF439" s="583">
        <f t="shared" si="132"/>
        <v>0</v>
      </c>
      <c r="AG439" s="583">
        <f t="shared" si="133"/>
        <v>0</v>
      </c>
      <c r="AH439" s="584">
        <f t="shared" si="134"/>
        <v>0</v>
      </c>
      <c r="AI439" s="584">
        <f t="shared" si="135"/>
        <v>0</v>
      </c>
      <c r="AJ439" s="587"/>
      <c r="AK439" s="585"/>
      <c r="AL439" s="583">
        <f t="shared" si="118"/>
        <v>0</v>
      </c>
      <c r="AM439" s="584">
        <f t="shared" si="119"/>
        <v>0</v>
      </c>
      <c r="AN439" s="587"/>
      <c r="AO439" s="585"/>
      <c r="AP439" s="587"/>
      <c r="AQ439" s="585"/>
      <c r="AR439" s="587"/>
      <c r="AS439" s="585"/>
      <c r="AT439" s="587"/>
      <c r="AU439" s="585"/>
      <c r="AV439" s="583">
        <f t="shared" si="120"/>
        <v>0</v>
      </c>
      <c r="AW439" s="583">
        <f t="shared" si="121"/>
        <v>0</v>
      </c>
      <c r="AX439" s="584">
        <f t="shared" si="122"/>
        <v>0</v>
      </c>
      <c r="AY439" s="584">
        <f t="shared" si="123"/>
        <v>0</v>
      </c>
      <c r="AZ439" s="583">
        <f t="shared" si="124"/>
        <v>1112.2</v>
      </c>
      <c r="BA439" s="584">
        <f t="shared" si="125"/>
        <v>1114.7666666666667</v>
      </c>
    </row>
    <row r="440" spans="1:53">
      <c r="A440" s="432" t="s">
        <v>538</v>
      </c>
      <c r="B440" s="50" t="s">
        <v>567</v>
      </c>
      <c r="C440" s="57"/>
      <c r="D440" s="52">
        <v>218681</v>
      </c>
      <c r="E440" s="55">
        <v>10</v>
      </c>
      <c r="F440" s="582" t="s">
        <v>74</v>
      </c>
      <c r="G440" s="585" t="s">
        <v>74</v>
      </c>
      <c r="H440" s="587"/>
      <c r="I440" s="585"/>
      <c r="J440" s="587">
        <v>9468</v>
      </c>
      <c r="K440" s="585">
        <v>8939</v>
      </c>
      <c r="L440" s="587">
        <v>424</v>
      </c>
      <c r="M440" s="585">
        <v>703</v>
      </c>
      <c r="N440" s="587">
        <v>10613</v>
      </c>
      <c r="O440" s="585">
        <v>9571</v>
      </c>
      <c r="P440" s="583">
        <f t="shared" si="126"/>
        <v>20505</v>
      </c>
      <c r="Q440" s="583">
        <f t="shared" si="127"/>
        <v>683.5</v>
      </c>
      <c r="R440" s="584">
        <f t="shared" si="128"/>
        <v>19213</v>
      </c>
      <c r="S440" s="584">
        <f t="shared" si="129"/>
        <v>640.43333333333328</v>
      </c>
      <c r="T440" s="587">
        <v>2141</v>
      </c>
      <c r="U440" s="585">
        <v>4959</v>
      </c>
      <c r="V440" s="583">
        <f t="shared" si="130"/>
        <v>20505</v>
      </c>
      <c r="W440" s="584">
        <f t="shared" si="131"/>
        <v>19213</v>
      </c>
      <c r="X440" s="587"/>
      <c r="Y440" s="585"/>
      <c r="Z440" s="587"/>
      <c r="AA440" s="585"/>
      <c r="AB440" s="587"/>
      <c r="AC440" s="585"/>
      <c r="AD440" s="587"/>
      <c r="AE440" s="585"/>
      <c r="AF440" s="583">
        <f t="shared" si="132"/>
        <v>0</v>
      </c>
      <c r="AG440" s="583">
        <f t="shared" si="133"/>
        <v>0</v>
      </c>
      <c r="AH440" s="584">
        <f t="shared" si="134"/>
        <v>0</v>
      </c>
      <c r="AI440" s="584">
        <f t="shared" si="135"/>
        <v>0</v>
      </c>
      <c r="AJ440" s="587"/>
      <c r="AK440" s="585"/>
      <c r="AL440" s="583">
        <f t="shared" si="118"/>
        <v>0</v>
      </c>
      <c r="AM440" s="584">
        <f t="shared" si="119"/>
        <v>0</v>
      </c>
      <c r="AN440" s="587"/>
      <c r="AO440" s="585"/>
      <c r="AP440" s="587"/>
      <c r="AQ440" s="585"/>
      <c r="AR440" s="587"/>
      <c r="AS440" s="585"/>
      <c r="AT440" s="587"/>
      <c r="AU440" s="585"/>
      <c r="AV440" s="583">
        <f t="shared" si="120"/>
        <v>0</v>
      </c>
      <c r="AW440" s="583">
        <f t="shared" si="121"/>
        <v>0</v>
      </c>
      <c r="AX440" s="584">
        <f t="shared" si="122"/>
        <v>0</v>
      </c>
      <c r="AY440" s="584">
        <f t="shared" si="123"/>
        <v>0</v>
      </c>
      <c r="AZ440" s="583">
        <f t="shared" si="124"/>
        <v>683.5</v>
      </c>
      <c r="BA440" s="584">
        <f t="shared" si="125"/>
        <v>640.43333333333328</v>
      </c>
    </row>
    <row r="441" spans="1:53" ht="14.5">
      <c r="A441" s="432" t="s">
        <v>538</v>
      </c>
      <c r="B441" s="50" t="s">
        <v>568</v>
      </c>
      <c r="C441" s="531"/>
      <c r="D441" s="52">
        <v>218690</v>
      </c>
      <c r="E441" s="55">
        <v>10</v>
      </c>
      <c r="F441" s="582" t="s">
        <v>74</v>
      </c>
      <c r="G441" s="585" t="s">
        <v>74</v>
      </c>
      <c r="H441" s="587"/>
      <c r="I441" s="585"/>
      <c r="J441" s="587">
        <v>9549</v>
      </c>
      <c r="K441" s="585">
        <v>9566</v>
      </c>
      <c r="L441" s="587">
        <v>1935</v>
      </c>
      <c r="M441" s="585">
        <v>2161</v>
      </c>
      <c r="N441" s="587">
        <v>11745</v>
      </c>
      <c r="O441" s="585">
        <v>12817</v>
      </c>
      <c r="P441" s="583">
        <f t="shared" si="126"/>
        <v>23229</v>
      </c>
      <c r="Q441" s="583">
        <f t="shared" si="127"/>
        <v>774.3</v>
      </c>
      <c r="R441" s="584">
        <f t="shared" si="128"/>
        <v>24544</v>
      </c>
      <c r="S441" s="584">
        <f t="shared" si="129"/>
        <v>818.13333333333333</v>
      </c>
      <c r="T441" s="587">
        <v>2793</v>
      </c>
      <c r="U441" s="585">
        <v>6970</v>
      </c>
      <c r="V441" s="583">
        <f t="shared" si="130"/>
        <v>23229</v>
      </c>
      <c r="W441" s="584">
        <f t="shared" si="131"/>
        <v>24544</v>
      </c>
      <c r="X441" s="587"/>
      <c r="Y441" s="585"/>
      <c r="Z441" s="587"/>
      <c r="AA441" s="585"/>
      <c r="AB441" s="587"/>
      <c r="AC441" s="585"/>
      <c r="AD441" s="587"/>
      <c r="AE441" s="585"/>
      <c r="AF441" s="583">
        <f t="shared" si="132"/>
        <v>0</v>
      </c>
      <c r="AG441" s="583">
        <f t="shared" si="133"/>
        <v>0</v>
      </c>
      <c r="AH441" s="584">
        <f t="shared" si="134"/>
        <v>0</v>
      </c>
      <c r="AI441" s="584">
        <f t="shared" si="135"/>
        <v>0</v>
      </c>
      <c r="AJ441" s="587"/>
      <c r="AK441" s="585"/>
      <c r="AL441" s="583">
        <f t="shared" si="118"/>
        <v>0</v>
      </c>
      <c r="AM441" s="584">
        <f t="shared" si="119"/>
        <v>0</v>
      </c>
      <c r="AN441" s="587"/>
      <c r="AO441" s="585"/>
      <c r="AP441" s="587"/>
      <c r="AQ441" s="585"/>
      <c r="AR441" s="587"/>
      <c r="AS441" s="585"/>
      <c r="AT441" s="587"/>
      <c r="AU441" s="585"/>
      <c r="AV441" s="583">
        <f t="shared" si="120"/>
        <v>0</v>
      </c>
      <c r="AW441" s="583">
        <f t="shared" si="121"/>
        <v>0</v>
      </c>
      <c r="AX441" s="584">
        <f t="shared" si="122"/>
        <v>0</v>
      </c>
      <c r="AY441" s="584">
        <f t="shared" si="123"/>
        <v>0</v>
      </c>
      <c r="AZ441" s="583">
        <f t="shared" si="124"/>
        <v>774.3</v>
      </c>
      <c r="BA441" s="584">
        <f t="shared" si="125"/>
        <v>818.13333333333333</v>
      </c>
    </row>
    <row r="442" spans="1:53" ht="14.5">
      <c r="A442" s="432" t="s">
        <v>538</v>
      </c>
      <c r="B442" s="50" t="s">
        <v>569</v>
      </c>
      <c r="C442" s="532"/>
      <c r="D442" s="52">
        <v>218706</v>
      </c>
      <c r="E442" s="55">
        <v>10</v>
      </c>
      <c r="F442" s="582" t="s">
        <v>74</v>
      </c>
      <c r="G442" s="585" t="s">
        <v>74</v>
      </c>
      <c r="H442" s="587"/>
      <c r="I442" s="585"/>
      <c r="J442" s="587">
        <v>8130</v>
      </c>
      <c r="K442" s="585">
        <v>9256</v>
      </c>
      <c r="L442" s="587">
        <v>390</v>
      </c>
      <c r="M442" s="585">
        <v>453</v>
      </c>
      <c r="N442" s="587">
        <v>9798</v>
      </c>
      <c r="O442" s="585">
        <v>10335</v>
      </c>
      <c r="P442" s="583">
        <f t="shared" si="126"/>
        <v>18318</v>
      </c>
      <c r="Q442" s="583">
        <f t="shared" si="127"/>
        <v>610.6</v>
      </c>
      <c r="R442" s="584">
        <f t="shared" si="128"/>
        <v>20044</v>
      </c>
      <c r="S442" s="584">
        <f t="shared" si="129"/>
        <v>668.13333333333333</v>
      </c>
      <c r="T442" s="587">
        <v>5324</v>
      </c>
      <c r="U442" s="585">
        <v>11133</v>
      </c>
      <c r="V442" s="583">
        <f t="shared" si="130"/>
        <v>18318</v>
      </c>
      <c r="W442" s="584">
        <f t="shared" si="131"/>
        <v>20044</v>
      </c>
      <c r="X442" s="587"/>
      <c r="Y442" s="585"/>
      <c r="Z442" s="587"/>
      <c r="AA442" s="585"/>
      <c r="AB442" s="587"/>
      <c r="AC442" s="585"/>
      <c r="AD442" s="587"/>
      <c r="AE442" s="585"/>
      <c r="AF442" s="583">
        <f t="shared" si="132"/>
        <v>0</v>
      </c>
      <c r="AG442" s="583">
        <f t="shared" si="133"/>
        <v>0</v>
      </c>
      <c r="AH442" s="584">
        <f t="shared" si="134"/>
        <v>0</v>
      </c>
      <c r="AI442" s="584">
        <f t="shared" si="135"/>
        <v>0</v>
      </c>
      <c r="AJ442" s="587"/>
      <c r="AK442" s="585"/>
      <c r="AL442" s="583">
        <f t="shared" si="118"/>
        <v>0</v>
      </c>
      <c r="AM442" s="584">
        <f t="shared" si="119"/>
        <v>0</v>
      </c>
      <c r="AN442" s="587"/>
      <c r="AO442" s="585"/>
      <c r="AP442" s="587"/>
      <c r="AQ442" s="585"/>
      <c r="AR442" s="587"/>
      <c r="AS442" s="585"/>
      <c r="AT442" s="587"/>
      <c r="AU442" s="585"/>
      <c r="AV442" s="583">
        <f t="shared" si="120"/>
        <v>0</v>
      </c>
      <c r="AW442" s="583">
        <f t="shared" si="121"/>
        <v>0</v>
      </c>
      <c r="AX442" s="584">
        <f t="shared" si="122"/>
        <v>0</v>
      </c>
      <c r="AY442" s="584">
        <f t="shared" si="123"/>
        <v>0</v>
      </c>
      <c r="AZ442" s="583">
        <f t="shared" si="124"/>
        <v>610.6</v>
      </c>
      <c r="BA442" s="584">
        <f t="shared" si="125"/>
        <v>668.13333333333333</v>
      </c>
    </row>
    <row r="443" spans="1:53" ht="14.5">
      <c r="A443" s="432" t="s">
        <v>538</v>
      </c>
      <c r="B443" s="534" t="s">
        <v>895</v>
      </c>
      <c r="C443" s="531"/>
      <c r="D443" s="52">
        <v>218955</v>
      </c>
      <c r="E443" s="55">
        <v>10</v>
      </c>
      <c r="F443" s="582" t="s">
        <v>74</v>
      </c>
      <c r="G443" s="585" t="s">
        <v>74</v>
      </c>
      <c r="H443" s="587"/>
      <c r="I443" s="585"/>
      <c r="J443" s="587">
        <v>5952</v>
      </c>
      <c r="K443" s="585">
        <v>5963</v>
      </c>
      <c r="L443" s="587">
        <v>2746</v>
      </c>
      <c r="M443" s="585">
        <v>3185</v>
      </c>
      <c r="N443" s="587">
        <v>6082</v>
      </c>
      <c r="O443" s="585">
        <v>6699</v>
      </c>
      <c r="P443" s="583">
        <f t="shared" si="126"/>
        <v>14780</v>
      </c>
      <c r="Q443" s="583">
        <f t="shared" si="127"/>
        <v>492.66666666666669</v>
      </c>
      <c r="R443" s="584">
        <f t="shared" si="128"/>
        <v>15847</v>
      </c>
      <c r="S443" s="584">
        <f t="shared" si="129"/>
        <v>528.23333333333335</v>
      </c>
      <c r="T443" s="587">
        <v>5018</v>
      </c>
      <c r="U443" s="585">
        <v>5408</v>
      </c>
      <c r="V443" s="583">
        <f t="shared" si="130"/>
        <v>14780</v>
      </c>
      <c r="W443" s="584">
        <f t="shared" si="131"/>
        <v>15847</v>
      </c>
      <c r="X443" s="587"/>
      <c r="Y443" s="585"/>
      <c r="Z443" s="587"/>
      <c r="AA443" s="585"/>
      <c r="AB443" s="587"/>
      <c r="AC443" s="585"/>
      <c r="AD443" s="587"/>
      <c r="AE443" s="585"/>
      <c r="AF443" s="583">
        <f t="shared" si="132"/>
        <v>0</v>
      </c>
      <c r="AG443" s="583">
        <f t="shared" si="133"/>
        <v>0</v>
      </c>
      <c r="AH443" s="584">
        <f t="shared" si="134"/>
        <v>0</v>
      </c>
      <c r="AI443" s="584">
        <f t="shared" si="135"/>
        <v>0</v>
      </c>
      <c r="AJ443" s="587"/>
      <c r="AK443" s="585"/>
      <c r="AL443" s="583">
        <f t="shared" si="118"/>
        <v>0</v>
      </c>
      <c r="AM443" s="584">
        <f t="shared" si="119"/>
        <v>0</v>
      </c>
      <c r="AN443" s="587"/>
      <c r="AO443" s="585"/>
      <c r="AP443" s="587"/>
      <c r="AQ443" s="585"/>
      <c r="AR443" s="587"/>
      <c r="AS443" s="585"/>
      <c r="AT443" s="587"/>
      <c r="AU443" s="585"/>
      <c r="AV443" s="583">
        <f t="shared" si="120"/>
        <v>0</v>
      </c>
      <c r="AW443" s="583">
        <f t="shared" si="121"/>
        <v>0</v>
      </c>
      <c r="AX443" s="584">
        <f t="shared" si="122"/>
        <v>0</v>
      </c>
      <c r="AY443" s="584">
        <f t="shared" si="123"/>
        <v>0</v>
      </c>
      <c r="AZ443" s="583">
        <f t="shared" si="124"/>
        <v>492.66666666666669</v>
      </c>
      <c r="BA443" s="584">
        <f t="shared" si="125"/>
        <v>528.23333333333335</v>
      </c>
    </row>
    <row r="444" spans="1:53">
      <c r="A444" s="434" t="s">
        <v>405</v>
      </c>
      <c r="B444" s="43" t="s">
        <v>406</v>
      </c>
      <c r="C444" s="44"/>
      <c r="D444" s="45">
        <v>220862</v>
      </c>
      <c r="E444" s="45">
        <v>1</v>
      </c>
      <c r="F444" s="582"/>
      <c r="G444" s="585"/>
      <c r="H444" s="582"/>
      <c r="I444" s="585"/>
      <c r="J444" s="582">
        <v>186940</v>
      </c>
      <c r="K444" s="585">
        <v>183589</v>
      </c>
      <c r="L444" s="582">
        <v>27863</v>
      </c>
      <c r="M444" s="585">
        <v>27039</v>
      </c>
      <c r="N444" s="582">
        <v>203557</v>
      </c>
      <c r="O444" s="585">
        <v>206982</v>
      </c>
      <c r="P444" s="583">
        <f t="shared" si="126"/>
        <v>418360</v>
      </c>
      <c r="Q444" s="583">
        <f t="shared" si="127"/>
        <v>13945.333333333334</v>
      </c>
      <c r="R444" s="584">
        <f t="shared" si="128"/>
        <v>417610</v>
      </c>
      <c r="S444" s="584">
        <f t="shared" si="129"/>
        <v>13920.333333333334</v>
      </c>
      <c r="T444" s="582">
        <v>11557</v>
      </c>
      <c r="U444" s="585">
        <v>12601</v>
      </c>
      <c r="V444" s="583">
        <f t="shared" si="130"/>
        <v>418360</v>
      </c>
      <c r="W444" s="584">
        <f t="shared" si="131"/>
        <v>417610</v>
      </c>
      <c r="X444" s="582"/>
      <c r="Y444" s="585"/>
      <c r="Z444" s="582"/>
      <c r="AA444" s="585"/>
      <c r="AB444" s="582"/>
      <c r="AC444" s="585"/>
      <c r="AD444" s="582"/>
      <c r="AE444" s="585"/>
      <c r="AF444" s="583">
        <f t="shared" si="132"/>
        <v>0</v>
      </c>
      <c r="AG444" s="583">
        <f t="shared" si="133"/>
        <v>0</v>
      </c>
      <c r="AH444" s="584">
        <f t="shared" si="134"/>
        <v>0</v>
      </c>
      <c r="AI444" s="584">
        <f t="shared" si="135"/>
        <v>0</v>
      </c>
      <c r="AJ444" s="582"/>
      <c r="AK444" s="585"/>
      <c r="AL444" s="583">
        <f t="shared" si="118"/>
        <v>0</v>
      </c>
      <c r="AM444" s="584">
        <f t="shared" si="119"/>
        <v>0</v>
      </c>
      <c r="AN444" s="582"/>
      <c r="AO444" s="585"/>
      <c r="AP444" s="582">
        <v>29157</v>
      </c>
      <c r="AQ444" s="585">
        <v>30022</v>
      </c>
      <c r="AR444" s="582">
        <v>8152</v>
      </c>
      <c r="AS444" s="585">
        <v>8328</v>
      </c>
      <c r="AT444" s="582">
        <v>31521</v>
      </c>
      <c r="AU444" s="585">
        <v>32164</v>
      </c>
      <c r="AV444" s="583">
        <f t="shared" si="120"/>
        <v>68830</v>
      </c>
      <c r="AW444" s="583">
        <f t="shared" si="121"/>
        <v>2867.9166666666665</v>
      </c>
      <c r="AX444" s="584">
        <f t="shared" si="122"/>
        <v>70514</v>
      </c>
      <c r="AY444" s="584">
        <f t="shared" si="123"/>
        <v>2938.0833333333335</v>
      </c>
      <c r="AZ444" s="583">
        <f t="shared" si="124"/>
        <v>16813.25</v>
      </c>
      <c r="BA444" s="584">
        <f t="shared" si="125"/>
        <v>16858.416666666668</v>
      </c>
    </row>
    <row r="445" spans="1:53">
      <c r="A445" s="434" t="s">
        <v>405</v>
      </c>
      <c r="B445" s="43" t="s">
        <v>407</v>
      </c>
      <c r="C445" s="44"/>
      <c r="D445" s="45">
        <v>221759</v>
      </c>
      <c r="E445" s="45">
        <v>1</v>
      </c>
      <c r="F445" s="582"/>
      <c r="G445" s="585"/>
      <c r="H445" s="582"/>
      <c r="I445" s="585"/>
      <c r="J445" s="582">
        <v>288163</v>
      </c>
      <c r="K445" s="585">
        <v>293363</v>
      </c>
      <c r="L445" s="582">
        <v>32221</v>
      </c>
      <c r="M445" s="585">
        <v>34095</v>
      </c>
      <c r="N445" s="582">
        <v>315000</v>
      </c>
      <c r="O445" s="585">
        <v>322611</v>
      </c>
      <c r="P445" s="583">
        <f t="shared" si="126"/>
        <v>635384</v>
      </c>
      <c r="Q445" s="583">
        <f t="shared" si="127"/>
        <v>21179.466666666667</v>
      </c>
      <c r="R445" s="584">
        <f t="shared" si="128"/>
        <v>650069</v>
      </c>
      <c r="S445" s="584">
        <f t="shared" si="129"/>
        <v>21668.966666666667</v>
      </c>
      <c r="T445" s="582">
        <v>154</v>
      </c>
      <c r="U445" s="585">
        <v>86</v>
      </c>
      <c r="V445" s="583">
        <f t="shared" si="130"/>
        <v>635384</v>
      </c>
      <c r="W445" s="584">
        <f t="shared" si="131"/>
        <v>650069</v>
      </c>
      <c r="X445" s="582"/>
      <c r="Y445" s="585"/>
      <c r="Z445" s="582"/>
      <c r="AA445" s="585"/>
      <c r="AB445" s="582"/>
      <c r="AC445" s="585"/>
      <c r="AD445" s="582"/>
      <c r="AE445" s="585"/>
      <c r="AF445" s="583">
        <f t="shared" si="132"/>
        <v>0</v>
      </c>
      <c r="AG445" s="583">
        <f t="shared" si="133"/>
        <v>0</v>
      </c>
      <c r="AH445" s="584">
        <f t="shared" si="134"/>
        <v>0</v>
      </c>
      <c r="AI445" s="584">
        <f t="shared" si="135"/>
        <v>0</v>
      </c>
      <c r="AJ445" s="582"/>
      <c r="AK445" s="585"/>
      <c r="AL445" s="583">
        <f t="shared" si="118"/>
        <v>0</v>
      </c>
      <c r="AM445" s="584">
        <f t="shared" si="119"/>
        <v>0</v>
      </c>
      <c r="AN445" s="582"/>
      <c r="AO445" s="585"/>
      <c r="AP445" s="582">
        <v>46584</v>
      </c>
      <c r="AQ445" s="585">
        <v>46696</v>
      </c>
      <c r="AR445" s="582">
        <v>16246</v>
      </c>
      <c r="AS445" s="585">
        <v>17010</v>
      </c>
      <c r="AT445" s="582">
        <v>51129</v>
      </c>
      <c r="AU445" s="585">
        <v>52054</v>
      </c>
      <c r="AV445" s="583">
        <f t="shared" si="120"/>
        <v>113959</v>
      </c>
      <c r="AW445" s="583">
        <f t="shared" si="121"/>
        <v>4748.291666666667</v>
      </c>
      <c r="AX445" s="584">
        <f t="shared" si="122"/>
        <v>115760</v>
      </c>
      <c r="AY445" s="584">
        <f t="shared" si="123"/>
        <v>4823.333333333333</v>
      </c>
      <c r="AZ445" s="583">
        <f t="shared" si="124"/>
        <v>25927.758333333335</v>
      </c>
      <c r="BA445" s="584">
        <f t="shared" si="125"/>
        <v>26492.3</v>
      </c>
    </row>
    <row r="446" spans="1:53">
      <c r="A446" s="434" t="s">
        <v>405</v>
      </c>
      <c r="B446" s="43" t="s">
        <v>408</v>
      </c>
      <c r="C446" s="46"/>
      <c r="D446" s="45">
        <v>220075</v>
      </c>
      <c r="E446" s="45">
        <v>2</v>
      </c>
      <c r="F446" s="582"/>
      <c r="G446" s="585"/>
      <c r="H446" s="582"/>
      <c r="I446" s="585"/>
      <c r="J446" s="582">
        <v>142160</v>
      </c>
      <c r="K446" s="585">
        <v>142844</v>
      </c>
      <c r="L446" s="582">
        <v>19068</v>
      </c>
      <c r="M446" s="585">
        <v>21091</v>
      </c>
      <c r="N446" s="582">
        <v>155296</v>
      </c>
      <c r="O446" s="585">
        <v>153145</v>
      </c>
      <c r="P446" s="583">
        <f t="shared" si="126"/>
        <v>316524</v>
      </c>
      <c r="Q446" s="583">
        <f t="shared" si="127"/>
        <v>10550.8</v>
      </c>
      <c r="R446" s="584">
        <f t="shared" si="128"/>
        <v>317080</v>
      </c>
      <c r="S446" s="584">
        <f t="shared" si="129"/>
        <v>10569.333333333334</v>
      </c>
      <c r="T446" s="582">
        <v>2849</v>
      </c>
      <c r="U446" s="585">
        <v>4393</v>
      </c>
      <c r="V446" s="583">
        <f t="shared" si="130"/>
        <v>316524</v>
      </c>
      <c r="W446" s="584">
        <f t="shared" si="131"/>
        <v>317080</v>
      </c>
      <c r="X446" s="582"/>
      <c r="Y446" s="585"/>
      <c r="Z446" s="582"/>
      <c r="AA446" s="585"/>
      <c r="AB446" s="582"/>
      <c r="AC446" s="585"/>
      <c r="AD446" s="582"/>
      <c r="AE446" s="585"/>
      <c r="AF446" s="583">
        <f t="shared" si="132"/>
        <v>0</v>
      </c>
      <c r="AG446" s="583">
        <f t="shared" si="133"/>
        <v>0</v>
      </c>
      <c r="AH446" s="584">
        <f t="shared" si="134"/>
        <v>0</v>
      </c>
      <c r="AI446" s="584">
        <f t="shared" si="135"/>
        <v>0</v>
      </c>
      <c r="AJ446" s="582"/>
      <c r="AK446" s="585"/>
      <c r="AL446" s="583">
        <f t="shared" si="118"/>
        <v>0</v>
      </c>
      <c r="AM446" s="584">
        <f t="shared" si="119"/>
        <v>0</v>
      </c>
      <c r="AN446" s="582"/>
      <c r="AO446" s="585"/>
      <c r="AP446" s="582">
        <v>19971</v>
      </c>
      <c r="AQ446" s="585">
        <v>20196</v>
      </c>
      <c r="AR446" s="582">
        <v>9456</v>
      </c>
      <c r="AS446" s="585">
        <v>9768</v>
      </c>
      <c r="AT446" s="582">
        <v>20943</v>
      </c>
      <c r="AU446" s="585">
        <v>20577</v>
      </c>
      <c r="AV446" s="583">
        <f t="shared" si="120"/>
        <v>50370</v>
      </c>
      <c r="AW446" s="583">
        <f t="shared" si="121"/>
        <v>2098.75</v>
      </c>
      <c r="AX446" s="584">
        <f t="shared" si="122"/>
        <v>50541</v>
      </c>
      <c r="AY446" s="584">
        <f t="shared" si="123"/>
        <v>2105.875</v>
      </c>
      <c r="AZ446" s="583">
        <f t="shared" si="124"/>
        <v>12649.55</v>
      </c>
      <c r="BA446" s="584">
        <f t="shared" si="125"/>
        <v>12675.208333333334</v>
      </c>
    </row>
    <row r="447" spans="1:53" ht="14.5">
      <c r="A447" s="434" t="s">
        <v>405</v>
      </c>
      <c r="B447" s="43" t="s">
        <v>411</v>
      </c>
      <c r="C447" s="535"/>
      <c r="D447" s="45">
        <v>220978</v>
      </c>
      <c r="E447" s="45">
        <v>2</v>
      </c>
      <c r="F447" s="582"/>
      <c r="G447" s="585"/>
      <c r="H447" s="582"/>
      <c r="I447" s="585"/>
      <c r="J447" s="582">
        <v>225021</v>
      </c>
      <c r="K447" s="585">
        <v>220500</v>
      </c>
      <c r="L447" s="582">
        <v>37600</v>
      </c>
      <c r="M447" s="585">
        <v>35169</v>
      </c>
      <c r="N447" s="582">
        <v>246440</v>
      </c>
      <c r="O447" s="585">
        <v>248673</v>
      </c>
      <c r="P447" s="583">
        <f t="shared" si="126"/>
        <v>509061</v>
      </c>
      <c r="Q447" s="583">
        <f t="shared" si="127"/>
        <v>16968.7</v>
      </c>
      <c r="R447" s="584">
        <f t="shared" si="128"/>
        <v>504342</v>
      </c>
      <c r="S447" s="584">
        <f t="shared" si="129"/>
        <v>16811.400000000001</v>
      </c>
      <c r="T447" s="582">
        <v>8373</v>
      </c>
      <c r="U447" s="585">
        <v>10247</v>
      </c>
      <c r="V447" s="583">
        <f t="shared" si="130"/>
        <v>509061</v>
      </c>
      <c r="W447" s="584">
        <f t="shared" si="131"/>
        <v>504342</v>
      </c>
      <c r="X447" s="582"/>
      <c r="Y447" s="585"/>
      <c r="Z447" s="582"/>
      <c r="AA447" s="585"/>
      <c r="AB447" s="582"/>
      <c r="AC447" s="585"/>
      <c r="AD447" s="582"/>
      <c r="AE447" s="585"/>
      <c r="AF447" s="583">
        <f t="shared" si="132"/>
        <v>0</v>
      </c>
      <c r="AG447" s="583">
        <f t="shared" si="133"/>
        <v>0</v>
      </c>
      <c r="AH447" s="584">
        <f t="shared" si="134"/>
        <v>0</v>
      </c>
      <c r="AI447" s="584">
        <f t="shared" si="135"/>
        <v>0</v>
      </c>
      <c r="AJ447" s="582"/>
      <c r="AK447" s="585"/>
      <c r="AL447" s="583">
        <f t="shared" si="118"/>
        <v>0</v>
      </c>
      <c r="AM447" s="584">
        <f t="shared" si="119"/>
        <v>0</v>
      </c>
      <c r="AN447" s="582"/>
      <c r="AO447" s="585"/>
      <c r="AP447" s="582">
        <v>15575</v>
      </c>
      <c r="AQ447" s="585">
        <v>14583</v>
      </c>
      <c r="AR447" s="582">
        <v>7557</v>
      </c>
      <c r="AS447" s="585">
        <v>7600</v>
      </c>
      <c r="AT447" s="582">
        <v>15786</v>
      </c>
      <c r="AU447" s="585">
        <v>14866</v>
      </c>
      <c r="AV447" s="583">
        <f t="shared" si="120"/>
        <v>38918</v>
      </c>
      <c r="AW447" s="583">
        <f t="shared" si="121"/>
        <v>1621.5833333333333</v>
      </c>
      <c r="AX447" s="584">
        <f t="shared" si="122"/>
        <v>37049</v>
      </c>
      <c r="AY447" s="584">
        <f t="shared" si="123"/>
        <v>1543.7083333333333</v>
      </c>
      <c r="AZ447" s="583">
        <f t="shared" si="124"/>
        <v>18590.283333333333</v>
      </c>
      <c r="BA447" s="584">
        <f t="shared" si="125"/>
        <v>18355.108333333334</v>
      </c>
    </row>
    <row r="448" spans="1:53">
      <c r="A448" s="434" t="s">
        <v>405</v>
      </c>
      <c r="B448" s="43" t="s">
        <v>409</v>
      </c>
      <c r="C448" s="46"/>
      <c r="D448" s="45">
        <v>221838</v>
      </c>
      <c r="E448" s="45">
        <v>2</v>
      </c>
      <c r="F448" s="582"/>
      <c r="G448" s="585"/>
      <c r="H448" s="582"/>
      <c r="I448" s="585"/>
      <c r="J448" s="582">
        <v>76877</v>
      </c>
      <c r="K448" s="585">
        <v>69393</v>
      </c>
      <c r="L448" s="582">
        <v>9699</v>
      </c>
      <c r="M448" s="585">
        <v>10137</v>
      </c>
      <c r="N448" s="582">
        <v>83507</v>
      </c>
      <c r="O448" s="585">
        <v>79834</v>
      </c>
      <c r="P448" s="583">
        <f t="shared" si="126"/>
        <v>170083</v>
      </c>
      <c r="Q448" s="583">
        <f t="shared" si="127"/>
        <v>5669.4333333333334</v>
      </c>
      <c r="R448" s="584">
        <f t="shared" si="128"/>
        <v>159364</v>
      </c>
      <c r="S448" s="584">
        <f t="shared" si="129"/>
        <v>5312.1333333333332</v>
      </c>
      <c r="T448" s="582"/>
      <c r="U448" s="585">
        <v>599</v>
      </c>
      <c r="V448" s="583">
        <f t="shared" si="130"/>
        <v>0</v>
      </c>
      <c r="W448" s="584">
        <f t="shared" si="131"/>
        <v>159364</v>
      </c>
      <c r="X448" s="582"/>
      <c r="Y448" s="585"/>
      <c r="Z448" s="582"/>
      <c r="AA448" s="585"/>
      <c r="AB448" s="582"/>
      <c r="AC448" s="585"/>
      <c r="AD448" s="582"/>
      <c r="AE448" s="585"/>
      <c r="AF448" s="583">
        <f t="shared" si="132"/>
        <v>0</v>
      </c>
      <c r="AG448" s="583">
        <f t="shared" si="133"/>
        <v>0</v>
      </c>
      <c r="AH448" s="584">
        <f t="shared" si="134"/>
        <v>0</v>
      </c>
      <c r="AI448" s="584">
        <f t="shared" si="135"/>
        <v>0</v>
      </c>
      <c r="AJ448" s="582"/>
      <c r="AK448" s="585"/>
      <c r="AL448" s="583">
        <f t="shared" si="118"/>
        <v>0</v>
      </c>
      <c r="AM448" s="584">
        <f t="shared" si="119"/>
        <v>0</v>
      </c>
      <c r="AN448" s="582"/>
      <c r="AO448" s="585"/>
      <c r="AP448" s="582">
        <v>11289</v>
      </c>
      <c r="AQ448" s="585">
        <v>10873</v>
      </c>
      <c r="AR448" s="582">
        <v>4850</v>
      </c>
      <c r="AS448" s="585">
        <v>5047</v>
      </c>
      <c r="AT448" s="582">
        <v>11818</v>
      </c>
      <c r="AU448" s="585">
        <v>13138</v>
      </c>
      <c r="AV448" s="583">
        <f t="shared" si="120"/>
        <v>27957</v>
      </c>
      <c r="AW448" s="583">
        <f t="shared" si="121"/>
        <v>1164.875</v>
      </c>
      <c r="AX448" s="584">
        <f t="shared" si="122"/>
        <v>29058</v>
      </c>
      <c r="AY448" s="584">
        <f t="shared" si="123"/>
        <v>1210.75</v>
      </c>
      <c r="AZ448" s="583">
        <f t="shared" si="124"/>
        <v>6834.3083333333334</v>
      </c>
      <c r="BA448" s="584">
        <f t="shared" si="125"/>
        <v>6522.8833333333332</v>
      </c>
    </row>
    <row r="449" spans="1:53">
      <c r="A449" s="434" t="s">
        <v>405</v>
      </c>
      <c r="B449" s="43" t="s">
        <v>410</v>
      </c>
      <c r="C449" s="44"/>
      <c r="D449" s="45">
        <v>219602</v>
      </c>
      <c r="E449" s="45">
        <v>3</v>
      </c>
      <c r="F449" s="582"/>
      <c r="G449" s="585"/>
      <c r="H449" s="582"/>
      <c r="I449" s="585"/>
      <c r="J449" s="582">
        <v>110251</v>
      </c>
      <c r="K449" s="585">
        <v>111943</v>
      </c>
      <c r="L449" s="582">
        <v>18779</v>
      </c>
      <c r="M449" s="585">
        <v>16738</v>
      </c>
      <c r="N449" s="582">
        <v>122543</v>
      </c>
      <c r="O449" s="585">
        <v>119454</v>
      </c>
      <c r="P449" s="583">
        <f t="shared" si="126"/>
        <v>251573</v>
      </c>
      <c r="Q449" s="583">
        <f t="shared" si="127"/>
        <v>8385.7666666666664</v>
      </c>
      <c r="R449" s="584">
        <f t="shared" si="128"/>
        <v>248135</v>
      </c>
      <c r="S449" s="584">
        <f t="shared" si="129"/>
        <v>8271.1666666666661</v>
      </c>
      <c r="T449" s="582">
        <v>7878</v>
      </c>
      <c r="U449" s="585">
        <v>9545</v>
      </c>
      <c r="V449" s="583">
        <f t="shared" si="130"/>
        <v>251573</v>
      </c>
      <c r="W449" s="584">
        <f t="shared" si="131"/>
        <v>248135</v>
      </c>
      <c r="X449" s="582"/>
      <c r="Y449" s="585"/>
      <c r="Z449" s="582"/>
      <c r="AA449" s="585"/>
      <c r="AB449" s="582"/>
      <c r="AC449" s="585"/>
      <c r="AD449" s="582"/>
      <c r="AE449" s="585"/>
      <c r="AF449" s="583">
        <f t="shared" si="132"/>
        <v>0</v>
      </c>
      <c r="AG449" s="583">
        <f t="shared" si="133"/>
        <v>0</v>
      </c>
      <c r="AH449" s="584">
        <f t="shared" si="134"/>
        <v>0</v>
      </c>
      <c r="AI449" s="584">
        <f t="shared" si="135"/>
        <v>0</v>
      </c>
      <c r="AJ449" s="582"/>
      <c r="AK449" s="585"/>
      <c r="AL449" s="583">
        <f t="shared" si="118"/>
        <v>0</v>
      </c>
      <c r="AM449" s="584">
        <f t="shared" si="119"/>
        <v>0</v>
      </c>
      <c r="AN449" s="582"/>
      <c r="AO449" s="585"/>
      <c r="AP449" s="582">
        <v>6436</v>
      </c>
      <c r="AQ449" s="585">
        <v>7927</v>
      </c>
      <c r="AR449" s="582">
        <v>3283</v>
      </c>
      <c r="AS449" s="585">
        <v>3685</v>
      </c>
      <c r="AT449" s="582">
        <v>8235</v>
      </c>
      <c r="AU449" s="585">
        <v>7878</v>
      </c>
      <c r="AV449" s="583">
        <f t="shared" si="120"/>
        <v>17954</v>
      </c>
      <c r="AW449" s="583">
        <f t="shared" si="121"/>
        <v>748.08333333333337</v>
      </c>
      <c r="AX449" s="584">
        <f t="shared" si="122"/>
        <v>19490</v>
      </c>
      <c r="AY449" s="584">
        <f t="shared" si="123"/>
        <v>812.08333333333337</v>
      </c>
      <c r="AZ449" s="583">
        <f t="shared" si="124"/>
        <v>9133.85</v>
      </c>
      <c r="BA449" s="584">
        <f t="shared" si="125"/>
        <v>9083.25</v>
      </c>
    </row>
    <row r="450" spans="1:53" ht="14.5">
      <c r="A450" s="434" t="s">
        <v>405</v>
      </c>
      <c r="B450" s="43" t="s">
        <v>412</v>
      </c>
      <c r="C450" s="536"/>
      <c r="D450" s="45">
        <v>221847</v>
      </c>
      <c r="E450" s="45">
        <v>3</v>
      </c>
      <c r="F450" s="582"/>
      <c r="G450" s="585"/>
      <c r="H450" s="582"/>
      <c r="I450" s="585"/>
      <c r="J450" s="582">
        <v>115436</v>
      </c>
      <c r="K450" s="585">
        <v>112413</v>
      </c>
      <c r="L450" s="582">
        <v>13025</v>
      </c>
      <c r="M450" s="585">
        <v>12080</v>
      </c>
      <c r="N450" s="582">
        <v>124575</v>
      </c>
      <c r="O450" s="585">
        <v>123457</v>
      </c>
      <c r="P450" s="583">
        <f t="shared" si="126"/>
        <v>253036</v>
      </c>
      <c r="Q450" s="583">
        <f t="shared" si="127"/>
        <v>8434.5333333333328</v>
      </c>
      <c r="R450" s="584">
        <f t="shared" si="128"/>
        <v>247950</v>
      </c>
      <c r="S450" s="584">
        <f t="shared" si="129"/>
        <v>8265</v>
      </c>
      <c r="T450" s="582">
        <v>1074</v>
      </c>
      <c r="U450" s="585">
        <v>1208</v>
      </c>
      <c r="V450" s="583">
        <f t="shared" si="130"/>
        <v>253036</v>
      </c>
      <c r="W450" s="584">
        <f t="shared" si="131"/>
        <v>247950</v>
      </c>
      <c r="X450" s="582"/>
      <c r="Y450" s="585"/>
      <c r="Z450" s="582"/>
      <c r="AA450" s="585"/>
      <c r="AB450" s="582"/>
      <c r="AC450" s="585"/>
      <c r="AD450" s="582"/>
      <c r="AE450" s="585"/>
      <c r="AF450" s="583">
        <f t="shared" si="132"/>
        <v>0</v>
      </c>
      <c r="AG450" s="583">
        <f t="shared" si="133"/>
        <v>0</v>
      </c>
      <c r="AH450" s="584">
        <f t="shared" si="134"/>
        <v>0</v>
      </c>
      <c r="AI450" s="584">
        <f t="shared" si="135"/>
        <v>0</v>
      </c>
      <c r="AJ450" s="582"/>
      <c r="AK450" s="585"/>
      <c r="AL450" s="583">
        <f t="shared" si="118"/>
        <v>0</v>
      </c>
      <c r="AM450" s="584">
        <f t="shared" si="119"/>
        <v>0</v>
      </c>
      <c r="AN450" s="582"/>
      <c r="AO450" s="585"/>
      <c r="AP450" s="582">
        <v>6919</v>
      </c>
      <c r="AQ450" s="585">
        <v>7117</v>
      </c>
      <c r="AR450" s="582">
        <v>3398</v>
      </c>
      <c r="AS450" s="585">
        <v>3476</v>
      </c>
      <c r="AT450" s="582">
        <v>7354</v>
      </c>
      <c r="AU450" s="585">
        <v>7329</v>
      </c>
      <c r="AV450" s="583">
        <f t="shared" si="120"/>
        <v>17671</v>
      </c>
      <c r="AW450" s="583">
        <f t="shared" si="121"/>
        <v>736.29166666666663</v>
      </c>
      <c r="AX450" s="584">
        <f t="shared" si="122"/>
        <v>17922</v>
      </c>
      <c r="AY450" s="584">
        <f t="shared" si="123"/>
        <v>746.75</v>
      </c>
      <c r="AZ450" s="583">
        <f t="shared" si="124"/>
        <v>9170.8249999999989</v>
      </c>
      <c r="BA450" s="584">
        <f t="shared" si="125"/>
        <v>9011.75</v>
      </c>
    </row>
    <row r="451" spans="1:53" ht="14.5">
      <c r="A451" s="434" t="s">
        <v>405</v>
      </c>
      <c r="B451" s="43" t="s">
        <v>413</v>
      </c>
      <c r="C451" s="536"/>
      <c r="D451" s="45">
        <v>221740</v>
      </c>
      <c r="E451" s="45">
        <v>3</v>
      </c>
      <c r="F451" s="582"/>
      <c r="G451" s="585"/>
      <c r="H451" s="582"/>
      <c r="I451" s="585"/>
      <c r="J451" s="582">
        <v>124069</v>
      </c>
      <c r="K451" s="585">
        <v>124159</v>
      </c>
      <c r="L451" s="582">
        <v>17957</v>
      </c>
      <c r="M451" s="585">
        <v>16152</v>
      </c>
      <c r="N451" s="582">
        <v>140730</v>
      </c>
      <c r="O451" s="585">
        <v>143031</v>
      </c>
      <c r="P451" s="583">
        <f t="shared" si="126"/>
        <v>282756</v>
      </c>
      <c r="Q451" s="583">
        <f t="shared" si="127"/>
        <v>9425.2000000000007</v>
      </c>
      <c r="R451" s="584">
        <f t="shared" si="128"/>
        <v>283342</v>
      </c>
      <c r="S451" s="584">
        <f t="shared" si="129"/>
        <v>9444.7333333333336</v>
      </c>
      <c r="T451" s="582">
        <v>141</v>
      </c>
      <c r="U451" s="585">
        <v>124</v>
      </c>
      <c r="V451" s="583">
        <f t="shared" si="130"/>
        <v>282756</v>
      </c>
      <c r="W451" s="584">
        <f t="shared" si="131"/>
        <v>283342</v>
      </c>
      <c r="X451" s="582"/>
      <c r="Y451" s="585"/>
      <c r="Z451" s="582"/>
      <c r="AA451" s="585"/>
      <c r="AB451" s="582"/>
      <c r="AC451" s="585"/>
      <c r="AD451" s="582"/>
      <c r="AE451" s="585"/>
      <c r="AF451" s="583">
        <f t="shared" si="132"/>
        <v>0</v>
      </c>
      <c r="AG451" s="583">
        <f t="shared" si="133"/>
        <v>0</v>
      </c>
      <c r="AH451" s="584">
        <f t="shared" si="134"/>
        <v>0</v>
      </c>
      <c r="AI451" s="584">
        <f t="shared" si="135"/>
        <v>0</v>
      </c>
      <c r="AJ451" s="582"/>
      <c r="AK451" s="585"/>
      <c r="AL451" s="583">
        <f t="shared" si="118"/>
        <v>0</v>
      </c>
      <c r="AM451" s="584">
        <f t="shared" si="119"/>
        <v>0</v>
      </c>
      <c r="AN451" s="582"/>
      <c r="AO451" s="585"/>
      <c r="AP451" s="582">
        <v>11339</v>
      </c>
      <c r="AQ451" s="585">
        <v>11212</v>
      </c>
      <c r="AR451" s="582">
        <v>5565</v>
      </c>
      <c r="AS451" s="585">
        <v>5410</v>
      </c>
      <c r="AT451" s="582">
        <v>11971</v>
      </c>
      <c r="AU451" s="585">
        <v>11748</v>
      </c>
      <c r="AV451" s="583">
        <f t="shared" si="120"/>
        <v>28875</v>
      </c>
      <c r="AW451" s="583">
        <f t="shared" si="121"/>
        <v>1203.125</v>
      </c>
      <c r="AX451" s="584">
        <f t="shared" si="122"/>
        <v>28370</v>
      </c>
      <c r="AY451" s="584">
        <f t="shared" si="123"/>
        <v>1182.0833333333333</v>
      </c>
      <c r="AZ451" s="583">
        <f t="shared" si="124"/>
        <v>10628.325000000001</v>
      </c>
      <c r="BA451" s="584">
        <f t="shared" si="125"/>
        <v>10626.816666666668</v>
      </c>
    </row>
    <row r="452" spans="1:53" ht="14.5">
      <c r="A452" s="434" t="s">
        <v>405</v>
      </c>
      <c r="B452" s="43" t="s">
        <v>414</v>
      </c>
      <c r="C452" s="594" t="s">
        <v>916</v>
      </c>
      <c r="D452" s="45">
        <v>221768</v>
      </c>
      <c r="E452" s="45">
        <v>5</v>
      </c>
      <c r="F452" s="582"/>
      <c r="G452" s="585"/>
      <c r="H452" s="582"/>
      <c r="I452" s="585"/>
      <c r="J452" s="582">
        <v>74927</v>
      </c>
      <c r="K452" s="585">
        <v>73457</v>
      </c>
      <c r="L452" s="582">
        <v>11166</v>
      </c>
      <c r="M452" s="585">
        <v>9514</v>
      </c>
      <c r="N452" s="582">
        <v>81107</v>
      </c>
      <c r="O452" s="585">
        <v>80328</v>
      </c>
      <c r="P452" s="583">
        <f t="shared" si="126"/>
        <v>167200</v>
      </c>
      <c r="Q452" s="583">
        <f t="shared" si="127"/>
        <v>5573.333333333333</v>
      </c>
      <c r="R452" s="584">
        <f t="shared" si="128"/>
        <v>163299</v>
      </c>
      <c r="S452" s="584">
        <f t="shared" si="129"/>
        <v>5443.3</v>
      </c>
      <c r="T452" s="582">
        <v>7294</v>
      </c>
      <c r="U452" s="585">
        <v>10044</v>
      </c>
      <c r="V452" s="583">
        <f t="shared" si="130"/>
        <v>167200</v>
      </c>
      <c r="W452" s="584">
        <f t="shared" si="131"/>
        <v>163299</v>
      </c>
      <c r="X452" s="582"/>
      <c r="Y452" s="585"/>
      <c r="Z452" s="582"/>
      <c r="AA452" s="585"/>
      <c r="AB452" s="582"/>
      <c r="AC452" s="585"/>
      <c r="AD452" s="582"/>
      <c r="AE452" s="585"/>
      <c r="AF452" s="583">
        <f t="shared" si="132"/>
        <v>0</v>
      </c>
      <c r="AG452" s="583">
        <f t="shared" si="133"/>
        <v>0</v>
      </c>
      <c r="AH452" s="584">
        <f t="shared" si="134"/>
        <v>0</v>
      </c>
      <c r="AI452" s="584">
        <f t="shared" si="135"/>
        <v>0</v>
      </c>
      <c r="AJ452" s="582"/>
      <c r="AK452" s="585"/>
      <c r="AL452" s="583">
        <f t="shared" si="118"/>
        <v>0</v>
      </c>
      <c r="AM452" s="584">
        <f t="shared" si="119"/>
        <v>0</v>
      </c>
      <c r="AN452" s="582"/>
      <c r="AO452" s="585"/>
      <c r="AP452" s="582">
        <v>2347</v>
      </c>
      <c r="AQ452" s="585">
        <v>2050</v>
      </c>
      <c r="AR452" s="582">
        <v>1241</v>
      </c>
      <c r="AS452" s="585">
        <v>1334</v>
      </c>
      <c r="AT452" s="582">
        <v>2098</v>
      </c>
      <c r="AU452" s="585">
        <v>3498</v>
      </c>
      <c r="AV452" s="583">
        <f t="shared" si="120"/>
        <v>5686</v>
      </c>
      <c r="AW452" s="583">
        <f t="shared" si="121"/>
        <v>236.91666666666666</v>
      </c>
      <c r="AX452" s="584">
        <f t="shared" si="122"/>
        <v>6882</v>
      </c>
      <c r="AY452" s="584">
        <f t="shared" si="123"/>
        <v>286.75</v>
      </c>
      <c r="AZ452" s="583">
        <f t="shared" si="124"/>
        <v>5810.25</v>
      </c>
      <c r="BA452" s="584">
        <f t="shared" si="125"/>
        <v>5730.05</v>
      </c>
    </row>
    <row r="453" spans="1:53" ht="14.5">
      <c r="A453" s="434" t="s">
        <v>405</v>
      </c>
      <c r="B453" s="43" t="s">
        <v>415</v>
      </c>
      <c r="C453" s="537"/>
      <c r="D453" s="45">
        <v>219824</v>
      </c>
      <c r="E453" s="45">
        <v>8</v>
      </c>
      <c r="F453" s="582"/>
      <c r="G453" s="585"/>
      <c r="H453" s="582"/>
      <c r="I453" s="585"/>
      <c r="J453" s="582">
        <v>70098</v>
      </c>
      <c r="K453" s="585">
        <v>69438</v>
      </c>
      <c r="L453" s="582">
        <v>14254</v>
      </c>
      <c r="M453" s="585">
        <v>13746</v>
      </c>
      <c r="N453" s="582">
        <v>84446</v>
      </c>
      <c r="O453" s="585">
        <v>80751</v>
      </c>
      <c r="P453" s="583">
        <f t="shared" si="126"/>
        <v>168798</v>
      </c>
      <c r="Q453" s="583">
        <f t="shared" si="127"/>
        <v>5626.6</v>
      </c>
      <c r="R453" s="584">
        <f t="shared" si="128"/>
        <v>163935</v>
      </c>
      <c r="S453" s="584">
        <f t="shared" si="129"/>
        <v>5464.5</v>
      </c>
      <c r="T453" s="582">
        <v>13584</v>
      </c>
      <c r="U453" s="585">
        <v>13493</v>
      </c>
      <c r="V453" s="583">
        <f t="shared" si="130"/>
        <v>168798</v>
      </c>
      <c r="W453" s="584">
        <f t="shared" si="131"/>
        <v>163935</v>
      </c>
      <c r="X453" s="582"/>
      <c r="Y453" s="585"/>
      <c r="Z453" s="582"/>
      <c r="AA453" s="585"/>
      <c r="AB453" s="582"/>
      <c r="AC453" s="585"/>
      <c r="AD453" s="582"/>
      <c r="AE453" s="585"/>
      <c r="AF453" s="583">
        <f t="shared" si="132"/>
        <v>0</v>
      </c>
      <c r="AG453" s="583">
        <f t="shared" si="133"/>
        <v>0</v>
      </c>
      <c r="AH453" s="584">
        <f t="shared" si="134"/>
        <v>0</v>
      </c>
      <c r="AI453" s="584">
        <f t="shared" si="135"/>
        <v>0</v>
      </c>
      <c r="AJ453" s="582"/>
      <c r="AK453" s="585"/>
      <c r="AL453" s="583">
        <f t="shared" si="118"/>
        <v>0</v>
      </c>
      <c r="AM453" s="584">
        <f t="shared" si="119"/>
        <v>0</v>
      </c>
      <c r="AN453" s="582"/>
      <c r="AO453" s="585"/>
      <c r="AP453" s="582"/>
      <c r="AQ453" s="585"/>
      <c r="AR453" s="582"/>
      <c r="AS453" s="585"/>
      <c r="AT453" s="582"/>
      <c r="AU453" s="585"/>
      <c r="AV453" s="583">
        <f t="shared" si="120"/>
        <v>0</v>
      </c>
      <c r="AW453" s="583">
        <f t="shared" si="121"/>
        <v>0</v>
      </c>
      <c r="AX453" s="584">
        <f t="shared" si="122"/>
        <v>0</v>
      </c>
      <c r="AY453" s="584">
        <f t="shared" si="123"/>
        <v>0</v>
      </c>
      <c r="AZ453" s="583">
        <f t="shared" si="124"/>
        <v>5626.6</v>
      </c>
      <c r="BA453" s="584">
        <f t="shared" si="125"/>
        <v>5464.5</v>
      </c>
    </row>
    <row r="454" spans="1:53" ht="14.5">
      <c r="A454" s="434" t="s">
        <v>405</v>
      </c>
      <c r="B454" s="43" t="s">
        <v>416</v>
      </c>
      <c r="C454" s="537"/>
      <c r="D454" s="45">
        <v>221184</v>
      </c>
      <c r="E454" s="45">
        <v>8</v>
      </c>
      <c r="F454" s="582"/>
      <c r="G454" s="585"/>
      <c r="H454" s="582"/>
      <c r="I454" s="585"/>
      <c r="J454" s="582">
        <v>65660</v>
      </c>
      <c r="K454" s="585">
        <v>67812</v>
      </c>
      <c r="L454" s="582">
        <v>13978</v>
      </c>
      <c r="M454" s="585">
        <v>14219</v>
      </c>
      <c r="N454" s="582">
        <v>77602</v>
      </c>
      <c r="O454" s="585">
        <v>74753</v>
      </c>
      <c r="P454" s="583">
        <f t="shared" si="126"/>
        <v>157240</v>
      </c>
      <c r="Q454" s="583">
        <f t="shared" si="127"/>
        <v>5241.333333333333</v>
      </c>
      <c r="R454" s="584">
        <f t="shared" si="128"/>
        <v>156784</v>
      </c>
      <c r="S454" s="584">
        <f t="shared" si="129"/>
        <v>5226.1333333333332</v>
      </c>
      <c r="T454" s="582">
        <v>8226</v>
      </c>
      <c r="U454" s="585">
        <v>8569</v>
      </c>
      <c r="V454" s="583">
        <f t="shared" si="130"/>
        <v>157240</v>
      </c>
      <c r="W454" s="584">
        <f t="shared" si="131"/>
        <v>156784</v>
      </c>
      <c r="X454" s="582"/>
      <c r="Y454" s="585"/>
      <c r="Z454" s="582"/>
      <c r="AA454" s="585"/>
      <c r="AB454" s="582"/>
      <c r="AC454" s="585"/>
      <c r="AD454" s="582"/>
      <c r="AE454" s="585"/>
      <c r="AF454" s="583">
        <f t="shared" si="132"/>
        <v>0</v>
      </c>
      <c r="AG454" s="583">
        <f t="shared" si="133"/>
        <v>0</v>
      </c>
      <c r="AH454" s="584">
        <f t="shared" si="134"/>
        <v>0</v>
      </c>
      <c r="AI454" s="584">
        <f t="shared" si="135"/>
        <v>0</v>
      </c>
      <c r="AJ454" s="582"/>
      <c r="AK454" s="585"/>
      <c r="AL454" s="583">
        <f t="shared" si="118"/>
        <v>0</v>
      </c>
      <c r="AM454" s="584">
        <f t="shared" si="119"/>
        <v>0</v>
      </c>
      <c r="AN454" s="582"/>
      <c r="AO454" s="585"/>
      <c r="AP454" s="582"/>
      <c r="AQ454" s="585"/>
      <c r="AR454" s="582"/>
      <c r="AS454" s="585"/>
      <c r="AT454" s="582"/>
      <c r="AU454" s="585"/>
      <c r="AV454" s="583">
        <f t="shared" si="120"/>
        <v>0</v>
      </c>
      <c r="AW454" s="583">
        <f t="shared" si="121"/>
        <v>0</v>
      </c>
      <c r="AX454" s="584">
        <f t="shared" si="122"/>
        <v>0</v>
      </c>
      <c r="AY454" s="584">
        <f t="shared" si="123"/>
        <v>0</v>
      </c>
      <c r="AZ454" s="583">
        <f t="shared" si="124"/>
        <v>5241.333333333333</v>
      </c>
      <c r="BA454" s="584">
        <f t="shared" si="125"/>
        <v>5226.1333333333332</v>
      </c>
    </row>
    <row r="455" spans="1:53" ht="14.5">
      <c r="A455" s="434" t="s">
        <v>405</v>
      </c>
      <c r="B455" s="43" t="s">
        <v>417</v>
      </c>
      <c r="C455" s="537"/>
      <c r="D455" s="45">
        <v>221643</v>
      </c>
      <c r="E455" s="45">
        <v>8</v>
      </c>
      <c r="F455" s="582"/>
      <c r="G455" s="585"/>
      <c r="H455" s="582"/>
      <c r="I455" s="585"/>
      <c r="J455" s="582">
        <v>92278</v>
      </c>
      <c r="K455" s="585">
        <v>90800</v>
      </c>
      <c r="L455" s="582">
        <v>20417</v>
      </c>
      <c r="M455" s="585">
        <v>19102</v>
      </c>
      <c r="N455" s="582">
        <v>108027</v>
      </c>
      <c r="O455" s="585">
        <v>104584</v>
      </c>
      <c r="P455" s="583">
        <f t="shared" si="126"/>
        <v>220722</v>
      </c>
      <c r="Q455" s="583">
        <f t="shared" si="127"/>
        <v>7357.4</v>
      </c>
      <c r="R455" s="584">
        <f t="shared" si="128"/>
        <v>214486</v>
      </c>
      <c r="S455" s="584">
        <f t="shared" si="129"/>
        <v>7149.5333333333338</v>
      </c>
      <c r="T455" s="582">
        <v>10406</v>
      </c>
      <c r="U455" s="585">
        <v>11325</v>
      </c>
      <c r="V455" s="583">
        <f t="shared" si="130"/>
        <v>220722</v>
      </c>
      <c r="W455" s="584">
        <f t="shared" si="131"/>
        <v>214486</v>
      </c>
      <c r="X455" s="582"/>
      <c r="Y455" s="585"/>
      <c r="Z455" s="582"/>
      <c r="AA455" s="585"/>
      <c r="AB455" s="582"/>
      <c r="AC455" s="585"/>
      <c r="AD455" s="582"/>
      <c r="AE455" s="585"/>
      <c r="AF455" s="583">
        <f t="shared" si="132"/>
        <v>0</v>
      </c>
      <c r="AG455" s="583">
        <f t="shared" si="133"/>
        <v>0</v>
      </c>
      <c r="AH455" s="584">
        <f t="shared" si="134"/>
        <v>0</v>
      </c>
      <c r="AI455" s="584">
        <f t="shared" si="135"/>
        <v>0</v>
      </c>
      <c r="AJ455" s="582"/>
      <c r="AK455" s="585"/>
      <c r="AL455" s="583">
        <f t="shared" ref="AL455:AL518" si="136">IF(ISBLANK(AJ455),0,AF455)</f>
        <v>0</v>
      </c>
      <c r="AM455" s="584">
        <f t="shared" ref="AM455:AM518" si="137">IF(ISBLANK(AK455),0,AH455)</f>
        <v>0</v>
      </c>
      <c r="AN455" s="582"/>
      <c r="AO455" s="585"/>
      <c r="AP455" s="582"/>
      <c r="AQ455" s="585"/>
      <c r="AR455" s="582"/>
      <c r="AS455" s="585"/>
      <c r="AT455" s="582"/>
      <c r="AU455" s="585"/>
      <c r="AV455" s="583">
        <f t="shared" ref="AV455:AV518" si="138">SUM(AN455,AP455,AR455,AT455)</f>
        <v>0</v>
      </c>
      <c r="AW455" s="583">
        <f t="shared" ref="AW455:AW518" si="139">+AV455/24</f>
        <v>0</v>
      </c>
      <c r="AX455" s="584">
        <f t="shared" ref="AX455:AX518" si="140">SUM(AO455,AQ455,AS455,AU455)</f>
        <v>0</v>
      </c>
      <c r="AY455" s="584">
        <f t="shared" ref="AY455:AY518" si="141">+AX455/24</f>
        <v>0</v>
      </c>
      <c r="AZ455" s="583">
        <f t="shared" ref="AZ455:AZ518" si="142">SUM(Q455,AG455,AW455)</f>
        <v>7357.4</v>
      </c>
      <c r="BA455" s="584">
        <f t="shared" ref="BA455:BA518" si="143">SUM(S455,AI455,AY455)</f>
        <v>7149.5333333333338</v>
      </c>
    </row>
    <row r="456" spans="1:53" ht="14.5">
      <c r="A456" s="434" t="s">
        <v>405</v>
      </c>
      <c r="B456" s="43" t="s">
        <v>418</v>
      </c>
      <c r="C456" s="537"/>
      <c r="D456" s="45">
        <v>221485</v>
      </c>
      <c r="E456" s="45">
        <v>8</v>
      </c>
      <c r="F456" s="582"/>
      <c r="G456" s="585"/>
      <c r="H456" s="582"/>
      <c r="I456" s="585"/>
      <c r="J456" s="582">
        <v>74436</v>
      </c>
      <c r="K456" s="585">
        <v>76993</v>
      </c>
      <c r="L456" s="582">
        <v>19546</v>
      </c>
      <c r="M456" s="585">
        <v>19798</v>
      </c>
      <c r="N456" s="582">
        <v>92128</v>
      </c>
      <c r="O456" s="585">
        <v>90732</v>
      </c>
      <c r="P456" s="583">
        <f t="shared" si="126"/>
        <v>186110</v>
      </c>
      <c r="Q456" s="583">
        <f t="shared" si="127"/>
        <v>6203.666666666667</v>
      </c>
      <c r="R456" s="584">
        <f t="shared" si="128"/>
        <v>187523</v>
      </c>
      <c r="S456" s="584">
        <f t="shared" si="129"/>
        <v>6250.7666666666664</v>
      </c>
      <c r="T456" s="582">
        <v>4128</v>
      </c>
      <c r="U456" s="585">
        <v>5807</v>
      </c>
      <c r="V456" s="583">
        <f t="shared" si="130"/>
        <v>186110</v>
      </c>
      <c r="W456" s="584">
        <f t="shared" si="131"/>
        <v>187523</v>
      </c>
      <c r="X456" s="582"/>
      <c r="Y456" s="585"/>
      <c r="Z456" s="582"/>
      <c r="AA456" s="585"/>
      <c r="AB456" s="582"/>
      <c r="AC456" s="585"/>
      <c r="AD456" s="582"/>
      <c r="AE456" s="585"/>
      <c r="AF456" s="583">
        <f t="shared" si="132"/>
        <v>0</v>
      </c>
      <c r="AG456" s="583">
        <f t="shared" si="133"/>
        <v>0</v>
      </c>
      <c r="AH456" s="584">
        <f t="shared" si="134"/>
        <v>0</v>
      </c>
      <c r="AI456" s="584">
        <f t="shared" si="135"/>
        <v>0</v>
      </c>
      <c r="AJ456" s="582"/>
      <c r="AK456" s="585"/>
      <c r="AL456" s="583">
        <f t="shared" si="136"/>
        <v>0</v>
      </c>
      <c r="AM456" s="584">
        <f t="shared" si="137"/>
        <v>0</v>
      </c>
      <c r="AN456" s="582"/>
      <c r="AO456" s="585"/>
      <c r="AP456" s="582"/>
      <c r="AQ456" s="585"/>
      <c r="AR456" s="582"/>
      <c r="AS456" s="585"/>
      <c r="AT456" s="582"/>
      <c r="AU456" s="585"/>
      <c r="AV456" s="583">
        <f t="shared" si="138"/>
        <v>0</v>
      </c>
      <c r="AW456" s="583">
        <f t="shared" si="139"/>
        <v>0</v>
      </c>
      <c r="AX456" s="584">
        <f t="shared" si="140"/>
        <v>0</v>
      </c>
      <c r="AY456" s="584">
        <f t="shared" si="141"/>
        <v>0</v>
      </c>
      <c r="AZ456" s="583">
        <f t="shared" si="142"/>
        <v>6203.666666666667</v>
      </c>
      <c r="BA456" s="584">
        <f t="shared" si="143"/>
        <v>6250.7666666666664</v>
      </c>
    </row>
    <row r="457" spans="1:53" ht="14.5">
      <c r="A457" s="434" t="s">
        <v>405</v>
      </c>
      <c r="B457" s="43" t="s">
        <v>419</v>
      </c>
      <c r="C457" s="537"/>
      <c r="D457" s="45">
        <v>222053</v>
      </c>
      <c r="E457" s="45">
        <v>8</v>
      </c>
      <c r="F457" s="582"/>
      <c r="G457" s="585"/>
      <c r="H457" s="582"/>
      <c r="I457" s="585"/>
      <c r="J457" s="582">
        <v>74214</v>
      </c>
      <c r="K457" s="585">
        <v>76607</v>
      </c>
      <c r="L457" s="582">
        <v>13845</v>
      </c>
      <c r="M457" s="585">
        <v>16562</v>
      </c>
      <c r="N457" s="582">
        <v>93797</v>
      </c>
      <c r="O457" s="585">
        <v>92214</v>
      </c>
      <c r="P457" s="583">
        <f t="shared" si="126"/>
        <v>181856</v>
      </c>
      <c r="Q457" s="583">
        <f t="shared" si="127"/>
        <v>6061.8666666666668</v>
      </c>
      <c r="R457" s="584">
        <f t="shared" si="128"/>
        <v>185383</v>
      </c>
      <c r="S457" s="584">
        <f t="shared" si="129"/>
        <v>6179.4333333333334</v>
      </c>
      <c r="T457" s="582">
        <v>17419</v>
      </c>
      <c r="U457" s="585">
        <v>17302</v>
      </c>
      <c r="V457" s="583">
        <f t="shared" si="130"/>
        <v>181856</v>
      </c>
      <c r="W457" s="584">
        <f t="shared" si="131"/>
        <v>185383</v>
      </c>
      <c r="X457" s="582"/>
      <c r="Y457" s="585"/>
      <c r="Z457" s="582"/>
      <c r="AA457" s="585"/>
      <c r="AB457" s="582"/>
      <c r="AC457" s="585"/>
      <c r="AD457" s="582"/>
      <c r="AE457" s="585"/>
      <c r="AF457" s="583">
        <f t="shared" si="132"/>
        <v>0</v>
      </c>
      <c r="AG457" s="583">
        <f t="shared" si="133"/>
        <v>0</v>
      </c>
      <c r="AH457" s="584">
        <f t="shared" si="134"/>
        <v>0</v>
      </c>
      <c r="AI457" s="584">
        <f t="shared" si="135"/>
        <v>0</v>
      </c>
      <c r="AJ457" s="582"/>
      <c r="AK457" s="585"/>
      <c r="AL457" s="583">
        <f t="shared" si="136"/>
        <v>0</v>
      </c>
      <c r="AM457" s="584">
        <f t="shared" si="137"/>
        <v>0</v>
      </c>
      <c r="AN457" s="582"/>
      <c r="AO457" s="585"/>
      <c r="AP457" s="582"/>
      <c r="AQ457" s="585"/>
      <c r="AR457" s="582"/>
      <c r="AS457" s="585"/>
      <c r="AT457" s="582"/>
      <c r="AU457" s="585"/>
      <c r="AV457" s="583">
        <f t="shared" si="138"/>
        <v>0</v>
      </c>
      <c r="AW457" s="583">
        <f t="shared" si="139"/>
        <v>0</v>
      </c>
      <c r="AX457" s="584">
        <f t="shared" si="140"/>
        <v>0</v>
      </c>
      <c r="AY457" s="584">
        <f t="shared" si="141"/>
        <v>0</v>
      </c>
      <c r="AZ457" s="583">
        <f t="shared" si="142"/>
        <v>6061.8666666666668</v>
      </c>
      <c r="BA457" s="584">
        <f t="shared" si="143"/>
        <v>6179.4333333333334</v>
      </c>
    </row>
    <row r="458" spans="1:53" ht="14.5">
      <c r="A458" s="434" t="s">
        <v>405</v>
      </c>
      <c r="B458" s="43" t="s">
        <v>420</v>
      </c>
      <c r="C458" s="537"/>
      <c r="D458" s="45">
        <v>219879</v>
      </c>
      <c r="E458" s="45">
        <v>9</v>
      </c>
      <c r="F458" s="582"/>
      <c r="G458" s="585"/>
      <c r="H458" s="582"/>
      <c r="I458" s="585"/>
      <c r="J458" s="582">
        <v>25643</v>
      </c>
      <c r="K458" s="585">
        <v>27350</v>
      </c>
      <c r="L458" s="582">
        <v>5290</v>
      </c>
      <c r="M458" s="585">
        <v>4996</v>
      </c>
      <c r="N458" s="582">
        <v>33008</v>
      </c>
      <c r="O458" s="585">
        <v>35121</v>
      </c>
      <c r="P458" s="583">
        <f t="shared" si="126"/>
        <v>63941</v>
      </c>
      <c r="Q458" s="583">
        <f t="shared" si="127"/>
        <v>2131.3666666666668</v>
      </c>
      <c r="R458" s="584">
        <f t="shared" si="128"/>
        <v>67467</v>
      </c>
      <c r="S458" s="584">
        <f t="shared" si="129"/>
        <v>2248.9</v>
      </c>
      <c r="T458" s="582">
        <v>8009</v>
      </c>
      <c r="U458" s="585">
        <v>9627</v>
      </c>
      <c r="V458" s="583">
        <f t="shared" si="130"/>
        <v>63941</v>
      </c>
      <c r="W458" s="584">
        <f t="shared" si="131"/>
        <v>67467</v>
      </c>
      <c r="X458" s="582"/>
      <c r="Y458" s="585"/>
      <c r="Z458" s="582"/>
      <c r="AA458" s="585"/>
      <c r="AB458" s="582"/>
      <c r="AC458" s="585"/>
      <c r="AD458" s="582"/>
      <c r="AE458" s="585"/>
      <c r="AF458" s="583">
        <f t="shared" si="132"/>
        <v>0</v>
      </c>
      <c r="AG458" s="583">
        <f t="shared" si="133"/>
        <v>0</v>
      </c>
      <c r="AH458" s="584">
        <f t="shared" si="134"/>
        <v>0</v>
      </c>
      <c r="AI458" s="584">
        <f t="shared" si="135"/>
        <v>0</v>
      </c>
      <c r="AJ458" s="582"/>
      <c r="AK458" s="585"/>
      <c r="AL458" s="583">
        <f t="shared" si="136"/>
        <v>0</v>
      </c>
      <c r="AM458" s="584">
        <f t="shared" si="137"/>
        <v>0</v>
      </c>
      <c r="AN458" s="582"/>
      <c r="AO458" s="585"/>
      <c r="AP458" s="582"/>
      <c r="AQ458" s="585"/>
      <c r="AR458" s="582"/>
      <c r="AS458" s="585"/>
      <c r="AT458" s="582"/>
      <c r="AU458" s="585"/>
      <c r="AV458" s="583">
        <f t="shared" si="138"/>
        <v>0</v>
      </c>
      <c r="AW458" s="583">
        <f t="shared" si="139"/>
        <v>0</v>
      </c>
      <c r="AX458" s="584">
        <f t="shared" si="140"/>
        <v>0</v>
      </c>
      <c r="AY458" s="584">
        <f t="shared" si="141"/>
        <v>0</v>
      </c>
      <c r="AZ458" s="583">
        <f t="shared" si="142"/>
        <v>2131.3666666666668</v>
      </c>
      <c r="BA458" s="584">
        <f t="shared" si="143"/>
        <v>2248.9</v>
      </c>
    </row>
    <row r="459" spans="1:53" ht="14.5">
      <c r="A459" s="434" t="s">
        <v>405</v>
      </c>
      <c r="B459" s="43" t="s">
        <v>421</v>
      </c>
      <c r="C459" s="537"/>
      <c r="D459" s="45">
        <v>219888</v>
      </c>
      <c r="E459" s="45">
        <v>9</v>
      </c>
      <c r="F459" s="582"/>
      <c r="G459" s="585"/>
      <c r="H459" s="582"/>
      <c r="I459" s="585"/>
      <c r="J459" s="582">
        <v>51237</v>
      </c>
      <c r="K459" s="585">
        <v>54455</v>
      </c>
      <c r="L459" s="582">
        <v>11126</v>
      </c>
      <c r="M459" s="585">
        <v>11593</v>
      </c>
      <c r="N459" s="582">
        <v>65409</v>
      </c>
      <c r="O459" s="585">
        <v>66974</v>
      </c>
      <c r="P459" s="583">
        <f t="shared" si="126"/>
        <v>127772</v>
      </c>
      <c r="Q459" s="583">
        <f t="shared" si="127"/>
        <v>4259.0666666666666</v>
      </c>
      <c r="R459" s="584">
        <f t="shared" si="128"/>
        <v>133022</v>
      </c>
      <c r="S459" s="584">
        <f t="shared" si="129"/>
        <v>4434.0666666666666</v>
      </c>
      <c r="T459" s="582">
        <v>8293</v>
      </c>
      <c r="U459" s="585">
        <v>9327</v>
      </c>
      <c r="V459" s="583">
        <f t="shared" si="130"/>
        <v>127772</v>
      </c>
      <c r="W459" s="584">
        <f t="shared" si="131"/>
        <v>133022</v>
      </c>
      <c r="X459" s="582"/>
      <c r="Y459" s="585"/>
      <c r="Z459" s="582"/>
      <c r="AA459" s="585"/>
      <c r="AB459" s="582"/>
      <c r="AC459" s="585"/>
      <c r="AD459" s="582"/>
      <c r="AE459" s="585"/>
      <c r="AF459" s="583">
        <f t="shared" si="132"/>
        <v>0</v>
      </c>
      <c r="AG459" s="583">
        <f t="shared" si="133"/>
        <v>0</v>
      </c>
      <c r="AH459" s="584">
        <f t="shared" si="134"/>
        <v>0</v>
      </c>
      <c r="AI459" s="584">
        <f t="shared" si="135"/>
        <v>0</v>
      </c>
      <c r="AJ459" s="582"/>
      <c r="AK459" s="585"/>
      <c r="AL459" s="583">
        <f t="shared" si="136"/>
        <v>0</v>
      </c>
      <c r="AM459" s="584">
        <f t="shared" si="137"/>
        <v>0</v>
      </c>
      <c r="AN459" s="582"/>
      <c r="AO459" s="585"/>
      <c r="AP459" s="582"/>
      <c r="AQ459" s="585"/>
      <c r="AR459" s="582"/>
      <c r="AS459" s="585"/>
      <c r="AT459" s="582"/>
      <c r="AU459" s="585"/>
      <c r="AV459" s="583">
        <f t="shared" si="138"/>
        <v>0</v>
      </c>
      <c r="AW459" s="583">
        <f t="shared" si="139"/>
        <v>0</v>
      </c>
      <c r="AX459" s="584">
        <f t="shared" si="140"/>
        <v>0</v>
      </c>
      <c r="AY459" s="584">
        <f t="shared" si="141"/>
        <v>0</v>
      </c>
      <c r="AZ459" s="583">
        <f t="shared" si="142"/>
        <v>4259.0666666666666</v>
      </c>
      <c r="BA459" s="584">
        <f t="shared" si="143"/>
        <v>4434.0666666666666</v>
      </c>
    </row>
    <row r="460" spans="1:53" ht="14.5">
      <c r="A460" s="434" t="s">
        <v>405</v>
      </c>
      <c r="B460" s="43" t="s">
        <v>423</v>
      </c>
      <c r="C460" s="537"/>
      <c r="D460" s="45">
        <v>220400</v>
      </c>
      <c r="E460" s="45">
        <v>9</v>
      </c>
      <c r="F460" s="582"/>
      <c r="G460" s="585"/>
      <c r="H460" s="582"/>
      <c r="I460" s="585"/>
      <c r="J460" s="582">
        <v>38376</v>
      </c>
      <c r="K460" s="585">
        <v>37080</v>
      </c>
      <c r="L460" s="582">
        <v>7022</v>
      </c>
      <c r="M460" s="585">
        <v>7397</v>
      </c>
      <c r="N460" s="582">
        <v>45582</v>
      </c>
      <c r="O460" s="585">
        <v>47019</v>
      </c>
      <c r="P460" s="583">
        <f t="shared" si="126"/>
        <v>90980</v>
      </c>
      <c r="Q460" s="583">
        <f t="shared" si="127"/>
        <v>3032.6666666666665</v>
      </c>
      <c r="R460" s="584">
        <f t="shared" si="128"/>
        <v>91496</v>
      </c>
      <c r="S460" s="584">
        <f t="shared" si="129"/>
        <v>3049.8666666666668</v>
      </c>
      <c r="T460" s="582">
        <v>13050</v>
      </c>
      <c r="U460" s="585">
        <v>12523</v>
      </c>
      <c r="V460" s="583">
        <f t="shared" si="130"/>
        <v>90980</v>
      </c>
      <c r="W460" s="584">
        <f t="shared" si="131"/>
        <v>91496</v>
      </c>
      <c r="X460" s="582"/>
      <c r="Y460" s="585"/>
      <c r="Z460" s="582"/>
      <c r="AA460" s="585"/>
      <c r="AB460" s="582"/>
      <c r="AC460" s="585"/>
      <c r="AD460" s="582"/>
      <c r="AE460" s="585"/>
      <c r="AF460" s="583">
        <f t="shared" si="132"/>
        <v>0</v>
      </c>
      <c r="AG460" s="583">
        <f t="shared" si="133"/>
        <v>0</v>
      </c>
      <c r="AH460" s="584">
        <f t="shared" si="134"/>
        <v>0</v>
      </c>
      <c r="AI460" s="584">
        <f t="shared" si="135"/>
        <v>0</v>
      </c>
      <c r="AJ460" s="582"/>
      <c r="AK460" s="585"/>
      <c r="AL460" s="583">
        <f t="shared" si="136"/>
        <v>0</v>
      </c>
      <c r="AM460" s="584">
        <f t="shared" si="137"/>
        <v>0</v>
      </c>
      <c r="AN460" s="582"/>
      <c r="AO460" s="585"/>
      <c r="AP460" s="582"/>
      <c r="AQ460" s="585"/>
      <c r="AR460" s="582"/>
      <c r="AS460" s="585"/>
      <c r="AT460" s="582"/>
      <c r="AU460" s="585"/>
      <c r="AV460" s="583">
        <f t="shared" si="138"/>
        <v>0</v>
      </c>
      <c r="AW460" s="583">
        <f t="shared" si="139"/>
        <v>0</v>
      </c>
      <c r="AX460" s="584">
        <f t="shared" si="140"/>
        <v>0</v>
      </c>
      <c r="AY460" s="584">
        <f t="shared" si="141"/>
        <v>0</v>
      </c>
      <c r="AZ460" s="583">
        <f t="shared" si="142"/>
        <v>3032.6666666666665</v>
      </c>
      <c r="BA460" s="584">
        <f t="shared" si="143"/>
        <v>3049.8666666666668</v>
      </c>
    </row>
    <row r="461" spans="1:53" ht="14.5">
      <c r="A461" s="434" t="s">
        <v>405</v>
      </c>
      <c r="B461" s="43" t="s">
        <v>424</v>
      </c>
      <c r="C461" s="537"/>
      <c r="D461" s="45">
        <v>221096</v>
      </c>
      <c r="E461" s="45">
        <v>9</v>
      </c>
      <c r="F461" s="582"/>
      <c r="G461" s="585"/>
      <c r="H461" s="582"/>
      <c r="I461" s="585"/>
      <c r="J461" s="582">
        <v>53674</v>
      </c>
      <c r="K461" s="585">
        <v>57936</v>
      </c>
      <c r="L461" s="582">
        <v>8886</v>
      </c>
      <c r="M461" s="585">
        <v>12666</v>
      </c>
      <c r="N461" s="582">
        <v>68357</v>
      </c>
      <c r="O461" s="585">
        <v>68563</v>
      </c>
      <c r="P461" s="583">
        <f t="shared" si="126"/>
        <v>130917</v>
      </c>
      <c r="Q461" s="583">
        <f t="shared" si="127"/>
        <v>4363.8999999999996</v>
      </c>
      <c r="R461" s="584">
        <f t="shared" si="128"/>
        <v>139165</v>
      </c>
      <c r="S461" s="584">
        <f t="shared" si="129"/>
        <v>4638.833333333333</v>
      </c>
      <c r="T461" s="582">
        <v>16630</v>
      </c>
      <c r="U461" s="585">
        <v>18577</v>
      </c>
      <c r="V461" s="583">
        <f t="shared" si="130"/>
        <v>130917</v>
      </c>
      <c r="W461" s="584">
        <f t="shared" si="131"/>
        <v>139165</v>
      </c>
      <c r="X461" s="582"/>
      <c r="Y461" s="585"/>
      <c r="Z461" s="582"/>
      <c r="AA461" s="585"/>
      <c r="AB461" s="582"/>
      <c r="AC461" s="585"/>
      <c r="AD461" s="582"/>
      <c r="AE461" s="585"/>
      <c r="AF461" s="583">
        <f t="shared" si="132"/>
        <v>0</v>
      </c>
      <c r="AG461" s="583">
        <f t="shared" si="133"/>
        <v>0</v>
      </c>
      <c r="AH461" s="584">
        <f t="shared" si="134"/>
        <v>0</v>
      </c>
      <c r="AI461" s="584">
        <f t="shared" si="135"/>
        <v>0</v>
      </c>
      <c r="AJ461" s="582"/>
      <c r="AK461" s="585"/>
      <c r="AL461" s="583">
        <f t="shared" si="136"/>
        <v>0</v>
      </c>
      <c r="AM461" s="584">
        <f t="shared" si="137"/>
        <v>0</v>
      </c>
      <c r="AN461" s="582"/>
      <c r="AO461" s="585"/>
      <c r="AP461" s="582"/>
      <c r="AQ461" s="585"/>
      <c r="AR461" s="582"/>
      <c r="AS461" s="585"/>
      <c r="AT461" s="582"/>
      <c r="AU461" s="585"/>
      <c r="AV461" s="583">
        <f t="shared" si="138"/>
        <v>0</v>
      </c>
      <c r="AW461" s="583">
        <f t="shared" si="139"/>
        <v>0</v>
      </c>
      <c r="AX461" s="584">
        <f t="shared" si="140"/>
        <v>0</v>
      </c>
      <c r="AY461" s="584">
        <f t="shared" si="141"/>
        <v>0</v>
      </c>
      <c r="AZ461" s="583">
        <f t="shared" si="142"/>
        <v>4363.8999999999996</v>
      </c>
      <c r="BA461" s="584">
        <f t="shared" si="143"/>
        <v>4638.833333333333</v>
      </c>
    </row>
    <row r="462" spans="1:53" ht="14.5">
      <c r="A462" s="434" t="s">
        <v>405</v>
      </c>
      <c r="B462" s="43" t="s">
        <v>425</v>
      </c>
      <c r="C462" s="537"/>
      <c r="D462" s="45">
        <v>221908</v>
      </c>
      <c r="E462" s="45">
        <v>9</v>
      </c>
      <c r="F462" s="582"/>
      <c r="G462" s="585"/>
      <c r="H462" s="582"/>
      <c r="I462" s="585"/>
      <c r="J462" s="582">
        <v>52388</v>
      </c>
      <c r="K462" s="585">
        <v>53136</v>
      </c>
      <c r="L462" s="582">
        <v>6939</v>
      </c>
      <c r="M462" s="585">
        <v>7764</v>
      </c>
      <c r="N462" s="582">
        <v>64218</v>
      </c>
      <c r="O462" s="585">
        <v>62645</v>
      </c>
      <c r="P462" s="583">
        <f t="shared" si="126"/>
        <v>123545</v>
      </c>
      <c r="Q462" s="583">
        <f t="shared" si="127"/>
        <v>4118.166666666667</v>
      </c>
      <c r="R462" s="584">
        <f t="shared" si="128"/>
        <v>123545</v>
      </c>
      <c r="S462" s="584">
        <f t="shared" si="129"/>
        <v>4118.166666666667</v>
      </c>
      <c r="T462" s="582">
        <v>7661</v>
      </c>
      <c r="U462" s="585">
        <v>8975</v>
      </c>
      <c r="V462" s="583">
        <f t="shared" si="130"/>
        <v>123545</v>
      </c>
      <c r="W462" s="584">
        <f t="shared" si="131"/>
        <v>123545</v>
      </c>
      <c r="X462" s="582"/>
      <c r="Y462" s="585"/>
      <c r="Z462" s="582"/>
      <c r="AA462" s="585"/>
      <c r="AB462" s="582"/>
      <c r="AC462" s="585"/>
      <c r="AD462" s="582"/>
      <c r="AE462" s="585"/>
      <c r="AF462" s="583">
        <f t="shared" si="132"/>
        <v>0</v>
      </c>
      <c r="AG462" s="583">
        <f t="shared" si="133"/>
        <v>0</v>
      </c>
      <c r="AH462" s="584">
        <f t="shared" si="134"/>
        <v>0</v>
      </c>
      <c r="AI462" s="584">
        <f t="shared" si="135"/>
        <v>0</v>
      </c>
      <c r="AJ462" s="582"/>
      <c r="AK462" s="585"/>
      <c r="AL462" s="583">
        <f t="shared" si="136"/>
        <v>0</v>
      </c>
      <c r="AM462" s="584">
        <f t="shared" si="137"/>
        <v>0</v>
      </c>
      <c r="AN462" s="582"/>
      <c r="AO462" s="585"/>
      <c r="AP462" s="582"/>
      <c r="AQ462" s="585"/>
      <c r="AR462" s="582"/>
      <c r="AS462" s="585"/>
      <c r="AT462" s="582"/>
      <c r="AU462" s="585"/>
      <c r="AV462" s="583">
        <f t="shared" si="138"/>
        <v>0</v>
      </c>
      <c r="AW462" s="583">
        <f t="shared" si="139"/>
        <v>0</v>
      </c>
      <c r="AX462" s="584">
        <f t="shared" si="140"/>
        <v>0</v>
      </c>
      <c r="AY462" s="584">
        <f t="shared" si="141"/>
        <v>0</v>
      </c>
      <c r="AZ462" s="583">
        <f t="shared" si="142"/>
        <v>4118.166666666667</v>
      </c>
      <c r="BA462" s="584">
        <f t="shared" si="143"/>
        <v>4118.166666666667</v>
      </c>
    </row>
    <row r="463" spans="1:53" ht="14.5">
      <c r="A463" s="434" t="s">
        <v>405</v>
      </c>
      <c r="B463" s="43" t="s">
        <v>426</v>
      </c>
      <c r="C463" s="537"/>
      <c r="D463" s="45">
        <v>221397</v>
      </c>
      <c r="E463" s="45">
        <v>9</v>
      </c>
      <c r="F463" s="582"/>
      <c r="G463" s="585"/>
      <c r="H463" s="582"/>
      <c r="I463" s="585"/>
      <c r="J463" s="582">
        <v>48915</v>
      </c>
      <c r="K463" s="585">
        <v>52087</v>
      </c>
      <c r="L463" s="582">
        <v>6326</v>
      </c>
      <c r="M463" s="585">
        <v>7003</v>
      </c>
      <c r="N463" s="582">
        <v>58870</v>
      </c>
      <c r="O463" s="585">
        <v>59738</v>
      </c>
      <c r="P463" s="583">
        <f t="shared" si="126"/>
        <v>114111</v>
      </c>
      <c r="Q463" s="583">
        <f t="shared" si="127"/>
        <v>3803.7</v>
      </c>
      <c r="R463" s="584">
        <f t="shared" si="128"/>
        <v>118828</v>
      </c>
      <c r="S463" s="584">
        <f t="shared" si="129"/>
        <v>3960.9333333333334</v>
      </c>
      <c r="T463" s="582">
        <v>12766</v>
      </c>
      <c r="U463" s="585">
        <v>14953</v>
      </c>
      <c r="V463" s="583">
        <f t="shared" si="130"/>
        <v>114111</v>
      </c>
      <c r="W463" s="584">
        <f t="shared" si="131"/>
        <v>118828</v>
      </c>
      <c r="X463" s="582"/>
      <c r="Y463" s="585"/>
      <c r="Z463" s="582"/>
      <c r="AA463" s="585"/>
      <c r="AB463" s="582"/>
      <c r="AC463" s="585"/>
      <c r="AD463" s="582"/>
      <c r="AE463" s="585"/>
      <c r="AF463" s="583">
        <f t="shared" si="132"/>
        <v>0</v>
      </c>
      <c r="AG463" s="583">
        <f t="shared" si="133"/>
        <v>0</v>
      </c>
      <c r="AH463" s="584">
        <f t="shared" si="134"/>
        <v>0</v>
      </c>
      <c r="AI463" s="584">
        <f t="shared" si="135"/>
        <v>0</v>
      </c>
      <c r="AJ463" s="582"/>
      <c r="AK463" s="585"/>
      <c r="AL463" s="583">
        <f t="shared" si="136"/>
        <v>0</v>
      </c>
      <c r="AM463" s="584">
        <f t="shared" si="137"/>
        <v>0</v>
      </c>
      <c r="AN463" s="582"/>
      <c r="AO463" s="585"/>
      <c r="AP463" s="582"/>
      <c r="AQ463" s="585"/>
      <c r="AR463" s="582"/>
      <c r="AS463" s="585"/>
      <c r="AT463" s="582"/>
      <c r="AU463" s="585"/>
      <c r="AV463" s="583">
        <f t="shared" si="138"/>
        <v>0</v>
      </c>
      <c r="AW463" s="583">
        <f t="shared" si="139"/>
        <v>0</v>
      </c>
      <c r="AX463" s="584">
        <f t="shared" si="140"/>
        <v>0</v>
      </c>
      <c r="AY463" s="584">
        <f t="shared" si="141"/>
        <v>0</v>
      </c>
      <c r="AZ463" s="583">
        <f t="shared" si="142"/>
        <v>3803.7</v>
      </c>
      <c r="BA463" s="584">
        <f t="shared" si="143"/>
        <v>3960.9333333333334</v>
      </c>
    </row>
    <row r="464" spans="1:53" ht="14.5">
      <c r="A464" s="47" t="s">
        <v>405</v>
      </c>
      <c r="B464" s="43" t="s">
        <v>427</v>
      </c>
      <c r="C464" s="537"/>
      <c r="D464" s="45">
        <v>222062</v>
      </c>
      <c r="E464" s="45">
        <v>9</v>
      </c>
      <c r="F464" s="582"/>
      <c r="G464" s="585"/>
      <c r="H464" s="582"/>
      <c r="I464" s="585"/>
      <c r="J464" s="582">
        <v>52639</v>
      </c>
      <c r="K464" s="585">
        <v>54184</v>
      </c>
      <c r="L464" s="582">
        <v>5804</v>
      </c>
      <c r="M464" s="585">
        <v>6119</v>
      </c>
      <c r="N464" s="582">
        <v>63041</v>
      </c>
      <c r="O464" s="585">
        <v>63882</v>
      </c>
      <c r="P464" s="583">
        <f t="shared" si="126"/>
        <v>121484</v>
      </c>
      <c r="Q464" s="583">
        <f t="shared" si="127"/>
        <v>4049.4666666666667</v>
      </c>
      <c r="R464" s="584">
        <f t="shared" si="128"/>
        <v>124185</v>
      </c>
      <c r="S464" s="584">
        <f t="shared" si="129"/>
        <v>4139.5</v>
      </c>
      <c r="T464" s="582">
        <v>12151</v>
      </c>
      <c r="U464" s="585">
        <v>12800</v>
      </c>
      <c r="V464" s="583">
        <f t="shared" si="130"/>
        <v>121484</v>
      </c>
      <c r="W464" s="584">
        <f t="shared" si="131"/>
        <v>124185</v>
      </c>
      <c r="X464" s="582"/>
      <c r="Y464" s="585"/>
      <c r="Z464" s="582"/>
      <c r="AA464" s="585"/>
      <c r="AB464" s="582"/>
      <c r="AC464" s="585"/>
      <c r="AD464" s="582"/>
      <c r="AE464" s="585"/>
      <c r="AF464" s="583">
        <f t="shared" si="132"/>
        <v>0</v>
      </c>
      <c r="AG464" s="583">
        <f t="shared" si="133"/>
        <v>0</v>
      </c>
      <c r="AH464" s="584">
        <f t="shared" si="134"/>
        <v>0</v>
      </c>
      <c r="AI464" s="584">
        <f t="shared" si="135"/>
        <v>0</v>
      </c>
      <c r="AJ464" s="582"/>
      <c r="AK464" s="585"/>
      <c r="AL464" s="583">
        <f t="shared" si="136"/>
        <v>0</v>
      </c>
      <c r="AM464" s="584">
        <f t="shared" si="137"/>
        <v>0</v>
      </c>
      <c r="AN464" s="582"/>
      <c r="AO464" s="585"/>
      <c r="AP464" s="582"/>
      <c r="AQ464" s="585"/>
      <c r="AR464" s="582"/>
      <c r="AS464" s="585"/>
      <c r="AT464" s="582"/>
      <c r="AU464" s="585"/>
      <c r="AV464" s="583">
        <f t="shared" si="138"/>
        <v>0</v>
      </c>
      <c r="AW464" s="583">
        <f t="shared" si="139"/>
        <v>0</v>
      </c>
      <c r="AX464" s="584">
        <f t="shared" si="140"/>
        <v>0</v>
      </c>
      <c r="AY464" s="584">
        <f t="shared" si="141"/>
        <v>0</v>
      </c>
      <c r="AZ464" s="583">
        <f t="shared" si="142"/>
        <v>4049.4666666666667</v>
      </c>
      <c r="BA464" s="584">
        <f t="shared" si="143"/>
        <v>4139.5</v>
      </c>
    </row>
    <row r="465" spans="1:53" ht="14.5">
      <c r="A465" s="47" t="s">
        <v>405</v>
      </c>
      <c r="B465" s="43" t="s">
        <v>422</v>
      </c>
      <c r="C465" s="535"/>
      <c r="D465" s="45">
        <v>220057</v>
      </c>
      <c r="E465" s="45">
        <v>10</v>
      </c>
      <c r="F465" s="582"/>
      <c r="G465" s="585"/>
      <c r="H465" s="582"/>
      <c r="I465" s="585"/>
      <c r="J465" s="582">
        <v>21707</v>
      </c>
      <c r="K465" s="585">
        <v>22580</v>
      </c>
      <c r="L465" s="582">
        <v>3613</v>
      </c>
      <c r="M465" s="585">
        <v>4394</v>
      </c>
      <c r="N465" s="582">
        <v>26202</v>
      </c>
      <c r="O465" s="585">
        <v>26134</v>
      </c>
      <c r="P465" s="583">
        <f t="shared" si="126"/>
        <v>51522</v>
      </c>
      <c r="Q465" s="583">
        <f t="shared" si="127"/>
        <v>1717.4</v>
      </c>
      <c r="R465" s="584">
        <f t="shared" si="128"/>
        <v>53108</v>
      </c>
      <c r="S465" s="584">
        <f t="shared" si="129"/>
        <v>1770.2666666666667</v>
      </c>
      <c r="T465" s="582">
        <v>8307</v>
      </c>
      <c r="U465" s="585">
        <v>6012</v>
      </c>
      <c r="V465" s="583">
        <f t="shared" si="130"/>
        <v>51522</v>
      </c>
      <c r="W465" s="584">
        <f t="shared" si="131"/>
        <v>53108</v>
      </c>
      <c r="X465" s="582"/>
      <c r="Y465" s="585"/>
      <c r="Z465" s="582"/>
      <c r="AA465" s="585"/>
      <c r="AB465" s="582"/>
      <c r="AC465" s="585"/>
      <c r="AD465" s="582"/>
      <c r="AE465" s="585"/>
      <c r="AF465" s="583">
        <f t="shared" si="132"/>
        <v>0</v>
      </c>
      <c r="AG465" s="583">
        <f t="shared" si="133"/>
        <v>0</v>
      </c>
      <c r="AH465" s="584">
        <f t="shared" si="134"/>
        <v>0</v>
      </c>
      <c r="AI465" s="584">
        <f t="shared" si="135"/>
        <v>0</v>
      </c>
      <c r="AJ465" s="582"/>
      <c r="AK465" s="585"/>
      <c r="AL465" s="583">
        <f t="shared" si="136"/>
        <v>0</v>
      </c>
      <c r="AM465" s="584">
        <f t="shared" si="137"/>
        <v>0</v>
      </c>
      <c r="AN465" s="582"/>
      <c r="AO465" s="585"/>
      <c r="AP465" s="582"/>
      <c r="AQ465" s="585"/>
      <c r="AR465" s="582"/>
      <c r="AS465" s="585"/>
      <c r="AT465" s="582"/>
      <c r="AU465" s="585"/>
      <c r="AV465" s="583">
        <f t="shared" si="138"/>
        <v>0</v>
      </c>
      <c r="AW465" s="583">
        <f t="shared" si="139"/>
        <v>0</v>
      </c>
      <c r="AX465" s="584">
        <f t="shared" si="140"/>
        <v>0</v>
      </c>
      <c r="AY465" s="584">
        <f t="shared" si="141"/>
        <v>0</v>
      </c>
      <c r="AZ465" s="583">
        <f t="shared" si="142"/>
        <v>1717.4</v>
      </c>
      <c r="BA465" s="584">
        <f t="shared" si="143"/>
        <v>1770.2666666666667</v>
      </c>
    </row>
    <row r="466" spans="1:53" ht="14.5">
      <c r="A466" s="47" t="s">
        <v>405</v>
      </c>
      <c r="B466" s="43" t="s">
        <v>428</v>
      </c>
      <c r="C466" s="535" t="s">
        <v>935</v>
      </c>
      <c r="D466" s="45" t="s">
        <v>429</v>
      </c>
      <c r="E466" s="595">
        <v>13</v>
      </c>
      <c r="F466" s="582"/>
      <c r="G466" s="585"/>
      <c r="H466" s="582"/>
      <c r="I466" s="585"/>
      <c r="J466" s="582"/>
      <c r="K466" s="585"/>
      <c r="L466" s="582"/>
      <c r="M466" s="585"/>
      <c r="N466" s="582"/>
      <c r="O466" s="585"/>
      <c r="P466" s="583">
        <f t="shared" si="126"/>
        <v>0</v>
      </c>
      <c r="Q466" s="583">
        <f t="shared" si="127"/>
        <v>0</v>
      </c>
      <c r="R466" s="584">
        <f t="shared" si="128"/>
        <v>0</v>
      </c>
      <c r="S466" s="584">
        <f t="shared" si="129"/>
        <v>0</v>
      </c>
      <c r="T466" s="582"/>
      <c r="U466" s="585"/>
      <c r="V466" s="583">
        <f t="shared" si="130"/>
        <v>0</v>
      </c>
      <c r="W466" s="584">
        <f t="shared" si="131"/>
        <v>0</v>
      </c>
      <c r="X466" s="582"/>
      <c r="Y466" s="585"/>
      <c r="Z466" s="582">
        <v>290004</v>
      </c>
      <c r="AA466" s="585">
        <v>315795</v>
      </c>
      <c r="AB466" s="582">
        <v>181107</v>
      </c>
      <c r="AC466" s="585">
        <v>197287</v>
      </c>
      <c r="AD466" s="582">
        <v>318945</v>
      </c>
      <c r="AE466" s="585">
        <v>329869</v>
      </c>
      <c r="AF466" s="583">
        <f t="shared" si="132"/>
        <v>790056</v>
      </c>
      <c r="AG466" s="583">
        <f t="shared" si="133"/>
        <v>877.84</v>
      </c>
      <c r="AH466" s="584">
        <f t="shared" si="134"/>
        <v>842951</v>
      </c>
      <c r="AI466" s="584">
        <f t="shared" si="135"/>
        <v>936.61222222222227</v>
      </c>
      <c r="AJ466" s="582"/>
      <c r="AK466" s="585"/>
      <c r="AL466" s="583">
        <f t="shared" si="136"/>
        <v>0</v>
      </c>
      <c r="AM466" s="584">
        <f t="shared" si="137"/>
        <v>0</v>
      </c>
      <c r="AN466" s="582"/>
      <c r="AO466" s="585"/>
      <c r="AP466" s="582"/>
      <c r="AQ466" s="585"/>
      <c r="AR466" s="582"/>
      <c r="AS466" s="585"/>
      <c r="AT466" s="582"/>
      <c r="AU466" s="585"/>
      <c r="AV466" s="583">
        <f t="shared" si="138"/>
        <v>0</v>
      </c>
      <c r="AW466" s="583">
        <f t="shared" si="139"/>
        <v>0</v>
      </c>
      <c r="AX466" s="584">
        <f t="shared" si="140"/>
        <v>0</v>
      </c>
      <c r="AY466" s="584">
        <f t="shared" si="141"/>
        <v>0</v>
      </c>
      <c r="AZ466" s="583">
        <f t="shared" si="142"/>
        <v>877.84</v>
      </c>
      <c r="BA466" s="584">
        <f t="shared" si="143"/>
        <v>936.61222222222227</v>
      </c>
    </row>
    <row r="467" spans="1:53">
      <c r="A467" s="47" t="s">
        <v>405</v>
      </c>
      <c r="B467" s="43" t="s">
        <v>430</v>
      </c>
      <c r="C467" s="44"/>
      <c r="D467" s="45">
        <v>219596</v>
      </c>
      <c r="E467" s="45">
        <v>13</v>
      </c>
      <c r="F467" s="582"/>
      <c r="G467" s="585"/>
      <c r="H467" s="582"/>
      <c r="I467" s="585"/>
      <c r="J467" s="582"/>
      <c r="K467" s="585"/>
      <c r="L467" s="582"/>
      <c r="M467" s="585"/>
      <c r="N467" s="582"/>
      <c r="O467" s="585"/>
      <c r="P467" s="583">
        <f t="shared" si="126"/>
        <v>0</v>
      </c>
      <c r="Q467" s="583">
        <f t="shared" si="127"/>
        <v>0</v>
      </c>
      <c r="R467" s="584">
        <f t="shared" si="128"/>
        <v>0</v>
      </c>
      <c r="S467" s="584">
        <f t="shared" si="129"/>
        <v>0</v>
      </c>
      <c r="T467" s="582"/>
      <c r="U467" s="585"/>
      <c r="V467" s="583">
        <f t="shared" si="130"/>
        <v>0</v>
      </c>
      <c r="W467" s="584">
        <f t="shared" si="131"/>
        <v>0</v>
      </c>
      <c r="X467" s="582"/>
      <c r="Y467" s="585"/>
      <c r="Z467" s="582">
        <v>102273</v>
      </c>
      <c r="AA467" s="585">
        <v>98018</v>
      </c>
      <c r="AB467" s="582">
        <v>76668</v>
      </c>
      <c r="AC467" s="585">
        <v>75283</v>
      </c>
      <c r="AD467" s="582">
        <v>99425</v>
      </c>
      <c r="AE467" s="585">
        <v>105359</v>
      </c>
      <c r="AF467" s="583">
        <f t="shared" si="132"/>
        <v>278366</v>
      </c>
      <c r="AG467" s="583">
        <f t="shared" si="133"/>
        <v>309.29555555555555</v>
      </c>
      <c r="AH467" s="584">
        <f t="shared" si="134"/>
        <v>278660</v>
      </c>
      <c r="AI467" s="584">
        <f t="shared" si="135"/>
        <v>309.62222222222221</v>
      </c>
      <c r="AJ467" s="582"/>
      <c r="AK467" s="585"/>
      <c r="AL467" s="583">
        <f t="shared" si="136"/>
        <v>0</v>
      </c>
      <c r="AM467" s="584">
        <f t="shared" si="137"/>
        <v>0</v>
      </c>
      <c r="AN467" s="582"/>
      <c r="AO467" s="585"/>
      <c r="AP467" s="582"/>
      <c r="AQ467" s="585"/>
      <c r="AR467" s="582"/>
      <c r="AS467" s="585"/>
      <c r="AT467" s="582"/>
      <c r="AU467" s="585"/>
      <c r="AV467" s="583">
        <f t="shared" si="138"/>
        <v>0</v>
      </c>
      <c r="AW467" s="583">
        <f t="shared" si="139"/>
        <v>0</v>
      </c>
      <c r="AX467" s="584">
        <f t="shared" si="140"/>
        <v>0</v>
      </c>
      <c r="AY467" s="584">
        <f t="shared" si="141"/>
        <v>0</v>
      </c>
      <c r="AZ467" s="583">
        <f t="shared" si="142"/>
        <v>309.29555555555555</v>
      </c>
      <c r="BA467" s="584">
        <f t="shared" si="143"/>
        <v>309.62222222222221</v>
      </c>
    </row>
    <row r="468" spans="1:53">
      <c r="A468" s="47" t="s">
        <v>405</v>
      </c>
      <c r="B468" s="43" t="s">
        <v>431</v>
      </c>
      <c r="C468" s="44"/>
      <c r="D468" s="45">
        <v>219921</v>
      </c>
      <c r="E468" s="45">
        <v>13</v>
      </c>
      <c r="F468" s="582"/>
      <c r="G468" s="585"/>
      <c r="H468" s="582"/>
      <c r="I468" s="585"/>
      <c r="J468" s="582"/>
      <c r="K468" s="585"/>
      <c r="L468" s="582"/>
      <c r="M468" s="585"/>
      <c r="N468" s="582"/>
      <c r="O468" s="585"/>
      <c r="P468" s="583">
        <f t="shared" si="126"/>
        <v>0</v>
      </c>
      <c r="Q468" s="583">
        <f t="shared" si="127"/>
        <v>0</v>
      </c>
      <c r="R468" s="584">
        <f t="shared" si="128"/>
        <v>0</v>
      </c>
      <c r="S468" s="584">
        <f t="shared" si="129"/>
        <v>0</v>
      </c>
      <c r="T468" s="582"/>
      <c r="U468" s="585"/>
      <c r="V468" s="583">
        <f t="shared" si="130"/>
        <v>0</v>
      </c>
      <c r="W468" s="584">
        <f t="shared" si="131"/>
        <v>0</v>
      </c>
      <c r="X468" s="582"/>
      <c r="Y468" s="585"/>
      <c r="Z468" s="582">
        <v>72187</v>
      </c>
      <c r="AA468" s="585">
        <v>72107</v>
      </c>
      <c r="AB468" s="582">
        <v>53037</v>
      </c>
      <c r="AC468" s="585">
        <v>55701</v>
      </c>
      <c r="AD468" s="582">
        <v>74896</v>
      </c>
      <c r="AE468" s="585">
        <v>94211</v>
      </c>
      <c r="AF468" s="583">
        <f t="shared" si="132"/>
        <v>200120</v>
      </c>
      <c r="AG468" s="583">
        <f t="shared" si="133"/>
        <v>222.35555555555555</v>
      </c>
      <c r="AH468" s="584">
        <f t="shared" si="134"/>
        <v>222019</v>
      </c>
      <c r="AI468" s="584">
        <f t="shared" si="135"/>
        <v>246.68777777777777</v>
      </c>
      <c r="AJ468" s="582"/>
      <c r="AK468" s="585"/>
      <c r="AL468" s="583">
        <f t="shared" si="136"/>
        <v>0</v>
      </c>
      <c r="AM468" s="584">
        <f t="shared" si="137"/>
        <v>0</v>
      </c>
      <c r="AN468" s="582"/>
      <c r="AO468" s="585"/>
      <c r="AP468" s="582"/>
      <c r="AQ468" s="585"/>
      <c r="AR468" s="582"/>
      <c r="AS468" s="585"/>
      <c r="AT468" s="582"/>
      <c r="AU468" s="585"/>
      <c r="AV468" s="583">
        <f t="shared" si="138"/>
        <v>0</v>
      </c>
      <c r="AW468" s="583">
        <f t="shared" si="139"/>
        <v>0</v>
      </c>
      <c r="AX468" s="584">
        <f t="shared" si="140"/>
        <v>0</v>
      </c>
      <c r="AY468" s="584">
        <f t="shared" si="141"/>
        <v>0</v>
      </c>
      <c r="AZ468" s="583">
        <f t="shared" si="142"/>
        <v>222.35555555555555</v>
      </c>
      <c r="BA468" s="584">
        <f t="shared" si="143"/>
        <v>246.68777777777777</v>
      </c>
    </row>
    <row r="469" spans="1:53">
      <c r="A469" s="47" t="s">
        <v>405</v>
      </c>
      <c r="B469" s="43" t="s">
        <v>432</v>
      </c>
      <c r="C469" s="44"/>
      <c r="D469" s="45">
        <v>221591</v>
      </c>
      <c r="E469" s="45">
        <v>13</v>
      </c>
      <c r="F469" s="582"/>
      <c r="G469" s="585"/>
      <c r="H469" s="582"/>
      <c r="I469" s="585"/>
      <c r="J469" s="582"/>
      <c r="K469" s="585"/>
      <c r="L469" s="582"/>
      <c r="M469" s="585"/>
      <c r="N469" s="582"/>
      <c r="O469" s="585"/>
      <c r="P469" s="583">
        <f t="shared" si="126"/>
        <v>0</v>
      </c>
      <c r="Q469" s="583">
        <f t="shared" si="127"/>
        <v>0</v>
      </c>
      <c r="R469" s="584">
        <f t="shared" si="128"/>
        <v>0</v>
      </c>
      <c r="S469" s="584">
        <f t="shared" si="129"/>
        <v>0</v>
      </c>
      <c r="T469" s="582"/>
      <c r="U469" s="585"/>
      <c r="V469" s="583">
        <f t="shared" si="130"/>
        <v>0</v>
      </c>
      <c r="W469" s="584">
        <f t="shared" si="131"/>
        <v>0</v>
      </c>
      <c r="X469" s="582"/>
      <c r="Y469" s="585"/>
      <c r="Z469" s="582">
        <v>102367</v>
      </c>
      <c r="AA469" s="585">
        <v>133559</v>
      </c>
      <c r="AB469" s="582">
        <v>108320</v>
      </c>
      <c r="AC469" s="585">
        <v>119267</v>
      </c>
      <c r="AD469" s="582">
        <v>132382</v>
      </c>
      <c r="AE469" s="585">
        <v>140424</v>
      </c>
      <c r="AF469" s="583">
        <f t="shared" si="132"/>
        <v>343069</v>
      </c>
      <c r="AG469" s="583">
        <f t="shared" si="133"/>
        <v>381.1877777777778</v>
      </c>
      <c r="AH469" s="584">
        <f t="shared" si="134"/>
        <v>393250</v>
      </c>
      <c r="AI469" s="584">
        <f t="shared" si="135"/>
        <v>436.94444444444446</v>
      </c>
      <c r="AJ469" s="582"/>
      <c r="AK469" s="585"/>
      <c r="AL469" s="583">
        <f t="shared" si="136"/>
        <v>0</v>
      </c>
      <c r="AM469" s="584">
        <f t="shared" si="137"/>
        <v>0</v>
      </c>
      <c r="AN469" s="582"/>
      <c r="AO469" s="585"/>
      <c r="AP469" s="582"/>
      <c r="AQ469" s="585"/>
      <c r="AR469" s="582"/>
      <c r="AS469" s="585"/>
      <c r="AT469" s="582"/>
      <c r="AU469" s="585"/>
      <c r="AV469" s="583">
        <f t="shared" si="138"/>
        <v>0</v>
      </c>
      <c r="AW469" s="583">
        <f t="shared" si="139"/>
        <v>0</v>
      </c>
      <c r="AX469" s="584">
        <f t="shared" si="140"/>
        <v>0</v>
      </c>
      <c r="AY469" s="584">
        <f t="shared" si="141"/>
        <v>0</v>
      </c>
      <c r="AZ469" s="583">
        <f t="shared" si="142"/>
        <v>381.1877777777778</v>
      </c>
      <c r="BA469" s="584">
        <f t="shared" si="143"/>
        <v>436.94444444444446</v>
      </c>
    </row>
    <row r="470" spans="1:53">
      <c r="A470" s="47" t="s">
        <v>405</v>
      </c>
      <c r="B470" s="43" t="s">
        <v>433</v>
      </c>
      <c r="C470" s="44"/>
      <c r="D470" s="45">
        <v>221430</v>
      </c>
      <c r="E470" s="45">
        <v>13</v>
      </c>
      <c r="F470" s="582"/>
      <c r="G470" s="585"/>
      <c r="H470" s="582"/>
      <c r="I470" s="585"/>
      <c r="J470" s="582"/>
      <c r="K470" s="585"/>
      <c r="L470" s="582"/>
      <c r="M470" s="585"/>
      <c r="N470" s="582"/>
      <c r="O470" s="585"/>
      <c r="P470" s="583">
        <f t="shared" si="126"/>
        <v>0</v>
      </c>
      <c r="Q470" s="583">
        <f t="shared" si="127"/>
        <v>0</v>
      </c>
      <c r="R470" s="584">
        <f t="shared" si="128"/>
        <v>0</v>
      </c>
      <c r="S470" s="584">
        <f t="shared" si="129"/>
        <v>0</v>
      </c>
      <c r="T470" s="582"/>
      <c r="U470" s="585"/>
      <c r="V470" s="583">
        <f t="shared" si="130"/>
        <v>0</v>
      </c>
      <c r="W470" s="584">
        <f t="shared" si="131"/>
        <v>0</v>
      </c>
      <c r="X470" s="582"/>
      <c r="Y470" s="585"/>
      <c r="Z470" s="582">
        <v>72791</v>
      </c>
      <c r="AA470" s="585">
        <v>74482</v>
      </c>
      <c r="AB470" s="582">
        <v>50367</v>
      </c>
      <c r="AC470" s="585">
        <v>63255</v>
      </c>
      <c r="AD470" s="582">
        <v>102093</v>
      </c>
      <c r="AE470" s="585">
        <v>166896</v>
      </c>
      <c r="AF470" s="583">
        <f t="shared" si="132"/>
        <v>225251</v>
      </c>
      <c r="AG470" s="583">
        <f t="shared" si="133"/>
        <v>250.2788888888889</v>
      </c>
      <c r="AH470" s="584">
        <f t="shared" si="134"/>
        <v>304633</v>
      </c>
      <c r="AI470" s="584">
        <f t="shared" si="135"/>
        <v>338.48111111111109</v>
      </c>
      <c r="AJ470" s="582"/>
      <c r="AK470" s="585"/>
      <c r="AL470" s="583">
        <f t="shared" si="136"/>
        <v>0</v>
      </c>
      <c r="AM470" s="584">
        <f t="shared" si="137"/>
        <v>0</v>
      </c>
      <c r="AN470" s="582"/>
      <c r="AO470" s="585"/>
      <c r="AP470" s="582"/>
      <c r="AQ470" s="585"/>
      <c r="AR470" s="582"/>
      <c r="AS470" s="585"/>
      <c r="AT470" s="582"/>
      <c r="AU470" s="585"/>
      <c r="AV470" s="583">
        <f t="shared" si="138"/>
        <v>0</v>
      </c>
      <c r="AW470" s="583">
        <f t="shared" si="139"/>
        <v>0</v>
      </c>
      <c r="AX470" s="584">
        <f t="shared" si="140"/>
        <v>0</v>
      </c>
      <c r="AY470" s="584">
        <f t="shared" si="141"/>
        <v>0</v>
      </c>
      <c r="AZ470" s="583">
        <f t="shared" si="142"/>
        <v>250.2788888888889</v>
      </c>
      <c r="BA470" s="584">
        <f t="shared" si="143"/>
        <v>338.48111111111109</v>
      </c>
    </row>
    <row r="471" spans="1:53">
      <c r="A471" s="47" t="s">
        <v>405</v>
      </c>
      <c r="B471" s="43" t="s">
        <v>434</v>
      </c>
      <c r="C471" s="44"/>
      <c r="D471" s="45">
        <v>219994</v>
      </c>
      <c r="E471" s="45">
        <v>13</v>
      </c>
      <c r="F471" s="582"/>
      <c r="G471" s="585"/>
      <c r="H471" s="582"/>
      <c r="I471" s="585"/>
      <c r="J471" s="582"/>
      <c r="K471" s="585"/>
      <c r="L471" s="582"/>
      <c r="M471" s="585"/>
      <c r="N471" s="582"/>
      <c r="O471" s="585"/>
      <c r="P471" s="583">
        <f t="shared" si="126"/>
        <v>0</v>
      </c>
      <c r="Q471" s="583">
        <f t="shared" si="127"/>
        <v>0</v>
      </c>
      <c r="R471" s="584">
        <f t="shared" si="128"/>
        <v>0</v>
      </c>
      <c r="S471" s="584">
        <f t="shared" si="129"/>
        <v>0</v>
      </c>
      <c r="T471" s="582"/>
      <c r="U471" s="585"/>
      <c r="V471" s="583">
        <f t="shared" si="130"/>
        <v>0</v>
      </c>
      <c r="W471" s="584">
        <f t="shared" si="131"/>
        <v>0</v>
      </c>
      <c r="X471" s="582"/>
      <c r="Y471" s="585"/>
      <c r="Z471" s="582">
        <v>202428</v>
      </c>
      <c r="AA471" s="585">
        <v>224737</v>
      </c>
      <c r="AB471" s="582">
        <v>189077</v>
      </c>
      <c r="AC471" s="585">
        <v>186292</v>
      </c>
      <c r="AD471" s="582">
        <v>228347</v>
      </c>
      <c r="AE471" s="585">
        <v>246426</v>
      </c>
      <c r="AF471" s="583">
        <f t="shared" si="132"/>
        <v>619852</v>
      </c>
      <c r="AG471" s="583">
        <f t="shared" si="133"/>
        <v>688.72444444444443</v>
      </c>
      <c r="AH471" s="584">
        <f t="shared" si="134"/>
        <v>657455</v>
      </c>
      <c r="AI471" s="584">
        <f t="shared" si="135"/>
        <v>730.50555555555559</v>
      </c>
      <c r="AJ471" s="582"/>
      <c r="AK471" s="585"/>
      <c r="AL471" s="583">
        <f t="shared" si="136"/>
        <v>0</v>
      </c>
      <c r="AM471" s="584">
        <f t="shared" si="137"/>
        <v>0</v>
      </c>
      <c r="AN471" s="582"/>
      <c r="AO471" s="585"/>
      <c r="AP471" s="582"/>
      <c r="AQ471" s="585"/>
      <c r="AR471" s="582"/>
      <c r="AS471" s="585"/>
      <c r="AT471" s="582"/>
      <c r="AU471" s="585"/>
      <c r="AV471" s="583">
        <f t="shared" si="138"/>
        <v>0</v>
      </c>
      <c r="AW471" s="583">
        <f t="shared" si="139"/>
        <v>0</v>
      </c>
      <c r="AX471" s="584">
        <f t="shared" si="140"/>
        <v>0</v>
      </c>
      <c r="AY471" s="584">
        <f t="shared" si="141"/>
        <v>0</v>
      </c>
      <c r="AZ471" s="583">
        <f t="shared" si="142"/>
        <v>688.72444444444443</v>
      </c>
      <c r="BA471" s="584">
        <f t="shared" si="143"/>
        <v>730.50555555555559</v>
      </c>
    </row>
    <row r="472" spans="1:53">
      <c r="A472" s="47" t="s">
        <v>405</v>
      </c>
      <c r="B472" s="43" t="s">
        <v>435</v>
      </c>
      <c r="C472" s="44"/>
      <c r="D472" s="45">
        <v>220127</v>
      </c>
      <c r="E472" s="45">
        <v>13</v>
      </c>
      <c r="F472" s="582"/>
      <c r="G472" s="585"/>
      <c r="H472" s="582"/>
      <c r="I472" s="585"/>
      <c r="J472" s="582"/>
      <c r="K472" s="585"/>
      <c r="L472" s="582"/>
      <c r="M472" s="585"/>
      <c r="N472" s="582"/>
      <c r="O472" s="585"/>
      <c r="P472" s="583">
        <f t="shared" si="126"/>
        <v>0</v>
      </c>
      <c r="Q472" s="583">
        <f t="shared" si="127"/>
        <v>0</v>
      </c>
      <c r="R472" s="584">
        <f t="shared" si="128"/>
        <v>0</v>
      </c>
      <c r="S472" s="584">
        <f t="shared" si="129"/>
        <v>0</v>
      </c>
      <c r="T472" s="582"/>
      <c r="U472" s="585"/>
      <c r="V472" s="583">
        <f t="shared" si="130"/>
        <v>0</v>
      </c>
      <c r="W472" s="584">
        <f t="shared" si="131"/>
        <v>0</v>
      </c>
      <c r="X472" s="582"/>
      <c r="Y472" s="585"/>
      <c r="Z472" s="582">
        <v>165742</v>
      </c>
      <c r="AA472" s="585">
        <v>167231</v>
      </c>
      <c r="AB472" s="582">
        <v>162751</v>
      </c>
      <c r="AC472" s="585">
        <v>151964</v>
      </c>
      <c r="AD472" s="582">
        <v>175712</v>
      </c>
      <c r="AE472" s="585">
        <v>176613</v>
      </c>
      <c r="AF472" s="583">
        <f t="shared" si="132"/>
        <v>504205</v>
      </c>
      <c r="AG472" s="583">
        <f t="shared" si="133"/>
        <v>560.22777777777776</v>
      </c>
      <c r="AH472" s="584">
        <f t="shared" si="134"/>
        <v>495808</v>
      </c>
      <c r="AI472" s="584">
        <f t="shared" si="135"/>
        <v>550.89777777777783</v>
      </c>
      <c r="AJ472" s="582"/>
      <c r="AK472" s="585"/>
      <c r="AL472" s="583">
        <f t="shared" si="136"/>
        <v>0</v>
      </c>
      <c r="AM472" s="584">
        <f t="shared" si="137"/>
        <v>0</v>
      </c>
      <c r="AN472" s="582"/>
      <c r="AO472" s="585"/>
      <c r="AP472" s="582"/>
      <c r="AQ472" s="585"/>
      <c r="AR472" s="582"/>
      <c r="AS472" s="585"/>
      <c r="AT472" s="582"/>
      <c r="AU472" s="585"/>
      <c r="AV472" s="583">
        <f t="shared" si="138"/>
        <v>0</v>
      </c>
      <c r="AW472" s="583">
        <f t="shared" si="139"/>
        <v>0</v>
      </c>
      <c r="AX472" s="584">
        <f t="shared" si="140"/>
        <v>0</v>
      </c>
      <c r="AY472" s="584">
        <f t="shared" si="141"/>
        <v>0</v>
      </c>
      <c r="AZ472" s="583">
        <f t="shared" si="142"/>
        <v>560.22777777777776</v>
      </c>
      <c r="BA472" s="584">
        <f t="shared" si="143"/>
        <v>550.89777777777783</v>
      </c>
    </row>
    <row r="473" spans="1:53">
      <c r="A473" s="47" t="s">
        <v>405</v>
      </c>
      <c r="B473" s="43" t="s">
        <v>436</v>
      </c>
      <c r="C473" s="44"/>
      <c r="D473" s="45">
        <v>220251</v>
      </c>
      <c r="E473" s="45">
        <v>13</v>
      </c>
      <c r="F473" s="582"/>
      <c r="G473" s="585"/>
      <c r="H473" s="582"/>
      <c r="I473" s="585"/>
      <c r="J473" s="582"/>
      <c r="K473" s="585"/>
      <c r="L473" s="582"/>
      <c r="M473" s="585"/>
      <c r="N473" s="582"/>
      <c r="O473" s="585"/>
      <c r="P473" s="583">
        <f t="shared" si="126"/>
        <v>0</v>
      </c>
      <c r="Q473" s="583">
        <f t="shared" si="127"/>
        <v>0</v>
      </c>
      <c r="R473" s="584">
        <f t="shared" si="128"/>
        <v>0</v>
      </c>
      <c r="S473" s="584">
        <f t="shared" si="129"/>
        <v>0</v>
      </c>
      <c r="T473" s="582"/>
      <c r="U473" s="585"/>
      <c r="V473" s="583">
        <f t="shared" si="130"/>
        <v>0</v>
      </c>
      <c r="W473" s="584">
        <f t="shared" si="131"/>
        <v>0</v>
      </c>
      <c r="X473" s="582"/>
      <c r="Y473" s="585"/>
      <c r="Z473" s="582">
        <v>110730</v>
      </c>
      <c r="AA473" s="585">
        <v>109518</v>
      </c>
      <c r="AB473" s="582">
        <v>76641</v>
      </c>
      <c r="AC473" s="585">
        <v>62355</v>
      </c>
      <c r="AD473" s="582">
        <v>115367</v>
      </c>
      <c r="AE473" s="585">
        <v>104485</v>
      </c>
      <c r="AF473" s="583">
        <f t="shared" si="132"/>
        <v>302738</v>
      </c>
      <c r="AG473" s="583">
        <f t="shared" si="133"/>
        <v>336.37555555555554</v>
      </c>
      <c r="AH473" s="584">
        <f t="shared" si="134"/>
        <v>276358</v>
      </c>
      <c r="AI473" s="584">
        <f t="shared" si="135"/>
        <v>307.06444444444446</v>
      </c>
      <c r="AJ473" s="582"/>
      <c r="AK473" s="585"/>
      <c r="AL473" s="583">
        <f t="shared" si="136"/>
        <v>0</v>
      </c>
      <c r="AM473" s="584">
        <f t="shared" si="137"/>
        <v>0</v>
      </c>
      <c r="AN473" s="582"/>
      <c r="AO473" s="585"/>
      <c r="AP473" s="582"/>
      <c r="AQ473" s="585"/>
      <c r="AR473" s="582"/>
      <c r="AS473" s="585"/>
      <c r="AT473" s="582"/>
      <c r="AU473" s="585"/>
      <c r="AV473" s="583">
        <f t="shared" si="138"/>
        <v>0</v>
      </c>
      <c r="AW473" s="583">
        <f t="shared" si="139"/>
        <v>0</v>
      </c>
      <c r="AX473" s="584">
        <f t="shared" si="140"/>
        <v>0</v>
      </c>
      <c r="AY473" s="584">
        <f t="shared" si="141"/>
        <v>0</v>
      </c>
      <c r="AZ473" s="583">
        <f t="shared" si="142"/>
        <v>336.37555555555554</v>
      </c>
      <c r="BA473" s="584">
        <f t="shared" si="143"/>
        <v>307.06444444444446</v>
      </c>
    </row>
    <row r="474" spans="1:53">
      <c r="A474" s="47" t="s">
        <v>405</v>
      </c>
      <c r="B474" s="43" t="s">
        <v>437</v>
      </c>
      <c r="C474" s="44"/>
      <c r="D474" s="45">
        <v>220279</v>
      </c>
      <c r="E474" s="45">
        <v>13</v>
      </c>
      <c r="F474" s="582"/>
      <c r="G474" s="585"/>
      <c r="H474" s="582"/>
      <c r="I474" s="585"/>
      <c r="J474" s="582"/>
      <c r="K474" s="585"/>
      <c r="L474" s="582"/>
      <c r="M474" s="585"/>
      <c r="N474" s="582"/>
      <c r="O474" s="585"/>
      <c r="P474" s="583">
        <f t="shared" si="126"/>
        <v>0</v>
      </c>
      <c r="Q474" s="583">
        <f t="shared" si="127"/>
        <v>0</v>
      </c>
      <c r="R474" s="584">
        <f t="shared" si="128"/>
        <v>0</v>
      </c>
      <c r="S474" s="584">
        <f t="shared" si="129"/>
        <v>0</v>
      </c>
      <c r="T474" s="582"/>
      <c r="U474" s="585"/>
      <c r="V474" s="583">
        <f t="shared" si="130"/>
        <v>0</v>
      </c>
      <c r="W474" s="584">
        <f t="shared" si="131"/>
        <v>0</v>
      </c>
      <c r="X474" s="582"/>
      <c r="Y474" s="585"/>
      <c r="Z474" s="582">
        <v>123450</v>
      </c>
      <c r="AA474" s="585">
        <v>120108</v>
      </c>
      <c r="AB474" s="582">
        <v>72119</v>
      </c>
      <c r="AC474" s="585">
        <v>71843</v>
      </c>
      <c r="AD474" s="582">
        <v>133504</v>
      </c>
      <c r="AE474" s="585">
        <v>136513</v>
      </c>
      <c r="AF474" s="583">
        <f t="shared" si="132"/>
        <v>329073</v>
      </c>
      <c r="AG474" s="583">
        <f t="shared" si="133"/>
        <v>365.63666666666666</v>
      </c>
      <c r="AH474" s="584">
        <f t="shared" si="134"/>
        <v>328464</v>
      </c>
      <c r="AI474" s="584">
        <f t="shared" si="135"/>
        <v>364.96</v>
      </c>
      <c r="AJ474" s="582"/>
      <c r="AK474" s="585"/>
      <c r="AL474" s="583">
        <f t="shared" si="136"/>
        <v>0</v>
      </c>
      <c r="AM474" s="584">
        <f t="shared" si="137"/>
        <v>0</v>
      </c>
      <c r="AN474" s="582"/>
      <c r="AO474" s="585"/>
      <c r="AP474" s="582"/>
      <c r="AQ474" s="585"/>
      <c r="AR474" s="582"/>
      <c r="AS474" s="585"/>
      <c r="AT474" s="582"/>
      <c r="AU474" s="585"/>
      <c r="AV474" s="583">
        <f t="shared" si="138"/>
        <v>0</v>
      </c>
      <c r="AW474" s="583">
        <f t="shared" si="139"/>
        <v>0</v>
      </c>
      <c r="AX474" s="584">
        <f t="shared" si="140"/>
        <v>0</v>
      </c>
      <c r="AY474" s="584">
        <f t="shared" si="141"/>
        <v>0</v>
      </c>
      <c r="AZ474" s="583">
        <f t="shared" si="142"/>
        <v>365.63666666666666</v>
      </c>
      <c r="BA474" s="584">
        <f t="shared" si="143"/>
        <v>364.96</v>
      </c>
    </row>
    <row r="475" spans="1:53">
      <c r="A475" s="47" t="s">
        <v>405</v>
      </c>
      <c r="B475" s="43" t="s">
        <v>438</v>
      </c>
      <c r="C475" s="44"/>
      <c r="D475" s="45">
        <v>220321</v>
      </c>
      <c r="E475" s="45">
        <v>13</v>
      </c>
      <c r="F475" s="582"/>
      <c r="G475" s="585"/>
      <c r="H475" s="582"/>
      <c r="I475" s="585"/>
      <c r="J475" s="582"/>
      <c r="K475" s="585"/>
      <c r="L475" s="582"/>
      <c r="M475" s="585"/>
      <c r="N475" s="582"/>
      <c r="O475" s="585"/>
      <c r="P475" s="583">
        <f t="shared" si="126"/>
        <v>0</v>
      </c>
      <c r="Q475" s="583">
        <f t="shared" si="127"/>
        <v>0</v>
      </c>
      <c r="R475" s="584">
        <f t="shared" si="128"/>
        <v>0</v>
      </c>
      <c r="S475" s="584">
        <f t="shared" si="129"/>
        <v>0</v>
      </c>
      <c r="T475" s="582"/>
      <c r="U475" s="585"/>
      <c r="V475" s="583">
        <f t="shared" si="130"/>
        <v>0</v>
      </c>
      <c r="W475" s="584">
        <f t="shared" si="131"/>
        <v>0</v>
      </c>
      <c r="X475" s="582"/>
      <c r="Y475" s="585"/>
      <c r="Z475" s="582">
        <v>114333</v>
      </c>
      <c r="AA475" s="585">
        <v>135417</v>
      </c>
      <c r="AB475" s="582">
        <v>95940</v>
      </c>
      <c r="AC475" s="585">
        <v>100520</v>
      </c>
      <c r="AD475" s="582">
        <v>139896</v>
      </c>
      <c r="AE475" s="585">
        <v>143361</v>
      </c>
      <c r="AF475" s="583">
        <f t="shared" si="132"/>
        <v>350169</v>
      </c>
      <c r="AG475" s="583">
        <f t="shared" si="133"/>
        <v>389.07666666666665</v>
      </c>
      <c r="AH475" s="584">
        <f t="shared" si="134"/>
        <v>379298</v>
      </c>
      <c r="AI475" s="584">
        <f t="shared" si="135"/>
        <v>421.4422222222222</v>
      </c>
      <c r="AJ475" s="582"/>
      <c r="AK475" s="585"/>
      <c r="AL475" s="583">
        <f t="shared" si="136"/>
        <v>0</v>
      </c>
      <c r="AM475" s="584">
        <f t="shared" si="137"/>
        <v>0</v>
      </c>
      <c r="AN475" s="582"/>
      <c r="AO475" s="585"/>
      <c r="AP475" s="582"/>
      <c r="AQ475" s="585"/>
      <c r="AR475" s="582"/>
      <c r="AS475" s="585"/>
      <c r="AT475" s="582"/>
      <c r="AU475" s="585"/>
      <c r="AV475" s="583">
        <f t="shared" si="138"/>
        <v>0</v>
      </c>
      <c r="AW475" s="583">
        <f t="shared" si="139"/>
        <v>0</v>
      </c>
      <c r="AX475" s="584">
        <f t="shared" si="140"/>
        <v>0</v>
      </c>
      <c r="AY475" s="584">
        <f t="shared" si="141"/>
        <v>0</v>
      </c>
      <c r="AZ475" s="583">
        <f t="shared" si="142"/>
        <v>389.07666666666665</v>
      </c>
      <c r="BA475" s="584">
        <f t="shared" si="143"/>
        <v>421.4422222222222</v>
      </c>
    </row>
    <row r="476" spans="1:53">
      <c r="A476" s="47" t="s">
        <v>405</v>
      </c>
      <c r="B476" s="43" t="s">
        <v>439</v>
      </c>
      <c r="C476" s="44"/>
      <c r="D476" s="45">
        <v>220394</v>
      </c>
      <c r="E476" s="45">
        <v>13</v>
      </c>
      <c r="F476" s="582"/>
      <c r="G476" s="585"/>
      <c r="H476" s="582"/>
      <c r="I476" s="585"/>
      <c r="J476" s="582"/>
      <c r="K476" s="585"/>
      <c r="L476" s="582"/>
      <c r="M476" s="585"/>
      <c r="N476" s="582"/>
      <c r="O476" s="585"/>
      <c r="P476" s="583">
        <f t="shared" si="126"/>
        <v>0</v>
      </c>
      <c r="Q476" s="583">
        <f t="shared" si="127"/>
        <v>0</v>
      </c>
      <c r="R476" s="584">
        <f t="shared" si="128"/>
        <v>0</v>
      </c>
      <c r="S476" s="584">
        <f t="shared" si="129"/>
        <v>0</v>
      </c>
      <c r="T476" s="582"/>
      <c r="U476" s="585"/>
      <c r="V476" s="583">
        <f t="shared" si="130"/>
        <v>0</v>
      </c>
      <c r="W476" s="584">
        <f t="shared" si="131"/>
        <v>0</v>
      </c>
      <c r="X476" s="582"/>
      <c r="Y476" s="585"/>
      <c r="Z476" s="582">
        <v>53770</v>
      </c>
      <c r="AA476" s="585">
        <v>61585</v>
      </c>
      <c r="AB476" s="582">
        <v>49937</v>
      </c>
      <c r="AC476" s="585">
        <v>65665</v>
      </c>
      <c r="AD476" s="582">
        <v>70993</v>
      </c>
      <c r="AE476" s="585">
        <v>90604</v>
      </c>
      <c r="AF476" s="583">
        <f t="shared" si="132"/>
        <v>174700</v>
      </c>
      <c r="AG476" s="583">
        <f t="shared" si="133"/>
        <v>194.11111111111111</v>
      </c>
      <c r="AH476" s="584">
        <f t="shared" si="134"/>
        <v>217854</v>
      </c>
      <c r="AI476" s="584">
        <f t="shared" si="135"/>
        <v>242.06</v>
      </c>
      <c r="AJ476" s="582"/>
      <c r="AK476" s="585"/>
      <c r="AL476" s="583">
        <f t="shared" si="136"/>
        <v>0</v>
      </c>
      <c r="AM476" s="584">
        <f t="shared" si="137"/>
        <v>0</v>
      </c>
      <c r="AN476" s="582"/>
      <c r="AO476" s="585"/>
      <c r="AP476" s="582"/>
      <c r="AQ476" s="585"/>
      <c r="AR476" s="582"/>
      <c r="AS476" s="585"/>
      <c r="AT476" s="582"/>
      <c r="AU476" s="585"/>
      <c r="AV476" s="583">
        <f t="shared" si="138"/>
        <v>0</v>
      </c>
      <c r="AW476" s="583">
        <f t="shared" si="139"/>
        <v>0</v>
      </c>
      <c r="AX476" s="584">
        <f t="shared" si="140"/>
        <v>0</v>
      </c>
      <c r="AY476" s="584">
        <f t="shared" si="141"/>
        <v>0</v>
      </c>
      <c r="AZ476" s="583">
        <f t="shared" si="142"/>
        <v>194.11111111111111</v>
      </c>
      <c r="BA476" s="584">
        <f t="shared" si="143"/>
        <v>242.06</v>
      </c>
    </row>
    <row r="477" spans="1:53">
      <c r="A477" s="47" t="s">
        <v>405</v>
      </c>
      <c r="B477" s="43" t="s">
        <v>440</v>
      </c>
      <c r="C477" s="44"/>
      <c r="D477" s="45">
        <v>221616</v>
      </c>
      <c r="E477" s="45">
        <v>13</v>
      </c>
      <c r="F477" s="582"/>
      <c r="G477" s="585"/>
      <c r="H477" s="582"/>
      <c r="I477" s="585"/>
      <c r="J477" s="582"/>
      <c r="K477" s="585"/>
      <c r="L477" s="582"/>
      <c r="M477" s="585"/>
      <c r="N477" s="582"/>
      <c r="O477" s="585"/>
      <c r="P477" s="583">
        <f t="shared" si="126"/>
        <v>0</v>
      </c>
      <c r="Q477" s="583">
        <f t="shared" si="127"/>
        <v>0</v>
      </c>
      <c r="R477" s="584">
        <f t="shared" si="128"/>
        <v>0</v>
      </c>
      <c r="S477" s="584">
        <f t="shared" si="129"/>
        <v>0</v>
      </c>
      <c r="T477" s="582"/>
      <c r="U477" s="585"/>
      <c r="V477" s="583">
        <f t="shared" si="130"/>
        <v>0</v>
      </c>
      <c r="W477" s="584">
        <f t="shared" si="131"/>
        <v>0</v>
      </c>
      <c r="X477" s="582"/>
      <c r="Y477" s="585"/>
      <c r="Z477" s="582">
        <v>177025</v>
      </c>
      <c r="AA477" s="585">
        <v>176282</v>
      </c>
      <c r="AB477" s="582">
        <v>132393</v>
      </c>
      <c r="AC477" s="585">
        <v>134064</v>
      </c>
      <c r="AD477" s="582">
        <v>180291</v>
      </c>
      <c r="AE477" s="585">
        <v>165760</v>
      </c>
      <c r="AF477" s="583">
        <f t="shared" si="132"/>
        <v>489709</v>
      </c>
      <c r="AG477" s="583">
        <f t="shared" si="133"/>
        <v>544.12111111111108</v>
      </c>
      <c r="AH477" s="584">
        <f t="shared" si="134"/>
        <v>476106</v>
      </c>
      <c r="AI477" s="584">
        <f t="shared" si="135"/>
        <v>529.00666666666666</v>
      </c>
      <c r="AJ477" s="582"/>
      <c r="AK477" s="585"/>
      <c r="AL477" s="583">
        <f t="shared" si="136"/>
        <v>0</v>
      </c>
      <c r="AM477" s="584">
        <f t="shared" si="137"/>
        <v>0</v>
      </c>
      <c r="AN477" s="582"/>
      <c r="AO477" s="585"/>
      <c r="AP477" s="582"/>
      <c r="AQ477" s="585"/>
      <c r="AR477" s="582"/>
      <c r="AS477" s="585"/>
      <c r="AT477" s="582"/>
      <c r="AU477" s="585"/>
      <c r="AV477" s="583">
        <f t="shared" si="138"/>
        <v>0</v>
      </c>
      <c r="AW477" s="583">
        <f t="shared" si="139"/>
        <v>0</v>
      </c>
      <c r="AX477" s="584">
        <f t="shared" si="140"/>
        <v>0</v>
      </c>
      <c r="AY477" s="584">
        <f t="shared" si="141"/>
        <v>0</v>
      </c>
      <c r="AZ477" s="583">
        <f t="shared" si="142"/>
        <v>544.12111111111108</v>
      </c>
      <c r="BA477" s="584">
        <f t="shared" si="143"/>
        <v>529.00666666666666</v>
      </c>
    </row>
    <row r="478" spans="1:53">
      <c r="A478" s="47" t="s">
        <v>405</v>
      </c>
      <c r="B478" s="43" t="s">
        <v>441</v>
      </c>
      <c r="C478" s="44"/>
      <c r="D478" s="45">
        <v>221625</v>
      </c>
      <c r="E478" s="45">
        <v>13</v>
      </c>
      <c r="F478" s="582"/>
      <c r="G478" s="585"/>
      <c r="H478" s="582"/>
      <c r="I478" s="585"/>
      <c r="J478" s="582"/>
      <c r="K478" s="585"/>
      <c r="L478" s="582"/>
      <c r="M478" s="585"/>
      <c r="N478" s="582"/>
      <c r="O478" s="585"/>
      <c r="P478" s="583">
        <f t="shared" si="126"/>
        <v>0</v>
      </c>
      <c r="Q478" s="583">
        <f t="shared" si="127"/>
        <v>0</v>
      </c>
      <c r="R478" s="584">
        <f t="shared" si="128"/>
        <v>0</v>
      </c>
      <c r="S478" s="584">
        <f t="shared" si="129"/>
        <v>0</v>
      </c>
      <c r="T478" s="582"/>
      <c r="U478" s="585"/>
      <c r="V478" s="583">
        <f t="shared" si="130"/>
        <v>0</v>
      </c>
      <c r="W478" s="584">
        <f t="shared" si="131"/>
        <v>0</v>
      </c>
      <c r="X478" s="582"/>
      <c r="Y478" s="585"/>
      <c r="Z478" s="582">
        <v>255531</v>
      </c>
      <c r="AA478" s="585">
        <v>249520</v>
      </c>
      <c r="AB478" s="582">
        <v>225540</v>
      </c>
      <c r="AC478" s="585">
        <v>207078</v>
      </c>
      <c r="AD478" s="582">
        <v>244171</v>
      </c>
      <c r="AE478" s="585">
        <v>258262</v>
      </c>
      <c r="AF478" s="583">
        <f t="shared" si="132"/>
        <v>725242</v>
      </c>
      <c r="AG478" s="583">
        <f t="shared" si="133"/>
        <v>805.82444444444445</v>
      </c>
      <c r="AH478" s="584">
        <f t="shared" si="134"/>
        <v>714860</v>
      </c>
      <c r="AI478" s="584">
        <f t="shared" si="135"/>
        <v>794.28888888888889</v>
      </c>
      <c r="AJ478" s="582"/>
      <c r="AK478" s="585"/>
      <c r="AL478" s="583">
        <f t="shared" si="136"/>
        <v>0</v>
      </c>
      <c r="AM478" s="584">
        <f t="shared" si="137"/>
        <v>0</v>
      </c>
      <c r="AN478" s="582"/>
      <c r="AO478" s="585"/>
      <c r="AP478" s="582"/>
      <c r="AQ478" s="585"/>
      <c r="AR478" s="582"/>
      <c r="AS478" s="585"/>
      <c r="AT478" s="582"/>
      <c r="AU478" s="585"/>
      <c r="AV478" s="583">
        <f t="shared" si="138"/>
        <v>0</v>
      </c>
      <c r="AW478" s="583">
        <f t="shared" si="139"/>
        <v>0</v>
      </c>
      <c r="AX478" s="584">
        <f t="shared" si="140"/>
        <v>0</v>
      </c>
      <c r="AY478" s="584">
        <f t="shared" si="141"/>
        <v>0</v>
      </c>
      <c r="AZ478" s="583">
        <f t="shared" si="142"/>
        <v>805.82444444444445</v>
      </c>
      <c r="BA478" s="584">
        <f t="shared" si="143"/>
        <v>794.28888888888889</v>
      </c>
    </row>
    <row r="479" spans="1:53">
      <c r="A479" s="47" t="s">
        <v>405</v>
      </c>
      <c r="B479" s="43" t="s">
        <v>442</v>
      </c>
      <c r="C479" s="44"/>
      <c r="D479" s="45">
        <v>220640</v>
      </c>
      <c r="E479" s="45">
        <v>13</v>
      </c>
      <c r="F479" s="582"/>
      <c r="G479" s="585"/>
      <c r="H479" s="582"/>
      <c r="I479" s="585"/>
      <c r="J479" s="582"/>
      <c r="K479" s="585"/>
      <c r="L479" s="582"/>
      <c r="M479" s="585"/>
      <c r="N479" s="582"/>
      <c r="O479" s="585"/>
      <c r="P479" s="583">
        <f t="shared" si="126"/>
        <v>0</v>
      </c>
      <c r="Q479" s="583">
        <f t="shared" si="127"/>
        <v>0</v>
      </c>
      <c r="R479" s="584">
        <f t="shared" si="128"/>
        <v>0</v>
      </c>
      <c r="S479" s="584">
        <f t="shared" si="129"/>
        <v>0</v>
      </c>
      <c r="T479" s="582"/>
      <c r="U479" s="585"/>
      <c r="V479" s="583">
        <f t="shared" si="130"/>
        <v>0</v>
      </c>
      <c r="W479" s="584">
        <f t="shared" si="131"/>
        <v>0</v>
      </c>
      <c r="X479" s="582"/>
      <c r="Y479" s="585"/>
      <c r="Z479" s="582">
        <v>169098</v>
      </c>
      <c r="AA479" s="585">
        <v>198583</v>
      </c>
      <c r="AB479" s="582">
        <v>111526</v>
      </c>
      <c r="AC479" s="585">
        <v>117067</v>
      </c>
      <c r="AD479" s="582">
        <v>209881</v>
      </c>
      <c r="AE479" s="585">
        <v>200835</v>
      </c>
      <c r="AF479" s="583">
        <f t="shared" si="132"/>
        <v>490505</v>
      </c>
      <c r="AG479" s="583">
        <f t="shared" si="133"/>
        <v>545.00555555555559</v>
      </c>
      <c r="AH479" s="584">
        <f t="shared" si="134"/>
        <v>516485</v>
      </c>
      <c r="AI479" s="584">
        <f t="shared" si="135"/>
        <v>573.87222222222226</v>
      </c>
      <c r="AJ479" s="582"/>
      <c r="AK479" s="585"/>
      <c r="AL479" s="583">
        <f t="shared" si="136"/>
        <v>0</v>
      </c>
      <c r="AM479" s="584">
        <f t="shared" si="137"/>
        <v>0</v>
      </c>
      <c r="AN479" s="582"/>
      <c r="AO479" s="585"/>
      <c r="AP479" s="582"/>
      <c r="AQ479" s="585"/>
      <c r="AR479" s="582"/>
      <c r="AS479" s="585"/>
      <c r="AT479" s="582"/>
      <c r="AU479" s="585"/>
      <c r="AV479" s="583">
        <f t="shared" si="138"/>
        <v>0</v>
      </c>
      <c r="AW479" s="583">
        <f t="shared" si="139"/>
        <v>0</v>
      </c>
      <c r="AX479" s="584">
        <f t="shared" si="140"/>
        <v>0</v>
      </c>
      <c r="AY479" s="584">
        <f t="shared" si="141"/>
        <v>0</v>
      </c>
      <c r="AZ479" s="583">
        <f t="shared" si="142"/>
        <v>545.00555555555559</v>
      </c>
      <c r="BA479" s="584">
        <f t="shared" si="143"/>
        <v>573.87222222222226</v>
      </c>
    </row>
    <row r="480" spans="1:53">
      <c r="A480" s="47" t="s">
        <v>405</v>
      </c>
      <c r="B480" s="43" t="s">
        <v>443</v>
      </c>
      <c r="C480" s="44"/>
      <c r="D480" s="45">
        <v>220756</v>
      </c>
      <c r="E480" s="45">
        <v>13</v>
      </c>
      <c r="F480" s="582"/>
      <c r="G480" s="585"/>
      <c r="H480" s="582"/>
      <c r="I480" s="585"/>
      <c r="J480" s="582"/>
      <c r="K480" s="585"/>
      <c r="L480" s="582"/>
      <c r="M480" s="585"/>
      <c r="N480" s="582"/>
      <c r="O480" s="585"/>
      <c r="P480" s="583">
        <f t="shared" si="126"/>
        <v>0</v>
      </c>
      <c r="Q480" s="583">
        <f t="shared" si="127"/>
        <v>0</v>
      </c>
      <c r="R480" s="584">
        <f t="shared" si="128"/>
        <v>0</v>
      </c>
      <c r="S480" s="584">
        <f t="shared" si="129"/>
        <v>0</v>
      </c>
      <c r="T480" s="582"/>
      <c r="U480" s="585"/>
      <c r="V480" s="583">
        <f t="shared" si="130"/>
        <v>0</v>
      </c>
      <c r="W480" s="584">
        <f t="shared" si="131"/>
        <v>0</v>
      </c>
      <c r="X480" s="582"/>
      <c r="Y480" s="585"/>
      <c r="Z480" s="582">
        <v>61930</v>
      </c>
      <c r="AA480" s="585">
        <v>54603</v>
      </c>
      <c r="AB480" s="582">
        <v>47174</v>
      </c>
      <c r="AC480" s="585">
        <v>47578</v>
      </c>
      <c r="AD480" s="582">
        <v>58922</v>
      </c>
      <c r="AE480" s="585">
        <v>56662</v>
      </c>
      <c r="AF480" s="583">
        <f t="shared" si="132"/>
        <v>168026</v>
      </c>
      <c r="AG480" s="583">
        <f t="shared" si="133"/>
        <v>186.69555555555556</v>
      </c>
      <c r="AH480" s="584">
        <f t="shared" si="134"/>
        <v>158843</v>
      </c>
      <c r="AI480" s="584">
        <f t="shared" si="135"/>
        <v>176.49222222222221</v>
      </c>
      <c r="AJ480" s="582"/>
      <c r="AK480" s="585"/>
      <c r="AL480" s="583">
        <f t="shared" si="136"/>
        <v>0</v>
      </c>
      <c r="AM480" s="584">
        <f t="shared" si="137"/>
        <v>0</v>
      </c>
      <c r="AN480" s="582"/>
      <c r="AO480" s="585"/>
      <c r="AP480" s="582"/>
      <c r="AQ480" s="585"/>
      <c r="AR480" s="582"/>
      <c r="AS480" s="585"/>
      <c r="AT480" s="582"/>
      <c r="AU480" s="585"/>
      <c r="AV480" s="583">
        <f t="shared" si="138"/>
        <v>0</v>
      </c>
      <c r="AW480" s="583">
        <f t="shared" si="139"/>
        <v>0</v>
      </c>
      <c r="AX480" s="584">
        <f t="shared" si="140"/>
        <v>0</v>
      </c>
      <c r="AY480" s="584">
        <f t="shared" si="141"/>
        <v>0</v>
      </c>
      <c r="AZ480" s="583">
        <f t="shared" si="142"/>
        <v>186.69555555555556</v>
      </c>
      <c r="BA480" s="584">
        <f t="shared" si="143"/>
        <v>176.49222222222221</v>
      </c>
    </row>
    <row r="481" spans="1:53">
      <c r="A481" s="47" t="s">
        <v>405</v>
      </c>
      <c r="B481" s="43" t="s">
        <v>444</v>
      </c>
      <c r="C481" s="44"/>
      <c r="D481" s="45">
        <v>221607</v>
      </c>
      <c r="E481" s="45">
        <v>13</v>
      </c>
      <c r="F481" s="582"/>
      <c r="G481" s="585"/>
      <c r="H481" s="582"/>
      <c r="I481" s="585"/>
      <c r="J481" s="582"/>
      <c r="K481" s="585"/>
      <c r="L481" s="582"/>
      <c r="M481" s="585"/>
      <c r="N481" s="582"/>
      <c r="O481" s="585"/>
      <c r="P481" s="583">
        <f t="shared" si="126"/>
        <v>0</v>
      </c>
      <c r="Q481" s="583">
        <f t="shared" si="127"/>
        <v>0</v>
      </c>
      <c r="R481" s="584">
        <f t="shared" si="128"/>
        <v>0</v>
      </c>
      <c r="S481" s="584">
        <f t="shared" si="129"/>
        <v>0</v>
      </c>
      <c r="T481" s="582"/>
      <c r="U481" s="585"/>
      <c r="V481" s="583">
        <f t="shared" si="130"/>
        <v>0</v>
      </c>
      <c r="W481" s="584">
        <f t="shared" si="131"/>
        <v>0</v>
      </c>
      <c r="X481" s="582"/>
      <c r="Y481" s="585"/>
      <c r="Z481" s="582">
        <v>58090</v>
      </c>
      <c r="AA481" s="585">
        <v>65483</v>
      </c>
      <c r="AB481" s="582">
        <v>50644</v>
      </c>
      <c r="AC481" s="585">
        <v>66391</v>
      </c>
      <c r="AD481" s="582">
        <v>69455</v>
      </c>
      <c r="AE481" s="585">
        <v>82284</v>
      </c>
      <c r="AF481" s="583">
        <f t="shared" si="132"/>
        <v>178189</v>
      </c>
      <c r="AG481" s="583">
        <f t="shared" si="133"/>
        <v>197.98777777777778</v>
      </c>
      <c r="AH481" s="584">
        <f t="shared" si="134"/>
        <v>214158</v>
      </c>
      <c r="AI481" s="584">
        <f t="shared" si="135"/>
        <v>237.95333333333335</v>
      </c>
      <c r="AJ481" s="582"/>
      <c r="AK481" s="585"/>
      <c r="AL481" s="583">
        <f t="shared" si="136"/>
        <v>0</v>
      </c>
      <c r="AM481" s="584">
        <f t="shared" si="137"/>
        <v>0</v>
      </c>
      <c r="AN481" s="582"/>
      <c r="AO481" s="585"/>
      <c r="AP481" s="582"/>
      <c r="AQ481" s="585"/>
      <c r="AR481" s="582"/>
      <c r="AS481" s="585"/>
      <c r="AT481" s="582"/>
      <c r="AU481" s="585"/>
      <c r="AV481" s="583">
        <f t="shared" si="138"/>
        <v>0</v>
      </c>
      <c r="AW481" s="583">
        <f t="shared" si="139"/>
        <v>0</v>
      </c>
      <c r="AX481" s="584">
        <f t="shared" si="140"/>
        <v>0</v>
      </c>
      <c r="AY481" s="584">
        <f t="shared" si="141"/>
        <v>0</v>
      </c>
      <c r="AZ481" s="583">
        <f t="shared" si="142"/>
        <v>197.98777777777778</v>
      </c>
      <c r="BA481" s="584">
        <f t="shared" si="143"/>
        <v>237.95333333333335</v>
      </c>
    </row>
    <row r="482" spans="1:53">
      <c r="A482" s="47" t="s">
        <v>405</v>
      </c>
      <c r="B482" s="43" t="s">
        <v>445</v>
      </c>
      <c r="C482" s="562" t="s">
        <v>943</v>
      </c>
      <c r="D482" s="45">
        <v>220853</v>
      </c>
      <c r="E482" s="45">
        <v>13</v>
      </c>
      <c r="F482" s="582"/>
      <c r="G482" s="585"/>
      <c r="H482" s="582"/>
      <c r="I482" s="585"/>
      <c r="J482" s="582"/>
      <c r="K482" s="585"/>
      <c r="L482" s="582"/>
      <c r="M482" s="585"/>
      <c r="N482" s="582"/>
      <c r="O482" s="585"/>
      <c r="P482" s="583">
        <f t="shared" si="126"/>
        <v>0</v>
      </c>
      <c r="Q482" s="583">
        <f t="shared" si="127"/>
        <v>0</v>
      </c>
      <c r="R482" s="584">
        <f t="shared" si="128"/>
        <v>0</v>
      </c>
      <c r="S482" s="584">
        <f t="shared" si="129"/>
        <v>0</v>
      </c>
      <c r="T482" s="582"/>
      <c r="U482" s="585"/>
      <c r="V482" s="583">
        <f t="shared" si="130"/>
        <v>0</v>
      </c>
      <c r="W482" s="584">
        <f t="shared" si="131"/>
        <v>0</v>
      </c>
      <c r="X482" s="582"/>
      <c r="Y482" s="585"/>
      <c r="Z482" s="582">
        <v>300265</v>
      </c>
      <c r="AA482" s="585">
        <v>312423</v>
      </c>
      <c r="AB482" s="582">
        <v>273553</v>
      </c>
      <c r="AC482" s="585">
        <v>245759</v>
      </c>
      <c r="AD482" s="582">
        <v>292159</v>
      </c>
      <c r="AE482" s="585">
        <v>353147</v>
      </c>
      <c r="AF482" s="583">
        <f t="shared" si="132"/>
        <v>865977</v>
      </c>
      <c r="AG482" s="583">
        <f t="shared" si="133"/>
        <v>962.19666666666672</v>
      </c>
      <c r="AH482" s="584">
        <f t="shared" si="134"/>
        <v>911329</v>
      </c>
      <c r="AI482" s="584">
        <f t="shared" si="135"/>
        <v>1012.5877777777778</v>
      </c>
      <c r="AJ482" s="582"/>
      <c r="AK482" s="585"/>
      <c r="AL482" s="583">
        <f t="shared" si="136"/>
        <v>0</v>
      </c>
      <c r="AM482" s="584">
        <f t="shared" si="137"/>
        <v>0</v>
      </c>
      <c r="AN482" s="582"/>
      <c r="AO482" s="585"/>
      <c r="AP482" s="582"/>
      <c r="AQ482" s="585"/>
      <c r="AR482" s="582"/>
      <c r="AS482" s="585"/>
      <c r="AT482" s="582"/>
      <c r="AU482" s="585"/>
      <c r="AV482" s="583">
        <f t="shared" si="138"/>
        <v>0</v>
      </c>
      <c r="AW482" s="583">
        <f t="shared" si="139"/>
        <v>0</v>
      </c>
      <c r="AX482" s="584">
        <f t="shared" si="140"/>
        <v>0</v>
      </c>
      <c r="AY482" s="584">
        <f t="shared" si="141"/>
        <v>0</v>
      </c>
      <c r="AZ482" s="583">
        <f t="shared" si="142"/>
        <v>962.19666666666672</v>
      </c>
      <c r="BA482" s="584">
        <f t="shared" si="143"/>
        <v>1012.5877777777778</v>
      </c>
    </row>
    <row r="483" spans="1:53">
      <c r="A483" s="47" t="s">
        <v>405</v>
      </c>
      <c r="B483" s="43" t="s">
        <v>446</v>
      </c>
      <c r="C483" s="44"/>
      <c r="D483" s="45">
        <v>221050</v>
      </c>
      <c r="E483" s="45">
        <v>13</v>
      </c>
      <c r="F483" s="582"/>
      <c r="G483" s="585"/>
      <c r="H483" s="582"/>
      <c r="I483" s="585"/>
      <c r="J483" s="582"/>
      <c r="K483" s="585"/>
      <c r="L483" s="582"/>
      <c r="M483" s="585"/>
      <c r="N483" s="582"/>
      <c r="O483" s="585"/>
      <c r="P483" s="583">
        <f t="shared" si="126"/>
        <v>0</v>
      </c>
      <c r="Q483" s="583">
        <f t="shared" si="127"/>
        <v>0</v>
      </c>
      <c r="R483" s="584">
        <f t="shared" si="128"/>
        <v>0</v>
      </c>
      <c r="S483" s="584">
        <f t="shared" si="129"/>
        <v>0</v>
      </c>
      <c r="T483" s="582"/>
      <c r="U483" s="585"/>
      <c r="V483" s="583">
        <f t="shared" si="130"/>
        <v>0</v>
      </c>
      <c r="W483" s="584">
        <f t="shared" si="131"/>
        <v>0</v>
      </c>
      <c r="X483" s="582"/>
      <c r="Y483" s="585"/>
      <c r="Z483" s="582">
        <v>201982</v>
      </c>
      <c r="AA483" s="585">
        <v>250859</v>
      </c>
      <c r="AB483" s="582">
        <v>185560</v>
      </c>
      <c r="AC483" s="585">
        <v>204057</v>
      </c>
      <c r="AD483" s="582">
        <v>260744</v>
      </c>
      <c r="AE483" s="585">
        <v>259793</v>
      </c>
      <c r="AF483" s="583">
        <f t="shared" si="132"/>
        <v>648286</v>
      </c>
      <c r="AG483" s="583">
        <f t="shared" si="133"/>
        <v>720.31777777777779</v>
      </c>
      <c r="AH483" s="584">
        <f t="shared" si="134"/>
        <v>714709</v>
      </c>
      <c r="AI483" s="584">
        <f t="shared" si="135"/>
        <v>794.12111111111108</v>
      </c>
      <c r="AJ483" s="582"/>
      <c r="AK483" s="585"/>
      <c r="AL483" s="583">
        <f t="shared" si="136"/>
        <v>0</v>
      </c>
      <c r="AM483" s="584">
        <f t="shared" si="137"/>
        <v>0</v>
      </c>
      <c r="AN483" s="582"/>
      <c r="AO483" s="585"/>
      <c r="AP483" s="582"/>
      <c r="AQ483" s="585"/>
      <c r="AR483" s="582"/>
      <c r="AS483" s="585"/>
      <c r="AT483" s="582"/>
      <c r="AU483" s="585"/>
      <c r="AV483" s="583">
        <f t="shared" si="138"/>
        <v>0</v>
      </c>
      <c r="AW483" s="583">
        <f t="shared" si="139"/>
        <v>0</v>
      </c>
      <c r="AX483" s="584">
        <f t="shared" si="140"/>
        <v>0</v>
      </c>
      <c r="AY483" s="584">
        <f t="shared" si="141"/>
        <v>0</v>
      </c>
      <c r="AZ483" s="583">
        <f t="shared" si="142"/>
        <v>720.31777777777779</v>
      </c>
      <c r="BA483" s="584">
        <f t="shared" si="143"/>
        <v>794.12111111111108</v>
      </c>
    </row>
    <row r="484" spans="1:53">
      <c r="A484" s="47" t="s">
        <v>405</v>
      </c>
      <c r="B484" s="43" t="s">
        <v>447</v>
      </c>
      <c r="C484" s="44"/>
      <c r="D484" s="45">
        <v>221102</v>
      </c>
      <c r="E484" s="45">
        <v>13</v>
      </c>
      <c r="F484" s="582"/>
      <c r="G484" s="585"/>
      <c r="H484" s="582"/>
      <c r="I484" s="585"/>
      <c r="J484" s="582"/>
      <c r="K484" s="585"/>
      <c r="L484" s="582"/>
      <c r="M484" s="585"/>
      <c r="N484" s="582"/>
      <c r="O484" s="585"/>
      <c r="P484" s="583">
        <f t="shared" si="126"/>
        <v>0</v>
      </c>
      <c r="Q484" s="583">
        <f t="shared" si="127"/>
        <v>0</v>
      </c>
      <c r="R484" s="584">
        <f t="shared" si="128"/>
        <v>0</v>
      </c>
      <c r="S484" s="584">
        <f t="shared" si="129"/>
        <v>0</v>
      </c>
      <c r="T484" s="582"/>
      <c r="U484" s="585"/>
      <c r="V484" s="583">
        <f t="shared" si="130"/>
        <v>0</v>
      </c>
      <c r="W484" s="584">
        <f t="shared" si="131"/>
        <v>0</v>
      </c>
      <c r="X484" s="582"/>
      <c r="Y484" s="585"/>
      <c r="Z484" s="582">
        <v>234090</v>
      </c>
      <c r="AA484" s="585">
        <v>243236</v>
      </c>
      <c r="AB484" s="582">
        <v>216288</v>
      </c>
      <c r="AC484" s="585">
        <v>221520</v>
      </c>
      <c r="AD484" s="582">
        <v>249514</v>
      </c>
      <c r="AE484" s="585">
        <v>224672</v>
      </c>
      <c r="AF484" s="583">
        <f t="shared" si="132"/>
        <v>699892</v>
      </c>
      <c r="AG484" s="583">
        <f t="shared" si="133"/>
        <v>777.65777777777782</v>
      </c>
      <c r="AH484" s="584">
        <f t="shared" si="134"/>
        <v>689428</v>
      </c>
      <c r="AI484" s="584">
        <f t="shared" si="135"/>
        <v>766.03111111111116</v>
      </c>
      <c r="AJ484" s="582"/>
      <c r="AK484" s="585"/>
      <c r="AL484" s="583">
        <f t="shared" si="136"/>
        <v>0</v>
      </c>
      <c r="AM484" s="584">
        <f t="shared" si="137"/>
        <v>0</v>
      </c>
      <c r="AN484" s="582"/>
      <c r="AO484" s="585"/>
      <c r="AP484" s="582"/>
      <c r="AQ484" s="585"/>
      <c r="AR484" s="582"/>
      <c r="AS484" s="585"/>
      <c r="AT484" s="582"/>
      <c r="AU484" s="585"/>
      <c r="AV484" s="583">
        <f t="shared" si="138"/>
        <v>0</v>
      </c>
      <c r="AW484" s="583">
        <f t="shared" si="139"/>
        <v>0</v>
      </c>
      <c r="AX484" s="584">
        <f t="shared" si="140"/>
        <v>0</v>
      </c>
      <c r="AY484" s="584">
        <f t="shared" si="141"/>
        <v>0</v>
      </c>
      <c r="AZ484" s="583">
        <f t="shared" si="142"/>
        <v>777.65777777777782</v>
      </c>
      <c r="BA484" s="584">
        <f t="shared" si="143"/>
        <v>766.03111111111116</v>
      </c>
    </row>
    <row r="485" spans="1:53">
      <c r="A485" s="47" t="s">
        <v>405</v>
      </c>
      <c r="B485" s="43" t="s">
        <v>448</v>
      </c>
      <c r="C485" s="44"/>
      <c r="D485" s="45">
        <v>248925</v>
      </c>
      <c r="E485" s="45">
        <v>13</v>
      </c>
      <c r="F485" s="582"/>
      <c r="G485" s="585"/>
      <c r="H485" s="582"/>
      <c r="I485" s="585"/>
      <c r="J485" s="582"/>
      <c r="K485" s="585"/>
      <c r="L485" s="582"/>
      <c r="M485" s="585"/>
      <c r="N485" s="582"/>
      <c r="O485" s="585"/>
      <c r="P485" s="583">
        <f t="shared" si="126"/>
        <v>0</v>
      </c>
      <c r="Q485" s="583">
        <f t="shared" si="127"/>
        <v>0</v>
      </c>
      <c r="R485" s="584">
        <f t="shared" si="128"/>
        <v>0</v>
      </c>
      <c r="S485" s="584">
        <f t="shared" si="129"/>
        <v>0</v>
      </c>
      <c r="T485" s="582"/>
      <c r="U485" s="585"/>
      <c r="V485" s="583">
        <f t="shared" si="130"/>
        <v>0</v>
      </c>
      <c r="W485" s="584">
        <f t="shared" si="131"/>
        <v>0</v>
      </c>
      <c r="X485" s="582"/>
      <c r="Y485" s="585"/>
      <c r="Z485" s="582">
        <v>256811</v>
      </c>
      <c r="AA485" s="585">
        <v>308057</v>
      </c>
      <c r="AB485" s="582">
        <v>237855</v>
      </c>
      <c r="AC485" s="585">
        <v>236744</v>
      </c>
      <c r="AD485" s="582">
        <v>324916</v>
      </c>
      <c r="AE485" s="585">
        <v>305075</v>
      </c>
      <c r="AF485" s="583">
        <f t="shared" si="132"/>
        <v>819582</v>
      </c>
      <c r="AG485" s="583">
        <f t="shared" si="133"/>
        <v>910.64666666666665</v>
      </c>
      <c r="AH485" s="584">
        <f t="shared" si="134"/>
        <v>849876</v>
      </c>
      <c r="AI485" s="584">
        <f t="shared" si="135"/>
        <v>944.30666666666662</v>
      </c>
      <c r="AJ485" s="582"/>
      <c r="AK485" s="585"/>
      <c r="AL485" s="583">
        <f t="shared" si="136"/>
        <v>0</v>
      </c>
      <c r="AM485" s="584">
        <f t="shared" si="137"/>
        <v>0</v>
      </c>
      <c r="AN485" s="582"/>
      <c r="AO485" s="585"/>
      <c r="AP485" s="582"/>
      <c r="AQ485" s="585"/>
      <c r="AR485" s="582"/>
      <c r="AS485" s="585"/>
      <c r="AT485" s="582"/>
      <c r="AU485" s="585"/>
      <c r="AV485" s="583">
        <f t="shared" si="138"/>
        <v>0</v>
      </c>
      <c r="AW485" s="583">
        <f t="shared" si="139"/>
        <v>0</v>
      </c>
      <c r="AX485" s="584">
        <f t="shared" si="140"/>
        <v>0</v>
      </c>
      <c r="AY485" s="584">
        <f t="shared" si="141"/>
        <v>0</v>
      </c>
      <c r="AZ485" s="583">
        <f t="shared" si="142"/>
        <v>910.64666666666665</v>
      </c>
      <c r="BA485" s="584">
        <f t="shared" si="143"/>
        <v>944.30666666666662</v>
      </c>
    </row>
    <row r="486" spans="1:53">
      <c r="A486" s="47" t="s">
        <v>405</v>
      </c>
      <c r="B486" s="43" t="s">
        <v>449</v>
      </c>
      <c r="C486" s="44"/>
      <c r="D486" s="45">
        <v>221236</v>
      </c>
      <c r="E486" s="45">
        <v>13</v>
      </c>
      <c r="F486" s="582"/>
      <c r="G486" s="585"/>
      <c r="H486" s="582"/>
      <c r="I486" s="585"/>
      <c r="J486" s="582"/>
      <c r="K486" s="585"/>
      <c r="L486" s="582"/>
      <c r="M486" s="585"/>
      <c r="N486" s="582"/>
      <c r="O486" s="585"/>
      <c r="P486" s="583">
        <f t="shared" si="126"/>
        <v>0</v>
      </c>
      <c r="Q486" s="583">
        <f t="shared" si="127"/>
        <v>0</v>
      </c>
      <c r="R486" s="584">
        <f t="shared" si="128"/>
        <v>0</v>
      </c>
      <c r="S486" s="584">
        <f t="shared" si="129"/>
        <v>0</v>
      </c>
      <c r="T486" s="582"/>
      <c r="U486" s="585"/>
      <c r="V486" s="583">
        <f t="shared" si="130"/>
        <v>0</v>
      </c>
      <c r="W486" s="584">
        <f t="shared" si="131"/>
        <v>0</v>
      </c>
      <c r="X486" s="582"/>
      <c r="Y486" s="585"/>
      <c r="Z486" s="582">
        <v>118302</v>
      </c>
      <c r="AA486" s="585">
        <v>120797</v>
      </c>
      <c r="AB486" s="582">
        <v>99441</v>
      </c>
      <c r="AC486" s="585">
        <v>89103</v>
      </c>
      <c r="AD486" s="582">
        <v>127369</v>
      </c>
      <c r="AE486" s="585">
        <v>127791</v>
      </c>
      <c r="AF486" s="583">
        <f t="shared" si="132"/>
        <v>345112</v>
      </c>
      <c r="AG486" s="583">
        <f t="shared" si="133"/>
        <v>383.45777777777778</v>
      </c>
      <c r="AH486" s="584">
        <f t="shared" si="134"/>
        <v>337691</v>
      </c>
      <c r="AI486" s="584">
        <f t="shared" si="135"/>
        <v>375.21222222222224</v>
      </c>
      <c r="AJ486" s="582"/>
      <c r="AK486" s="585"/>
      <c r="AL486" s="583">
        <f t="shared" si="136"/>
        <v>0</v>
      </c>
      <c r="AM486" s="584">
        <f t="shared" si="137"/>
        <v>0</v>
      </c>
      <c r="AN486" s="582"/>
      <c r="AO486" s="585"/>
      <c r="AP486" s="582"/>
      <c r="AQ486" s="585"/>
      <c r="AR486" s="582"/>
      <c r="AS486" s="585"/>
      <c r="AT486" s="582"/>
      <c r="AU486" s="585"/>
      <c r="AV486" s="583">
        <f t="shared" si="138"/>
        <v>0</v>
      </c>
      <c r="AW486" s="583">
        <f t="shared" si="139"/>
        <v>0</v>
      </c>
      <c r="AX486" s="584">
        <f t="shared" si="140"/>
        <v>0</v>
      </c>
      <c r="AY486" s="584">
        <f t="shared" si="141"/>
        <v>0</v>
      </c>
      <c r="AZ486" s="583">
        <f t="shared" si="142"/>
        <v>383.45777777777778</v>
      </c>
      <c r="BA486" s="584">
        <f t="shared" si="143"/>
        <v>375.21222222222224</v>
      </c>
    </row>
    <row r="487" spans="1:53">
      <c r="A487" s="47" t="s">
        <v>405</v>
      </c>
      <c r="B487" s="43" t="s">
        <v>450</v>
      </c>
      <c r="C487" s="44"/>
      <c r="D487" s="45">
        <v>221582</v>
      </c>
      <c r="E487" s="45">
        <v>13</v>
      </c>
      <c r="F487" s="582"/>
      <c r="G487" s="585"/>
      <c r="H487" s="582"/>
      <c r="I487" s="585"/>
      <c r="J487" s="582"/>
      <c r="K487" s="585"/>
      <c r="L487" s="582"/>
      <c r="M487" s="585"/>
      <c r="N487" s="582"/>
      <c r="O487" s="585"/>
      <c r="P487" s="583">
        <f t="shared" si="126"/>
        <v>0</v>
      </c>
      <c r="Q487" s="583">
        <f t="shared" si="127"/>
        <v>0</v>
      </c>
      <c r="R487" s="584">
        <f t="shared" si="128"/>
        <v>0</v>
      </c>
      <c r="S487" s="584">
        <f t="shared" si="129"/>
        <v>0</v>
      </c>
      <c r="T487" s="582"/>
      <c r="U487" s="585"/>
      <c r="V487" s="583">
        <f t="shared" si="130"/>
        <v>0</v>
      </c>
      <c r="W487" s="584">
        <f t="shared" si="131"/>
        <v>0</v>
      </c>
      <c r="X487" s="582"/>
      <c r="Y487" s="585"/>
      <c r="Z487" s="582">
        <v>63910</v>
      </c>
      <c r="AA487" s="585">
        <v>60907</v>
      </c>
      <c r="AB487" s="582">
        <v>49523</v>
      </c>
      <c r="AC487" s="585">
        <v>31343</v>
      </c>
      <c r="AD487" s="582">
        <v>75992</v>
      </c>
      <c r="AE487" s="585">
        <v>73425</v>
      </c>
      <c r="AF487" s="583">
        <f t="shared" si="132"/>
        <v>189425</v>
      </c>
      <c r="AG487" s="583">
        <f t="shared" si="133"/>
        <v>210.47222222222223</v>
      </c>
      <c r="AH487" s="584">
        <f t="shared" si="134"/>
        <v>165675</v>
      </c>
      <c r="AI487" s="584">
        <f t="shared" si="135"/>
        <v>184.08333333333334</v>
      </c>
      <c r="AJ487" s="582"/>
      <c r="AK487" s="585"/>
      <c r="AL487" s="583">
        <f t="shared" si="136"/>
        <v>0</v>
      </c>
      <c r="AM487" s="584">
        <f t="shared" si="137"/>
        <v>0</v>
      </c>
      <c r="AN487" s="582"/>
      <c r="AO487" s="585"/>
      <c r="AP487" s="582"/>
      <c r="AQ487" s="585"/>
      <c r="AR487" s="582"/>
      <c r="AS487" s="585"/>
      <c r="AT487" s="582"/>
      <c r="AU487" s="585"/>
      <c r="AV487" s="583">
        <f t="shared" si="138"/>
        <v>0</v>
      </c>
      <c r="AW487" s="583">
        <f t="shared" si="139"/>
        <v>0</v>
      </c>
      <c r="AX487" s="584">
        <f t="shared" si="140"/>
        <v>0</v>
      </c>
      <c r="AY487" s="584">
        <f t="shared" si="141"/>
        <v>0</v>
      </c>
      <c r="AZ487" s="583">
        <f t="shared" si="142"/>
        <v>210.47222222222223</v>
      </c>
      <c r="BA487" s="584">
        <f t="shared" si="143"/>
        <v>184.08333333333334</v>
      </c>
    </row>
    <row r="488" spans="1:53">
      <c r="A488" s="47" t="s">
        <v>405</v>
      </c>
      <c r="B488" s="43" t="s">
        <v>451</v>
      </c>
      <c r="C488" s="44"/>
      <c r="D488" s="45">
        <v>221281</v>
      </c>
      <c r="E488" s="45">
        <v>13</v>
      </c>
      <c r="F488" s="582"/>
      <c r="G488" s="585"/>
      <c r="H488" s="582"/>
      <c r="I488" s="585"/>
      <c r="J488" s="582"/>
      <c r="K488" s="585"/>
      <c r="L488" s="582"/>
      <c r="M488" s="585"/>
      <c r="N488" s="582"/>
      <c r="O488" s="585"/>
      <c r="P488" s="583">
        <f t="shared" si="126"/>
        <v>0</v>
      </c>
      <c r="Q488" s="583">
        <f t="shared" si="127"/>
        <v>0</v>
      </c>
      <c r="R488" s="584">
        <f t="shared" si="128"/>
        <v>0</v>
      </c>
      <c r="S488" s="584">
        <f t="shared" si="129"/>
        <v>0</v>
      </c>
      <c r="T488" s="582"/>
      <c r="U488" s="585"/>
      <c r="V488" s="583">
        <f t="shared" si="130"/>
        <v>0</v>
      </c>
      <c r="W488" s="584">
        <f t="shared" si="131"/>
        <v>0</v>
      </c>
      <c r="X488" s="582"/>
      <c r="Y488" s="585"/>
      <c r="Z488" s="582">
        <v>81300</v>
      </c>
      <c r="AA488" s="585">
        <v>85967</v>
      </c>
      <c r="AB488" s="582">
        <v>74312</v>
      </c>
      <c r="AC488" s="585">
        <v>65506</v>
      </c>
      <c r="AD488" s="582">
        <v>95477</v>
      </c>
      <c r="AE488" s="585">
        <v>99586</v>
      </c>
      <c r="AF488" s="583">
        <f t="shared" si="132"/>
        <v>251089</v>
      </c>
      <c r="AG488" s="583">
        <f t="shared" si="133"/>
        <v>278.98777777777775</v>
      </c>
      <c r="AH488" s="584">
        <f t="shared" si="134"/>
        <v>251059</v>
      </c>
      <c r="AI488" s="584">
        <f t="shared" si="135"/>
        <v>278.95444444444445</v>
      </c>
      <c r="AJ488" s="582"/>
      <c r="AK488" s="585"/>
      <c r="AL488" s="583">
        <f t="shared" si="136"/>
        <v>0</v>
      </c>
      <c r="AM488" s="584">
        <f t="shared" si="137"/>
        <v>0</v>
      </c>
      <c r="AN488" s="582"/>
      <c r="AO488" s="585"/>
      <c r="AP488" s="582"/>
      <c r="AQ488" s="585"/>
      <c r="AR488" s="582"/>
      <c r="AS488" s="585"/>
      <c r="AT488" s="582"/>
      <c r="AU488" s="585"/>
      <c r="AV488" s="583">
        <f t="shared" si="138"/>
        <v>0</v>
      </c>
      <c r="AW488" s="583">
        <f t="shared" si="139"/>
        <v>0</v>
      </c>
      <c r="AX488" s="584">
        <f t="shared" si="140"/>
        <v>0</v>
      </c>
      <c r="AY488" s="584">
        <f t="shared" si="141"/>
        <v>0</v>
      </c>
      <c r="AZ488" s="583">
        <f t="shared" si="142"/>
        <v>278.98777777777775</v>
      </c>
      <c r="BA488" s="584">
        <f t="shared" si="143"/>
        <v>278.95444444444445</v>
      </c>
    </row>
    <row r="489" spans="1:53">
      <c r="A489" s="47" t="s">
        <v>405</v>
      </c>
      <c r="B489" s="43" t="s">
        <v>452</v>
      </c>
      <c r="C489" s="44"/>
      <c r="D489" s="45">
        <v>221333</v>
      </c>
      <c r="E489" s="45">
        <v>13</v>
      </c>
      <c r="F489" s="582"/>
      <c r="G489" s="585"/>
      <c r="H489" s="582"/>
      <c r="I489" s="585"/>
      <c r="J489" s="582"/>
      <c r="K489" s="585"/>
      <c r="L489" s="582"/>
      <c r="M489" s="585"/>
      <c r="N489" s="582"/>
      <c r="O489" s="585"/>
      <c r="P489" s="583">
        <f t="shared" si="126"/>
        <v>0</v>
      </c>
      <c r="Q489" s="583">
        <f t="shared" si="127"/>
        <v>0</v>
      </c>
      <c r="R489" s="584">
        <f t="shared" si="128"/>
        <v>0</v>
      </c>
      <c r="S489" s="584">
        <f t="shared" si="129"/>
        <v>0</v>
      </c>
      <c r="T489" s="582"/>
      <c r="U489" s="585"/>
      <c r="V489" s="583">
        <f t="shared" si="130"/>
        <v>0</v>
      </c>
      <c r="W489" s="584">
        <f t="shared" si="131"/>
        <v>0</v>
      </c>
      <c r="X489" s="582"/>
      <c r="Y489" s="585"/>
      <c r="Z489" s="582">
        <v>150667</v>
      </c>
      <c r="AA489" s="585">
        <v>143191</v>
      </c>
      <c r="AB489" s="582">
        <v>82759</v>
      </c>
      <c r="AC489" s="585">
        <v>73727</v>
      </c>
      <c r="AD489" s="582">
        <v>155592</v>
      </c>
      <c r="AE489" s="585">
        <v>146642</v>
      </c>
      <c r="AF489" s="583">
        <f t="shared" si="132"/>
        <v>389018</v>
      </c>
      <c r="AG489" s="583">
        <f t="shared" si="133"/>
        <v>432.24222222222221</v>
      </c>
      <c r="AH489" s="584">
        <f t="shared" si="134"/>
        <v>363560</v>
      </c>
      <c r="AI489" s="584">
        <f t="shared" si="135"/>
        <v>403.95555555555558</v>
      </c>
      <c r="AJ489" s="582"/>
      <c r="AK489" s="585"/>
      <c r="AL489" s="583">
        <f t="shared" si="136"/>
        <v>0</v>
      </c>
      <c r="AM489" s="584">
        <f t="shared" si="137"/>
        <v>0</v>
      </c>
      <c r="AN489" s="582"/>
      <c r="AO489" s="585"/>
      <c r="AP489" s="582"/>
      <c r="AQ489" s="585"/>
      <c r="AR489" s="582"/>
      <c r="AS489" s="585"/>
      <c r="AT489" s="582"/>
      <c r="AU489" s="585"/>
      <c r="AV489" s="583">
        <f t="shared" si="138"/>
        <v>0</v>
      </c>
      <c r="AW489" s="583">
        <f t="shared" si="139"/>
        <v>0</v>
      </c>
      <c r="AX489" s="584">
        <f t="shared" si="140"/>
        <v>0</v>
      </c>
      <c r="AY489" s="584">
        <f t="shared" si="141"/>
        <v>0</v>
      </c>
      <c r="AZ489" s="583">
        <f t="shared" si="142"/>
        <v>432.24222222222221</v>
      </c>
      <c r="BA489" s="584">
        <f t="shared" si="143"/>
        <v>403.95555555555558</v>
      </c>
    </row>
    <row r="490" spans="1:53">
      <c r="A490" s="47" t="s">
        <v>405</v>
      </c>
      <c r="B490" s="43" t="s">
        <v>453</v>
      </c>
      <c r="C490" s="44"/>
      <c r="D490" s="45">
        <v>221388</v>
      </c>
      <c r="E490" s="45">
        <v>13</v>
      </c>
      <c r="F490" s="582"/>
      <c r="G490" s="585"/>
      <c r="H490" s="582"/>
      <c r="I490" s="585"/>
      <c r="J490" s="582"/>
      <c r="K490" s="585"/>
      <c r="L490" s="582"/>
      <c r="M490" s="585"/>
      <c r="N490" s="582"/>
      <c r="O490" s="585"/>
      <c r="P490" s="583">
        <f t="shared" si="126"/>
        <v>0</v>
      </c>
      <c r="Q490" s="583">
        <f t="shared" si="127"/>
        <v>0</v>
      </c>
      <c r="R490" s="584">
        <f t="shared" si="128"/>
        <v>0</v>
      </c>
      <c r="S490" s="584">
        <f t="shared" si="129"/>
        <v>0</v>
      </c>
      <c r="T490" s="582"/>
      <c r="U490" s="585"/>
      <c r="V490" s="583">
        <f t="shared" si="130"/>
        <v>0</v>
      </c>
      <c r="W490" s="584">
        <f t="shared" si="131"/>
        <v>0</v>
      </c>
      <c r="X490" s="582"/>
      <c r="Y490" s="585"/>
      <c r="Z490" s="582">
        <v>59768</v>
      </c>
      <c r="AA490" s="585">
        <v>68141</v>
      </c>
      <c r="AB490" s="582">
        <v>44685</v>
      </c>
      <c r="AC490" s="585">
        <v>45572</v>
      </c>
      <c r="AD490" s="582">
        <v>59837</v>
      </c>
      <c r="AE490" s="585">
        <v>62603</v>
      </c>
      <c r="AF490" s="583">
        <f t="shared" si="132"/>
        <v>164290</v>
      </c>
      <c r="AG490" s="583">
        <f t="shared" si="133"/>
        <v>182.54444444444445</v>
      </c>
      <c r="AH490" s="584">
        <f t="shared" si="134"/>
        <v>176316</v>
      </c>
      <c r="AI490" s="584">
        <f t="shared" si="135"/>
        <v>195.90666666666667</v>
      </c>
      <c r="AJ490" s="582"/>
      <c r="AK490" s="585"/>
      <c r="AL490" s="583">
        <f t="shared" si="136"/>
        <v>0</v>
      </c>
      <c r="AM490" s="584">
        <f t="shared" si="137"/>
        <v>0</v>
      </c>
      <c r="AN490" s="582"/>
      <c r="AO490" s="585"/>
      <c r="AP490" s="582"/>
      <c r="AQ490" s="585"/>
      <c r="AR490" s="582"/>
      <c r="AS490" s="585"/>
      <c r="AT490" s="582"/>
      <c r="AU490" s="585"/>
      <c r="AV490" s="583">
        <f t="shared" si="138"/>
        <v>0</v>
      </c>
      <c r="AW490" s="583">
        <f t="shared" si="139"/>
        <v>0</v>
      </c>
      <c r="AX490" s="584">
        <f t="shared" si="140"/>
        <v>0</v>
      </c>
      <c r="AY490" s="584">
        <f t="shared" si="141"/>
        <v>0</v>
      </c>
      <c r="AZ490" s="583">
        <f t="shared" si="142"/>
        <v>182.54444444444445</v>
      </c>
      <c r="BA490" s="584">
        <f t="shared" si="143"/>
        <v>195.90666666666667</v>
      </c>
    </row>
    <row r="491" spans="1:53">
      <c r="A491" s="47" t="s">
        <v>405</v>
      </c>
      <c r="B491" s="43" t="s">
        <v>454</v>
      </c>
      <c r="C491" s="44"/>
      <c r="D491" s="45">
        <v>221494</v>
      </c>
      <c r="E491" s="45">
        <v>13</v>
      </c>
      <c r="F491" s="582"/>
      <c r="G491" s="585"/>
      <c r="H491" s="582"/>
      <c r="I491" s="585"/>
      <c r="J491" s="582"/>
      <c r="K491" s="585"/>
      <c r="L491" s="582"/>
      <c r="M491" s="585"/>
      <c r="N491" s="582"/>
      <c r="O491" s="585"/>
      <c r="P491" s="583">
        <f t="shared" ref="P491:P554" si="144">SUM(H491,J491,L491,N491)</f>
        <v>0</v>
      </c>
      <c r="Q491" s="583">
        <f t="shared" ref="Q491:Q554" si="145">+P491/30</f>
        <v>0</v>
      </c>
      <c r="R491" s="584">
        <f t="shared" ref="R491:R554" si="146">SUM(I491,K491,M491,O491)</f>
        <v>0</v>
      </c>
      <c r="S491" s="584">
        <f t="shared" ref="S491:S554" si="147">+R491/30</f>
        <v>0</v>
      </c>
      <c r="T491" s="582"/>
      <c r="U491" s="585"/>
      <c r="V491" s="583">
        <f t="shared" ref="V491:V554" si="148">IF(ISBLANK(T491),0,P491)</f>
        <v>0</v>
      </c>
      <c r="W491" s="584">
        <f t="shared" ref="W491:W492" si="149">IF(ISBLANK(U491),0,R491)</f>
        <v>0</v>
      </c>
      <c r="X491" s="582"/>
      <c r="Y491" s="585"/>
      <c r="Z491" s="582">
        <v>157314</v>
      </c>
      <c r="AA491" s="585">
        <v>152551</v>
      </c>
      <c r="AB491" s="582">
        <v>138130</v>
      </c>
      <c r="AC491" s="585">
        <v>143840</v>
      </c>
      <c r="AD491" s="582">
        <v>157401</v>
      </c>
      <c r="AE491" s="585">
        <v>166918</v>
      </c>
      <c r="AF491" s="583">
        <f t="shared" ref="AF491:AF554" si="150">SUM(X491,Z491,AB491,AD491)</f>
        <v>452845</v>
      </c>
      <c r="AG491" s="583">
        <f t="shared" ref="AG491:AG554" si="151">+AF491/900</f>
        <v>503.1611111111111</v>
      </c>
      <c r="AH491" s="584">
        <f t="shared" ref="AH491:AH554" si="152">SUM(Y491,AA491,AC491,AE491)</f>
        <v>463309</v>
      </c>
      <c r="AI491" s="584">
        <f t="shared" ref="AI491:AI554" si="153">+AH491/900</f>
        <v>514.78777777777782</v>
      </c>
      <c r="AJ491" s="582"/>
      <c r="AK491" s="585"/>
      <c r="AL491" s="583">
        <f t="shared" si="136"/>
        <v>0</v>
      </c>
      <c r="AM491" s="584">
        <f t="shared" si="137"/>
        <v>0</v>
      </c>
      <c r="AN491" s="582"/>
      <c r="AO491" s="585"/>
      <c r="AP491" s="582"/>
      <c r="AQ491" s="585"/>
      <c r="AR491" s="582"/>
      <c r="AS491" s="585"/>
      <c r="AT491" s="582"/>
      <c r="AU491" s="585"/>
      <c r="AV491" s="583">
        <f t="shared" si="138"/>
        <v>0</v>
      </c>
      <c r="AW491" s="583">
        <f t="shared" si="139"/>
        <v>0</v>
      </c>
      <c r="AX491" s="584">
        <f t="shared" si="140"/>
        <v>0</v>
      </c>
      <c r="AY491" s="584">
        <f t="shared" si="141"/>
        <v>0</v>
      </c>
      <c r="AZ491" s="583">
        <f t="shared" si="142"/>
        <v>503.1611111111111</v>
      </c>
      <c r="BA491" s="584">
        <f t="shared" si="143"/>
        <v>514.78777777777782</v>
      </c>
    </row>
    <row r="492" spans="1:53">
      <c r="A492" s="47" t="s">
        <v>405</v>
      </c>
      <c r="B492" s="43" t="s">
        <v>455</v>
      </c>
      <c r="C492" s="44"/>
      <c r="D492" s="45">
        <v>221634</v>
      </c>
      <c r="E492" s="45">
        <v>13</v>
      </c>
      <c r="F492" s="582"/>
      <c r="G492" s="585"/>
      <c r="H492" s="582"/>
      <c r="I492" s="585"/>
      <c r="J492" s="582"/>
      <c r="K492" s="585"/>
      <c r="L492" s="582"/>
      <c r="M492" s="585"/>
      <c r="N492" s="582"/>
      <c r="O492" s="585"/>
      <c r="P492" s="583">
        <f t="shared" si="144"/>
        <v>0</v>
      </c>
      <c r="Q492" s="583">
        <f t="shared" si="145"/>
        <v>0</v>
      </c>
      <c r="R492" s="584">
        <f t="shared" si="146"/>
        <v>0</v>
      </c>
      <c r="S492" s="584">
        <f t="shared" si="147"/>
        <v>0</v>
      </c>
      <c r="T492" s="582"/>
      <c r="U492" s="585"/>
      <c r="V492" s="583">
        <f t="shared" si="148"/>
        <v>0</v>
      </c>
      <c r="W492" s="584">
        <f t="shared" si="149"/>
        <v>0</v>
      </c>
      <c r="X492" s="582"/>
      <c r="Y492" s="585"/>
      <c r="Z492" s="582">
        <v>44387</v>
      </c>
      <c r="AA492" s="585">
        <v>61744</v>
      </c>
      <c r="AB492" s="582">
        <v>42496</v>
      </c>
      <c r="AC492" s="585">
        <v>48823</v>
      </c>
      <c r="AD492" s="582">
        <v>66945</v>
      </c>
      <c r="AE492" s="585">
        <v>61602</v>
      </c>
      <c r="AF492" s="583">
        <f t="shared" si="150"/>
        <v>153828</v>
      </c>
      <c r="AG492" s="583">
        <f t="shared" si="151"/>
        <v>170.92</v>
      </c>
      <c r="AH492" s="584">
        <f t="shared" si="152"/>
        <v>172169</v>
      </c>
      <c r="AI492" s="584">
        <f t="shared" si="153"/>
        <v>191.29888888888888</v>
      </c>
      <c r="AJ492" s="582"/>
      <c r="AK492" s="585"/>
      <c r="AL492" s="583">
        <f t="shared" si="136"/>
        <v>0</v>
      </c>
      <c r="AM492" s="584">
        <f t="shared" si="137"/>
        <v>0</v>
      </c>
      <c r="AN492" s="582"/>
      <c r="AO492" s="585"/>
      <c r="AP492" s="582"/>
      <c r="AQ492" s="585"/>
      <c r="AR492" s="582"/>
      <c r="AS492" s="585"/>
      <c r="AT492" s="582"/>
      <c r="AU492" s="585"/>
      <c r="AV492" s="583">
        <f t="shared" si="138"/>
        <v>0</v>
      </c>
      <c r="AW492" s="583">
        <f t="shared" si="139"/>
        <v>0</v>
      </c>
      <c r="AX492" s="584">
        <f t="shared" si="140"/>
        <v>0</v>
      </c>
      <c r="AY492" s="584">
        <f t="shared" si="141"/>
        <v>0</v>
      </c>
      <c r="AZ492" s="583">
        <f t="shared" si="142"/>
        <v>170.92</v>
      </c>
      <c r="BA492" s="584">
        <f t="shared" si="143"/>
        <v>191.29888888888888</v>
      </c>
    </row>
    <row r="493" spans="1:53">
      <c r="A493" s="9" t="s">
        <v>570</v>
      </c>
      <c r="B493" s="8" t="s">
        <v>571</v>
      </c>
      <c r="C493" s="6"/>
      <c r="D493" s="7">
        <v>228723</v>
      </c>
      <c r="E493" s="7">
        <v>1</v>
      </c>
      <c r="F493" s="582"/>
      <c r="G493" s="585"/>
      <c r="H493" s="582">
        <v>0</v>
      </c>
      <c r="I493" s="585">
        <v>0</v>
      </c>
      <c r="J493" s="582">
        <v>610041</v>
      </c>
      <c r="K493" s="585">
        <v>613953</v>
      </c>
      <c r="L493" s="582">
        <v>79798</v>
      </c>
      <c r="M493" s="585">
        <v>77421</v>
      </c>
      <c r="N493" s="582">
        <v>658037</v>
      </c>
      <c r="O493" s="585">
        <v>663528</v>
      </c>
      <c r="P493" s="583">
        <f t="shared" si="144"/>
        <v>1347876</v>
      </c>
      <c r="Q493" s="583">
        <f t="shared" si="145"/>
        <v>44929.2</v>
      </c>
      <c r="R493" s="584">
        <f t="shared" si="146"/>
        <v>1354902</v>
      </c>
      <c r="S493" s="584">
        <f t="shared" si="147"/>
        <v>45163.4</v>
      </c>
      <c r="T493" s="582">
        <v>0</v>
      </c>
      <c r="U493" s="585">
        <v>0</v>
      </c>
      <c r="V493" s="583">
        <f t="shared" si="148"/>
        <v>1347876</v>
      </c>
      <c r="W493" s="584">
        <f>IF(ISBLANK(#REF!),0,R493)</f>
        <v>1354902</v>
      </c>
      <c r="X493" s="582"/>
      <c r="Y493" s="585"/>
      <c r="Z493" s="582"/>
      <c r="AA493" s="585"/>
      <c r="AB493" s="582"/>
      <c r="AC493" s="585"/>
      <c r="AD493" s="582"/>
      <c r="AE493" s="585"/>
      <c r="AF493" s="583">
        <f t="shared" si="150"/>
        <v>0</v>
      </c>
      <c r="AG493" s="583">
        <f t="shared" si="151"/>
        <v>0</v>
      </c>
      <c r="AH493" s="584">
        <f t="shared" si="152"/>
        <v>0</v>
      </c>
      <c r="AI493" s="584">
        <f t="shared" si="153"/>
        <v>0</v>
      </c>
      <c r="AJ493" s="582"/>
      <c r="AK493" s="585"/>
      <c r="AL493" s="583">
        <f t="shared" si="136"/>
        <v>0</v>
      </c>
      <c r="AM493" s="584">
        <f t="shared" si="137"/>
        <v>0</v>
      </c>
      <c r="AN493" s="582"/>
      <c r="AO493" s="585"/>
      <c r="AP493" s="582">
        <v>93240</v>
      </c>
      <c r="AQ493" s="585">
        <v>94838</v>
      </c>
      <c r="AR493" s="582">
        <v>30884</v>
      </c>
      <c r="AS493" s="585">
        <v>32516</v>
      </c>
      <c r="AT493" s="582">
        <v>102738</v>
      </c>
      <c r="AU493" s="585">
        <v>103507</v>
      </c>
      <c r="AV493" s="583">
        <f t="shared" si="138"/>
        <v>226862</v>
      </c>
      <c r="AW493" s="583">
        <f t="shared" si="139"/>
        <v>9452.5833333333339</v>
      </c>
      <c r="AX493" s="584">
        <f t="shared" si="140"/>
        <v>230861</v>
      </c>
      <c r="AY493" s="584">
        <f t="shared" si="141"/>
        <v>9619.2083333333339</v>
      </c>
      <c r="AZ493" s="583">
        <f t="shared" si="142"/>
        <v>54381.783333333333</v>
      </c>
      <c r="BA493" s="584">
        <f t="shared" si="143"/>
        <v>54782.608333333337</v>
      </c>
    </row>
    <row r="494" spans="1:53">
      <c r="A494" s="9" t="s">
        <v>570</v>
      </c>
      <c r="B494" s="8" t="s">
        <v>572</v>
      </c>
      <c r="C494" s="6"/>
      <c r="D494" s="7">
        <v>229115</v>
      </c>
      <c r="E494" s="7">
        <v>1</v>
      </c>
      <c r="F494" s="582"/>
      <c r="G494" s="585"/>
      <c r="H494" s="582">
        <v>0</v>
      </c>
      <c r="I494" s="585">
        <v>0</v>
      </c>
      <c r="J494" s="582">
        <v>360204</v>
      </c>
      <c r="K494" s="585">
        <v>366209</v>
      </c>
      <c r="L494" s="582">
        <v>71297</v>
      </c>
      <c r="M494" s="585">
        <v>74344</v>
      </c>
      <c r="N494" s="582">
        <v>405349</v>
      </c>
      <c r="O494" s="585">
        <v>411531</v>
      </c>
      <c r="P494" s="583">
        <f t="shared" si="144"/>
        <v>836850</v>
      </c>
      <c r="Q494" s="583">
        <f t="shared" si="145"/>
        <v>27895</v>
      </c>
      <c r="R494" s="584">
        <f t="shared" si="146"/>
        <v>852084</v>
      </c>
      <c r="S494" s="584">
        <f t="shared" si="147"/>
        <v>28402.799999999999</v>
      </c>
      <c r="T494" s="582">
        <v>4394</v>
      </c>
      <c r="U494" s="585">
        <v>4199</v>
      </c>
      <c r="V494" s="583">
        <f t="shared" si="148"/>
        <v>836850</v>
      </c>
      <c r="W494" s="584">
        <f>IF(ISBLANK(#REF!),0,R494)</f>
        <v>852084</v>
      </c>
      <c r="X494" s="582"/>
      <c r="Y494" s="585"/>
      <c r="Z494" s="582"/>
      <c r="AA494" s="585"/>
      <c r="AB494" s="582"/>
      <c r="AC494" s="585"/>
      <c r="AD494" s="582"/>
      <c r="AE494" s="585"/>
      <c r="AF494" s="583">
        <f t="shared" si="150"/>
        <v>0</v>
      </c>
      <c r="AG494" s="583">
        <f t="shared" si="151"/>
        <v>0</v>
      </c>
      <c r="AH494" s="584">
        <f t="shared" si="152"/>
        <v>0</v>
      </c>
      <c r="AI494" s="584">
        <f t="shared" si="153"/>
        <v>0</v>
      </c>
      <c r="AJ494" s="582"/>
      <c r="AK494" s="585"/>
      <c r="AL494" s="583">
        <f t="shared" si="136"/>
        <v>0</v>
      </c>
      <c r="AM494" s="584">
        <f t="shared" si="137"/>
        <v>0</v>
      </c>
      <c r="AN494" s="582"/>
      <c r="AO494" s="585"/>
      <c r="AP494" s="582">
        <v>46104</v>
      </c>
      <c r="AQ494" s="585">
        <v>46853</v>
      </c>
      <c r="AR494" s="582">
        <v>23105</v>
      </c>
      <c r="AS494" s="585">
        <v>23808</v>
      </c>
      <c r="AT494" s="582">
        <v>49043</v>
      </c>
      <c r="AU494" s="585">
        <v>50651</v>
      </c>
      <c r="AV494" s="583">
        <f t="shared" si="138"/>
        <v>118252</v>
      </c>
      <c r="AW494" s="583">
        <f t="shared" si="139"/>
        <v>4927.166666666667</v>
      </c>
      <c r="AX494" s="584">
        <f t="shared" si="140"/>
        <v>121312</v>
      </c>
      <c r="AY494" s="584">
        <f t="shared" si="141"/>
        <v>5054.666666666667</v>
      </c>
      <c r="AZ494" s="583">
        <f t="shared" si="142"/>
        <v>32822.166666666664</v>
      </c>
      <c r="BA494" s="584">
        <f t="shared" si="143"/>
        <v>33457.466666666667</v>
      </c>
    </row>
    <row r="495" spans="1:53">
      <c r="A495" s="9" t="s">
        <v>570</v>
      </c>
      <c r="B495" s="8" t="s">
        <v>573</v>
      </c>
      <c r="C495" s="6"/>
      <c r="D495" s="7">
        <v>225511</v>
      </c>
      <c r="E495" s="7">
        <v>1</v>
      </c>
      <c r="F495" s="582"/>
      <c r="G495" s="585"/>
      <c r="H495" s="582">
        <v>0</v>
      </c>
      <c r="I495" s="585">
        <v>0</v>
      </c>
      <c r="J495" s="582">
        <v>419143</v>
      </c>
      <c r="K495" s="585">
        <v>427518</v>
      </c>
      <c r="L495" s="582">
        <v>72096</v>
      </c>
      <c r="M495" s="585">
        <v>73620</v>
      </c>
      <c r="N495" s="582">
        <v>463167</v>
      </c>
      <c r="O495" s="585">
        <v>464662</v>
      </c>
      <c r="P495" s="583">
        <f t="shared" si="144"/>
        <v>954406</v>
      </c>
      <c r="Q495" s="583">
        <f t="shared" si="145"/>
        <v>31813.533333333333</v>
      </c>
      <c r="R495" s="584">
        <f t="shared" si="146"/>
        <v>965800</v>
      </c>
      <c r="S495" s="584">
        <f t="shared" si="147"/>
        <v>32193.333333333332</v>
      </c>
      <c r="T495" s="582">
        <v>6</v>
      </c>
      <c r="U495" s="585">
        <v>0</v>
      </c>
      <c r="V495" s="583">
        <f t="shared" si="148"/>
        <v>954406</v>
      </c>
      <c r="W495" s="584">
        <f>IF(ISBLANK(#REF!),0,R495)</f>
        <v>965800</v>
      </c>
      <c r="X495" s="582"/>
      <c r="Y495" s="585"/>
      <c r="Z495" s="582"/>
      <c r="AA495" s="585"/>
      <c r="AB495" s="582"/>
      <c r="AC495" s="585"/>
      <c r="AD495" s="582"/>
      <c r="AE495" s="585"/>
      <c r="AF495" s="583">
        <f t="shared" si="150"/>
        <v>0</v>
      </c>
      <c r="AG495" s="583">
        <f t="shared" si="151"/>
        <v>0</v>
      </c>
      <c r="AH495" s="584">
        <f t="shared" si="152"/>
        <v>0</v>
      </c>
      <c r="AI495" s="584">
        <f t="shared" si="153"/>
        <v>0</v>
      </c>
      <c r="AJ495" s="582"/>
      <c r="AK495" s="585"/>
      <c r="AL495" s="583">
        <f t="shared" si="136"/>
        <v>0</v>
      </c>
      <c r="AM495" s="584">
        <f t="shared" si="137"/>
        <v>0</v>
      </c>
      <c r="AN495" s="582"/>
      <c r="AO495" s="585"/>
      <c r="AP495" s="582">
        <v>75244</v>
      </c>
      <c r="AQ495" s="585">
        <v>73523</v>
      </c>
      <c r="AR495" s="582">
        <v>21148</v>
      </c>
      <c r="AS495" s="585">
        <v>21519</v>
      </c>
      <c r="AT495" s="582">
        <v>77394</v>
      </c>
      <c r="AU495" s="585">
        <v>73754</v>
      </c>
      <c r="AV495" s="583">
        <f t="shared" si="138"/>
        <v>173786</v>
      </c>
      <c r="AW495" s="583">
        <f t="shared" si="139"/>
        <v>7241.083333333333</v>
      </c>
      <c r="AX495" s="584">
        <f t="shared" si="140"/>
        <v>168796</v>
      </c>
      <c r="AY495" s="584">
        <f t="shared" si="141"/>
        <v>7033.166666666667</v>
      </c>
      <c r="AZ495" s="583">
        <f t="shared" si="142"/>
        <v>39054.616666666669</v>
      </c>
      <c r="BA495" s="584">
        <f t="shared" si="143"/>
        <v>39226.5</v>
      </c>
    </row>
    <row r="496" spans="1:53">
      <c r="A496" s="436" t="s">
        <v>570</v>
      </c>
      <c r="B496" s="8" t="s">
        <v>574</v>
      </c>
      <c r="C496" s="6"/>
      <c r="D496" s="7">
        <v>227216</v>
      </c>
      <c r="E496" s="7">
        <v>1</v>
      </c>
      <c r="F496" s="582"/>
      <c r="G496" s="585"/>
      <c r="H496" s="582">
        <v>0</v>
      </c>
      <c r="I496" s="585">
        <v>0</v>
      </c>
      <c r="J496" s="582">
        <v>355728</v>
      </c>
      <c r="K496" s="585">
        <v>356472</v>
      </c>
      <c r="L496" s="582">
        <v>73143</v>
      </c>
      <c r="M496" s="585">
        <v>73946</v>
      </c>
      <c r="N496" s="582">
        <v>389686</v>
      </c>
      <c r="O496" s="585">
        <v>400922</v>
      </c>
      <c r="P496" s="583">
        <f t="shared" si="144"/>
        <v>818557</v>
      </c>
      <c r="Q496" s="583">
        <f t="shared" si="145"/>
        <v>27285.233333333334</v>
      </c>
      <c r="R496" s="584">
        <f t="shared" si="146"/>
        <v>831340</v>
      </c>
      <c r="S496" s="584">
        <f t="shared" si="147"/>
        <v>27711.333333333332</v>
      </c>
      <c r="T496" s="582">
        <v>0</v>
      </c>
      <c r="U496" s="585">
        <v>0</v>
      </c>
      <c r="V496" s="583">
        <f t="shared" si="148"/>
        <v>818557</v>
      </c>
      <c r="W496" s="584">
        <f>IF(ISBLANK(#REF!),0,R496)</f>
        <v>831340</v>
      </c>
      <c r="X496" s="582"/>
      <c r="Y496" s="585"/>
      <c r="Z496" s="582"/>
      <c r="AA496" s="585"/>
      <c r="AB496" s="582"/>
      <c r="AC496" s="585"/>
      <c r="AD496" s="582"/>
      <c r="AE496" s="585"/>
      <c r="AF496" s="583">
        <f t="shared" si="150"/>
        <v>0</v>
      </c>
      <c r="AG496" s="583">
        <f t="shared" si="151"/>
        <v>0</v>
      </c>
      <c r="AH496" s="584">
        <f t="shared" si="152"/>
        <v>0</v>
      </c>
      <c r="AI496" s="584">
        <f t="shared" si="153"/>
        <v>0</v>
      </c>
      <c r="AJ496" s="582"/>
      <c r="AK496" s="585"/>
      <c r="AL496" s="583">
        <f t="shared" si="136"/>
        <v>0</v>
      </c>
      <c r="AM496" s="584">
        <f t="shared" si="137"/>
        <v>0</v>
      </c>
      <c r="AN496" s="582"/>
      <c r="AO496" s="585"/>
      <c r="AP496" s="582">
        <v>42365</v>
      </c>
      <c r="AQ496" s="585">
        <v>44590</v>
      </c>
      <c r="AR496" s="582">
        <v>19134</v>
      </c>
      <c r="AS496" s="585">
        <v>20478</v>
      </c>
      <c r="AT496" s="582">
        <v>42804</v>
      </c>
      <c r="AU496" s="585">
        <v>45362</v>
      </c>
      <c r="AV496" s="583">
        <f t="shared" si="138"/>
        <v>104303</v>
      </c>
      <c r="AW496" s="583">
        <f t="shared" si="139"/>
        <v>4345.958333333333</v>
      </c>
      <c r="AX496" s="584">
        <f t="shared" si="140"/>
        <v>110430</v>
      </c>
      <c r="AY496" s="584">
        <f t="shared" si="141"/>
        <v>4601.25</v>
      </c>
      <c r="AZ496" s="583">
        <f t="shared" si="142"/>
        <v>31631.191666666666</v>
      </c>
      <c r="BA496" s="584">
        <f t="shared" si="143"/>
        <v>32312.583333333332</v>
      </c>
    </row>
    <row r="497" spans="1:53">
      <c r="A497" s="436" t="s">
        <v>570</v>
      </c>
      <c r="B497" s="8" t="s">
        <v>575</v>
      </c>
      <c r="C497" s="6"/>
      <c r="D497" s="7">
        <v>228769</v>
      </c>
      <c r="E497" s="7">
        <v>1</v>
      </c>
      <c r="F497" s="582"/>
      <c r="G497" s="585"/>
      <c r="H497" s="582">
        <v>0</v>
      </c>
      <c r="I497" s="585">
        <v>0</v>
      </c>
      <c r="J497" s="582">
        <v>312110</v>
      </c>
      <c r="K497" s="585">
        <v>320709</v>
      </c>
      <c r="L497" s="582">
        <v>109549</v>
      </c>
      <c r="M497" s="585">
        <v>110325</v>
      </c>
      <c r="N497" s="582">
        <v>311743</v>
      </c>
      <c r="O497" s="585">
        <v>318412</v>
      </c>
      <c r="P497" s="583">
        <f t="shared" si="144"/>
        <v>733402</v>
      </c>
      <c r="Q497" s="583">
        <f t="shared" si="145"/>
        <v>24446.733333333334</v>
      </c>
      <c r="R497" s="584">
        <f t="shared" si="146"/>
        <v>749446</v>
      </c>
      <c r="S497" s="584">
        <f t="shared" si="147"/>
        <v>24981.533333333333</v>
      </c>
      <c r="T497" s="582">
        <v>1906</v>
      </c>
      <c r="U497" s="585">
        <v>2023</v>
      </c>
      <c r="V497" s="583">
        <f t="shared" si="148"/>
        <v>733402</v>
      </c>
      <c r="W497" s="584">
        <f>IF(ISBLANK(#REF!),0,R497)</f>
        <v>749446</v>
      </c>
      <c r="X497" s="582"/>
      <c r="Y497" s="585"/>
      <c r="Z497" s="582"/>
      <c r="AA497" s="585"/>
      <c r="AB497" s="582"/>
      <c r="AC497" s="585"/>
      <c r="AD497" s="582"/>
      <c r="AE497" s="585"/>
      <c r="AF497" s="583">
        <f t="shared" si="150"/>
        <v>0</v>
      </c>
      <c r="AG497" s="583">
        <f t="shared" si="151"/>
        <v>0</v>
      </c>
      <c r="AH497" s="584">
        <f t="shared" si="152"/>
        <v>0</v>
      </c>
      <c r="AI497" s="584">
        <f t="shared" si="153"/>
        <v>0</v>
      </c>
      <c r="AJ497" s="582"/>
      <c r="AK497" s="585"/>
      <c r="AL497" s="583">
        <f t="shared" si="136"/>
        <v>0</v>
      </c>
      <c r="AM497" s="584">
        <f t="shared" si="137"/>
        <v>0</v>
      </c>
      <c r="AN497" s="582"/>
      <c r="AO497" s="585"/>
      <c r="AP497" s="582">
        <v>85232</v>
      </c>
      <c r="AQ497" s="585">
        <v>89706</v>
      </c>
      <c r="AR497" s="582">
        <v>55342</v>
      </c>
      <c r="AS497" s="585">
        <v>58861</v>
      </c>
      <c r="AT497" s="582">
        <v>71056</v>
      </c>
      <c r="AU497" s="585">
        <v>67888</v>
      </c>
      <c r="AV497" s="583">
        <f t="shared" si="138"/>
        <v>211630</v>
      </c>
      <c r="AW497" s="583">
        <f t="shared" si="139"/>
        <v>8817.9166666666661</v>
      </c>
      <c r="AX497" s="584">
        <f t="shared" si="140"/>
        <v>216455</v>
      </c>
      <c r="AY497" s="584">
        <f t="shared" si="141"/>
        <v>9018.9583333333339</v>
      </c>
      <c r="AZ497" s="583">
        <f t="shared" si="142"/>
        <v>33264.65</v>
      </c>
      <c r="BA497" s="584">
        <f t="shared" si="143"/>
        <v>34000.491666666669</v>
      </c>
    </row>
    <row r="498" spans="1:53">
      <c r="A498" s="436" t="s">
        <v>570</v>
      </c>
      <c r="B498" s="8" t="s">
        <v>576</v>
      </c>
      <c r="C498" s="6"/>
      <c r="D498" s="7">
        <v>228778</v>
      </c>
      <c r="E498" s="7">
        <v>1</v>
      </c>
      <c r="F498" s="582"/>
      <c r="G498" s="585"/>
      <c r="H498" s="582">
        <v>0</v>
      </c>
      <c r="I498" s="585">
        <v>0</v>
      </c>
      <c r="J498" s="582">
        <v>508118</v>
      </c>
      <c r="K498" s="585">
        <v>514424</v>
      </c>
      <c r="L498" s="582">
        <v>44462</v>
      </c>
      <c r="M498" s="585">
        <v>40383</v>
      </c>
      <c r="N498" s="582">
        <v>548154</v>
      </c>
      <c r="O498" s="585">
        <v>539827</v>
      </c>
      <c r="P498" s="583">
        <f t="shared" si="144"/>
        <v>1100734</v>
      </c>
      <c r="Q498" s="583">
        <f t="shared" si="145"/>
        <v>36691.133333333331</v>
      </c>
      <c r="R498" s="584">
        <f t="shared" si="146"/>
        <v>1094634</v>
      </c>
      <c r="S498" s="584">
        <f t="shared" si="147"/>
        <v>36487.800000000003</v>
      </c>
      <c r="T498" s="582">
        <v>0</v>
      </c>
      <c r="U498" s="585">
        <v>0</v>
      </c>
      <c r="V498" s="583">
        <f t="shared" si="148"/>
        <v>1100734</v>
      </c>
      <c r="W498" s="584">
        <f>IF(ISBLANK(#REF!),0,R498)</f>
        <v>1094634</v>
      </c>
      <c r="X498" s="582"/>
      <c r="Y498" s="585"/>
      <c r="Z498" s="582"/>
      <c r="AA498" s="585"/>
      <c r="AB498" s="582"/>
      <c r="AC498" s="585"/>
      <c r="AD498" s="582"/>
      <c r="AE498" s="585"/>
      <c r="AF498" s="583">
        <f t="shared" si="150"/>
        <v>0</v>
      </c>
      <c r="AG498" s="583">
        <f t="shared" si="151"/>
        <v>0</v>
      </c>
      <c r="AH498" s="584">
        <f t="shared" si="152"/>
        <v>0</v>
      </c>
      <c r="AI498" s="584">
        <f t="shared" si="153"/>
        <v>0</v>
      </c>
      <c r="AJ498" s="582"/>
      <c r="AK498" s="585"/>
      <c r="AL498" s="583">
        <f t="shared" si="136"/>
        <v>0</v>
      </c>
      <c r="AM498" s="584">
        <f t="shared" si="137"/>
        <v>0</v>
      </c>
      <c r="AN498" s="582"/>
      <c r="AO498" s="585"/>
      <c r="AP498" s="582">
        <v>107746</v>
      </c>
      <c r="AQ498" s="585">
        <v>106645</v>
      </c>
      <c r="AR498" s="582">
        <v>18730</v>
      </c>
      <c r="AS498" s="585">
        <v>18031</v>
      </c>
      <c r="AT498" s="582">
        <v>113211</v>
      </c>
      <c r="AU498" s="585">
        <v>111316</v>
      </c>
      <c r="AV498" s="583">
        <f t="shared" si="138"/>
        <v>239687</v>
      </c>
      <c r="AW498" s="583">
        <f t="shared" si="139"/>
        <v>9986.9583333333339</v>
      </c>
      <c r="AX498" s="584">
        <f t="shared" si="140"/>
        <v>235992</v>
      </c>
      <c r="AY498" s="584">
        <f t="shared" si="141"/>
        <v>9833</v>
      </c>
      <c r="AZ498" s="583">
        <f t="shared" si="142"/>
        <v>46678.091666666667</v>
      </c>
      <c r="BA498" s="584">
        <f t="shared" si="143"/>
        <v>46320.800000000003</v>
      </c>
    </row>
    <row r="499" spans="1:53">
      <c r="A499" s="436" t="s">
        <v>570</v>
      </c>
      <c r="B499" s="8" t="s">
        <v>577</v>
      </c>
      <c r="C499" s="6"/>
      <c r="D499" s="7">
        <v>228787</v>
      </c>
      <c r="E499" s="7">
        <v>1</v>
      </c>
      <c r="F499" s="582"/>
      <c r="G499" s="585"/>
      <c r="H499" s="582">
        <v>0</v>
      </c>
      <c r="I499" s="585">
        <v>0</v>
      </c>
      <c r="J499" s="582">
        <v>221611</v>
      </c>
      <c r="K499" s="585">
        <v>240608</v>
      </c>
      <c r="L499" s="582">
        <v>27789</v>
      </c>
      <c r="M499" s="585">
        <v>29328</v>
      </c>
      <c r="N499" s="582">
        <v>261301</v>
      </c>
      <c r="O499" s="585">
        <v>277510</v>
      </c>
      <c r="P499" s="583">
        <f t="shared" si="144"/>
        <v>510701</v>
      </c>
      <c r="Q499" s="583">
        <f t="shared" si="145"/>
        <v>17023.366666666665</v>
      </c>
      <c r="R499" s="584">
        <f t="shared" si="146"/>
        <v>547446</v>
      </c>
      <c r="S499" s="584">
        <f t="shared" si="147"/>
        <v>18248.2</v>
      </c>
      <c r="T499" s="582">
        <v>0</v>
      </c>
      <c r="U499" s="585">
        <v>0</v>
      </c>
      <c r="V499" s="583">
        <f t="shared" si="148"/>
        <v>510701</v>
      </c>
      <c r="W499" s="584">
        <f>IF(ISBLANK(#REF!),0,R499)</f>
        <v>547446</v>
      </c>
      <c r="X499" s="582"/>
      <c r="Y499" s="585"/>
      <c r="Z499" s="582"/>
      <c r="AA499" s="585"/>
      <c r="AB499" s="582"/>
      <c r="AC499" s="585"/>
      <c r="AD499" s="582"/>
      <c r="AE499" s="585"/>
      <c r="AF499" s="583">
        <f t="shared" si="150"/>
        <v>0</v>
      </c>
      <c r="AG499" s="583">
        <f t="shared" si="151"/>
        <v>0</v>
      </c>
      <c r="AH499" s="584">
        <f t="shared" si="152"/>
        <v>0</v>
      </c>
      <c r="AI499" s="584">
        <f t="shared" si="153"/>
        <v>0</v>
      </c>
      <c r="AJ499" s="582"/>
      <c r="AK499" s="585"/>
      <c r="AL499" s="583">
        <f t="shared" si="136"/>
        <v>0</v>
      </c>
      <c r="AM499" s="584">
        <f t="shared" si="137"/>
        <v>0</v>
      </c>
      <c r="AN499" s="582"/>
      <c r="AO499" s="585"/>
      <c r="AP499" s="582">
        <v>66552</v>
      </c>
      <c r="AQ499" s="585">
        <v>62635</v>
      </c>
      <c r="AR499" s="582">
        <v>19206</v>
      </c>
      <c r="AS499" s="585">
        <v>18644</v>
      </c>
      <c r="AT499" s="582">
        <v>68704</v>
      </c>
      <c r="AU499" s="585">
        <v>66078</v>
      </c>
      <c r="AV499" s="583">
        <f t="shared" si="138"/>
        <v>154462</v>
      </c>
      <c r="AW499" s="583">
        <f t="shared" si="139"/>
        <v>6435.916666666667</v>
      </c>
      <c r="AX499" s="584">
        <f t="shared" si="140"/>
        <v>147357</v>
      </c>
      <c r="AY499" s="584">
        <f t="shared" si="141"/>
        <v>6139.875</v>
      </c>
      <c r="AZ499" s="583">
        <f t="shared" si="142"/>
        <v>23459.283333333333</v>
      </c>
      <c r="BA499" s="584">
        <f t="shared" si="143"/>
        <v>24388.075000000001</v>
      </c>
    </row>
    <row r="500" spans="1:53" ht="14.5">
      <c r="A500" s="436" t="s">
        <v>570</v>
      </c>
      <c r="B500" s="8" t="s">
        <v>580</v>
      </c>
      <c r="C500" s="527"/>
      <c r="D500" s="7">
        <v>229027</v>
      </c>
      <c r="E500" s="7">
        <v>1</v>
      </c>
      <c r="F500" s="582"/>
      <c r="G500" s="585"/>
      <c r="H500" s="582">
        <v>0</v>
      </c>
      <c r="I500" s="585">
        <v>0</v>
      </c>
      <c r="J500" s="582">
        <v>297430</v>
      </c>
      <c r="K500" s="585">
        <v>308648</v>
      </c>
      <c r="L500" s="582">
        <v>58801</v>
      </c>
      <c r="M500" s="585">
        <v>58852</v>
      </c>
      <c r="N500" s="582">
        <v>338674</v>
      </c>
      <c r="O500" s="585">
        <v>338349</v>
      </c>
      <c r="P500" s="583">
        <f t="shared" si="144"/>
        <v>694905</v>
      </c>
      <c r="Q500" s="583">
        <f t="shared" si="145"/>
        <v>23163.5</v>
      </c>
      <c r="R500" s="584">
        <f t="shared" si="146"/>
        <v>705849</v>
      </c>
      <c r="S500" s="584">
        <f t="shared" si="147"/>
        <v>23528.3</v>
      </c>
      <c r="T500" s="582">
        <v>750</v>
      </c>
      <c r="U500" s="585">
        <v>1314</v>
      </c>
      <c r="V500" s="583">
        <f t="shared" si="148"/>
        <v>694905</v>
      </c>
      <c r="W500" s="584">
        <f>IF(ISBLANK(#REF!),0,R500)</f>
        <v>705849</v>
      </c>
      <c r="X500" s="582"/>
      <c r="Y500" s="585"/>
      <c r="Z500" s="582"/>
      <c r="AA500" s="585"/>
      <c r="AB500" s="582"/>
      <c r="AC500" s="585"/>
      <c r="AD500" s="582"/>
      <c r="AE500" s="585"/>
      <c r="AF500" s="583">
        <f t="shared" si="150"/>
        <v>0</v>
      </c>
      <c r="AG500" s="583">
        <f t="shared" si="151"/>
        <v>0</v>
      </c>
      <c r="AH500" s="584">
        <f t="shared" si="152"/>
        <v>0</v>
      </c>
      <c r="AI500" s="584">
        <f t="shared" si="153"/>
        <v>0</v>
      </c>
      <c r="AJ500" s="582"/>
      <c r="AK500" s="585"/>
      <c r="AL500" s="583">
        <f t="shared" si="136"/>
        <v>0</v>
      </c>
      <c r="AM500" s="584">
        <f t="shared" si="137"/>
        <v>0</v>
      </c>
      <c r="AN500" s="582"/>
      <c r="AO500" s="585"/>
      <c r="AP500" s="582">
        <v>27946</v>
      </c>
      <c r="AQ500" s="585">
        <v>28655</v>
      </c>
      <c r="AR500" s="582">
        <v>11189</v>
      </c>
      <c r="AS500" s="585">
        <v>11683</v>
      </c>
      <c r="AT500" s="582">
        <v>29401</v>
      </c>
      <c r="AU500" s="585">
        <v>30532</v>
      </c>
      <c r="AV500" s="583">
        <f t="shared" si="138"/>
        <v>68536</v>
      </c>
      <c r="AW500" s="583">
        <f t="shared" si="139"/>
        <v>2855.6666666666665</v>
      </c>
      <c r="AX500" s="584">
        <f t="shared" si="140"/>
        <v>70870</v>
      </c>
      <c r="AY500" s="584">
        <f t="shared" si="141"/>
        <v>2952.9166666666665</v>
      </c>
      <c r="AZ500" s="583">
        <f t="shared" si="142"/>
        <v>26019.166666666668</v>
      </c>
      <c r="BA500" s="584">
        <f t="shared" si="143"/>
        <v>26481.216666666667</v>
      </c>
    </row>
    <row r="501" spans="1:53" ht="14.5">
      <c r="A501" s="436" t="s">
        <v>570</v>
      </c>
      <c r="B501" s="60" t="s">
        <v>594</v>
      </c>
      <c r="C501" s="527"/>
      <c r="D501" s="7">
        <v>228459</v>
      </c>
      <c r="E501" s="7">
        <v>2</v>
      </c>
      <c r="F501" s="582"/>
      <c r="G501" s="585"/>
      <c r="H501" s="582">
        <v>0</v>
      </c>
      <c r="I501" s="585">
        <v>0</v>
      </c>
      <c r="J501" s="582">
        <v>383315</v>
      </c>
      <c r="K501" s="585">
        <v>382846</v>
      </c>
      <c r="L501" s="582">
        <v>65344</v>
      </c>
      <c r="M501" s="585">
        <v>64051</v>
      </c>
      <c r="N501" s="582">
        <v>428019</v>
      </c>
      <c r="O501" s="585">
        <v>424964</v>
      </c>
      <c r="P501" s="583">
        <f t="shared" si="144"/>
        <v>876678</v>
      </c>
      <c r="Q501" s="583">
        <f t="shared" si="145"/>
        <v>29222.6</v>
      </c>
      <c r="R501" s="584">
        <f t="shared" si="146"/>
        <v>871861</v>
      </c>
      <c r="S501" s="584">
        <f t="shared" si="147"/>
        <v>29062.033333333333</v>
      </c>
      <c r="T501" s="582">
        <v>0</v>
      </c>
      <c r="U501" s="585">
        <v>0</v>
      </c>
      <c r="V501" s="583">
        <f t="shared" si="148"/>
        <v>876678</v>
      </c>
      <c r="W501" s="584">
        <f>IF(ISBLANK(#REF!),0,R501)</f>
        <v>871861</v>
      </c>
      <c r="X501" s="582"/>
      <c r="Y501" s="585"/>
      <c r="Z501" s="582"/>
      <c r="AA501" s="585"/>
      <c r="AB501" s="582"/>
      <c r="AC501" s="585"/>
      <c r="AD501" s="582"/>
      <c r="AE501" s="585"/>
      <c r="AF501" s="583">
        <f t="shared" si="150"/>
        <v>0</v>
      </c>
      <c r="AG501" s="583">
        <f t="shared" si="151"/>
        <v>0</v>
      </c>
      <c r="AH501" s="584">
        <f t="shared" si="152"/>
        <v>0</v>
      </c>
      <c r="AI501" s="584">
        <f t="shared" si="153"/>
        <v>0</v>
      </c>
      <c r="AJ501" s="582"/>
      <c r="AK501" s="585"/>
      <c r="AL501" s="583">
        <f t="shared" si="136"/>
        <v>0</v>
      </c>
      <c r="AM501" s="584">
        <f t="shared" si="137"/>
        <v>0</v>
      </c>
      <c r="AN501" s="582"/>
      <c r="AO501" s="585"/>
      <c r="AP501" s="582">
        <v>29318</v>
      </c>
      <c r="AQ501" s="585">
        <v>28724</v>
      </c>
      <c r="AR501" s="582">
        <v>12740</v>
      </c>
      <c r="AS501" s="585">
        <v>11160</v>
      </c>
      <c r="AT501" s="582">
        <v>31262</v>
      </c>
      <c r="AU501" s="585">
        <v>30367</v>
      </c>
      <c r="AV501" s="583">
        <f t="shared" si="138"/>
        <v>73320</v>
      </c>
      <c r="AW501" s="583">
        <f t="shared" si="139"/>
        <v>3055</v>
      </c>
      <c r="AX501" s="584">
        <f t="shared" si="140"/>
        <v>70251</v>
      </c>
      <c r="AY501" s="584">
        <f t="shared" si="141"/>
        <v>2927.125</v>
      </c>
      <c r="AZ501" s="583">
        <f t="shared" si="142"/>
        <v>32277.599999999999</v>
      </c>
      <c r="BA501" s="584">
        <f t="shared" si="143"/>
        <v>31989.158333333333</v>
      </c>
    </row>
    <row r="502" spans="1:53" ht="14.5">
      <c r="A502" s="436" t="s">
        <v>570</v>
      </c>
      <c r="B502" s="8" t="s">
        <v>578</v>
      </c>
      <c r="C502" s="538"/>
      <c r="D502" s="7">
        <v>229179</v>
      </c>
      <c r="E502" s="7">
        <v>2</v>
      </c>
      <c r="F502" s="582"/>
      <c r="G502" s="585"/>
      <c r="H502" s="582">
        <v>0</v>
      </c>
      <c r="I502" s="585">
        <v>0</v>
      </c>
      <c r="J502" s="582">
        <v>107509</v>
      </c>
      <c r="K502" s="585">
        <v>108299</v>
      </c>
      <c r="L502" s="582">
        <v>22430</v>
      </c>
      <c r="M502" s="585">
        <v>22725</v>
      </c>
      <c r="N502" s="582">
        <v>116398</v>
      </c>
      <c r="O502" s="585">
        <v>117589</v>
      </c>
      <c r="P502" s="583">
        <f t="shared" si="144"/>
        <v>246337</v>
      </c>
      <c r="Q502" s="583">
        <f t="shared" si="145"/>
        <v>8211.2333333333336</v>
      </c>
      <c r="R502" s="584">
        <f t="shared" si="146"/>
        <v>248613</v>
      </c>
      <c r="S502" s="584">
        <f t="shared" si="147"/>
        <v>8287.1</v>
      </c>
      <c r="T502" s="582">
        <v>8855</v>
      </c>
      <c r="U502" s="585">
        <v>10870</v>
      </c>
      <c r="V502" s="583">
        <f t="shared" si="148"/>
        <v>246337</v>
      </c>
      <c r="W502" s="584">
        <f>IF(ISBLANK(#REF!),0,R502)</f>
        <v>248613</v>
      </c>
      <c r="X502" s="582"/>
      <c r="Y502" s="585"/>
      <c r="Z502" s="582"/>
      <c r="AA502" s="585"/>
      <c r="AB502" s="582"/>
      <c r="AC502" s="585"/>
      <c r="AD502" s="582"/>
      <c r="AE502" s="585"/>
      <c r="AF502" s="583">
        <f t="shared" si="150"/>
        <v>0</v>
      </c>
      <c r="AG502" s="583">
        <f t="shared" si="151"/>
        <v>0</v>
      </c>
      <c r="AH502" s="584">
        <f t="shared" si="152"/>
        <v>0</v>
      </c>
      <c r="AI502" s="584">
        <f t="shared" si="153"/>
        <v>0</v>
      </c>
      <c r="AJ502" s="582"/>
      <c r="AK502" s="585"/>
      <c r="AL502" s="583">
        <f t="shared" si="136"/>
        <v>0</v>
      </c>
      <c r="AM502" s="584">
        <f t="shared" si="137"/>
        <v>0</v>
      </c>
      <c r="AN502" s="582"/>
      <c r="AO502" s="585"/>
      <c r="AP502" s="582">
        <v>33966</v>
      </c>
      <c r="AQ502" s="585">
        <v>35279</v>
      </c>
      <c r="AR502" s="582">
        <v>21470</v>
      </c>
      <c r="AS502" s="585">
        <v>23157</v>
      </c>
      <c r="AT502" s="582">
        <v>36679</v>
      </c>
      <c r="AU502" s="585">
        <v>35560</v>
      </c>
      <c r="AV502" s="583">
        <f t="shared" si="138"/>
        <v>92115</v>
      </c>
      <c r="AW502" s="583">
        <f t="shared" si="139"/>
        <v>3838.125</v>
      </c>
      <c r="AX502" s="584">
        <f t="shared" si="140"/>
        <v>93996</v>
      </c>
      <c r="AY502" s="584">
        <f t="shared" si="141"/>
        <v>3916.5</v>
      </c>
      <c r="AZ502" s="583">
        <f t="shared" si="142"/>
        <v>12049.358333333334</v>
      </c>
      <c r="BA502" s="584">
        <f t="shared" si="143"/>
        <v>12203.6</v>
      </c>
    </row>
    <row r="503" spans="1:53" ht="14.5">
      <c r="A503" s="436" t="s">
        <v>570</v>
      </c>
      <c r="B503" s="8" t="s">
        <v>579</v>
      </c>
      <c r="C503" s="538"/>
      <c r="D503" s="7">
        <v>228796</v>
      </c>
      <c r="E503" s="7">
        <v>2</v>
      </c>
      <c r="F503" s="582"/>
      <c r="G503" s="585"/>
      <c r="H503" s="582">
        <v>0</v>
      </c>
      <c r="I503" s="585">
        <v>0</v>
      </c>
      <c r="J503" s="582">
        <v>220983</v>
      </c>
      <c r="K503" s="585">
        <v>219907</v>
      </c>
      <c r="L503" s="582">
        <v>61465</v>
      </c>
      <c r="M503" s="585">
        <v>58384</v>
      </c>
      <c r="N503" s="582">
        <v>235634</v>
      </c>
      <c r="O503" s="585">
        <v>233247</v>
      </c>
      <c r="P503" s="583">
        <f t="shared" si="144"/>
        <v>518082</v>
      </c>
      <c r="Q503" s="583">
        <f t="shared" si="145"/>
        <v>17269.400000000001</v>
      </c>
      <c r="R503" s="584">
        <f t="shared" si="146"/>
        <v>511538</v>
      </c>
      <c r="S503" s="584">
        <f t="shared" si="147"/>
        <v>17051.266666666666</v>
      </c>
      <c r="T503" s="582">
        <v>0</v>
      </c>
      <c r="U503" s="585">
        <v>0</v>
      </c>
      <c r="V503" s="583">
        <f t="shared" si="148"/>
        <v>518082</v>
      </c>
      <c r="W503" s="584">
        <f>IF(ISBLANK(#REF!),0,R503)</f>
        <v>511538</v>
      </c>
      <c r="X503" s="582"/>
      <c r="Y503" s="585"/>
      <c r="Z503" s="582"/>
      <c r="AA503" s="585"/>
      <c r="AB503" s="582"/>
      <c r="AC503" s="585"/>
      <c r="AD503" s="582"/>
      <c r="AE503" s="585"/>
      <c r="AF503" s="583">
        <f t="shared" si="150"/>
        <v>0</v>
      </c>
      <c r="AG503" s="583">
        <f t="shared" si="151"/>
        <v>0</v>
      </c>
      <c r="AH503" s="584">
        <f t="shared" si="152"/>
        <v>0</v>
      </c>
      <c r="AI503" s="584">
        <f t="shared" si="153"/>
        <v>0</v>
      </c>
      <c r="AJ503" s="582"/>
      <c r="AK503" s="585"/>
      <c r="AL503" s="583">
        <f t="shared" si="136"/>
        <v>0</v>
      </c>
      <c r="AM503" s="584">
        <f t="shared" si="137"/>
        <v>0</v>
      </c>
      <c r="AN503" s="582"/>
      <c r="AO503" s="585"/>
      <c r="AP503" s="582">
        <v>24419</v>
      </c>
      <c r="AQ503" s="585">
        <v>26348</v>
      </c>
      <c r="AR503" s="582">
        <v>14432</v>
      </c>
      <c r="AS503" s="585">
        <v>13659</v>
      </c>
      <c r="AT503" s="582">
        <v>22974</v>
      </c>
      <c r="AU503" s="585">
        <v>24223</v>
      </c>
      <c r="AV503" s="583">
        <f t="shared" si="138"/>
        <v>61825</v>
      </c>
      <c r="AW503" s="583">
        <f t="shared" si="139"/>
        <v>2576.0416666666665</v>
      </c>
      <c r="AX503" s="584">
        <f t="shared" si="140"/>
        <v>64230</v>
      </c>
      <c r="AY503" s="584">
        <f t="shared" si="141"/>
        <v>2676.25</v>
      </c>
      <c r="AZ503" s="583">
        <f t="shared" si="142"/>
        <v>19845.441666666669</v>
      </c>
      <c r="BA503" s="584">
        <f t="shared" si="143"/>
        <v>19727.516666666666</v>
      </c>
    </row>
    <row r="504" spans="1:53" ht="14.5">
      <c r="A504" s="436" t="s">
        <v>570</v>
      </c>
      <c r="B504" s="8" t="s">
        <v>581</v>
      </c>
      <c r="C504" s="538"/>
      <c r="D504" s="7">
        <v>222831</v>
      </c>
      <c r="E504" s="7">
        <v>3</v>
      </c>
      <c r="F504" s="582"/>
      <c r="G504" s="585"/>
      <c r="H504" s="582">
        <v>0</v>
      </c>
      <c r="I504" s="585">
        <v>0</v>
      </c>
      <c r="J504" s="582">
        <v>82619</v>
      </c>
      <c r="K504" s="585">
        <v>82432</v>
      </c>
      <c r="L504" s="582">
        <v>17217</v>
      </c>
      <c r="M504" s="585">
        <v>16829</v>
      </c>
      <c r="N504" s="582">
        <v>91898</v>
      </c>
      <c r="O504" s="585">
        <v>93546</v>
      </c>
      <c r="P504" s="583">
        <f t="shared" si="144"/>
        <v>191734</v>
      </c>
      <c r="Q504" s="583">
        <f t="shared" si="145"/>
        <v>6391.1333333333332</v>
      </c>
      <c r="R504" s="584">
        <f t="shared" si="146"/>
        <v>192807</v>
      </c>
      <c r="S504" s="584">
        <f t="shared" si="147"/>
        <v>6426.9</v>
      </c>
      <c r="T504" s="582">
        <v>26703</v>
      </c>
      <c r="U504" s="585">
        <v>27695</v>
      </c>
      <c r="V504" s="583">
        <f t="shared" si="148"/>
        <v>191734</v>
      </c>
      <c r="W504" s="584">
        <f>IF(ISBLANK(#REF!),0,R504)</f>
        <v>192807</v>
      </c>
      <c r="X504" s="582"/>
      <c r="Y504" s="585"/>
      <c r="Z504" s="582"/>
      <c r="AA504" s="585"/>
      <c r="AB504" s="582"/>
      <c r="AC504" s="585"/>
      <c r="AD504" s="582"/>
      <c r="AE504" s="585"/>
      <c r="AF504" s="583">
        <f t="shared" si="150"/>
        <v>0</v>
      </c>
      <c r="AG504" s="583">
        <f t="shared" si="151"/>
        <v>0</v>
      </c>
      <c r="AH504" s="584">
        <f t="shared" si="152"/>
        <v>0</v>
      </c>
      <c r="AI504" s="584">
        <f t="shared" si="153"/>
        <v>0</v>
      </c>
      <c r="AJ504" s="582"/>
      <c r="AK504" s="585"/>
      <c r="AL504" s="583">
        <f t="shared" si="136"/>
        <v>0</v>
      </c>
      <c r="AM504" s="584">
        <f t="shared" si="137"/>
        <v>0</v>
      </c>
      <c r="AN504" s="582"/>
      <c r="AO504" s="585"/>
      <c r="AP504" s="582">
        <v>12337</v>
      </c>
      <c r="AQ504" s="585">
        <v>11745</v>
      </c>
      <c r="AR504" s="582">
        <v>9227</v>
      </c>
      <c r="AS504" s="585">
        <v>8525</v>
      </c>
      <c r="AT504" s="582">
        <v>8193</v>
      </c>
      <c r="AU504" s="585">
        <v>7630</v>
      </c>
      <c r="AV504" s="583">
        <f t="shared" si="138"/>
        <v>29757</v>
      </c>
      <c r="AW504" s="583">
        <f t="shared" si="139"/>
        <v>1239.875</v>
      </c>
      <c r="AX504" s="584">
        <f t="shared" si="140"/>
        <v>27900</v>
      </c>
      <c r="AY504" s="584">
        <f t="shared" si="141"/>
        <v>1162.5</v>
      </c>
      <c r="AZ504" s="583">
        <f t="shared" si="142"/>
        <v>7631.0083333333332</v>
      </c>
      <c r="BA504" s="584">
        <f t="shared" si="143"/>
        <v>7589.4</v>
      </c>
    </row>
    <row r="505" spans="1:53" ht="14.5">
      <c r="A505" s="436" t="s">
        <v>570</v>
      </c>
      <c r="B505" s="8" t="s">
        <v>582</v>
      </c>
      <c r="C505" s="538"/>
      <c r="D505" s="7">
        <v>226091</v>
      </c>
      <c r="E505" s="7">
        <v>3</v>
      </c>
      <c r="F505" s="582"/>
      <c r="G505" s="585"/>
      <c r="H505" s="582">
        <v>0</v>
      </c>
      <c r="I505" s="585">
        <v>0</v>
      </c>
      <c r="J505" s="582">
        <v>96844</v>
      </c>
      <c r="K505" s="585">
        <v>95780</v>
      </c>
      <c r="L505" s="582">
        <v>30181</v>
      </c>
      <c r="M505" s="585">
        <v>30424</v>
      </c>
      <c r="N505" s="582">
        <v>95776</v>
      </c>
      <c r="O505" s="585">
        <v>92533</v>
      </c>
      <c r="P505" s="583">
        <f t="shared" si="144"/>
        <v>222801</v>
      </c>
      <c r="Q505" s="583">
        <f t="shared" si="145"/>
        <v>7426.7</v>
      </c>
      <c r="R505" s="584">
        <f t="shared" si="146"/>
        <v>218737</v>
      </c>
      <c r="S505" s="584">
        <f t="shared" si="147"/>
        <v>7291.2333333333336</v>
      </c>
      <c r="T505" s="582">
        <v>2545</v>
      </c>
      <c r="U505" s="585">
        <v>3117</v>
      </c>
      <c r="V505" s="583">
        <f t="shared" si="148"/>
        <v>222801</v>
      </c>
      <c r="W505" s="584">
        <f>IF(ISBLANK(#REF!),0,R505)</f>
        <v>218737</v>
      </c>
      <c r="X505" s="582"/>
      <c r="Y505" s="585"/>
      <c r="Z505" s="582"/>
      <c r="AA505" s="585"/>
      <c r="AB505" s="582"/>
      <c r="AC505" s="585"/>
      <c r="AD505" s="582"/>
      <c r="AE505" s="585"/>
      <c r="AF505" s="583">
        <f t="shared" si="150"/>
        <v>0</v>
      </c>
      <c r="AG505" s="583">
        <f t="shared" si="151"/>
        <v>0</v>
      </c>
      <c r="AH505" s="584">
        <f t="shared" si="152"/>
        <v>0</v>
      </c>
      <c r="AI505" s="584">
        <f t="shared" si="153"/>
        <v>0</v>
      </c>
      <c r="AJ505" s="582"/>
      <c r="AK505" s="585"/>
      <c r="AL505" s="583">
        <f t="shared" si="136"/>
        <v>0</v>
      </c>
      <c r="AM505" s="584">
        <f t="shared" si="137"/>
        <v>0</v>
      </c>
      <c r="AN505" s="582"/>
      <c r="AO505" s="585"/>
      <c r="AP505" s="582">
        <v>38998</v>
      </c>
      <c r="AQ505" s="585">
        <v>41955</v>
      </c>
      <c r="AR505" s="582">
        <v>33408</v>
      </c>
      <c r="AS505" s="585">
        <v>40555</v>
      </c>
      <c r="AT505" s="582">
        <v>38135</v>
      </c>
      <c r="AU505" s="585">
        <v>33910</v>
      </c>
      <c r="AV505" s="583">
        <f t="shared" si="138"/>
        <v>110541</v>
      </c>
      <c r="AW505" s="583">
        <f t="shared" si="139"/>
        <v>4605.875</v>
      </c>
      <c r="AX505" s="584">
        <f t="shared" si="140"/>
        <v>116420</v>
      </c>
      <c r="AY505" s="584">
        <f t="shared" si="141"/>
        <v>4850.833333333333</v>
      </c>
      <c r="AZ505" s="583">
        <f t="shared" si="142"/>
        <v>12032.575000000001</v>
      </c>
      <c r="BA505" s="584">
        <f t="shared" si="143"/>
        <v>12142.066666666666</v>
      </c>
    </row>
    <row r="506" spans="1:53" ht="14.5">
      <c r="A506" s="436" t="s">
        <v>570</v>
      </c>
      <c r="B506" s="8" t="s">
        <v>583</v>
      </c>
      <c r="C506" s="538"/>
      <c r="D506" s="7">
        <v>226833</v>
      </c>
      <c r="E506" s="7">
        <v>3</v>
      </c>
      <c r="F506" s="582"/>
      <c r="G506" s="585"/>
      <c r="H506" s="582">
        <v>0</v>
      </c>
      <c r="I506" s="585">
        <v>0</v>
      </c>
      <c r="J506" s="582">
        <v>56462</v>
      </c>
      <c r="K506" s="585">
        <v>56170</v>
      </c>
      <c r="L506" s="582">
        <v>11665</v>
      </c>
      <c r="M506" s="585">
        <v>11207</v>
      </c>
      <c r="N506" s="582">
        <v>61354</v>
      </c>
      <c r="O506" s="585">
        <v>58981</v>
      </c>
      <c r="P506" s="583">
        <f t="shared" si="144"/>
        <v>129481</v>
      </c>
      <c r="Q506" s="583">
        <f t="shared" si="145"/>
        <v>4316.0333333333338</v>
      </c>
      <c r="R506" s="584">
        <f t="shared" si="146"/>
        <v>126358</v>
      </c>
      <c r="S506" s="584">
        <f t="shared" si="147"/>
        <v>4211.9333333333334</v>
      </c>
      <c r="T506" s="582">
        <v>142</v>
      </c>
      <c r="U506" s="585">
        <v>348</v>
      </c>
      <c r="V506" s="583">
        <f t="shared" si="148"/>
        <v>129481</v>
      </c>
      <c r="W506" s="584">
        <f>IF(ISBLANK(#REF!),0,R506)</f>
        <v>126358</v>
      </c>
      <c r="X506" s="582"/>
      <c r="Y506" s="585"/>
      <c r="Z506" s="582"/>
      <c r="AA506" s="585"/>
      <c r="AB506" s="582"/>
      <c r="AC506" s="585"/>
      <c r="AD506" s="582"/>
      <c r="AE506" s="585"/>
      <c r="AF506" s="583">
        <f t="shared" si="150"/>
        <v>0</v>
      </c>
      <c r="AG506" s="583">
        <f t="shared" si="151"/>
        <v>0</v>
      </c>
      <c r="AH506" s="584">
        <f t="shared" si="152"/>
        <v>0</v>
      </c>
      <c r="AI506" s="584">
        <f t="shared" si="153"/>
        <v>0</v>
      </c>
      <c r="AJ506" s="582"/>
      <c r="AK506" s="585"/>
      <c r="AL506" s="583">
        <f t="shared" si="136"/>
        <v>0</v>
      </c>
      <c r="AM506" s="584">
        <f t="shared" si="137"/>
        <v>0</v>
      </c>
      <c r="AN506" s="582"/>
      <c r="AO506" s="585"/>
      <c r="AP506" s="582">
        <v>3927</v>
      </c>
      <c r="AQ506" s="585">
        <v>3866</v>
      </c>
      <c r="AR506" s="582">
        <v>2298</v>
      </c>
      <c r="AS506" s="585">
        <v>2118</v>
      </c>
      <c r="AT506" s="582">
        <v>4191</v>
      </c>
      <c r="AU506" s="585">
        <v>3836</v>
      </c>
      <c r="AV506" s="583">
        <f t="shared" si="138"/>
        <v>10416</v>
      </c>
      <c r="AW506" s="583">
        <f t="shared" si="139"/>
        <v>434</v>
      </c>
      <c r="AX506" s="584">
        <f t="shared" si="140"/>
        <v>9820</v>
      </c>
      <c r="AY506" s="584">
        <f t="shared" si="141"/>
        <v>409.16666666666669</v>
      </c>
      <c r="AZ506" s="583">
        <f t="shared" si="142"/>
        <v>4750.0333333333338</v>
      </c>
      <c r="BA506" s="584">
        <f t="shared" si="143"/>
        <v>4621.1000000000004</v>
      </c>
    </row>
    <row r="507" spans="1:53" ht="14.5">
      <c r="A507" s="436" t="s">
        <v>570</v>
      </c>
      <c r="B507" s="8" t="s">
        <v>584</v>
      </c>
      <c r="C507" s="538"/>
      <c r="D507" s="7">
        <v>227526</v>
      </c>
      <c r="E507" s="7">
        <v>3</v>
      </c>
      <c r="F507" s="582"/>
      <c r="G507" s="585"/>
      <c r="H507" s="582">
        <v>0</v>
      </c>
      <c r="I507" s="585">
        <v>0</v>
      </c>
      <c r="J507" s="582">
        <v>99945</v>
      </c>
      <c r="K507" s="585">
        <v>102339</v>
      </c>
      <c r="L507" s="582">
        <v>15461</v>
      </c>
      <c r="M507" s="585">
        <v>15020</v>
      </c>
      <c r="N507" s="582">
        <v>117115</v>
      </c>
      <c r="O507" s="585">
        <v>110493</v>
      </c>
      <c r="P507" s="583">
        <f t="shared" si="144"/>
        <v>232521</v>
      </c>
      <c r="Q507" s="583">
        <f t="shared" si="145"/>
        <v>7750.7</v>
      </c>
      <c r="R507" s="584">
        <f t="shared" si="146"/>
        <v>227852</v>
      </c>
      <c r="S507" s="584">
        <f t="shared" si="147"/>
        <v>7595.0666666666666</v>
      </c>
      <c r="T507" s="582">
        <v>0</v>
      </c>
      <c r="U507" s="585">
        <v>4</v>
      </c>
      <c r="V507" s="583">
        <f t="shared" si="148"/>
        <v>232521</v>
      </c>
      <c r="W507" s="584">
        <f>IF(ISBLANK(#REF!),0,R507)</f>
        <v>227852</v>
      </c>
      <c r="X507" s="582"/>
      <c r="Y507" s="585"/>
      <c r="Z507" s="582"/>
      <c r="AA507" s="585"/>
      <c r="AB507" s="582"/>
      <c r="AC507" s="585"/>
      <c r="AD507" s="582"/>
      <c r="AE507" s="585"/>
      <c r="AF507" s="583">
        <f t="shared" si="150"/>
        <v>0</v>
      </c>
      <c r="AG507" s="583">
        <f t="shared" si="151"/>
        <v>0</v>
      </c>
      <c r="AH507" s="584">
        <f t="shared" si="152"/>
        <v>0</v>
      </c>
      <c r="AI507" s="584">
        <f t="shared" si="153"/>
        <v>0</v>
      </c>
      <c r="AJ507" s="582"/>
      <c r="AK507" s="585"/>
      <c r="AL507" s="583">
        <f t="shared" si="136"/>
        <v>0</v>
      </c>
      <c r="AM507" s="584">
        <f t="shared" si="137"/>
        <v>0</v>
      </c>
      <c r="AN507" s="582"/>
      <c r="AO507" s="585"/>
      <c r="AP507" s="582">
        <v>8213</v>
      </c>
      <c r="AQ507" s="585">
        <v>6497</v>
      </c>
      <c r="AR507" s="582">
        <v>3290</v>
      </c>
      <c r="AS507" s="585">
        <v>2495</v>
      </c>
      <c r="AT507" s="582">
        <v>6959</v>
      </c>
      <c r="AU507" s="585">
        <v>5613</v>
      </c>
      <c r="AV507" s="583">
        <f t="shared" si="138"/>
        <v>18462</v>
      </c>
      <c r="AW507" s="583">
        <f t="shared" si="139"/>
        <v>769.25</v>
      </c>
      <c r="AX507" s="584">
        <f t="shared" si="140"/>
        <v>14605</v>
      </c>
      <c r="AY507" s="584">
        <f t="shared" si="141"/>
        <v>608.54166666666663</v>
      </c>
      <c r="AZ507" s="583">
        <f t="shared" si="142"/>
        <v>8519.9500000000007</v>
      </c>
      <c r="BA507" s="584">
        <f t="shared" si="143"/>
        <v>8203.6083333333336</v>
      </c>
    </row>
    <row r="508" spans="1:53" ht="14.5">
      <c r="A508" s="436" t="s">
        <v>570</v>
      </c>
      <c r="B508" s="8" t="s">
        <v>585</v>
      </c>
      <c r="C508" s="538"/>
      <c r="D508" s="7">
        <v>227881</v>
      </c>
      <c r="E508" s="7">
        <v>3</v>
      </c>
      <c r="F508" s="582"/>
      <c r="G508" s="585"/>
      <c r="H508" s="582">
        <v>0</v>
      </c>
      <c r="I508" s="585">
        <v>0</v>
      </c>
      <c r="J508" s="582">
        <v>217079</v>
      </c>
      <c r="K508" s="585">
        <v>216441</v>
      </c>
      <c r="L508" s="582">
        <v>45054</v>
      </c>
      <c r="M508" s="585">
        <v>41153</v>
      </c>
      <c r="N508" s="582">
        <v>234747</v>
      </c>
      <c r="O508" s="585">
        <v>230210</v>
      </c>
      <c r="P508" s="583">
        <f t="shared" si="144"/>
        <v>496880</v>
      </c>
      <c r="Q508" s="583">
        <f t="shared" si="145"/>
        <v>16562.666666666668</v>
      </c>
      <c r="R508" s="584">
        <f t="shared" si="146"/>
        <v>487804</v>
      </c>
      <c r="S508" s="584">
        <f t="shared" si="147"/>
        <v>16260.133333333333</v>
      </c>
      <c r="T508" s="582">
        <v>0</v>
      </c>
      <c r="U508" s="585">
        <v>0</v>
      </c>
      <c r="V508" s="583">
        <f t="shared" si="148"/>
        <v>496880</v>
      </c>
      <c r="W508" s="584">
        <f>IF(ISBLANK(#REF!),0,R508)</f>
        <v>487804</v>
      </c>
      <c r="X508" s="582"/>
      <c r="Y508" s="585"/>
      <c r="Z508" s="582"/>
      <c r="AA508" s="585"/>
      <c r="AB508" s="582"/>
      <c r="AC508" s="585"/>
      <c r="AD508" s="582"/>
      <c r="AE508" s="585"/>
      <c r="AF508" s="583">
        <f t="shared" si="150"/>
        <v>0</v>
      </c>
      <c r="AG508" s="583">
        <f t="shared" si="151"/>
        <v>0</v>
      </c>
      <c r="AH508" s="584">
        <f t="shared" si="152"/>
        <v>0</v>
      </c>
      <c r="AI508" s="584">
        <f t="shared" si="153"/>
        <v>0</v>
      </c>
      <c r="AJ508" s="582"/>
      <c r="AK508" s="585"/>
      <c r="AL508" s="583">
        <f t="shared" si="136"/>
        <v>0</v>
      </c>
      <c r="AM508" s="584">
        <f t="shared" si="137"/>
        <v>0</v>
      </c>
      <c r="AN508" s="582"/>
      <c r="AO508" s="585"/>
      <c r="AP508" s="582">
        <v>15503</v>
      </c>
      <c r="AQ508" s="585">
        <v>15200</v>
      </c>
      <c r="AR508" s="582">
        <v>9144</v>
      </c>
      <c r="AS508" s="585">
        <v>9720</v>
      </c>
      <c r="AT508" s="582">
        <v>15515</v>
      </c>
      <c r="AU508" s="585">
        <v>15960</v>
      </c>
      <c r="AV508" s="583">
        <f t="shared" si="138"/>
        <v>40162</v>
      </c>
      <c r="AW508" s="583">
        <f t="shared" si="139"/>
        <v>1673.4166666666667</v>
      </c>
      <c r="AX508" s="584">
        <f t="shared" si="140"/>
        <v>40880</v>
      </c>
      <c r="AY508" s="584">
        <f t="shared" si="141"/>
        <v>1703.3333333333333</v>
      </c>
      <c r="AZ508" s="583">
        <f t="shared" si="142"/>
        <v>18236.083333333336</v>
      </c>
      <c r="BA508" s="584">
        <f t="shared" si="143"/>
        <v>17963.466666666667</v>
      </c>
    </row>
    <row r="509" spans="1:53" ht="14.5">
      <c r="A509" s="436" t="s">
        <v>570</v>
      </c>
      <c r="B509" s="8" t="s">
        <v>586</v>
      </c>
      <c r="C509" s="538"/>
      <c r="D509" s="7">
        <v>228431</v>
      </c>
      <c r="E509" s="7">
        <v>3</v>
      </c>
      <c r="F509" s="582"/>
      <c r="G509" s="585"/>
      <c r="H509" s="582">
        <v>0</v>
      </c>
      <c r="I509" s="585">
        <v>0</v>
      </c>
      <c r="J509" s="582">
        <v>125885</v>
      </c>
      <c r="K509" s="585">
        <v>126636</v>
      </c>
      <c r="L509" s="582">
        <v>23841</v>
      </c>
      <c r="M509" s="585">
        <v>22468</v>
      </c>
      <c r="N509" s="582">
        <v>139362</v>
      </c>
      <c r="O509" s="585">
        <v>137307</v>
      </c>
      <c r="P509" s="583">
        <f t="shared" si="144"/>
        <v>289088</v>
      </c>
      <c r="Q509" s="583">
        <f t="shared" si="145"/>
        <v>9636.2666666666664</v>
      </c>
      <c r="R509" s="584">
        <f t="shared" si="146"/>
        <v>286411</v>
      </c>
      <c r="S509" s="584">
        <f t="shared" si="147"/>
        <v>9547.0333333333328</v>
      </c>
      <c r="T509" s="582">
        <v>6166</v>
      </c>
      <c r="U509" s="585">
        <v>9928</v>
      </c>
      <c r="V509" s="583">
        <f t="shared" si="148"/>
        <v>289088</v>
      </c>
      <c r="W509" s="584">
        <f>IF(ISBLANK(#REF!),0,R509)</f>
        <v>286411</v>
      </c>
      <c r="X509" s="582"/>
      <c r="Y509" s="585"/>
      <c r="Z509" s="582"/>
      <c r="AA509" s="585"/>
      <c r="AB509" s="582"/>
      <c r="AC509" s="585"/>
      <c r="AD509" s="582"/>
      <c r="AE509" s="585"/>
      <c r="AF509" s="583">
        <f t="shared" si="150"/>
        <v>0</v>
      </c>
      <c r="AG509" s="583">
        <f t="shared" si="151"/>
        <v>0</v>
      </c>
      <c r="AH509" s="584">
        <f t="shared" si="152"/>
        <v>0</v>
      </c>
      <c r="AI509" s="584">
        <f t="shared" si="153"/>
        <v>0</v>
      </c>
      <c r="AJ509" s="582"/>
      <c r="AK509" s="585"/>
      <c r="AL509" s="583">
        <f t="shared" si="136"/>
        <v>0</v>
      </c>
      <c r="AM509" s="584">
        <f t="shared" si="137"/>
        <v>0</v>
      </c>
      <c r="AN509" s="582"/>
      <c r="AO509" s="585"/>
      <c r="AP509" s="582">
        <v>10238</v>
      </c>
      <c r="AQ509" s="585">
        <v>10944</v>
      </c>
      <c r="AR509" s="582">
        <v>8239</v>
      </c>
      <c r="AS509" s="585">
        <v>6832</v>
      </c>
      <c r="AT509" s="582">
        <v>10829</v>
      </c>
      <c r="AU509" s="585">
        <v>9520</v>
      </c>
      <c r="AV509" s="583">
        <f t="shared" si="138"/>
        <v>29306</v>
      </c>
      <c r="AW509" s="583">
        <f t="shared" si="139"/>
        <v>1221.0833333333333</v>
      </c>
      <c r="AX509" s="584">
        <f t="shared" si="140"/>
        <v>27296</v>
      </c>
      <c r="AY509" s="584">
        <f t="shared" si="141"/>
        <v>1137.3333333333333</v>
      </c>
      <c r="AZ509" s="583">
        <f t="shared" si="142"/>
        <v>10857.35</v>
      </c>
      <c r="BA509" s="584">
        <f t="shared" si="143"/>
        <v>10684.366666666667</v>
      </c>
    </row>
    <row r="510" spans="1:53" ht="14.5">
      <c r="A510" s="436" t="s">
        <v>570</v>
      </c>
      <c r="B510" s="8" t="s">
        <v>587</v>
      </c>
      <c r="C510" s="538"/>
      <c r="D510" s="7">
        <v>228501</v>
      </c>
      <c r="E510" s="7">
        <v>3</v>
      </c>
      <c r="F510" s="582"/>
      <c r="G510" s="585"/>
      <c r="H510" s="582">
        <v>0</v>
      </c>
      <c r="I510" s="585">
        <v>0</v>
      </c>
      <c r="J510" s="582">
        <v>15049</v>
      </c>
      <c r="K510" s="585">
        <v>14125</v>
      </c>
      <c r="L510" s="582">
        <v>3088</v>
      </c>
      <c r="M510" s="585">
        <v>2640</v>
      </c>
      <c r="N510" s="582">
        <v>16228</v>
      </c>
      <c r="O510" s="585">
        <v>14708</v>
      </c>
      <c r="P510" s="583">
        <f t="shared" si="144"/>
        <v>34365</v>
      </c>
      <c r="Q510" s="583">
        <f t="shared" si="145"/>
        <v>1145.5</v>
      </c>
      <c r="R510" s="584">
        <f t="shared" si="146"/>
        <v>31473</v>
      </c>
      <c r="S510" s="584">
        <f t="shared" si="147"/>
        <v>1049.0999999999999</v>
      </c>
      <c r="T510" s="582">
        <v>1020</v>
      </c>
      <c r="U510" s="585">
        <v>765</v>
      </c>
      <c r="V510" s="583">
        <f t="shared" si="148"/>
        <v>34365</v>
      </c>
      <c r="W510" s="584">
        <f>IF(ISBLANK(#REF!),0,R510)</f>
        <v>31473</v>
      </c>
      <c r="X510" s="582"/>
      <c r="Y510" s="585"/>
      <c r="Z510" s="582"/>
      <c r="AA510" s="585"/>
      <c r="AB510" s="582"/>
      <c r="AC510" s="585"/>
      <c r="AD510" s="582"/>
      <c r="AE510" s="585"/>
      <c r="AF510" s="583">
        <f t="shared" si="150"/>
        <v>0</v>
      </c>
      <c r="AG510" s="583">
        <f t="shared" si="151"/>
        <v>0</v>
      </c>
      <c r="AH510" s="584">
        <f t="shared" si="152"/>
        <v>0</v>
      </c>
      <c r="AI510" s="584">
        <f t="shared" si="153"/>
        <v>0</v>
      </c>
      <c r="AJ510" s="582"/>
      <c r="AK510" s="585"/>
      <c r="AL510" s="583">
        <f t="shared" si="136"/>
        <v>0</v>
      </c>
      <c r="AM510" s="584">
        <f t="shared" si="137"/>
        <v>0</v>
      </c>
      <c r="AN510" s="582"/>
      <c r="AO510" s="585"/>
      <c r="AP510" s="582">
        <v>3281</v>
      </c>
      <c r="AQ510" s="585">
        <v>3070</v>
      </c>
      <c r="AR510" s="582">
        <v>2566</v>
      </c>
      <c r="AS510" s="585">
        <v>2211</v>
      </c>
      <c r="AT510" s="582">
        <v>3035</v>
      </c>
      <c r="AU510" s="585">
        <v>2481</v>
      </c>
      <c r="AV510" s="583">
        <f t="shared" si="138"/>
        <v>8882</v>
      </c>
      <c r="AW510" s="583">
        <f t="shared" si="139"/>
        <v>370.08333333333331</v>
      </c>
      <c r="AX510" s="584">
        <f t="shared" si="140"/>
        <v>7762</v>
      </c>
      <c r="AY510" s="584">
        <f t="shared" si="141"/>
        <v>323.41666666666669</v>
      </c>
      <c r="AZ510" s="583">
        <f t="shared" si="142"/>
        <v>1515.5833333333333</v>
      </c>
      <c r="BA510" s="584">
        <f t="shared" si="143"/>
        <v>1372.5166666666667</v>
      </c>
    </row>
    <row r="511" spans="1:53" ht="14.5">
      <c r="A511" s="436" t="s">
        <v>570</v>
      </c>
      <c r="B511" s="8" t="s">
        <v>588</v>
      </c>
      <c r="C511" s="538"/>
      <c r="D511" s="7">
        <v>228529</v>
      </c>
      <c r="E511" s="7">
        <v>3</v>
      </c>
      <c r="F511" s="582"/>
      <c r="G511" s="585"/>
      <c r="H511" s="582">
        <v>0</v>
      </c>
      <c r="I511" s="585">
        <v>0</v>
      </c>
      <c r="J511" s="582">
        <v>123587</v>
      </c>
      <c r="K511" s="585">
        <v>124099</v>
      </c>
      <c r="L511" s="582">
        <v>29613</v>
      </c>
      <c r="M511" s="585">
        <v>30112</v>
      </c>
      <c r="N511" s="582">
        <v>132721</v>
      </c>
      <c r="O511" s="585">
        <v>131580</v>
      </c>
      <c r="P511" s="583">
        <f t="shared" si="144"/>
        <v>285921</v>
      </c>
      <c r="Q511" s="583">
        <f t="shared" si="145"/>
        <v>9530.7000000000007</v>
      </c>
      <c r="R511" s="584">
        <f t="shared" si="146"/>
        <v>285791</v>
      </c>
      <c r="S511" s="584">
        <f t="shared" si="147"/>
        <v>9526.3666666666668</v>
      </c>
      <c r="T511" s="582">
        <v>0</v>
      </c>
      <c r="U511" s="585">
        <v>0</v>
      </c>
      <c r="V511" s="583">
        <f t="shared" si="148"/>
        <v>285921</v>
      </c>
      <c r="W511" s="584">
        <f>IF(ISBLANK(#REF!),0,R511)</f>
        <v>285791</v>
      </c>
      <c r="X511" s="582"/>
      <c r="Y511" s="585"/>
      <c r="Z511" s="582"/>
      <c r="AA511" s="585"/>
      <c r="AB511" s="582"/>
      <c r="AC511" s="585"/>
      <c r="AD511" s="582"/>
      <c r="AE511" s="585"/>
      <c r="AF511" s="583">
        <f t="shared" si="150"/>
        <v>0</v>
      </c>
      <c r="AG511" s="583">
        <f t="shared" si="151"/>
        <v>0</v>
      </c>
      <c r="AH511" s="584">
        <f t="shared" si="152"/>
        <v>0</v>
      </c>
      <c r="AI511" s="584">
        <f t="shared" si="153"/>
        <v>0</v>
      </c>
      <c r="AJ511" s="582"/>
      <c r="AK511" s="585"/>
      <c r="AL511" s="583">
        <f t="shared" si="136"/>
        <v>0</v>
      </c>
      <c r="AM511" s="584">
        <f t="shared" si="137"/>
        <v>0</v>
      </c>
      <c r="AN511" s="582"/>
      <c r="AO511" s="585"/>
      <c r="AP511" s="582">
        <v>10309</v>
      </c>
      <c r="AQ511" s="585">
        <v>11028</v>
      </c>
      <c r="AR511" s="582">
        <v>7329</v>
      </c>
      <c r="AS511" s="585">
        <v>8143</v>
      </c>
      <c r="AT511" s="582">
        <v>10446</v>
      </c>
      <c r="AU511" s="585">
        <v>10380</v>
      </c>
      <c r="AV511" s="583">
        <f t="shared" si="138"/>
        <v>28084</v>
      </c>
      <c r="AW511" s="583">
        <f t="shared" si="139"/>
        <v>1170.1666666666667</v>
      </c>
      <c r="AX511" s="584">
        <f t="shared" si="140"/>
        <v>29551</v>
      </c>
      <c r="AY511" s="584">
        <f t="shared" si="141"/>
        <v>1231.2916666666667</v>
      </c>
      <c r="AZ511" s="583">
        <f t="shared" si="142"/>
        <v>10700.866666666667</v>
      </c>
      <c r="BA511" s="584">
        <f t="shared" si="143"/>
        <v>10757.658333333333</v>
      </c>
    </row>
    <row r="512" spans="1:53" ht="14.5">
      <c r="A512" s="436" t="s">
        <v>570</v>
      </c>
      <c r="B512" s="59" t="s">
        <v>589</v>
      </c>
      <c r="C512" s="538"/>
      <c r="D512" s="7">
        <v>226152</v>
      </c>
      <c r="E512" s="7">
        <v>3</v>
      </c>
      <c r="F512" s="582"/>
      <c r="G512" s="585"/>
      <c r="H512" s="582">
        <v>0</v>
      </c>
      <c r="I512" s="585">
        <v>0</v>
      </c>
      <c r="J512" s="582">
        <v>71731</v>
      </c>
      <c r="K512" s="585">
        <v>78872</v>
      </c>
      <c r="L512" s="582">
        <v>18928</v>
      </c>
      <c r="M512" s="585">
        <v>16802</v>
      </c>
      <c r="N512" s="582">
        <v>83693</v>
      </c>
      <c r="O512" s="585">
        <v>86691</v>
      </c>
      <c r="P512" s="583">
        <f t="shared" si="144"/>
        <v>174352</v>
      </c>
      <c r="Q512" s="583">
        <f t="shared" si="145"/>
        <v>5811.7333333333336</v>
      </c>
      <c r="R512" s="584">
        <f t="shared" si="146"/>
        <v>182365</v>
      </c>
      <c r="S512" s="584">
        <f t="shared" si="147"/>
        <v>6078.833333333333</v>
      </c>
      <c r="T512" s="582">
        <v>9265</v>
      </c>
      <c r="U512" s="585">
        <v>8749</v>
      </c>
      <c r="V512" s="583">
        <f t="shared" si="148"/>
        <v>174352</v>
      </c>
      <c r="W512" s="584">
        <f>IF(ISBLANK(#REF!),0,R512)</f>
        <v>182365</v>
      </c>
      <c r="X512" s="582"/>
      <c r="Y512" s="585"/>
      <c r="Z512" s="582"/>
      <c r="AA512" s="585"/>
      <c r="AB512" s="582"/>
      <c r="AC512" s="585"/>
      <c r="AD512" s="582"/>
      <c r="AE512" s="585"/>
      <c r="AF512" s="583">
        <f t="shared" si="150"/>
        <v>0</v>
      </c>
      <c r="AG512" s="583">
        <f t="shared" si="151"/>
        <v>0</v>
      </c>
      <c r="AH512" s="584">
        <f t="shared" si="152"/>
        <v>0</v>
      </c>
      <c r="AI512" s="584">
        <f t="shared" si="153"/>
        <v>0</v>
      </c>
      <c r="AJ512" s="582"/>
      <c r="AK512" s="585"/>
      <c r="AL512" s="583">
        <f t="shared" si="136"/>
        <v>0</v>
      </c>
      <c r="AM512" s="584">
        <f t="shared" si="137"/>
        <v>0</v>
      </c>
      <c r="AN512" s="582"/>
      <c r="AO512" s="585"/>
      <c r="AP512" s="582">
        <v>1082</v>
      </c>
      <c r="AQ512" s="585">
        <v>6203</v>
      </c>
      <c r="AR512" s="582">
        <v>7302</v>
      </c>
      <c r="AS512" s="585">
        <v>6635</v>
      </c>
      <c r="AT512" s="582">
        <v>4684</v>
      </c>
      <c r="AU512" s="585">
        <v>5428</v>
      </c>
      <c r="AV512" s="583">
        <f t="shared" si="138"/>
        <v>13068</v>
      </c>
      <c r="AW512" s="583">
        <f t="shared" si="139"/>
        <v>544.5</v>
      </c>
      <c r="AX512" s="584">
        <f t="shared" si="140"/>
        <v>18266</v>
      </c>
      <c r="AY512" s="584">
        <f t="shared" si="141"/>
        <v>761.08333333333337</v>
      </c>
      <c r="AZ512" s="583">
        <f t="shared" si="142"/>
        <v>6356.2333333333336</v>
      </c>
      <c r="BA512" s="584">
        <f t="shared" si="143"/>
        <v>6839.9166666666661</v>
      </c>
    </row>
    <row r="513" spans="1:53" ht="14.5">
      <c r="A513" s="436" t="s">
        <v>570</v>
      </c>
      <c r="B513" s="8" t="s">
        <v>590</v>
      </c>
      <c r="C513" s="538"/>
      <c r="D513" s="7">
        <v>224554</v>
      </c>
      <c r="E513" s="7">
        <v>3</v>
      </c>
      <c r="F513" s="582"/>
      <c r="G513" s="585"/>
      <c r="H513" s="582">
        <v>0</v>
      </c>
      <c r="I513" s="585">
        <v>0</v>
      </c>
      <c r="J513" s="582">
        <v>79589</v>
      </c>
      <c r="K513" s="585">
        <v>80022</v>
      </c>
      <c r="L513" s="582">
        <v>20261</v>
      </c>
      <c r="M513" s="585">
        <v>20401</v>
      </c>
      <c r="N513" s="582">
        <v>90349</v>
      </c>
      <c r="O513" s="585">
        <v>91681</v>
      </c>
      <c r="P513" s="583">
        <f t="shared" si="144"/>
        <v>190199</v>
      </c>
      <c r="Q513" s="583">
        <f t="shared" si="145"/>
        <v>6339.9666666666662</v>
      </c>
      <c r="R513" s="584">
        <f t="shared" si="146"/>
        <v>192104</v>
      </c>
      <c r="S513" s="584">
        <f t="shared" si="147"/>
        <v>6403.4666666666662</v>
      </c>
      <c r="T513" s="582">
        <v>4098</v>
      </c>
      <c r="U513" s="585">
        <v>4755</v>
      </c>
      <c r="V513" s="583">
        <f t="shared" si="148"/>
        <v>190199</v>
      </c>
      <c r="W513" s="584">
        <f>IF(ISBLANK(#REF!),0,R513)</f>
        <v>192104</v>
      </c>
      <c r="X513" s="582"/>
      <c r="Y513" s="585"/>
      <c r="Z513" s="582"/>
      <c r="AA513" s="585"/>
      <c r="AB513" s="582"/>
      <c r="AC513" s="585"/>
      <c r="AD513" s="582"/>
      <c r="AE513" s="585"/>
      <c r="AF513" s="583">
        <f t="shared" si="150"/>
        <v>0</v>
      </c>
      <c r="AG513" s="583">
        <f t="shared" si="151"/>
        <v>0</v>
      </c>
      <c r="AH513" s="584">
        <f t="shared" si="152"/>
        <v>0</v>
      </c>
      <c r="AI513" s="584">
        <f t="shared" si="153"/>
        <v>0</v>
      </c>
      <c r="AJ513" s="582"/>
      <c r="AK513" s="585"/>
      <c r="AL513" s="583">
        <f t="shared" si="136"/>
        <v>0</v>
      </c>
      <c r="AM513" s="584">
        <f t="shared" si="137"/>
        <v>0</v>
      </c>
      <c r="AN513" s="582"/>
      <c r="AO513" s="585"/>
      <c r="AP513" s="582">
        <v>5041</v>
      </c>
      <c r="AQ513" s="585">
        <v>21128</v>
      </c>
      <c r="AR513" s="582">
        <v>39141</v>
      </c>
      <c r="AS513" s="585">
        <v>14866</v>
      </c>
      <c r="AT513" s="582">
        <v>24432</v>
      </c>
      <c r="AU513" s="585">
        <v>20357</v>
      </c>
      <c r="AV513" s="583">
        <f t="shared" si="138"/>
        <v>68614</v>
      </c>
      <c r="AW513" s="583">
        <f t="shared" si="139"/>
        <v>2858.9166666666665</v>
      </c>
      <c r="AX513" s="584">
        <f t="shared" si="140"/>
        <v>56351</v>
      </c>
      <c r="AY513" s="584">
        <f t="shared" si="141"/>
        <v>2347.9583333333335</v>
      </c>
      <c r="AZ513" s="583">
        <f t="shared" si="142"/>
        <v>9198.8833333333332</v>
      </c>
      <c r="BA513" s="584">
        <f t="shared" si="143"/>
        <v>8751.4249999999993</v>
      </c>
    </row>
    <row r="514" spans="1:53" ht="14.5">
      <c r="A514" s="436" t="s">
        <v>570</v>
      </c>
      <c r="B514" s="8" t="s">
        <v>591</v>
      </c>
      <c r="C514" s="538" t="s">
        <v>929</v>
      </c>
      <c r="D514" s="7">
        <v>224147</v>
      </c>
      <c r="E514" s="7">
        <v>3</v>
      </c>
      <c r="F514" s="582"/>
      <c r="G514" s="585"/>
      <c r="H514" s="582">
        <v>0</v>
      </c>
      <c r="I514" s="585">
        <v>0</v>
      </c>
      <c r="J514" s="582">
        <v>110629</v>
      </c>
      <c r="K514" s="585">
        <v>104996</v>
      </c>
      <c r="L514" s="582">
        <v>24904</v>
      </c>
      <c r="M514" s="585">
        <v>26034</v>
      </c>
      <c r="N514" s="582">
        <v>113588</v>
      </c>
      <c r="O514" s="585">
        <v>108024</v>
      </c>
      <c r="P514" s="583">
        <f t="shared" si="144"/>
        <v>249121</v>
      </c>
      <c r="Q514" s="583">
        <f t="shared" si="145"/>
        <v>8304.0333333333328</v>
      </c>
      <c r="R514" s="584">
        <f t="shared" si="146"/>
        <v>239054</v>
      </c>
      <c r="S514" s="584">
        <f t="shared" si="147"/>
        <v>7968.4666666666662</v>
      </c>
      <c r="T514" s="582">
        <v>912</v>
      </c>
      <c r="U514" s="585">
        <v>1705</v>
      </c>
      <c r="V514" s="583">
        <f t="shared" si="148"/>
        <v>249121</v>
      </c>
      <c r="W514" s="584">
        <f>IF(ISBLANK(#REF!),0,R514)</f>
        <v>239054</v>
      </c>
      <c r="X514" s="582"/>
      <c r="Y514" s="585"/>
      <c r="Z514" s="582"/>
      <c r="AA514" s="585"/>
      <c r="AB514" s="582"/>
      <c r="AC514" s="585"/>
      <c r="AD514" s="582"/>
      <c r="AE514" s="585"/>
      <c r="AF514" s="583">
        <f t="shared" si="150"/>
        <v>0</v>
      </c>
      <c r="AG514" s="583">
        <f t="shared" si="151"/>
        <v>0</v>
      </c>
      <c r="AH514" s="584">
        <f t="shared" si="152"/>
        <v>0</v>
      </c>
      <c r="AI514" s="584">
        <f t="shared" si="153"/>
        <v>0</v>
      </c>
      <c r="AJ514" s="582"/>
      <c r="AK514" s="585"/>
      <c r="AL514" s="583">
        <f t="shared" si="136"/>
        <v>0</v>
      </c>
      <c r="AM514" s="584">
        <f t="shared" si="137"/>
        <v>0</v>
      </c>
      <c r="AN514" s="582"/>
      <c r="AO514" s="585"/>
      <c r="AP514" s="582">
        <v>14022</v>
      </c>
      <c r="AQ514" s="585">
        <v>15205</v>
      </c>
      <c r="AR514" s="582">
        <v>10815</v>
      </c>
      <c r="AS514" s="585">
        <v>13232</v>
      </c>
      <c r="AT514" s="582">
        <v>11645</v>
      </c>
      <c r="AU514" s="585">
        <v>11518</v>
      </c>
      <c r="AV514" s="583">
        <f t="shared" si="138"/>
        <v>36482</v>
      </c>
      <c r="AW514" s="583">
        <f t="shared" si="139"/>
        <v>1520.0833333333333</v>
      </c>
      <c r="AX514" s="584">
        <f t="shared" si="140"/>
        <v>39955</v>
      </c>
      <c r="AY514" s="584">
        <f t="shared" si="141"/>
        <v>1664.7916666666667</v>
      </c>
      <c r="AZ514" s="583">
        <f t="shared" si="142"/>
        <v>9824.1166666666668</v>
      </c>
      <c r="BA514" s="584">
        <f t="shared" si="143"/>
        <v>9633.2583333333332</v>
      </c>
    </row>
    <row r="515" spans="1:53" ht="14.5">
      <c r="A515" s="436" t="s">
        <v>570</v>
      </c>
      <c r="B515" s="8" t="s">
        <v>592</v>
      </c>
      <c r="C515" s="538"/>
      <c r="D515" s="7">
        <v>228705</v>
      </c>
      <c r="E515" s="7">
        <v>3</v>
      </c>
      <c r="F515" s="582"/>
      <c r="G515" s="585"/>
      <c r="H515" s="582">
        <v>0</v>
      </c>
      <c r="I515" s="585">
        <v>0</v>
      </c>
      <c r="J515" s="582">
        <v>72396</v>
      </c>
      <c r="K515" s="585">
        <v>72436</v>
      </c>
      <c r="L515" s="582">
        <v>12038</v>
      </c>
      <c r="M515" s="585">
        <v>11297</v>
      </c>
      <c r="N515" s="582">
        <v>81347</v>
      </c>
      <c r="O515" s="585">
        <v>72881</v>
      </c>
      <c r="P515" s="583">
        <f t="shared" si="144"/>
        <v>165781</v>
      </c>
      <c r="Q515" s="583">
        <f t="shared" si="145"/>
        <v>5526.0333333333338</v>
      </c>
      <c r="R515" s="584">
        <f t="shared" si="146"/>
        <v>156614</v>
      </c>
      <c r="S515" s="584">
        <f t="shared" si="147"/>
        <v>5220.4666666666662</v>
      </c>
      <c r="T515" s="582">
        <v>11712</v>
      </c>
      <c r="U515" s="585">
        <v>10516</v>
      </c>
      <c r="V515" s="583">
        <f t="shared" si="148"/>
        <v>165781</v>
      </c>
      <c r="W515" s="584">
        <f>IF(ISBLANK(#REF!),0,R515)</f>
        <v>156614</v>
      </c>
      <c r="X515" s="582"/>
      <c r="Y515" s="585"/>
      <c r="Z515" s="582"/>
      <c r="AA515" s="585"/>
      <c r="AB515" s="582"/>
      <c r="AC515" s="585"/>
      <c r="AD515" s="582"/>
      <c r="AE515" s="585"/>
      <c r="AF515" s="583">
        <f t="shared" si="150"/>
        <v>0</v>
      </c>
      <c r="AG515" s="583">
        <f t="shared" si="151"/>
        <v>0</v>
      </c>
      <c r="AH515" s="584">
        <f t="shared" si="152"/>
        <v>0</v>
      </c>
      <c r="AI515" s="584">
        <f t="shared" si="153"/>
        <v>0</v>
      </c>
      <c r="AJ515" s="582"/>
      <c r="AK515" s="585"/>
      <c r="AL515" s="583">
        <f t="shared" si="136"/>
        <v>0</v>
      </c>
      <c r="AM515" s="584">
        <f t="shared" si="137"/>
        <v>0</v>
      </c>
      <c r="AN515" s="582"/>
      <c r="AO515" s="585"/>
      <c r="AP515" s="582">
        <v>12262</v>
      </c>
      <c r="AQ515" s="585">
        <v>10742</v>
      </c>
      <c r="AR515" s="582">
        <v>6276</v>
      </c>
      <c r="AS515" s="585">
        <v>6011</v>
      </c>
      <c r="AT515" s="582">
        <v>11242</v>
      </c>
      <c r="AU515" s="585">
        <v>9605</v>
      </c>
      <c r="AV515" s="583">
        <f t="shared" si="138"/>
        <v>29780</v>
      </c>
      <c r="AW515" s="583">
        <f t="shared" si="139"/>
        <v>1240.8333333333333</v>
      </c>
      <c r="AX515" s="584">
        <f t="shared" si="140"/>
        <v>26358</v>
      </c>
      <c r="AY515" s="584">
        <f t="shared" si="141"/>
        <v>1098.25</v>
      </c>
      <c r="AZ515" s="583">
        <f t="shared" si="142"/>
        <v>6766.8666666666668</v>
      </c>
      <c r="BA515" s="584">
        <f t="shared" si="143"/>
        <v>6318.7166666666662</v>
      </c>
    </row>
    <row r="516" spans="1:53" ht="14.5">
      <c r="A516" s="436" t="s">
        <v>570</v>
      </c>
      <c r="B516" s="8" t="s">
        <v>593</v>
      </c>
      <c r="C516" s="538"/>
      <c r="D516" s="7">
        <v>229063</v>
      </c>
      <c r="E516" s="7">
        <v>3</v>
      </c>
      <c r="F516" s="582"/>
      <c r="G516" s="585"/>
      <c r="H516" s="582">
        <v>0</v>
      </c>
      <c r="I516" s="585">
        <v>0</v>
      </c>
      <c r="J516" s="582">
        <v>91250</v>
      </c>
      <c r="K516" s="585">
        <v>87932</v>
      </c>
      <c r="L516" s="582">
        <v>10763</v>
      </c>
      <c r="M516" s="585">
        <v>11175</v>
      </c>
      <c r="N516" s="582">
        <v>101449</v>
      </c>
      <c r="O516" s="585">
        <v>93480</v>
      </c>
      <c r="P516" s="583">
        <f t="shared" si="144"/>
        <v>203462</v>
      </c>
      <c r="Q516" s="583">
        <f t="shared" si="145"/>
        <v>6782.0666666666666</v>
      </c>
      <c r="R516" s="584">
        <f t="shared" si="146"/>
        <v>192587</v>
      </c>
      <c r="S516" s="584">
        <f t="shared" si="147"/>
        <v>6419.5666666666666</v>
      </c>
      <c r="T516" s="582">
        <v>0</v>
      </c>
      <c r="U516" s="585">
        <v>3</v>
      </c>
      <c r="V516" s="583">
        <f t="shared" si="148"/>
        <v>203462</v>
      </c>
      <c r="W516" s="584">
        <f>IF(ISBLANK(#REF!),0,R516)</f>
        <v>192587</v>
      </c>
      <c r="X516" s="582"/>
      <c r="Y516" s="585"/>
      <c r="Z516" s="582"/>
      <c r="AA516" s="585"/>
      <c r="AB516" s="582"/>
      <c r="AC516" s="585"/>
      <c r="AD516" s="582"/>
      <c r="AE516" s="585"/>
      <c r="AF516" s="583">
        <f t="shared" si="150"/>
        <v>0</v>
      </c>
      <c r="AG516" s="583">
        <f t="shared" si="151"/>
        <v>0</v>
      </c>
      <c r="AH516" s="584">
        <f t="shared" si="152"/>
        <v>0</v>
      </c>
      <c r="AI516" s="584">
        <f t="shared" si="153"/>
        <v>0</v>
      </c>
      <c r="AJ516" s="582"/>
      <c r="AK516" s="585"/>
      <c r="AL516" s="583">
        <f t="shared" si="136"/>
        <v>0</v>
      </c>
      <c r="AM516" s="584">
        <f t="shared" si="137"/>
        <v>0</v>
      </c>
      <c r="AN516" s="582"/>
      <c r="AO516" s="585"/>
      <c r="AP516" s="582">
        <v>23537</v>
      </c>
      <c r="AQ516" s="585">
        <v>21690</v>
      </c>
      <c r="AR516" s="582">
        <v>5122</v>
      </c>
      <c r="AS516" s="585">
        <v>4890</v>
      </c>
      <c r="AT516" s="582">
        <v>22423</v>
      </c>
      <c r="AU516" s="585">
        <v>20889</v>
      </c>
      <c r="AV516" s="583">
        <f t="shared" si="138"/>
        <v>51082</v>
      </c>
      <c r="AW516" s="583">
        <f t="shared" si="139"/>
        <v>2128.4166666666665</v>
      </c>
      <c r="AX516" s="584">
        <f t="shared" si="140"/>
        <v>47469</v>
      </c>
      <c r="AY516" s="584">
        <f t="shared" si="141"/>
        <v>1977.875</v>
      </c>
      <c r="AZ516" s="583">
        <f t="shared" si="142"/>
        <v>8910.4833333333336</v>
      </c>
      <c r="BA516" s="584">
        <f t="shared" si="143"/>
        <v>8397.4416666666657</v>
      </c>
    </row>
    <row r="517" spans="1:53" ht="14.5">
      <c r="A517" s="436" t="s">
        <v>570</v>
      </c>
      <c r="B517" s="8" t="s">
        <v>595</v>
      </c>
      <c r="C517" s="538"/>
      <c r="D517" s="7">
        <v>225414</v>
      </c>
      <c r="E517" s="7">
        <v>3</v>
      </c>
      <c r="F517" s="582"/>
      <c r="G517" s="585"/>
      <c r="H517" s="582">
        <v>0</v>
      </c>
      <c r="I517" s="585">
        <v>0</v>
      </c>
      <c r="J517" s="582">
        <v>56603</v>
      </c>
      <c r="K517" s="585">
        <v>60361</v>
      </c>
      <c r="L517" s="582">
        <v>14841</v>
      </c>
      <c r="M517" s="585">
        <v>17086</v>
      </c>
      <c r="N517" s="582">
        <v>63823</v>
      </c>
      <c r="O517" s="585">
        <v>65896</v>
      </c>
      <c r="P517" s="583">
        <f t="shared" si="144"/>
        <v>135267</v>
      </c>
      <c r="Q517" s="583">
        <f t="shared" si="145"/>
        <v>4508.8999999999996</v>
      </c>
      <c r="R517" s="584">
        <f t="shared" si="146"/>
        <v>143343</v>
      </c>
      <c r="S517" s="584">
        <f t="shared" si="147"/>
        <v>4778.1000000000004</v>
      </c>
      <c r="T517" s="582">
        <v>0</v>
      </c>
      <c r="U517" s="585">
        <v>0</v>
      </c>
      <c r="V517" s="583">
        <f t="shared" si="148"/>
        <v>135267</v>
      </c>
      <c r="W517" s="584">
        <f>IF(ISBLANK(#REF!),0,R517)</f>
        <v>143343</v>
      </c>
      <c r="X517" s="582"/>
      <c r="Y517" s="585"/>
      <c r="Z517" s="582"/>
      <c r="AA517" s="585"/>
      <c r="AB517" s="582"/>
      <c r="AC517" s="585"/>
      <c r="AD517" s="582"/>
      <c r="AE517" s="585"/>
      <c r="AF517" s="583">
        <f t="shared" si="150"/>
        <v>0</v>
      </c>
      <c r="AG517" s="583">
        <f t="shared" si="151"/>
        <v>0</v>
      </c>
      <c r="AH517" s="584">
        <f t="shared" si="152"/>
        <v>0</v>
      </c>
      <c r="AI517" s="584">
        <f t="shared" si="153"/>
        <v>0</v>
      </c>
      <c r="AJ517" s="582"/>
      <c r="AK517" s="585"/>
      <c r="AL517" s="583">
        <f t="shared" si="136"/>
        <v>0</v>
      </c>
      <c r="AM517" s="584">
        <f t="shared" si="137"/>
        <v>0</v>
      </c>
      <c r="AN517" s="582"/>
      <c r="AO517" s="585"/>
      <c r="AP517" s="582">
        <v>17205</v>
      </c>
      <c r="AQ517" s="585">
        <v>17867</v>
      </c>
      <c r="AR517" s="582">
        <v>8367</v>
      </c>
      <c r="AS517" s="585">
        <v>9951</v>
      </c>
      <c r="AT517" s="582">
        <v>15154</v>
      </c>
      <c r="AU517" s="585">
        <v>14299</v>
      </c>
      <c r="AV517" s="583">
        <f t="shared" si="138"/>
        <v>40726</v>
      </c>
      <c r="AW517" s="583">
        <f t="shared" si="139"/>
        <v>1696.9166666666667</v>
      </c>
      <c r="AX517" s="584">
        <f t="shared" si="140"/>
        <v>42117</v>
      </c>
      <c r="AY517" s="584">
        <f t="shared" si="141"/>
        <v>1754.875</v>
      </c>
      <c r="AZ517" s="583">
        <f t="shared" si="142"/>
        <v>6205.8166666666666</v>
      </c>
      <c r="BA517" s="584">
        <f t="shared" si="143"/>
        <v>6532.9750000000004</v>
      </c>
    </row>
    <row r="518" spans="1:53" ht="14.5">
      <c r="A518" s="436" t="s">
        <v>570</v>
      </c>
      <c r="B518" s="60" t="s">
        <v>596</v>
      </c>
      <c r="C518" s="538"/>
      <c r="D518" s="7">
        <v>227368</v>
      </c>
      <c r="E518" s="7">
        <v>3</v>
      </c>
      <c r="F518" s="582"/>
      <c r="G518" s="585"/>
      <c r="H518" s="582">
        <v>0</v>
      </c>
      <c r="I518" s="585">
        <v>0</v>
      </c>
      <c r="J518" s="582">
        <v>276742</v>
      </c>
      <c r="K518" s="585">
        <v>281152</v>
      </c>
      <c r="L518" s="582">
        <v>74124</v>
      </c>
      <c r="M518" s="585">
        <v>72151</v>
      </c>
      <c r="N518" s="582">
        <v>305733</v>
      </c>
      <c r="O518" s="585">
        <v>311726</v>
      </c>
      <c r="P518" s="583">
        <f t="shared" si="144"/>
        <v>656599</v>
      </c>
      <c r="Q518" s="583">
        <f t="shared" si="145"/>
        <v>21886.633333333335</v>
      </c>
      <c r="R518" s="584">
        <f t="shared" si="146"/>
        <v>665029</v>
      </c>
      <c r="S518" s="584">
        <f t="shared" si="147"/>
        <v>22167.633333333335</v>
      </c>
      <c r="T518" s="582">
        <v>16942</v>
      </c>
      <c r="U518" s="585">
        <v>19152</v>
      </c>
      <c r="V518" s="583">
        <f t="shared" si="148"/>
        <v>656599</v>
      </c>
      <c r="W518" s="584">
        <f>IF(ISBLANK(#REF!),0,R518)</f>
        <v>665029</v>
      </c>
      <c r="X518" s="582"/>
      <c r="Y518" s="585"/>
      <c r="Z518" s="582"/>
      <c r="AA518" s="585"/>
      <c r="AB518" s="582"/>
      <c r="AC518" s="585"/>
      <c r="AD518" s="582"/>
      <c r="AE518" s="585"/>
      <c r="AF518" s="583">
        <f t="shared" si="150"/>
        <v>0</v>
      </c>
      <c r="AG518" s="583">
        <f t="shared" si="151"/>
        <v>0</v>
      </c>
      <c r="AH518" s="584">
        <f t="shared" si="152"/>
        <v>0</v>
      </c>
      <c r="AI518" s="584">
        <f t="shared" si="153"/>
        <v>0</v>
      </c>
      <c r="AJ518" s="582"/>
      <c r="AK518" s="585"/>
      <c r="AL518" s="583">
        <f t="shared" si="136"/>
        <v>0</v>
      </c>
      <c r="AM518" s="584">
        <f t="shared" si="137"/>
        <v>0</v>
      </c>
      <c r="AN518" s="582"/>
      <c r="AO518" s="585"/>
      <c r="AP518" s="582">
        <v>21943</v>
      </c>
      <c r="AQ518" s="585">
        <v>25988</v>
      </c>
      <c r="AR518" s="582">
        <v>16999</v>
      </c>
      <c r="AS518" s="585">
        <v>20477</v>
      </c>
      <c r="AT518" s="582">
        <v>22947</v>
      </c>
      <c r="AU518" s="585">
        <v>25682</v>
      </c>
      <c r="AV518" s="583">
        <f t="shared" si="138"/>
        <v>61889</v>
      </c>
      <c r="AW518" s="583">
        <f t="shared" si="139"/>
        <v>2578.7083333333335</v>
      </c>
      <c r="AX518" s="584">
        <f t="shared" si="140"/>
        <v>72147</v>
      </c>
      <c r="AY518" s="584">
        <f t="shared" si="141"/>
        <v>3006.125</v>
      </c>
      <c r="AZ518" s="583">
        <f t="shared" si="142"/>
        <v>24465.341666666667</v>
      </c>
      <c r="BA518" s="584">
        <f t="shared" si="143"/>
        <v>25173.758333333335</v>
      </c>
    </row>
    <row r="519" spans="1:53" ht="14.5">
      <c r="A519" s="436" t="s">
        <v>570</v>
      </c>
      <c r="B519" s="8" t="s">
        <v>597</v>
      </c>
      <c r="C519" s="538"/>
      <c r="D519" s="7">
        <v>228802</v>
      </c>
      <c r="E519" s="7">
        <v>3</v>
      </c>
      <c r="F519" s="582"/>
      <c r="G519" s="585"/>
      <c r="H519" s="582">
        <v>0</v>
      </c>
      <c r="I519" s="585">
        <v>0</v>
      </c>
      <c r="J519" s="582">
        <v>74409</v>
      </c>
      <c r="K519" s="585">
        <v>73082</v>
      </c>
      <c r="L519" s="582">
        <v>14541</v>
      </c>
      <c r="M519" s="585">
        <v>16088</v>
      </c>
      <c r="N519" s="582">
        <v>79992</v>
      </c>
      <c r="O519" s="585">
        <v>78733</v>
      </c>
      <c r="P519" s="583">
        <f t="shared" si="144"/>
        <v>168942</v>
      </c>
      <c r="Q519" s="583">
        <f t="shared" si="145"/>
        <v>5631.4</v>
      </c>
      <c r="R519" s="584">
        <f t="shared" si="146"/>
        <v>167903</v>
      </c>
      <c r="S519" s="584">
        <f t="shared" si="147"/>
        <v>5596.7666666666664</v>
      </c>
      <c r="T519" s="582">
        <v>4535</v>
      </c>
      <c r="U519" s="585">
        <v>2153</v>
      </c>
      <c r="V519" s="583">
        <f t="shared" si="148"/>
        <v>168942</v>
      </c>
      <c r="W519" s="584">
        <f>IF(ISBLANK(#REF!),0,R519)</f>
        <v>167903</v>
      </c>
      <c r="X519" s="582"/>
      <c r="Y519" s="585"/>
      <c r="Z519" s="582"/>
      <c r="AA519" s="585"/>
      <c r="AB519" s="582"/>
      <c r="AC519" s="585"/>
      <c r="AD519" s="582"/>
      <c r="AE519" s="585"/>
      <c r="AF519" s="583">
        <f t="shared" si="150"/>
        <v>0</v>
      </c>
      <c r="AG519" s="583">
        <f t="shared" si="151"/>
        <v>0</v>
      </c>
      <c r="AH519" s="584">
        <f t="shared" si="152"/>
        <v>0</v>
      </c>
      <c r="AI519" s="584">
        <f t="shared" si="153"/>
        <v>0</v>
      </c>
      <c r="AJ519" s="582"/>
      <c r="AK519" s="585"/>
      <c r="AL519" s="583">
        <f t="shared" ref="AL519:AL582" si="154">IF(ISBLANK(AJ519),0,AF519)</f>
        <v>0</v>
      </c>
      <c r="AM519" s="584">
        <f t="shared" ref="AM519:AM582" si="155">IF(ISBLANK(AK519),0,AH519)</f>
        <v>0</v>
      </c>
      <c r="AN519" s="582"/>
      <c r="AO519" s="585"/>
      <c r="AP519" s="582">
        <v>16071</v>
      </c>
      <c r="AQ519" s="585">
        <v>14828</v>
      </c>
      <c r="AR519" s="582">
        <v>12574</v>
      </c>
      <c r="AS519" s="585">
        <v>11028</v>
      </c>
      <c r="AT519" s="582">
        <v>14496</v>
      </c>
      <c r="AU519" s="585">
        <v>13511</v>
      </c>
      <c r="AV519" s="583">
        <f t="shared" ref="AV519:AV582" si="156">SUM(AN519,AP519,AR519,AT519)</f>
        <v>43141</v>
      </c>
      <c r="AW519" s="583">
        <f t="shared" ref="AW519:AW582" si="157">+AV519/24</f>
        <v>1797.5416666666667</v>
      </c>
      <c r="AX519" s="584">
        <f t="shared" ref="AX519:AX582" si="158">SUM(AO519,AQ519,AS519,AU519)</f>
        <v>39367</v>
      </c>
      <c r="AY519" s="584">
        <f t="shared" ref="AY519:AY582" si="159">+AX519/24</f>
        <v>1640.2916666666667</v>
      </c>
      <c r="AZ519" s="583">
        <f t="shared" ref="AZ519:AZ582" si="160">SUM(Q519,AG519,AW519)</f>
        <v>7428.9416666666666</v>
      </c>
      <c r="BA519" s="584">
        <f t="shared" ref="BA519:BA582" si="161">SUM(S519,AI519,AY519)</f>
        <v>7237.0583333333334</v>
      </c>
    </row>
    <row r="520" spans="1:53" ht="14.5">
      <c r="A520" s="436" t="s">
        <v>570</v>
      </c>
      <c r="B520" s="59" t="s">
        <v>598</v>
      </c>
      <c r="C520" s="538"/>
      <c r="D520" s="7">
        <v>229018</v>
      </c>
      <c r="E520" s="7">
        <v>3</v>
      </c>
      <c r="F520" s="582"/>
      <c r="G520" s="585"/>
      <c r="H520" s="582">
        <v>0</v>
      </c>
      <c r="I520" s="585">
        <v>0</v>
      </c>
      <c r="J520" s="582">
        <v>49116</v>
      </c>
      <c r="K520" s="585">
        <v>43516</v>
      </c>
      <c r="L520" s="582">
        <v>14803</v>
      </c>
      <c r="M520" s="585">
        <v>17358</v>
      </c>
      <c r="N520" s="582">
        <v>43457</v>
      </c>
      <c r="O520" s="585">
        <v>40050</v>
      </c>
      <c r="P520" s="583">
        <f t="shared" si="144"/>
        <v>107376</v>
      </c>
      <c r="Q520" s="583">
        <f t="shared" si="145"/>
        <v>3579.2</v>
      </c>
      <c r="R520" s="584">
        <f t="shared" si="146"/>
        <v>100924</v>
      </c>
      <c r="S520" s="584">
        <f t="shared" si="147"/>
        <v>3364.1333333333332</v>
      </c>
      <c r="T520" s="582">
        <v>13605</v>
      </c>
      <c r="U520" s="585">
        <v>7108</v>
      </c>
      <c r="V520" s="583">
        <f t="shared" si="148"/>
        <v>107376</v>
      </c>
      <c r="W520" s="584">
        <f>IF(ISBLANK(#REF!),0,R520)</f>
        <v>100924</v>
      </c>
      <c r="X520" s="582"/>
      <c r="Y520" s="585"/>
      <c r="Z520" s="582"/>
      <c r="AA520" s="585"/>
      <c r="AB520" s="582"/>
      <c r="AC520" s="585"/>
      <c r="AD520" s="582"/>
      <c r="AE520" s="585"/>
      <c r="AF520" s="583">
        <f t="shared" si="150"/>
        <v>0</v>
      </c>
      <c r="AG520" s="583">
        <f t="shared" si="151"/>
        <v>0</v>
      </c>
      <c r="AH520" s="584">
        <f t="shared" si="152"/>
        <v>0</v>
      </c>
      <c r="AI520" s="584">
        <f t="shared" si="153"/>
        <v>0</v>
      </c>
      <c r="AJ520" s="582"/>
      <c r="AK520" s="585"/>
      <c r="AL520" s="583">
        <f t="shared" si="154"/>
        <v>0</v>
      </c>
      <c r="AM520" s="584">
        <f t="shared" si="155"/>
        <v>0</v>
      </c>
      <c r="AN520" s="582"/>
      <c r="AO520" s="585"/>
      <c r="AP520" s="582">
        <v>5719</v>
      </c>
      <c r="AQ520" s="585">
        <v>7251</v>
      </c>
      <c r="AR520" s="582">
        <v>5665</v>
      </c>
      <c r="AS520" s="585">
        <v>7710</v>
      </c>
      <c r="AT520" s="582">
        <v>4097</v>
      </c>
      <c r="AU520" s="585">
        <v>3402</v>
      </c>
      <c r="AV520" s="583">
        <f t="shared" si="156"/>
        <v>15481</v>
      </c>
      <c r="AW520" s="583">
        <f t="shared" si="157"/>
        <v>645.04166666666663</v>
      </c>
      <c r="AX520" s="584">
        <f t="shared" si="158"/>
        <v>18363</v>
      </c>
      <c r="AY520" s="584">
        <f t="shared" si="159"/>
        <v>765.125</v>
      </c>
      <c r="AZ520" s="583">
        <f t="shared" si="160"/>
        <v>4224.2416666666668</v>
      </c>
      <c r="BA520" s="584">
        <f t="shared" si="161"/>
        <v>4129.2583333333332</v>
      </c>
    </row>
    <row r="521" spans="1:53" ht="14.5">
      <c r="A521" s="436" t="s">
        <v>570</v>
      </c>
      <c r="B521" s="8" t="s">
        <v>599</v>
      </c>
      <c r="C521" s="538"/>
      <c r="D521" s="7">
        <v>229814</v>
      </c>
      <c r="E521" s="7">
        <v>3</v>
      </c>
      <c r="F521" s="582"/>
      <c r="G521" s="585"/>
      <c r="H521" s="582">
        <v>0</v>
      </c>
      <c r="I521" s="585">
        <v>0</v>
      </c>
      <c r="J521" s="582">
        <v>81803</v>
      </c>
      <c r="K521" s="585">
        <v>81596</v>
      </c>
      <c r="L521" s="582">
        <v>14894</v>
      </c>
      <c r="M521" s="585">
        <v>15477</v>
      </c>
      <c r="N521" s="582">
        <v>90695</v>
      </c>
      <c r="O521" s="585">
        <v>91069</v>
      </c>
      <c r="P521" s="583">
        <f t="shared" si="144"/>
        <v>187392</v>
      </c>
      <c r="Q521" s="583">
        <f t="shared" si="145"/>
        <v>6246.4</v>
      </c>
      <c r="R521" s="584">
        <f t="shared" si="146"/>
        <v>188142</v>
      </c>
      <c r="S521" s="584">
        <f t="shared" si="147"/>
        <v>6271.4</v>
      </c>
      <c r="T521" s="582">
        <v>0</v>
      </c>
      <c r="U521" s="585">
        <v>0</v>
      </c>
      <c r="V521" s="583">
        <f t="shared" si="148"/>
        <v>187392</v>
      </c>
      <c r="W521" s="584">
        <f>IF(ISBLANK(#REF!),0,R521)</f>
        <v>188142</v>
      </c>
      <c r="X521" s="582"/>
      <c r="Y521" s="585"/>
      <c r="Z521" s="582"/>
      <c r="AA521" s="585"/>
      <c r="AB521" s="582"/>
      <c r="AC521" s="585"/>
      <c r="AD521" s="582"/>
      <c r="AE521" s="585"/>
      <c r="AF521" s="583">
        <f t="shared" si="150"/>
        <v>0</v>
      </c>
      <c r="AG521" s="583">
        <f t="shared" si="151"/>
        <v>0</v>
      </c>
      <c r="AH521" s="584">
        <f t="shared" si="152"/>
        <v>0</v>
      </c>
      <c r="AI521" s="584">
        <f t="shared" si="153"/>
        <v>0</v>
      </c>
      <c r="AJ521" s="582"/>
      <c r="AK521" s="585"/>
      <c r="AL521" s="583">
        <f t="shared" si="154"/>
        <v>0</v>
      </c>
      <c r="AM521" s="584">
        <f t="shared" si="155"/>
        <v>0</v>
      </c>
      <c r="AN521" s="582"/>
      <c r="AO521" s="585"/>
      <c r="AP521" s="582">
        <v>15189</v>
      </c>
      <c r="AQ521" s="585">
        <v>15504</v>
      </c>
      <c r="AR521" s="582">
        <v>8725</v>
      </c>
      <c r="AS521" s="585">
        <v>8553</v>
      </c>
      <c r="AT521" s="582">
        <v>15130</v>
      </c>
      <c r="AU521" s="585">
        <v>14836</v>
      </c>
      <c r="AV521" s="583">
        <f t="shared" si="156"/>
        <v>39044</v>
      </c>
      <c r="AW521" s="583">
        <f t="shared" si="157"/>
        <v>1626.8333333333333</v>
      </c>
      <c r="AX521" s="584">
        <f t="shared" si="158"/>
        <v>38893</v>
      </c>
      <c r="AY521" s="584">
        <f t="shared" si="159"/>
        <v>1620.5416666666667</v>
      </c>
      <c r="AZ521" s="583">
        <f t="shared" si="160"/>
        <v>7873.2333333333327</v>
      </c>
      <c r="BA521" s="584">
        <f t="shared" si="161"/>
        <v>7891.9416666666666</v>
      </c>
    </row>
    <row r="522" spans="1:53" ht="14.5">
      <c r="A522" s="436" t="s">
        <v>570</v>
      </c>
      <c r="B522" s="59" t="s">
        <v>600</v>
      </c>
      <c r="C522" s="538" t="s">
        <v>915</v>
      </c>
      <c r="D522" s="7">
        <v>483036</v>
      </c>
      <c r="E522" s="7">
        <v>4</v>
      </c>
      <c r="F522" s="582"/>
      <c r="G522" s="585"/>
      <c r="H522" s="582">
        <v>0</v>
      </c>
      <c r="I522" s="585">
        <v>0</v>
      </c>
      <c r="J522" s="582">
        <v>15543</v>
      </c>
      <c r="K522" s="585">
        <v>16148</v>
      </c>
      <c r="L522" s="582">
        <v>7622</v>
      </c>
      <c r="M522" s="585">
        <v>7429</v>
      </c>
      <c r="N522" s="582">
        <v>15740</v>
      </c>
      <c r="O522" s="585">
        <v>16225</v>
      </c>
      <c r="P522" s="583">
        <f t="shared" si="144"/>
        <v>38905</v>
      </c>
      <c r="Q522" s="583">
        <f t="shared" si="145"/>
        <v>1296.8333333333333</v>
      </c>
      <c r="R522" s="584">
        <f t="shared" si="146"/>
        <v>39802</v>
      </c>
      <c r="S522" s="584">
        <f t="shared" si="147"/>
        <v>1326.7333333333333</v>
      </c>
      <c r="T522" s="582">
        <v>0</v>
      </c>
      <c r="U522" s="585">
        <v>0</v>
      </c>
      <c r="V522" s="583">
        <f t="shared" si="148"/>
        <v>38905</v>
      </c>
      <c r="W522" s="584">
        <f>IF(ISBLANK(#REF!),0,R522)</f>
        <v>39802</v>
      </c>
      <c r="X522" s="582"/>
      <c r="Y522" s="585"/>
      <c r="Z522" s="582"/>
      <c r="AA522" s="585"/>
      <c r="AB522" s="582"/>
      <c r="AC522" s="585"/>
      <c r="AD522" s="582"/>
      <c r="AE522" s="585"/>
      <c r="AF522" s="583">
        <f t="shared" si="150"/>
        <v>0</v>
      </c>
      <c r="AG522" s="583">
        <f t="shared" si="151"/>
        <v>0</v>
      </c>
      <c r="AH522" s="584">
        <f t="shared" si="152"/>
        <v>0</v>
      </c>
      <c r="AI522" s="584">
        <f t="shared" si="153"/>
        <v>0</v>
      </c>
      <c r="AJ522" s="582"/>
      <c r="AK522" s="585"/>
      <c r="AL522" s="583">
        <f t="shared" si="154"/>
        <v>0</v>
      </c>
      <c r="AM522" s="584">
        <f t="shared" si="155"/>
        <v>0</v>
      </c>
      <c r="AN522" s="582"/>
      <c r="AO522" s="585"/>
      <c r="AP522" s="582">
        <v>3250</v>
      </c>
      <c r="AQ522" s="585">
        <v>3216</v>
      </c>
      <c r="AR522" s="582">
        <v>2185</v>
      </c>
      <c r="AS522" s="585">
        <v>1905</v>
      </c>
      <c r="AT522" s="582">
        <v>3357</v>
      </c>
      <c r="AU522" s="585">
        <v>2894</v>
      </c>
      <c r="AV522" s="583">
        <f t="shared" si="156"/>
        <v>8792</v>
      </c>
      <c r="AW522" s="583">
        <f t="shared" si="157"/>
        <v>366.33333333333331</v>
      </c>
      <c r="AX522" s="584">
        <f t="shared" si="158"/>
        <v>8015</v>
      </c>
      <c r="AY522" s="584">
        <f t="shared" si="159"/>
        <v>333.95833333333331</v>
      </c>
      <c r="AZ522" s="583">
        <f t="shared" si="160"/>
        <v>1663.1666666666665</v>
      </c>
      <c r="BA522" s="584">
        <f t="shared" si="161"/>
        <v>1660.6916666666666</v>
      </c>
    </row>
    <row r="523" spans="1:53" ht="14.5">
      <c r="A523" s="436" t="s">
        <v>570</v>
      </c>
      <c r="B523" s="8" t="s">
        <v>601</v>
      </c>
      <c r="C523" s="538"/>
      <c r="D523" s="7">
        <v>224545</v>
      </c>
      <c r="E523" s="7">
        <v>4</v>
      </c>
      <c r="F523" s="582"/>
      <c r="G523" s="585"/>
      <c r="H523" s="582">
        <v>0</v>
      </c>
      <c r="I523" s="585">
        <v>0</v>
      </c>
      <c r="J523" s="582">
        <v>18076</v>
      </c>
      <c r="K523" s="585">
        <v>18043</v>
      </c>
      <c r="L523" s="582">
        <v>4749</v>
      </c>
      <c r="M523" s="585">
        <v>4431</v>
      </c>
      <c r="N523" s="582">
        <v>19296</v>
      </c>
      <c r="O523" s="585">
        <v>19678</v>
      </c>
      <c r="P523" s="583">
        <f t="shared" si="144"/>
        <v>42121</v>
      </c>
      <c r="Q523" s="583">
        <f t="shared" si="145"/>
        <v>1404.0333333333333</v>
      </c>
      <c r="R523" s="584">
        <f t="shared" si="146"/>
        <v>42152</v>
      </c>
      <c r="S523" s="584">
        <f t="shared" si="147"/>
        <v>1405.0666666666666</v>
      </c>
      <c r="T523" s="582">
        <v>0</v>
      </c>
      <c r="U523" s="585">
        <v>0</v>
      </c>
      <c r="V523" s="583">
        <f t="shared" si="148"/>
        <v>42121</v>
      </c>
      <c r="W523" s="584">
        <f>IF(ISBLANK(#REF!),0,R523)</f>
        <v>42152</v>
      </c>
      <c r="X523" s="582"/>
      <c r="Y523" s="585"/>
      <c r="Z523" s="582"/>
      <c r="AA523" s="585"/>
      <c r="AB523" s="582"/>
      <c r="AC523" s="585"/>
      <c r="AD523" s="582"/>
      <c r="AE523" s="585"/>
      <c r="AF523" s="583">
        <f t="shared" si="150"/>
        <v>0</v>
      </c>
      <c r="AG523" s="583">
        <f t="shared" si="151"/>
        <v>0</v>
      </c>
      <c r="AH523" s="584">
        <f t="shared" si="152"/>
        <v>0</v>
      </c>
      <c r="AI523" s="584">
        <f t="shared" si="153"/>
        <v>0</v>
      </c>
      <c r="AJ523" s="582"/>
      <c r="AK523" s="585"/>
      <c r="AL523" s="583">
        <f t="shared" si="154"/>
        <v>0</v>
      </c>
      <c r="AM523" s="584">
        <f t="shared" si="155"/>
        <v>0</v>
      </c>
      <c r="AN523" s="582"/>
      <c r="AO523" s="585"/>
      <c r="AP523" s="582">
        <v>2069</v>
      </c>
      <c r="AQ523" s="585">
        <v>1857</v>
      </c>
      <c r="AR523" s="582">
        <v>1582</v>
      </c>
      <c r="AS523" s="585">
        <v>1288</v>
      </c>
      <c r="AT523" s="582">
        <v>2081</v>
      </c>
      <c r="AU523" s="585">
        <v>1790</v>
      </c>
      <c r="AV523" s="583">
        <f t="shared" si="156"/>
        <v>5732</v>
      </c>
      <c r="AW523" s="583">
        <f t="shared" si="157"/>
        <v>238.83333333333334</v>
      </c>
      <c r="AX523" s="584">
        <f t="shared" si="158"/>
        <v>4935</v>
      </c>
      <c r="AY523" s="584">
        <f t="shared" si="159"/>
        <v>205.625</v>
      </c>
      <c r="AZ523" s="583">
        <f t="shared" si="160"/>
        <v>1642.8666666666666</v>
      </c>
      <c r="BA523" s="584">
        <f t="shared" si="161"/>
        <v>1610.6916666666666</v>
      </c>
    </row>
    <row r="524" spans="1:53" ht="14.5">
      <c r="A524" s="436" t="s">
        <v>570</v>
      </c>
      <c r="B524" s="8" t="s">
        <v>602</v>
      </c>
      <c r="C524" s="538"/>
      <c r="D524" s="7">
        <v>225502</v>
      </c>
      <c r="E524" s="7">
        <v>4</v>
      </c>
      <c r="F524" s="582"/>
      <c r="G524" s="585"/>
      <c r="H524" s="582">
        <v>0</v>
      </c>
      <c r="I524" s="585">
        <v>0</v>
      </c>
      <c r="J524" s="582">
        <v>30256</v>
      </c>
      <c r="K524" s="585">
        <v>29444</v>
      </c>
      <c r="L524" s="582">
        <v>8833</v>
      </c>
      <c r="M524" s="585">
        <v>8975</v>
      </c>
      <c r="N524" s="582">
        <v>32410</v>
      </c>
      <c r="O524" s="585">
        <v>33068</v>
      </c>
      <c r="P524" s="583">
        <f t="shared" si="144"/>
        <v>71499</v>
      </c>
      <c r="Q524" s="583">
        <f t="shared" si="145"/>
        <v>2383.3000000000002</v>
      </c>
      <c r="R524" s="584">
        <f t="shared" si="146"/>
        <v>71487</v>
      </c>
      <c r="S524" s="584">
        <f t="shared" si="147"/>
        <v>2382.9</v>
      </c>
      <c r="T524" s="582">
        <v>561</v>
      </c>
      <c r="U524" s="585">
        <v>891</v>
      </c>
      <c r="V524" s="583">
        <f t="shared" si="148"/>
        <v>71499</v>
      </c>
      <c r="W524" s="584">
        <f>IF(ISBLANK(#REF!),0,R524)</f>
        <v>71487</v>
      </c>
      <c r="X524" s="582"/>
      <c r="Y524" s="585"/>
      <c r="Z524" s="582"/>
      <c r="AA524" s="585"/>
      <c r="AB524" s="582"/>
      <c r="AC524" s="585"/>
      <c r="AD524" s="582"/>
      <c r="AE524" s="585"/>
      <c r="AF524" s="583">
        <f t="shared" si="150"/>
        <v>0</v>
      </c>
      <c r="AG524" s="583">
        <f t="shared" si="151"/>
        <v>0</v>
      </c>
      <c r="AH524" s="584">
        <f t="shared" si="152"/>
        <v>0</v>
      </c>
      <c r="AI524" s="584">
        <f t="shared" si="153"/>
        <v>0</v>
      </c>
      <c r="AJ524" s="582"/>
      <c r="AK524" s="585"/>
      <c r="AL524" s="583">
        <f t="shared" si="154"/>
        <v>0</v>
      </c>
      <c r="AM524" s="584">
        <f t="shared" si="155"/>
        <v>0</v>
      </c>
      <c r="AN524" s="582"/>
      <c r="AO524" s="585"/>
      <c r="AP524" s="582">
        <v>6467</v>
      </c>
      <c r="AQ524" s="585">
        <v>6891</v>
      </c>
      <c r="AR524" s="582">
        <v>3660</v>
      </c>
      <c r="AS524" s="585">
        <v>4524</v>
      </c>
      <c r="AT524" s="582">
        <v>7185</v>
      </c>
      <c r="AU524" s="585">
        <v>7490</v>
      </c>
      <c r="AV524" s="583">
        <f t="shared" si="156"/>
        <v>17312</v>
      </c>
      <c r="AW524" s="583">
        <f t="shared" si="157"/>
        <v>721.33333333333337</v>
      </c>
      <c r="AX524" s="584">
        <f t="shared" si="158"/>
        <v>18905</v>
      </c>
      <c r="AY524" s="584">
        <f t="shared" si="159"/>
        <v>787.70833333333337</v>
      </c>
      <c r="AZ524" s="583">
        <f t="shared" si="160"/>
        <v>3104.6333333333337</v>
      </c>
      <c r="BA524" s="584">
        <f t="shared" si="161"/>
        <v>3170.6083333333336</v>
      </c>
    </row>
    <row r="525" spans="1:53" ht="14.5">
      <c r="A525" s="436" t="s">
        <v>570</v>
      </c>
      <c r="B525" s="8" t="s">
        <v>603</v>
      </c>
      <c r="C525" s="538"/>
      <c r="D525" s="7" t="s">
        <v>604</v>
      </c>
      <c r="E525" s="7">
        <v>5</v>
      </c>
      <c r="F525" s="582"/>
      <c r="G525" s="585"/>
      <c r="H525" s="582">
        <v>0</v>
      </c>
      <c r="I525" s="585">
        <v>0</v>
      </c>
      <c r="J525" s="582">
        <v>5208</v>
      </c>
      <c r="K525" s="585">
        <v>5467</v>
      </c>
      <c r="L525" s="582">
        <v>2733</v>
      </c>
      <c r="M525" s="585">
        <v>2736</v>
      </c>
      <c r="N525" s="582">
        <v>5965</v>
      </c>
      <c r="O525" s="585">
        <v>5411</v>
      </c>
      <c r="P525" s="583">
        <f t="shared" si="144"/>
        <v>13906</v>
      </c>
      <c r="Q525" s="583">
        <f t="shared" si="145"/>
        <v>463.53333333333336</v>
      </c>
      <c r="R525" s="584">
        <f t="shared" si="146"/>
        <v>13614</v>
      </c>
      <c r="S525" s="584">
        <f t="shared" si="147"/>
        <v>453.8</v>
      </c>
      <c r="T525" s="582">
        <v>0</v>
      </c>
      <c r="U525" s="585">
        <v>0</v>
      </c>
      <c r="V525" s="583">
        <f t="shared" si="148"/>
        <v>13906</v>
      </c>
      <c r="W525" s="584">
        <f>IF(ISBLANK(#REF!),0,R525)</f>
        <v>13614</v>
      </c>
      <c r="X525" s="582"/>
      <c r="Y525" s="585"/>
      <c r="Z525" s="582"/>
      <c r="AA525" s="585"/>
      <c r="AB525" s="582"/>
      <c r="AC525" s="585"/>
      <c r="AD525" s="582"/>
      <c r="AE525" s="585"/>
      <c r="AF525" s="583">
        <f t="shared" si="150"/>
        <v>0</v>
      </c>
      <c r="AG525" s="583">
        <f t="shared" si="151"/>
        <v>0</v>
      </c>
      <c r="AH525" s="584">
        <f t="shared" si="152"/>
        <v>0</v>
      </c>
      <c r="AI525" s="584">
        <f t="shared" si="153"/>
        <v>0</v>
      </c>
      <c r="AJ525" s="582"/>
      <c r="AK525" s="585"/>
      <c r="AL525" s="583">
        <f t="shared" si="154"/>
        <v>0</v>
      </c>
      <c r="AM525" s="584">
        <f t="shared" si="155"/>
        <v>0</v>
      </c>
      <c r="AN525" s="582"/>
      <c r="AO525" s="585"/>
      <c r="AP525" s="582">
        <v>744</v>
      </c>
      <c r="AQ525" s="585">
        <v>585</v>
      </c>
      <c r="AR525" s="582">
        <v>555</v>
      </c>
      <c r="AS525" s="585">
        <v>354</v>
      </c>
      <c r="AT525" s="582">
        <v>666</v>
      </c>
      <c r="AU525" s="585">
        <v>573</v>
      </c>
      <c r="AV525" s="583">
        <f t="shared" si="156"/>
        <v>1965</v>
      </c>
      <c r="AW525" s="583">
        <f t="shared" si="157"/>
        <v>81.875</v>
      </c>
      <c r="AX525" s="584">
        <f t="shared" si="158"/>
        <v>1512</v>
      </c>
      <c r="AY525" s="584">
        <f t="shared" si="159"/>
        <v>63</v>
      </c>
      <c r="AZ525" s="583">
        <f t="shared" si="160"/>
        <v>545.4083333333333</v>
      </c>
      <c r="BA525" s="584">
        <f t="shared" si="161"/>
        <v>516.79999999999995</v>
      </c>
    </row>
    <row r="526" spans="1:53" ht="14.5">
      <c r="A526" s="436" t="s">
        <v>570</v>
      </c>
      <c r="B526" s="8" t="s">
        <v>606</v>
      </c>
      <c r="C526" s="527"/>
      <c r="D526" s="7">
        <v>228714</v>
      </c>
      <c r="E526" s="7">
        <v>5</v>
      </c>
      <c r="F526" s="582"/>
      <c r="G526" s="585"/>
      <c r="H526" s="582">
        <v>0</v>
      </c>
      <c r="I526" s="585">
        <v>0</v>
      </c>
      <c r="J526" s="582">
        <v>26382</v>
      </c>
      <c r="K526" s="585">
        <v>24783</v>
      </c>
      <c r="L526" s="582">
        <v>3631</v>
      </c>
      <c r="M526" s="585">
        <v>3917</v>
      </c>
      <c r="N526" s="582">
        <v>28194</v>
      </c>
      <c r="O526" s="585">
        <v>25492</v>
      </c>
      <c r="P526" s="583">
        <f t="shared" si="144"/>
        <v>58207</v>
      </c>
      <c r="Q526" s="583">
        <f t="shared" si="145"/>
        <v>1940.2333333333333</v>
      </c>
      <c r="R526" s="584">
        <f t="shared" si="146"/>
        <v>54192</v>
      </c>
      <c r="S526" s="584">
        <f t="shared" si="147"/>
        <v>1806.4</v>
      </c>
      <c r="T526" s="582">
        <v>0</v>
      </c>
      <c r="U526" s="585">
        <v>0</v>
      </c>
      <c r="V526" s="583">
        <f t="shared" si="148"/>
        <v>58207</v>
      </c>
      <c r="W526" s="584">
        <f>IF(ISBLANK(#REF!),0,R526)</f>
        <v>54192</v>
      </c>
      <c r="X526" s="582"/>
      <c r="Y526" s="585"/>
      <c r="Z526" s="582"/>
      <c r="AA526" s="585"/>
      <c r="AB526" s="582"/>
      <c r="AC526" s="585"/>
      <c r="AD526" s="582"/>
      <c r="AE526" s="585"/>
      <c r="AF526" s="583">
        <f t="shared" si="150"/>
        <v>0</v>
      </c>
      <c r="AG526" s="583">
        <f t="shared" si="151"/>
        <v>0</v>
      </c>
      <c r="AH526" s="584">
        <f t="shared" si="152"/>
        <v>0</v>
      </c>
      <c r="AI526" s="584">
        <f t="shared" si="153"/>
        <v>0</v>
      </c>
      <c r="AJ526" s="582"/>
      <c r="AK526" s="585"/>
      <c r="AL526" s="583">
        <f t="shared" si="154"/>
        <v>0</v>
      </c>
      <c r="AM526" s="584">
        <f t="shared" si="155"/>
        <v>0</v>
      </c>
      <c r="AN526" s="582"/>
      <c r="AO526" s="585"/>
      <c r="AP526" s="582">
        <v>1053</v>
      </c>
      <c r="AQ526" s="585">
        <v>1097</v>
      </c>
      <c r="AR526" s="582">
        <v>304</v>
      </c>
      <c r="AS526" s="585">
        <v>268</v>
      </c>
      <c r="AT526" s="582">
        <v>1069</v>
      </c>
      <c r="AU526" s="585">
        <v>1133</v>
      </c>
      <c r="AV526" s="583">
        <f t="shared" si="156"/>
        <v>2426</v>
      </c>
      <c r="AW526" s="583">
        <f t="shared" si="157"/>
        <v>101.08333333333333</v>
      </c>
      <c r="AX526" s="584">
        <f t="shared" si="158"/>
        <v>2498</v>
      </c>
      <c r="AY526" s="584">
        <f t="shared" si="159"/>
        <v>104.08333333333333</v>
      </c>
      <c r="AZ526" s="583">
        <f t="shared" si="160"/>
        <v>2041.3166666666666</v>
      </c>
      <c r="BA526" s="584">
        <f t="shared" si="161"/>
        <v>1910.4833333333333</v>
      </c>
    </row>
    <row r="527" spans="1:53" ht="14.5">
      <c r="A527" s="436" t="s">
        <v>570</v>
      </c>
      <c r="B527" s="8" t="s">
        <v>944</v>
      </c>
      <c r="C527" s="538" t="s">
        <v>916</v>
      </c>
      <c r="D527" s="7">
        <v>870501</v>
      </c>
      <c r="E527" s="7">
        <v>5</v>
      </c>
      <c r="F527" s="582"/>
      <c r="G527" s="585"/>
      <c r="H527" s="582">
        <v>0</v>
      </c>
      <c r="I527" s="585">
        <v>0</v>
      </c>
      <c r="J527" s="582">
        <v>54951</v>
      </c>
      <c r="K527" s="585">
        <v>56439</v>
      </c>
      <c r="L527" s="582">
        <v>14336</v>
      </c>
      <c r="M527" s="585">
        <v>13473</v>
      </c>
      <c r="N527" s="582">
        <v>59167</v>
      </c>
      <c r="O527" s="585">
        <v>61123</v>
      </c>
      <c r="P527" s="583">
        <f t="shared" si="144"/>
        <v>128454</v>
      </c>
      <c r="Q527" s="583">
        <f t="shared" si="145"/>
        <v>4281.8</v>
      </c>
      <c r="R527" s="584">
        <f t="shared" si="146"/>
        <v>131035</v>
      </c>
      <c r="S527" s="584">
        <f t="shared" si="147"/>
        <v>4367.833333333333</v>
      </c>
      <c r="T527" s="582">
        <v>0</v>
      </c>
      <c r="U527" s="585">
        <v>567</v>
      </c>
      <c r="V527" s="583">
        <f t="shared" si="148"/>
        <v>128454</v>
      </c>
      <c r="W527" s="584">
        <f>IF(ISBLANK(#REF!),0,R527)</f>
        <v>131035</v>
      </c>
      <c r="X527" s="582"/>
      <c r="Y527" s="585"/>
      <c r="Z527" s="582"/>
      <c r="AA527" s="585"/>
      <c r="AB527" s="582"/>
      <c r="AC527" s="585"/>
      <c r="AD527" s="582"/>
      <c r="AE527" s="585"/>
      <c r="AF527" s="583">
        <f t="shared" si="150"/>
        <v>0</v>
      </c>
      <c r="AG527" s="583">
        <f t="shared" si="151"/>
        <v>0</v>
      </c>
      <c r="AH527" s="584">
        <f t="shared" si="152"/>
        <v>0</v>
      </c>
      <c r="AI527" s="584">
        <f t="shared" si="153"/>
        <v>0</v>
      </c>
      <c r="AJ527" s="582"/>
      <c r="AK527" s="585"/>
      <c r="AL527" s="583">
        <f t="shared" si="154"/>
        <v>0</v>
      </c>
      <c r="AM527" s="584">
        <f t="shared" si="155"/>
        <v>0</v>
      </c>
      <c r="AN527" s="582"/>
      <c r="AO527" s="585"/>
      <c r="AP527" s="582">
        <v>5871</v>
      </c>
      <c r="AQ527" s="585">
        <v>5211</v>
      </c>
      <c r="AR527" s="582">
        <v>3720</v>
      </c>
      <c r="AS527" s="585">
        <v>2574</v>
      </c>
      <c r="AT527" s="582">
        <v>5018</v>
      </c>
      <c r="AU527" s="585">
        <v>3888</v>
      </c>
      <c r="AV527" s="583">
        <f t="shared" si="156"/>
        <v>14609</v>
      </c>
      <c r="AW527" s="583">
        <f t="shared" si="157"/>
        <v>608.70833333333337</v>
      </c>
      <c r="AX527" s="584">
        <f t="shared" si="158"/>
        <v>11673</v>
      </c>
      <c r="AY527" s="584">
        <f t="shared" si="159"/>
        <v>486.375</v>
      </c>
      <c r="AZ527" s="583">
        <f t="shared" si="160"/>
        <v>4890.5083333333332</v>
      </c>
      <c r="BA527" s="584">
        <f t="shared" si="161"/>
        <v>4854.208333333333</v>
      </c>
    </row>
    <row r="528" spans="1:53" ht="14.5">
      <c r="A528" s="436" t="s">
        <v>570</v>
      </c>
      <c r="B528" s="8" t="s">
        <v>605</v>
      </c>
      <c r="C528" s="527" t="s">
        <v>945</v>
      </c>
      <c r="D528" s="7">
        <v>225432</v>
      </c>
      <c r="E528" s="580">
        <v>4</v>
      </c>
      <c r="F528" s="582"/>
      <c r="G528" s="585"/>
      <c r="H528" s="582">
        <v>0</v>
      </c>
      <c r="I528" s="585">
        <v>0</v>
      </c>
      <c r="J528" s="582">
        <v>108361</v>
      </c>
      <c r="K528" s="585">
        <v>108080</v>
      </c>
      <c r="L528" s="582">
        <v>32219</v>
      </c>
      <c r="M528" s="585">
        <v>29669</v>
      </c>
      <c r="N528" s="582">
        <v>115497</v>
      </c>
      <c r="O528" s="585">
        <v>126358</v>
      </c>
      <c r="P528" s="583">
        <f t="shared" si="144"/>
        <v>256077</v>
      </c>
      <c r="Q528" s="583">
        <f t="shared" si="145"/>
        <v>8535.9</v>
      </c>
      <c r="R528" s="584">
        <f t="shared" si="146"/>
        <v>264107</v>
      </c>
      <c r="S528" s="584">
        <f t="shared" si="147"/>
        <v>8803.5666666666675</v>
      </c>
      <c r="T528" s="582">
        <v>24</v>
      </c>
      <c r="U528" s="585">
        <v>3</v>
      </c>
      <c r="V528" s="583">
        <f t="shared" si="148"/>
        <v>256077</v>
      </c>
      <c r="W528" s="584">
        <f>IF(ISBLANK(#REF!),0,R528)</f>
        <v>264107</v>
      </c>
      <c r="X528" s="582"/>
      <c r="Y528" s="585"/>
      <c r="Z528" s="582"/>
      <c r="AA528" s="585"/>
      <c r="AB528" s="582"/>
      <c r="AC528" s="585"/>
      <c r="AD528" s="582"/>
      <c r="AE528" s="585"/>
      <c r="AF528" s="583">
        <f t="shared" si="150"/>
        <v>0</v>
      </c>
      <c r="AG528" s="583">
        <f t="shared" si="151"/>
        <v>0</v>
      </c>
      <c r="AH528" s="584">
        <f t="shared" si="152"/>
        <v>0</v>
      </c>
      <c r="AI528" s="584">
        <f t="shared" si="153"/>
        <v>0</v>
      </c>
      <c r="AJ528" s="582"/>
      <c r="AK528" s="585"/>
      <c r="AL528" s="583">
        <f t="shared" si="154"/>
        <v>0</v>
      </c>
      <c r="AM528" s="584">
        <f t="shared" si="155"/>
        <v>0</v>
      </c>
      <c r="AN528" s="582"/>
      <c r="AO528" s="585"/>
      <c r="AP528" s="582">
        <v>10942</v>
      </c>
      <c r="AQ528" s="585">
        <v>11154</v>
      </c>
      <c r="AR528" s="582">
        <v>10490</v>
      </c>
      <c r="AS528" s="585">
        <v>10284</v>
      </c>
      <c r="AT528" s="582">
        <v>6795</v>
      </c>
      <c r="AU528" s="585">
        <v>6624</v>
      </c>
      <c r="AV528" s="583">
        <f t="shared" si="156"/>
        <v>28227</v>
      </c>
      <c r="AW528" s="583">
        <f t="shared" si="157"/>
        <v>1176.125</v>
      </c>
      <c r="AX528" s="584">
        <f t="shared" si="158"/>
        <v>28062</v>
      </c>
      <c r="AY528" s="584">
        <f t="shared" si="159"/>
        <v>1169.25</v>
      </c>
      <c r="AZ528" s="583">
        <f t="shared" si="160"/>
        <v>9712.0249999999996</v>
      </c>
      <c r="BA528" s="584">
        <f t="shared" si="161"/>
        <v>9972.8166666666675</v>
      </c>
    </row>
    <row r="529" spans="1:53" ht="14.5">
      <c r="A529" s="436" t="s">
        <v>570</v>
      </c>
      <c r="B529" s="61" t="s">
        <v>607</v>
      </c>
      <c r="C529" s="538"/>
      <c r="D529" s="7">
        <v>223506</v>
      </c>
      <c r="E529" s="446">
        <v>7</v>
      </c>
      <c r="F529" s="582"/>
      <c r="G529" s="585"/>
      <c r="H529" s="582">
        <v>30091</v>
      </c>
      <c r="I529" s="585">
        <v>29043</v>
      </c>
      <c r="J529" s="582">
        <v>11001</v>
      </c>
      <c r="K529" s="585">
        <v>11286</v>
      </c>
      <c r="L529" s="582">
        <v>3417</v>
      </c>
      <c r="M529" s="585">
        <v>3169</v>
      </c>
      <c r="N529" s="582">
        <v>31160</v>
      </c>
      <c r="O529" s="585">
        <v>30298</v>
      </c>
      <c r="P529" s="583">
        <f t="shared" si="144"/>
        <v>75669</v>
      </c>
      <c r="Q529" s="583">
        <f t="shared" si="145"/>
        <v>2522.3000000000002</v>
      </c>
      <c r="R529" s="584">
        <f t="shared" si="146"/>
        <v>73796</v>
      </c>
      <c r="S529" s="584">
        <f t="shared" si="147"/>
        <v>2459.8666666666668</v>
      </c>
      <c r="T529" s="582">
        <v>10779</v>
      </c>
      <c r="U529" s="585">
        <v>10466</v>
      </c>
      <c r="V529" s="583">
        <f t="shared" si="148"/>
        <v>75669</v>
      </c>
      <c r="W529" s="584">
        <f>IF(ISBLANK(#REF!),0,R529)</f>
        <v>73796</v>
      </c>
      <c r="X529" s="582">
        <v>5414</v>
      </c>
      <c r="Y529" s="585">
        <v>3958</v>
      </c>
      <c r="Z529" s="582">
        <v>7559</v>
      </c>
      <c r="AA529" s="585">
        <v>4688</v>
      </c>
      <c r="AB529" s="582">
        <v>5744</v>
      </c>
      <c r="AC529" s="585">
        <v>7316</v>
      </c>
      <c r="AD529" s="582">
        <v>2473</v>
      </c>
      <c r="AE529" s="585">
        <v>3476</v>
      </c>
      <c r="AF529" s="583">
        <f t="shared" si="150"/>
        <v>21190</v>
      </c>
      <c r="AG529" s="583">
        <f t="shared" si="151"/>
        <v>23.544444444444444</v>
      </c>
      <c r="AH529" s="584">
        <f t="shared" si="152"/>
        <v>19438</v>
      </c>
      <c r="AI529" s="584">
        <f t="shared" si="153"/>
        <v>21.597777777777779</v>
      </c>
      <c r="AJ529" s="582"/>
      <c r="AK529" s="585"/>
      <c r="AL529" s="583">
        <f t="shared" si="154"/>
        <v>0</v>
      </c>
      <c r="AM529" s="584">
        <f t="shared" si="155"/>
        <v>0</v>
      </c>
      <c r="AN529" s="582"/>
      <c r="AO529" s="585"/>
      <c r="AP529" s="582"/>
      <c r="AQ529" s="585"/>
      <c r="AR529" s="582"/>
      <c r="AS529" s="585"/>
      <c r="AT529" s="582"/>
      <c r="AU529" s="585"/>
      <c r="AV529" s="583">
        <f t="shared" si="156"/>
        <v>0</v>
      </c>
      <c r="AW529" s="583">
        <f t="shared" si="157"/>
        <v>0</v>
      </c>
      <c r="AX529" s="584">
        <f t="shared" si="158"/>
        <v>0</v>
      </c>
      <c r="AY529" s="584">
        <f t="shared" si="159"/>
        <v>0</v>
      </c>
      <c r="AZ529" s="583">
        <f t="shared" si="160"/>
        <v>2545.8444444444444</v>
      </c>
      <c r="BA529" s="584">
        <f t="shared" si="161"/>
        <v>2481.4644444444448</v>
      </c>
    </row>
    <row r="530" spans="1:53" ht="14.5">
      <c r="A530" s="436" t="s">
        <v>570</v>
      </c>
      <c r="B530" s="61" t="s">
        <v>608</v>
      </c>
      <c r="C530" s="538"/>
      <c r="D530" s="7">
        <v>226806</v>
      </c>
      <c r="E530" s="446">
        <v>7</v>
      </c>
      <c r="F530" s="582"/>
      <c r="G530" s="585"/>
      <c r="H530" s="582">
        <v>42797</v>
      </c>
      <c r="I530" s="585">
        <v>40161</v>
      </c>
      <c r="J530" s="582">
        <v>13719</v>
      </c>
      <c r="K530" s="585">
        <v>14542</v>
      </c>
      <c r="L530" s="582">
        <v>0</v>
      </c>
      <c r="M530" s="585">
        <v>0</v>
      </c>
      <c r="N530" s="582">
        <v>40002</v>
      </c>
      <c r="O530" s="585">
        <v>39025</v>
      </c>
      <c r="P530" s="583">
        <f t="shared" si="144"/>
        <v>96518</v>
      </c>
      <c r="Q530" s="583">
        <f t="shared" si="145"/>
        <v>3217.2666666666669</v>
      </c>
      <c r="R530" s="584">
        <f t="shared" si="146"/>
        <v>93728</v>
      </c>
      <c r="S530" s="584">
        <f t="shared" si="147"/>
        <v>3124.2666666666669</v>
      </c>
      <c r="T530" s="582">
        <v>16984</v>
      </c>
      <c r="U530" s="585">
        <v>19308</v>
      </c>
      <c r="V530" s="583">
        <f t="shared" si="148"/>
        <v>96518</v>
      </c>
      <c r="W530" s="584">
        <f>IF(ISBLANK(#REF!),0,R530)</f>
        <v>93728</v>
      </c>
      <c r="X530" s="582">
        <v>44503</v>
      </c>
      <c r="Y530" s="585">
        <v>30196</v>
      </c>
      <c r="Z530" s="582">
        <v>35421</v>
      </c>
      <c r="AA530" s="585">
        <v>31994</v>
      </c>
      <c r="AB530" s="582">
        <v>22315</v>
      </c>
      <c r="AC530" s="585">
        <v>26943</v>
      </c>
      <c r="AD530" s="582">
        <v>43981</v>
      </c>
      <c r="AE530" s="585">
        <v>35554</v>
      </c>
      <c r="AF530" s="583">
        <f t="shared" si="150"/>
        <v>146220</v>
      </c>
      <c r="AG530" s="583">
        <f t="shared" si="151"/>
        <v>162.46666666666667</v>
      </c>
      <c r="AH530" s="584">
        <f t="shared" si="152"/>
        <v>124687</v>
      </c>
      <c r="AI530" s="584">
        <f t="shared" si="153"/>
        <v>138.54111111111112</v>
      </c>
      <c r="AJ530" s="582"/>
      <c r="AK530" s="585"/>
      <c r="AL530" s="583">
        <f t="shared" si="154"/>
        <v>0</v>
      </c>
      <c r="AM530" s="584">
        <f t="shared" si="155"/>
        <v>0</v>
      </c>
      <c r="AN530" s="582"/>
      <c r="AO530" s="585"/>
      <c r="AP530" s="582"/>
      <c r="AQ530" s="585"/>
      <c r="AR530" s="582"/>
      <c r="AS530" s="585"/>
      <c r="AT530" s="582"/>
      <c r="AU530" s="585"/>
      <c r="AV530" s="583">
        <f t="shared" si="156"/>
        <v>0</v>
      </c>
      <c r="AW530" s="583">
        <f t="shared" si="157"/>
        <v>0</v>
      </c>
      <c r="AX530" s="584">
        <f t="shared" si="158"/>
        <v>0</v>
      </c>
      <c r="AY530" s="584">
        <f t="shared" si="159"/>
        <v>0</v>
      </c>
      <c r="AZ530" s="583">
        <f t="shared" si="160"/>
        <v>3379.7333333333336</v>
      </c>
      <c r="BA530" s="584">
        <f t="shared" si="161"/>
        <v>3262.807777777778</v>
      </c>
    </row>
    <row r="531" spans="1:53" ht="14.5">
      <c r="A531" s="436" t="s">
        <v>570</v>
      </c>
      <c r="B531" s="61" t="s">
        <v>609</v>
      </c>
      <c r="C531" s="538"/>
      <c r="D531" s="7">
        <v>409315</v>
      </c>
      <c r="E531" s="446">
        <v>7</v>
      </c>
      <c r="F531" s="582"/>
      <c r="G531" s="585"/>
      <c r="H531" s="582">
        <v>260773</v>
      </c>
      <c r="I531" s="585">
        <v>270182</v>
      </c>
      <c r="J531" s="582">
        <v>64899</v>
      </c>
      <c r="K531" s="585">
        <v>73142</v>
      </c>
      <c r="L531" s="582">
        <v>40538</v>
      </c>
      <c r="M531" s="585">
        <v>0</v>
      </c>
      <c r="N531" s="582">
        <v>263858</v>
      </c>
      <c r="O531" s="585">
        <v>301381</v>
      </c>
      <c r="P531" s="583">
        <f t="shared" si="144"/>
        <v>630068</v>
      </c>
      <c r="Q531" s="583">
        <f t="shared" si="145"/>
        <v>21002.266666666666</v>
      </c>
      <c r="R531" s="584">
        <f t="shared" si="146"/>
        <v>644705</v>
      </c>
      <c r="S531" s="584">
        <f t="shared" si="147"/>
        <v>21490.166666666668</v>
      </c>
      <c r="T531" s="582">
        <v>188960</v>
      </c>
      <c r="U531" s="585">
        <v>212363</v>
      </c>
      <c r="V531" s="583">
        <f t="shared" si="148"/>
        <v>630068</v>
      </c>
      <c r="W531" s="584">
        <f>IF(ISBLANK(#REF!),0,R531)</f>
        <v>644705</v>
      </c>
      <c r="X531" s="582">
        <v>48467</v>
      </c>
      <c r="Y531" s="585">
        <v>75779</v>
      </c>
      <c r="Z531" s="582">
        <v>54004</v>
      </c>
      <c r="AA531" s="585">
        <v>50543</v>
      </c>
      <c r="AB531" s="582">
        <v>39774</v>
      </c>
      <c r="AC531" s="585">
        <v>39508</v>
      </c>
      <c r="AD531" s="582">
        <v>54755</v>
      </c>
      <c r="AE531" s="585">
        <v>56458</v>
      </c>
      <c r="AF531" s="583">
        <f t="shared" si="150"/>
        <v>197000</v>
      </c>
      <c r="AG531" s="583">
        <f t="shared" si="151"/>
        <v>218.88888888888889</v>
      </c>
      <c r="AH531" s="584">
        <f t="shared" si="152"/>
        <v>222288</v>
      </c>
      <c r="AI531" s="584">
        <f t="shared" si="153"/>
        <v>246.98666666666668</v>
      </c>
      <c r="AJ531" s="582"/>
      <c r="AK531" s="585"/>
      <c r="AL531" s="583">
        <f t="shared" si="154"/>
        <v>0</v>
      </c>
      <c r="AM531" s="584">
        <f t="shared" si="155"/>
        <v>0</v>
      </c>
      <c r="AN531" s="582"/>
      <c r="AO531" s="585"/>
      <c r="AP531" s="582"/>
      <c r="AQ531" s="585"/>
      <c r="AR531" s="582"/>
      <c r="AS531" s="585"/>
      <c r="AT531" s="582"/>
      <c r="AU531" s="585"/>
      <c r="AV531" s="583">
        <f t="shared" si="156"/>
        <v>0</v>
      </c>
      <c r="AW531" s="583">
        <f t="shared" si="157"/>
        <v>0</v>
      </c>
      <c r="AX531" s="584">
        <f t="shared" si="158"/>
        <v>0</v>
      </c>
      <c r="AY531" s="584">
        <f t="shared" si="159"/>
        <v>0</v>
      </c>
      <c r="AZ531" s="583">
        <f t="shared" si="160"/>
        <v>21221.155555555557</v>
      </c>
      <c r="BA531" s="584">
        <f t="shared" si="161"/>
        <v>21737.153333333335</v>
      </c>
    </row>
    <row r="532" spans="1:53" ht="14.5">
      <c r="A532" s="436" t="s">
        <v>570</v>
      </c>
      <c r="B532" s="8" t="s">
        <v>610</v>
      </c>
      <c r="C532" s="538"/>
      <c r="D532" s="7">
        <v>222576</v>
      </c>
      <c r="E532" s="446">
        <v>8</v>
      </c>
      <c r="F532" s="582"/>
      <c r="G532" s="585"/>
      <c r="H532" s="582">
        <v>86906</v>
      </c>
      <c r="I532" s="585">
        <v>70858</v>
      </c>
      <c r="J532" s="582">
        <v>41407</v>
      </c>
      <c r="K532" s="585">
        <v>17868</v>
      </c>
      <c r="L532" s="582">
        <v>0</v>
      </c>
      <c r="M532" s="585">
        <v>0</v>
      </c>
      <c r="N532" s="582">
        <v>81182</v>
      </c>
      <c r="O532" s="585">
        <v>81490</v>
      </c>
      <c r="P532" s="583">
        <f t="shared" si="144"/>
        <v>209495</v>
      </c>
      <c r="Q532" s="583">
        <f t="shared" si="145"/>
        <v>6983.166666666667</v>
      </c>
      <c r="R532" s="584">
        <f t="shared" si="146"/>
        <v>170216</v>
      </c>
      <c r="S532" s="584">
        <f t="shared" si="147"/>
        <v>5673.8666666666668</v>
      </c>
      <c r="T532" s="582">
        <v>36866</v>
      </c>
      <c r="U532" s="585">
        <v>24019</v>
      </c>
      <c r="V532" s="583">
        <f t="shared" si="148"/>
        <v>209495</v>
      </c>
      <c r="W532" s="584">
        <f>IF(ISBLANK(#REF!),0,R532)</f>
        <v>170216</v>
      </c>
      <c r="X532" s="582">
        <v>81154</v>
      </c>
      <c r="Y532" s="585">
        <v>86561</v>
      </c>
      <c r="Z532" s="582">
        <v>93423</v>
      </c>
      <c r="AA532" s="585">
        <v>90675</v>
      </c>
      <c r="AB532" s="582">
        <v>66935</v>
      </c>
      <c r="AC532" s="585">
        <v>69167</v>
      </c>
      <c r="AD532" s="582">
        <v>96879</v>
      </c>
      <c r="AE532" s="585">
        <v>99203</v>
      </c>
      <c r="AF532" s="583">
        <f t="shared" si="150"/>
        <v>338391</v>
      </c>
      <c r="AG532" s="583">
        <f t="shared" si="151"/>
        <v>375.99</v>
      </c>
      <c r="AH532" s="584">
        <f t="shared" si="152"/>
        <v>345606</v>
      </c>
      <c r="AI532" s="584">
        <f t="shared" si="153"/>
        <v>384.00666666666666</v>
      </c>
      <c r="AJ532" s="582"/>
      <c r="AK532" s="585"/>
      <c r="AL532" s="583">
        <f t="shared" si="154"/>
        <v>0</v>
      </c>
      <c r="AM532" s="584">
        <f t="shared" si="155"/>
        <v>0</v>
      </c>
      <c r="AN532" s="582"/>
      <c r="AO532" s="585"/>
      <c r="AP532" s="582"/>
      <c r="AQ532" s="585"/>
      <c r="AR532" s="582"/>
      <c r="AS532" s="585"/>
      <c r="AT532" s="582"/>
      <c r="AU532" s="585"/>
      <c r="AV532" s="583">
        <f t="shared" si="156"/>
        <v>0</v>
      </c>
      <c r="AW532" s="583">
        <f t="shared" si="157"/>
        <v>0</v>
      </c>
      <c r="AX532" s="584">
        <f t="shared" si="158"/>
        <v>0</v>
      </c>
      <c r="AY532" s="584">
        <f t="shared" si="159"/>
        <v>0</v>
      </c>
      <c r="AZ532" s="583">
        <f t="shared" si="160"/>
        <v>7359.1566666666668</v>
      </c>
      <c r="BA532" s="584">
        <f t="shared" si="161"/>
        <v>6057.873333333333</v>
      </c>
    </row>
    <row r="533" spans="1:53" ht="14.5">
      <c r="A533" s="436" t="s">
        <v>570</v>
      </c>
      <c r="B533" s="8" t="s">
        <v>611</v>
      </c>
      <c r="C533" s="538" t="s">
        <v>946</v>
      </c>
      <c r="D533" s="7">
        <v>222992</v>
      </c>
      <c r="E533" s="446">
        <v>8</v>
      </c>
      <c r="F533" s="582"/>
      <c r="G533" s="585"/>
      <c r="H533" s="582">
        <v>286370</v>
      </c>
      <c r="I533" s="585">
        <v>287998</v>
      </c>
      <c r="J533" s="582">
        <v>151045</v>
      </c>
      <c r="K533" s="585">
        <v>150318</v>
      </c>
      <c r="L533" s="582">
        <v>0</v>
      </c>
      <c r="M533" s="585">
        <v>0</v>
      </c>
      <c r="N533" s="582">
        <v>271868</v>
      </c>
      <c r="O533" s="585">
        <v>273242</v>
      </c>
      <c r="P533" s="583">
        <f t="shared" si="144"/>
        <v>709283</v>
      </c>
      <c r="Q533" s="583">
        <f t="shared" si="145"/>
        <v>23642.766666666666</v>
      </c>
      <c r="R533" s="584">
        <f t="shared" si="146"/>
        <v>711558</v>
      </c>
      <c r="S533" s="584">
        <f t="shared" si="147"/>
        <v>23718.6</v>
      </c>
      <c r="T533" s="582">
        <v>90452</v>
      </c>
      <c r="U533" s="585">
        <v>98636</v>
      </c>
      <c r="V533" s="583">
        <f t="shared" si="148"/>
        <v>709283</v>
      </c>
      <c r="W533" s="584">
        <f>IF(ISBLANK(#REF!),0,R533)</f>
        <v>711558</v>
      </c>
      <c r="X533" s="582">
        <v>148931</v>
      </c>
      <c r="Y533" s="585">
        <v>141019</v>
      </c>
      <c r="Z533" s="582">
        <v>113594</v>
      </c>
      <c r="AA533" s="585">
        <v>102843</v>
      </c>
      <c r="AB533" s="582">
        <v>220416</v>
      </c>
      <c r="AC533" s="585">
        <v>155536</v>
      </c>
      <c r="AD533" s="582">
        <v>123177</v>
      </c>
      <c r="AE533" s="585">
        <v>122477</v>
      </c>
      <c r="AF533" s="583">
        <f t="shared" si="150"/>
        <v>606118</v>
      </c>
      <c r="AG533" s="583">
        <f t="shared" si="151"/>
        <v>673.46444444444444</v>
      </c>
      <c r="AH533" s="584">
        <f t="shared" si="152"/>
        <v>521875</v>
      </c>
      <c r="AI533" s="584">
        <f t="shared" si="153"/>
        <v>579.86111111111109</v>
      </c>
      <c r="AJ533" s="582"/>
      <c r="AK533" s="585"/>
      <c r="AL533" s="583">
        <f t="shared" si="154"/>
        <v>0</v>
      </c>
      <c r="AM533" s="584">
        <f t="shared" si="155"/>
        <v>0</v>
      </c>
      <c r="AN533" s="582"/>
      <c r="AO533" s="585"/>
      <c r="AP533" s="582"/>
      <c r="AQ533" s="585"/>
      <c r="AR533" s="582"/>
      <c r="AS533" s="585"/>
      <c r="AT533" s="582"/>
      <c r="AU533" s="585"/>
      <c r="AV533" s="583">
        <f t="shared" si="156"/>
        <v>0</v>
      </c>
      <c r="AW533" s="583">
        <f t="shared" si="157"/>
        <v>0</v>
      </c>
      <c r="AX533" s="584">
        <f t="shared" si="158"/>
        <v>0</v>
      </c>
      <c r="AY533" s="584">
        <f t="shared" si="159"/>
        <v>0</v>
      </c>
      <c r="AZ533" s="583">
        <f t="shared" si="160"/>
        <v>24316.231111111112</v>
      </c>
      <c r="BA533" s="584">
        <f t="shared" si="161"/>
        <v>24298.461111111108</v>
      </c>
    </row>
    <row r="534" spans="1:53" ht="14.5">
      <c r="A534" s="436" t="s">
        <v>570</v>
      </c>
      <c r="B534" s="8" t="s">
        <v>612</v>
      </c>
      <c r="C534" s="538"/>
      <c r="D534" s="7">
        <v>223427</v>
      </c>
      <c r="E534" s="446">
        <v>8</v>
      </c>
      <c r="F534" s="582"/>
      <c r="G534" s="585"/>
      <c r="H534" s="582">
        <v>168343</v>
      </c>
      <c r="I534" s="585">
        <v>171160</v>
      </c>
      <c r="J534" s="582">
        <v>35714</v>
      </c>
      <c r="K534" s="585">
        <v>36734</v>
      </c>
      <c r="L534" s="582">
        <v>15620</v>
      </c>
      <c r="M534" s="585">
        <v>17054</v>
      </c>
      <c r="N534" s="582">
        <v>185278</v>
      </c>
      <c r="O534" s="585">
        <v>188122</v>
      </c>
      <c r="P534" s="583">
        <f t="shared" si="144"/>
        <v>404955</v>
      </c>
      <c r="Q534" s="583">
        <f t="shared" si="145"/>
        <v>13498.5</v>
      </c>
      <c r="R534" s="584">
        <f t="shared" si="146"/>
        <v>413070</v>
      </c>
      <c r="S534" s="584">
        <f t="shared" si="147"/>
        <v>13769</v>
      </c>
      <c r="T534" s="582">
        <v>18770</v>
      </c>
      <c r="U534" s="585">
        <v>18234</v>
      </c>
      <c r="V534" s="583">
        <f t="shared" si="148"/>
        <v>404955</v>
      </c>
      <c r="W534" s="584">
        <f>IF(ISBLANK(#REF!),0,R534)</f>
        <v>413070</v>
      </c>
      <c r="X534" s="582">
        <v>28913</v>
      </c>
      <c r="Y534" s="585">
        <v>26370</v>
      </c>
      <c r="Z534" s="582">
        <v>23204</v>
      </c>
      <c r="AA534" s="585">
        <v>16638</v>
      </c>
      <c r="AB534" s="582">
        <v>27744</v>
      </c>
      <c r="AC534" s="585">
        <v>24853</v>
      </c>
      <c r="AD534" s="582">
        <v>40048</v>
      </c>
      <c r="AE534" s="585">
        <v>25527</v>
      </c>
      <c r="AF534" s="583">
        <f t="shared" si="150"/>
        <v>119909</v>
      </c>
      <c r="AG534" s="583">
        <f t="shared" si="151"/>
        <v>133.23222222222222</v>
      </c>
      <c r="AH534" s="584">
        <f t="shared" si="152"/>
        <v>93388</v>
      </c>
      <c r="AI534" s="584">
        <f t="shared" si="153"/>
        <v>103.76444444444445</v>
      </c>
      <c r="AJ534" s="582"/>
      <c r="AK534" s="585"/>
      <c r="AL534" s="583">
        <f t="shared" si="154"/>
        <v>0</v>
      </c>
      <c r="AM534" s="584">
        <f t="shared" si="155"/>
        <v>0</v>
      </c>
      <c r="AN534" s="582"/>
      <c r="AO534" s="585"/>
      <c r="AP534" s="582"/>
      <c r="AQ534" s="585"/>
      <c r="AR534" s="582"/>
      <c r="AS534" s="585"/>
      <c r="AT534" s="582"/>
      <c r="AU534" s="585"/>
      <c r="AV534" s="583">
        <f t="shared" si="156"/>
        <v>0</v>
      </c>
      <c r="AW534" s="583">
        <f t="shared" si="157"/>
        <v>0</v>
      </c>
      <c r="AX534" s="584">
        <f t="shared" si="158"/>
        <v>0</v>
      </c>
      <c r="AY534" s="584">
        <f t="shared" si="159"/>
        <v>0</v>
      </c>
      <c r="AZ534" s="583">
        <f t="shared" si="160"/>
        <v>13631.732222222223</v>
      </c>
      <c r="BA534" s="584">
        <f t="shared" si="161"/>
        <v>13872.764444444445</v>
      </c>
    </row>
    <row r="535" spans="1:53" ht="14.5">
      <c r="A535" s="436" t="s">
        <v>570</v>
      </c>
      <c r="B535" s="63" t="s">
        <v>896</v>
      </c>
      <c r="C535" s="538"/>
      <c r="D535" s="7">
        <v>223524</v>
      </c>
      <c r="E535" s="446">
        <v>8</v>
      </c>
      <c r="F535" s="582"/>
      <c r="G535" s="585"/>
      <c r="H535" s="582">
        <v>82151</v>
      </c>
      <c r="I535" s="585">
        <v>76341</v>
      </c>
      <c r="J535" s="582">
        <v>61257</v>
      </c>
      <c r="K535" s="585">
        <v>57405</v>
      </c>
      <c r="L535" s="582">
        <v>0</v>
      </c>
      <c r="M535" s="585">
        <v>0</v>
      </c>
      <c r="N535" s="582">
        <v>66067</v>
      </c>
      <c r="O535" s="585">
        <v>68250</v>
      </c>
      <c r="P535" s="583">
        <f t="shared" si="144"/>
        <v>209475</v>
      </c>
      <c r="Q535" s="583">
        <f t="shared" si="145"/>
        <v>6982.5</v>
      </c>
      <c r="R535" s="584">
        <f t="shared" si="146"/>
        <v>201996</v>
      </c>
      <c r="S535" s="584">
        <f t="shared" si="147"/>
        <v>6733.2</v>
      </c>
      <c r="T535" s="582">
        <v>22174</v>
      </c>
      <c r="U535" s="585">
        <v>23583</v>
      </c>
      <c r="V535" s="583">
        <f t="shared" si="148"/>
        <v>209475</v>
      </c>
      <c r="W535" s="584">
        <f>IF(ISBLANK(#REF!),0,R535)</f>
        <v>201996</v>
      </c>
      <c r="X535" s="582">
        <v>31852</v>
      </c>
      <c r="Y535" s="585">
        <v>36152</v>
      </c>
      <c r="Z535" s="582">
        <v>32343</v>
      </c>
      <c r="AA535" s="585">
        <v>33625</v>
      </c>
      <c r="AB535" s="582">
        <v>41671</v>
      </c>
      <c r="AC535" s="585">
        <v>41218</v>
      </c>
      <c r="AD535" s="582">
        <v>54983</v>
      </c>
      <c r="AE535" s="585">
        <v>47340</v>
      </c>
      <c r="AF535" s="583">
        <f t="shared" si="150"/>
        <v>160849</v>
      </c>
      <c r="AG535" s="583">
        <f t="shared" si="151"/>
        <v>178.7211111111111</v>
      </c>
      <c r="AH535" s="584">
        <f t="shared" si="152"/>
        <v>158335</v>
      </c>
      <c r="AI535" s="584">
        <f t="shared" si="153"/>
        <v>175.92777777777778</v>
      </c>
      <c r="AJ535" s="582"/>
      <c r="AK535" s="585"/>
      <c r="AL535" s="583">
        <f t="shared" si="154"/>
        <v>0</v>
      </c>
      <c r="AM535" s="584">
        <f t="shared" si="155"/>
        <v>0</v>
      </c>
      <c r="AN535" s="582"/>
      <c r="AO535" s="585"/>
      <c r="AP535" s="582"/>
      <c r="AQ535" s="585"/>
      <c r="AR535" s="582"/>
      <c r="AS535" s="585"/>
      <c r="AT535" s="582"/>
      <c r="AU535" s="585"/>
      <c r="AV535" s="583">
        <f t="shared" si="156"/>
        <v>0</v>
      </c>
      <c r="AW535" s="583">
        <f t="shared" si="157"/>
        <v>0</v>
      </c>
      <c r="AX535" s="584">
        <f t="shared" si="158"/>
        <v>0</v>
      </c>
      <c r="AY535" s="584">
        <f t="shared" si="159"/>
        <v>0</v>
      </c>
      <c r="AZ535" s="583">
        <f t="shared" si="160"/>
        <v>7161.221111111111</v>
      </c>
      <c r="BA535" s="584">
        <f t="shared" si="161"/>
        <v>6909.1277777777777</v>
      </c>
    </row>
    <row r="536" spans="1:53" ht="14.5">
      <c r="A536" s="436" t="s">
        <v>570</v>
      </c>
      <c r="B536" s="61" t="s">
        <v>613</v>
      </c>
      <c r="C536" s="538"/>
      <c r="D536" s="7">
        <v>223816</v>
      </c>
      <c r="E536" s="446">
        <v>8</v>
      </c>
      <c r="F536" s="582"/>
      <c r="G536" s="585"/>
      <c r="H536" s="582">
        <v>91002</v>
      </c>
      <c r="I536" s="585">
        <v>94173</v>
      </c>
      <c r="J536" s="582">
        <v>53273</v>
      </c>
      <c r="K536" s="585">
        <v>56277</v>
      </c>
      <c r="L536" s="582">
        <v>5403</v>
      </c>
      <c r="M536" s="585">
        <v>6032</v>
      </c>
      <c r="N536" s="582">
        <v>79645</v>
      </c>
      <c r="O536" s="585">
        <v>75952</v>
      </c>
      <c r="P536" s="583">
        <f t="shared" si="144"/>
        <v>229323</v>
      </c>
      <c r="Q536" s="583">
        <f t="shared" si="145"/>
        <v>7644.1</v>
      </c>
      <c r="R536" s="584">
        <f t="shared" si="146"/>
        <v>232434</v>
      </c>
      <c r="S536" s="584">
        <f t="shared" si="147"/>
        <v>7747.8</v>
      </c>
      <c r="T536" s="582">
        <v>24914</v>
      </c>
      <c r="U536" s="585">
        <v>32773</v>
      </c>
      <c r="V536" s="583">
        <f t="shared" si="148"/>
        <v>229323</v>
      </c>
      <c r="W536" s="584">
        <f>IF(ISBLANK(#REF!),0,R536)</f>
        <v>232434</v>
      </c>
      <c r="X536" s="582">
        <v>53563</v>
      </c>
      <c r="Y536" s="585">
        <v>61325</v>
      </c>
      <c r="Z536" s="582">
        <v>75921</v>
      </c>
      <c r="AA536" s="585">
        <v>104884</v>
      </c>
      <c r="AB536" s="582">
        <v>76149</v>
      </c>
      <c r="AC536" s="585">
        <v>86144</v>
      </c>
      <c r="AD536" s="582">
        <v>77066</v>
      </c>
      <c r="AE536" s="585">
        <v>74243</v>
      </c>
      <c r="AF536" s="583">
        <f t="shared" si="150"/>
        <v>282699</v>
      </c>
      <c r="AG536" s="583">
        <f t="shared" si="151"/>
        <v>314.11</v>
      </c>
      <c r="AH536" s="584">
        <f t="shared" si="152"/>
        <v>326596</v>
      </c>
      <c r="AI536" s="584">
        <f t="shared" si="153"/>
        <v>362.88444444444445</v>
      </c>
      <c r="AJ536" s="582"/>
      <c r="AK536" s="585"/>
      <c r="AL536" s="583">
        <f t="shared" si="154"/>
        <v>0</v>
      </c>
      <c r="AM536" s="584">
        <f t="shared" si="155"/>
        <v>0</v>
      </c>
      <c r="AN536" s="582"/>
      <c r="AO536" s="585"/>
      <c r="AP536" s="582"/>
      <c r="AQ536" s="585"/>
      <c r="AR536" s="582"/>
      <c r="AS536" s="585"/>
      <c r="AT536" s="582"/>
      <c r="AU536" s="585"/>
      <c r="AV536" s="583">
        <f t="shared" si="156"/>
        <v>0</v>
      </c>
      <c r="AW536" s="583">
        <f t="shared" si="157"/>
        <v>0</v>
      </c>
      <c r="AX536" s="584">
        <f t="shared" si="158"/>
        <v>0</v>
      </c>
      <c r="AY536" s="584">
        <f t="shared" si="159"/>
        <v>0</v>
      </c>
      <c r="AZ536" s="583">
        <f t="shared" si="160"/>
        <v>7958.21</v>
      </c>
      <c r="BA536" s="584">
        <f t="shared" si="161"/>
        <v>8110.684444444445</v>
      </c>
    </row>
    <row r="537" spans="1:53" ht="14.5">
      <c r="A537" s="436" t="s">
        <v>570</v>
      </c>
      <c r="B537" s="61" t="s">
        <v>614</v>
      </c>
      <c r="C537" s="538"/>
      <c r="D537" s="7">
        <v>247834</v>
      </c>
      <c r="E537" s="446">
        <v>8</v>
      </c>
      <c r="F537" s="582"/>
      <c r="G537" s="585"/>
      <c r="H537" s="582">
        <v>243636</v>
      </c>
      <c r="I537" s="585">
        <v>262043</v>
      </c>
      <c r="J537" s="582">
        <v>66690</v>
      </c>
      <c r="K537" s="585">
        <v>67662</v>
      </c>
      <c r="L537" s="582">
        <v>0</v>
      </c>
      <c r="M537" s="585">
        <v>0</v>
      </c>
      <c r="N537" s="582">
        <v>288022</v>
      </c>
      <c r="O537" s="585">
        <v>295058</v>
      </c>
      <c r="P537" s="583">
        <f t="shared" si="144"/>
        <v>598348</v>
      </c>
      <c r="Q537" s="583">
        <f t="shared" si="145"/>
        <v>19944.933333333334</v>
      </c>
      <c r="R537" s="584">
        <f t="shared" si="146"/>
        <v>624763</v>
      </c>
      <c r="S537" s="584">
        <f t="shared" si="147"/>
        <v>20825.433333333334</v>
      </c>
      <c r="T537" s="582">
        <v>65343</v>
      </c>
      <c r="U537" s="585">
        <v>83675</v>
      </c>
      <c r="V537" s="583">
        <f t="shared" si="148"/>
        <v>598348</v>
      </c>
      <c r="W537" s="584">
        <f>IF(ISBLANK(#REF!),0,R537)</f>
        <v>624763</v>
      </c>
      <c r="X537" s="582">
        <v>145433</v>
      </c>
      <c r="Y537" s="585">
        <v>147471</v>
      </c>
      <c r="Z537" s="582">
        <v>126949</v>
      </c>
      <c r="AA537" s="585">
        <v>144424</v>
      </c>
      <c r="AB537" s="582">
        <v>132252</v>
      </c>
      <c r="AC537" s="585">
        <v>113589</v>
      </c>
      <c r="AD537" s="582">
        <v>220249</v>
      </c>
      <c r="AE537" s="585">
        <v>222238</v>
      </c>
      <c r="AF537" s="583">
        <f t="shared" si="150"/>
        <v>624883</v>
      </c>
      <c r="AG537" s="583">
        <f t="shared" si="151"/>
        <v>694.31444444444446</v>
      </c>
      <c r="AH537" s="584">
        <f t="shared" si="152"/>
        <v>627722</v>
      </c>
      <c r="AI537" s="584">
        <f t="shared" si="153"/>
        <v>697.46888888888884</v>
      </c>
      <c r="AJ537" s="582"/>
      <c r="AK537" s="585"/>
      <c r="AL537" s="583">
        <f t="shared" si="154"/>
        <v>0</v>
      </c>
      <c r="AM537" s="584">
        <f t="shared" si="155"/>
        <v>0</v>
      </c>
      <c r="AN537" s="582"/>
      <c r="AO537" s="585"/>
      <c r="AP537" s="582"/>
      <c r="AQ537" s="585"/>
      <c r="AR537" s="582"/>
      <c r="AS537" s="585"/>
      <c r="AT537" s="582"/>
      <c r="AU537" s="585"/>
      <c r="AV537" s="583">
        <f t="shared" si="156"/>
        <v>0</v>
      </c>
      <c r="AW537" s="583">
        <f t="shared" si="157"/>
        <v>0</v>
      </c>
      <c r="AX537" s="584">
        <f t="shared" si="158"/>
        <v>0</v>
      </c>
      <c r="AY537" s="584">
        <f t="shared" si="159"/>
        <v>0</v>
      </c>
      <c r="AZ537" s="583">
        <f t="shared" si="160"/>
        <v>20639.247777777779</v>
      </c>
      <c r="BA537" s="584">
        <f t="shared" si="161"/>
        <v>21522.902222222223</v>
      </c>
    </row>
    <row r="538" spans="1:53" ht="14.5">
      <c r="A538" s="436" t="s">
        <v>570</v>
      </c>
      <c r="B538" s="61" t="s">
        <v>615</v>
      </c>
      <c r="C538" s="538"/>
      <c r="D538" s="7">
        <v>224350</v>
      </c>
      <c r="E538" s="446">
        <v>8</v>
      </c>
      <c r="F538" s="582"/>
      <c r="G538" s="585"/>
      <c r="H538" s="582">
        <v>83963</v>
      </c>
      <c r="I538" s="585">
        <v>84022</v>
      </c>
      <c r="J538" s="582">
        <v>15964</v>
      </c>
      <c r="K538" s="585">
        <v>15284</v>
      </c>
      <c r="L538" s="582">
        <v>17620</v>
      </c>
      <c r="M538" s="585">
        <v>16056</v>
      </c>
      <c r="N538" s="582">
        <v>89977</v>
      </c>
      <c r="O538" s="585">
        <v>91970</v>
      </c>
      <c r="P538" s="583">
        <f t="shared" si="144"/>
        <v>207524</v>
      </c>
      <c r="Q538" s="583">
        <f t="shared" si="145"/>
        <v>6917.4666666666662</v>
      </c>
      <c r="R538" s="584">
        <f t="shared" si="146"/>
        <v>207332</v>
      </c>
      <c r="S538" s="584">
        <f t="shared" si="147"/>
        <v>6911.0666666666666</v>
      </c>
      <c r="T538" s="582">
        <v>30094</v>
      </c>
      <c r="U538" s="585">
        <v>32731</v>
      </c>
      <c r="V538" s="583">
        <f t="shared" si="148"/>
        <v>207524</v>
      </c>
      <c r="W538" s="584">
        <f>IF(ISBLANK(#REF!),0,R538)</f>
        <v>207332</v>
      </c>
      <c r="X538" s="582">
        <v>72166</v>
      </c>
      <c r="Y538" s="585">
        <v>185552</v>
      </c>
      <c r="Z538" s="582">
        <v>50489</v>
      </c>
      <c r="AA538" s="585">
        <v>92943</v>
      </c>
      <c r="AB538" s="582">
        <v>76090</v>
      </c>
      <c r="AC538" s="585">
        <v>97632</v>
      </c>
      <c r="AD538" s="582">
        <v>132904</v>
      </c>
      <c r="AE538" s="585">
        <v>212319</v>
      </c>
      <c r="AF538" s="583">
        <f t="shared" si="150"/>
        <v>331649</v>
      </c>
      <c r="AG538" s="583">
        <f t="shared" si="151"/>
        <v>368.49888888888887</v>
      </c>
      <c r="AH538" s="584">
        <f t="shared" si="152"/>
        <v>588446</v>
      </c>
      <c r="AI538" s="584">
        <f t="shared" si="153"/>
        <v>653.82888888888886</v>
      </c>
      <c r="AJ538" s="582"/>
      <c r="AK538" s="585"/>
      <c r="AL538" s="583">
        <f t="shared" si="154"/>
        <v>0</v>
      </c>
      <c r="AM538" s="584">
        <f t="shared" si="155"/>
        <v>0</v>
      </c>
      <c r="AN538" s="582"/>
      <c r="AO538" s="585"/>
      <c r="AP538" s="582"/>
      <c r="AQ538" s="585"/>
      <c r="AR538" s="582"/>
      <c r="AS538" s="585"/>
      <c r="AT538" s="582"/>
      <c r="AU538" s="585"/>
      <c r="AV538" s="583">
        <f t="shared" si="156"/>
        <v>0</v>
      </c>
      <c r="AW538" s="583">
        <f t="shared" si="157"/>
        <v>0</v>
      </c>
      <c r="AX538" s="584">
        <f t="shared" si="158"/>
        <v>0</v>
      </c>
      <c r="AY538" s="584">
        <f t="shared" si="159"/>
        <v>0</v>
      </c>
      <c r="AZ538" s="583">
        <f t="shared" si="160"/>
        <v>7285.9655555555555</v>
      </c>
      <c r="BA538" s="584">
        <f t="shared" si="161"/>
        <v>7564.8955555555558</v>
      </c>
    </row>
    <row r="539" spans="1:53" ht="14.5">
      <c r="A539" s="436" t="s">
        <v>570</v>
      </c>
      <c r="B539" s="63" t="s">
        <v>897</v>
      </c>
      <c r="C539" s="538"/>
      <c r="D539" s="7">
        <v>224572</v>
      </c>
      <c r="E539" s="446">
        <v>8</v>
      </c>
      <c r="F539" s="582"/>
      <c r="G539" s="585"/>
      <c r="H539" s="582">
        <v>120018</v>
      </c>
      <c r="I539" s="585">
        <v>109621</v>
      </c>
      <c r="J539" s="582">
        <v>67387</v>
      </c>
      <c r="K539" s="585">
        <v>75260</v>
      </c>
      <c r="L539" s="582">
        <v>0</v>
      </c>
      <c r="M539" s="585">
        <v>0</v>
      </c>
      <c r="N539" s="582">
        <v>81902</v>
      </c>
      <c r="O539" s="585">
        <v>80052</v>
      </c>
      <c r="P539" s="583">
        <f t="shared" si="144"/>
        <v>269307</v>
      </c>
      <c r="Q539" s="583">
        <f t="shared" si="145"/>
        <v>8976.9</v>
      </c>
      <c r="R539" s="584">
        <f t="shared" si="146"/>
        <v>264933</v>
      </c>
      <c r="S539" s="584">
        <f t="shared" si="147"/>
        <v>8831.1</v>
      </c>
      <c r="T539" s="582">
        <v>62302</v>
      </c>
      <c r="U539" s="585">
        <v>63812</v>
      </c>
      <c r="V539" s="583">
        <f t="shared" si="148"/>
        <v>269307</v>
      </c>
      <c r="W539" s="584">
        <f>IF(ISBLANK(#REF!),0,R539)</f>
        <v>264933</v>
      </c>
      <c r="X539" s="582">
        <v>36422</v>
      </c>
      <c r="Y539" s="585">
        <v>31308</v>
      </c>
      <c r="Z539" s="582">
        <v>42632</v>
      </c>
      <c r="AA539" s="585">
        <v>34626</v>
      </c>
      <c r="AB539" s="582">
        <v>41492</v>
      </c>
      <c r="AC539" s="585">
        <v>46440</v>
      </c>
      <c r="AD539" s="582">
        <v>63613</v>
      </c>
      <c r="AE539" s="585">
        <v>51570</v>
      </c>
      <c r="AF539" s="583">
        <f t="shared" si="150"/>
        <v>184159</v>
      </c>
      <c r="AG539" s="583">
        <f t="shared" si="151"/>
        <v>204.62111111111111</v>
      </c>
      <c r="AH539" s="584">
        <f t="shared" si="152"/>
        <v>163944</v>
      </c>
      <c r="AI539" s="584">
        <f t="shared" si="153"/>
        <v>182.16</v>
      </c>
      <c r="AJ539" s="582"/>
      <c r="AK539" s="585"/>
      <c r="AL539" s="583">
        <f t="shared" si="154"/>
        <v>0</v>
      </c>
      <c r="AM539" s="584">
        <f t="shared" si="155"/>
        <v>0</v>
      </c>
      <c r="AN539" s="582"/>
      <c r="AO539" s="585"/>
      <c r="AP539" s="582"/>
      <c r="AQ539" s="585"/>
      <c r="AR539" s="582"/>
      <c r="AS539" s="585"/>
      <c r="AT539" s="582"/>
      <c r="AU539" s="585"/>
      <c r="AV539" s="583">
        <f t="shared" si="156"/>
        <v>0</v>
      </c>
      <c r="AW539" s="583">
        <f t="shared" si="157"/>
        <v>0</v>
      </c>
      <c r="AX539" s="584">
        <f t="shared" si="158"/>
        <v>0</v>
      </c>
      <c r="AY539" s="584">
        <f t="shared" si="159"/>
        <v>0</v>
      </c>
      <c r="AZ539" s="583">
        <f t="shared" si="160"/>
        <v>9181.5211111111112</v>
      </c>
      <c r="BA539" s="584">
        <f t="shared" si="161"/>
        <v>9013.26</v>
      </c>
    </row>
    <row r="540" spans="1:53" ht="14.5">
      <c r="A540" s="436" t="s">
        <v>570</v>
      </c>
      <c r="B540" s="63" t="s">
        <v>898</v>
      </c>
      <c r="C540" s="538"/>
      <c r="D540" s="7">
        <v>224615</v>
      </c>
      <c r="E540" s="446">
        <v>8</v>
      </c>
      <c r="F540" s="582"/>
      <c r="G540" s="585"/>
      <c r="H540" s="582">
        <v>74282</v>
      </c>
      <c r="I540" s="585">
        <v>76431</v>
      </c>
      <c r="J540" s="582">
        <v>31421</v>
      </c>
      <c r="K540" s="585">
        <v>32522</v>
      </c>
      <c r="L540" s="582">
        <v>0</v>
      </c>
      <c r="M540" s="585">
        <v>0</v>
      </c>
      <c r="N540" s="582">
        <v>63600</v>
      </c>
      <c r="O540" s="585">
        <v>67189</v>
      </c>
      <c r="P540" s="583">
        <f t="shared" si="144"/>
        <v>169303</v>
      </c>
      <c r="Q540" s="583">
        <f t="shared" si="145"/>
        <v>5643.4333333333334</v>
      </c>
      <c r="R540" s="584">
        <f t="shared" si="146"/>
        <v>176142</v>
      </c>
      <c r="S540" s="584">
        <f t="shared" si="147"/>
        <v>5871.4</v>
      </c>
      <c r="T540" s="582">
        <v>32105</v>
      </c>
      <c r="U540" s="585">
        <v>39103</v>
      </c>
      <c r="V540" s="583">
        <f t="shared" si="148"/>
        <v>169303</v>
      </c>
      <c r="W540" s="584">
        <f>IF(ISBLANK(#REF!),0,R540)</f>
        <v>176142</v>
      </c>
      <c r="X540" s="582">
        <v>71988</v>
      </c>
      <c r="Y540" s="585">
        <v>87409</v>
      </c>
      <c r="Z540" s="582">
        <v>119559</v>
      </c>
      <c r="AA540" s="585">
        <v>104706</v>
      </c>
      <c r="AB540" s="582">
        <v>82113</v>
      </c>
      <c r="AC540" s="585">
        <v>134576</v>
      </c>
      <c r="AD540" s="582">
        <v>79942</v>
      </c>
      <c r="AE540" s="585">
        <v>153645</v>
      </c>
      <c r="AF540" s="583">
        <f t="shared" si="150"/>
        <v>353602</v>
      </c>
      <c r="AG540" s="583">
        <f t="shared" si="151"/>
        <v>392.89111111111112</v>
      </c>
      <c r="AH540" s="584">
        <f t="shared" si="152"/>
        <v>480336</v>
      </c>
      <c r="AI540" s="584">
        <f t="shared" si="153"/>
        <v>533.70666666666671</v>
      </c>
      <c r="AJ540" s="582"/>
      <c r="AK540" s="585"/>
      <c r="AL540" s="583">
        <f t="shared" si="154"/>
        <v>0</v>
      </c>
      <c r="AM540" s="584">
        <f t="shared" si="155"/>
        <v>0</v>
      </c>
      <c r="AN540" s="582"/>
      <c r="AO540" s="585"/>
      <c r="AP540" s="582"/>
      <c r="AQ540" s="585"/>
      <c r="AR540" s="582"/>
      <c r="AS540" s="585"/>
      <c r="AT540" s="582"/>
      <c r="AU540" s="585"/>
      <c r="AV540" s="583">
        <f t="shared" si="156"/>
        <v>0</v>
      </c>
      <c r="AW540" s="583">
        <f t="shared" si="157"/>
        <v>0</v>
      </c>
      <c r="AX540" s="584">
        <f t="shared" si="158"/>
        <v>0</v>
      </c>
      <c r="AY540" s="584">
        <f t="shared" si="159"/>
        <v>0</v>
      </c>
      <c r="AZ540" s="583">
        <f t="shared" si="160"/>
        <v>6036.3244444444445</v>
      </c>
      <c r="BA540" s="584">
        <f t="shared" si="161"/>
        <v>6405.1066666666666</v>
      </c>
    </row>
    <row r="541" spans="1:53" ht="14.5">
      <c r="A541" s="436" t="s">
        <v>570</v>
      </c>
      <c r="B541" s="61" t="s">
        <v>616</v>
      </c>
      <c r="C541" s="538"/>
      <c r="D541" s="7">
        <v>224642</v>
      </c>
      <c r="E541" s="446">
        <v>8</v>
      </c>
      <c r="F541" s="582"/>
      <c r="G541" s="585"/>
      <c r="H541" s="582">
        <v>223381</v>
      </c>
      <c r="I541" s="585">
        <v>213202</v>
      </c>
      <c r="J541" s="582">
        <v>56208</v>
      </c>
      <c r="K541" s="585">
        <v>53574</v>
      </c>
      <c r="L541" s="582">
        <v>0</v>
      </c>
      <c r="M541" s="585">
        <v>0</v>
      </c>
      <c r="N541" s="582">
        <v>241306</v>
      </c>
      <c r="O541" s="585">
        <v>238956</v>
      </c>
      <c r="P541" s="583">
        <f t="shared" si="144"/>
        <v>520895</v>
      </c>
      <c r="Q541" s="583">
        <f t="shared" si="145"/>
        <v>17363.166666666668</v>
      </c>
      <c r="R541" s="584">
        <f t="shared" si="146"/>
        <v>505732</v>
      </c>
      <c r="S541" s="584">
        <f t="shared" si="147"/>
        <v>16857.733333333334</v>
      </c>
      <c r="T541" s="582">
        <v>112330</v>
      </c>
      <c r="U541" s="585">
        <v>111488</v>
      </c>
      <c r="V541" s="583">
        <f t="shared" si="148"/>
        <v>520895</v>
      </c>
      <c r="W541" s="584">
        <f>IF(ISBLANK(#REF!),0,R541)</f>
        <v>505732</v>
      </c>
      <c r="X541" s="582">
        <v>87833</v>
      </c>
      <c r="Y541" s="585">
        <v>87412</v>
      </c>
      <c r="Z541" s="582">
        <v>67691</v>
      </c>
      <c r="AA541" s="585">
        <v>69475</v>
      </c>
      <c r="AB541" s="582">
        <v>71043</v>
      </c>
      <c r="AC541" s="585">
        <v>67443</v>
      </c>
      <c r="AD541" s="582">
        <v>97250</v>
      </c>
      <c r="AE541" s="585">
        <v>85920</v>
      </c>
      <c r="AF541" s="583">
        <f t="shared" si="150"/>
        <v>323817</v>
      </c>
      <c r="AG541" s="583">
        <f t="shared" si="151"/>
        <v>359.79666666666668</v>
      </c>
      <c r="AH541" s="584">
        <f t="shared" si="152"/>
        <v>310250</v>
      </c>
      <c r="AI541" s="584">
        <f t="shared" si="153"/>
        <v>344.72222222222223</v>
      </c>
      <c r="AJ541" s="582"/>
      <c r="AK541" s="585"/>
      <c r="AL541" s="583">
        <f t="shared" si="154"/>
        <v>0</v>
      </c>
      <c r="AM541" s="584">
        <f t="shared" si="155"/>
        <v>0</v>
      </c>
      <c r="AN541" s="582"/>
      <c r="AO541" s="585"/>
      <c r="AP541" s="582"/>
      <c r="AQ541" s="585"/>
      <c r="AR541" s="582"/>
      <c r="AS541" s="585"/>
      <c r="AT541" s="582"/>
      <c r="AU541" s="585"/>
      <c r="AV541" s="583">
        <f t="shared" si="156"/>
        <v>0</v>
      </c>
      <c r="AW541" s="583">
        <f t="shared" si="157"/>
        <v>0</v>
      </c>
      <c r="AX541" s="584">
        <f t="shared" si="158"/>
        <v>0</v>
      </c>
      <c r="AY541" s="584">
        <f t="shared" si="159"/>
        <v>0</v>
      </c>
      <c r="AZ541" s="583">
        <f t="shared" si="160"/>
        <v>17722.963333333333</v>
      </c>
      <c r="BA541" s="584">
        <f t="shared" si="161"/>
        <v>17202.455555555556</v>
      </c>
    </row>
    <row r="542" spans="1:53" ht="14.5">
      <c r="A542" s="436" t="s">
        <v>570</v>
      </c>
      <c r="B542" s="61" t="s">
        <v>617</v>
      </c>
      <c r="C542" s="538"/>
      <c r="D542" s="7">
        <v>225423</v>
      </c>
      <c r="E542" s="446">
        <v>8</v>
      </c>
      <c r="F542" s="582"/>
      <c r="G542" s="585"/>
      <c r="H542" s="582">
        <v>444796</v>
      </c>
      <c r="I542" s="585">
        <v>450749</v>
      </c>
      <c r="J542" s="582">
        <v>250964</v>
      </c>
      <c r="K542" s="585">
        <v>232307</v>
      </c>
      <c r="L542" s="582">
        <v>0</v>
      </c>
      <c r="M542" s="585">
        <v>0</v>
      </c>
      <c r="N542" s="582">
        <v>342783</v>
      </c>
      <c r="O542" s="585">
        <v>336799</v>
      </c>
      <c r="P542" s="583">
        <f t="shared" si="144"/>
        <v>1038543</v>
      </c>
      <c r="Q542" s="583">
        <f t="shared" si="145"/>
        <v>34618.1</v>
      </c>
      <c r="R542" s="584">
        <f t="shared" si="146"/>
        <v>1019855</v>
      </c>
      <c r="S542" s="584">
        <f t="shared" si="147"/>
        <v>33995.166666666664</v>
      </c>
      <c r="T542" s="582">
        <v>102005</v>
      </c>
      <c r="U542" s="585">
        <v>105757</v>
      </c>
      <c r="V542" s="583">
        <f t="shared" si="148"/>
        <v>1038543</v>
      </c>
      <c r="W542" s="584">
        <f>IF(ISBLANK(#REF!),0,R542)</f>
        <v>1019855</v>
      </c>
      <c r="X542" s="582">
        <v>472670</v>
      </c>
      <c r="Y542" s="585">
        <v>427303</v>
      </c>
      <c r="Z542" s="582">
        <v>389630</v>
      </c>
      <c r="AA542" s="585">
        <v>394718</v>
      </c>
      <c r="AB542" s="582">
        <v>478384</v>
      </c>
      <c r="AC542" s="585">
        <v>424225</v>
      </c>
      <c r="AD542" s="582">
        <v>596809</v>
      </c>
      <c r="AE542" s="585">
        <v>690814</v>
      </c>
      <c r="AF542" s="583">
        <f t="shared" si="150"/>
        <v>1937493</v>
      </c>
      <c r="AG542" s="583">
        <f t="shared" si="151"/>
        <v>2152.77</v>
      </c>
      <c r="AH542" s="584">
        <f t="shared" si="152"/>
        <v>1937060</v>
      </c>
      <c r="AI542" s="584">
        <f t="shared" si="153"/>
        <v>2152.2888888888888</v>
      </c>
      <c r="AJ542" s="582"/>
      <c r="AK542" s="585"/>
      <c r="AL542" s="583">
        <f t="shared" si="154"/>
        <v>0</v>
      </c>
      <c r="AM542" s="584">
        <f t="shared" si="155"/>
        <v>0</v>
      </c>
      <c r="AN542" s="582"/>
      <c r="AO542" s="585"/>
      <c r="AP542" s="582"/>
      <c r="AQ542" s="585"/>
      <c r="AR542" s="582"/>
      <c r="AS542" s="585"/>
      <c r="AT542" s="582"/>
      <c r="AU542" s="585"/>
      <c r="AV542" s="583">
        <f t="shared" si="156"/>
        <v>0</v>
      </c>
      <c r="AW542" s="583">
        <f t="shared" si="157"/>
        <v>0</v>
      </c>
      <c r="AX542" s="584">
        <f t="shared" si="158"/>
        <v>0</v>
      </c>
      <c r="AY542" s="584">
        <f t="shared" si="159"/>
        <v>0</v>
      </c>
      <c r="AZ542" s="583">
        <f t="shared" si="160"/>
        <v>36770.869999999995</v>
      </c>
      <c r="BA542" s="584">
        <f t="shared" si="161"/>
        <v>36147.455555555556</v>
      </c>
    </row>
    <row r="543" spans="1:53" ht="14.5">
      <c r="A543" s="436" t="s">
        <v>570</v>
      </c>
      <c r="B543" s="63" t="s">
        <v>618</v>
      </c>
      <c r="C543" s="538"/>
      <c r="D543" s="7">
        <v>226134</v>
      </c>
      <c r="E543" s="446">
        <v>8</v>
      </c>
      <c r="F543" s="582"/>
      <c r="G543" s="585"/>
      <c r="H543" s="582">
        <v>75309</v>
      </c>
      <c r="I543" s="585">
        <v>70039</v>
      </c>
      <c r="J543" s="582">
        <v>16857</v>
      </c>
      <c r="K543" s="585">
        <v>14231</v>
      </c>
      <c r="L543" s="582">
        <v>5603</v>
      </c>
      <c r="M543" s="585">
        <v>5129</v>
      </c>
      <c r="N543" s="582">
        <v>75905</v>
      </c>
      <c r="O543" s="585">
        <v>77784</v>
      </c>
      <c r="P543" s="583">
        <f t="shared" si="144"/>
        <v>173674</v>
      </c>
      <c r="Q543" s="583">
        <f t="shared" si="145"/>
        <v>5789.1333333333332</v>
      </c>
      <c r="R543" s="584">
        <f t="shared" si="146"/>
        <v>167183</v>
      </c>
      <c r="S543" s="584">
        <f t="shared" si="147"/>
        <v>5572.7666666666664</v>
      </c>
      <c r="T543" s="582">
        <v>36837</v>
      </c>
      <c r="U543" s="585">
        <v>38522</v>
      </c>
      <c r="V543" s="583">
        <f t="shared" si="148"/>
        <v>173674</v>
      </c>
      <c r="W543" s="584">
        <f>IF(ISBLANK(#REF!),0,R543)</f>
        <v>167183</v>
      </c>
      <c r="X543" s="582">
        <v>9320</v>
      </c>
      <c r="Y543" s="585">
        <v>9907</v>
      </c>
      <c r="Z543" s="582">
        <v>13439</v>
      </c>
      <c r="AA543" s="585">
        <v>22170</v>
      </c>
      <c r="AB543" s="582">
        <v>20870</v>
      </c>
      <c r="AC543" s="585">
        <v>21958</v>
      </c>
      <c r="AD543" s="582">
        <v>21627</v>
      </c>
      <c r="AE543" s="585">
        <v>30804</v>
      </c>
      <c r="AF543" s="583">
        <f t="shared" si="150"/>
        <v>65256</v>
      </c>
      <c r="AG543" s="583">
        <f t="shared" si="151"/>
        <v>72.506666666666661</v>
      </c>
      <c r="AH543" s="584">
        <f t="shared" si="152"/>
        <v>84839</v>
      </c>
      <c r="AI543" s="584">
        <f t="shared" si="153"/>
        <v>94.265555555555551</v>
      </c>
      <c r="AJ543" s="582"/>
      <c r="AK543" s="585"/>
      <c r="AL543" s="583">
        <f t="shared" si="154"/>
        <v>0</v>
      </c>
      <c r="AM543" s="584">
        <f t="shared" si="155"/>
        <v>0</v>
      </c>
      <c r="AN543" s="582"/>
      <c r="AO543" s="585"/>
      <c r="AP543" s="582"/>
      <c r="AQ543" s="585"/>
      <c r="AR543" s="582"/>
      <c r="AS543" s="585"/>
      <c r="AT543" s="582"/>
      <c r="AU543" s="585"/>
      <c r="AV543" s="583">
        <f t="shared" si="156"/>
        <v>0</v>
      </c>
      <c r="AW543" s="583">
        <f t="shared" si="157"/>
        <v>0</v>
      </c>
      <c r="AX543" s="584">
        <f t="shared" si="158"/>
        <v>0</v>
      </c>
      <c r="AY543" s="584">
        <f t="shared" si="159"/>
        <v>0</v>
      </c>
      <c r="AZ543" s="583">
        <f t="shared" si="160"/>
        <v>5861.6399999999994</v>
      </c>
      <c r="BA543" s="584">
        <f t="shared" si="161"/>
        <v>5667.0322222222221</v>
      </c>
    </row>
    <row r="544" spans="1:53" ht="14.5">
      <c r="A544" s="436" t="s">
        <v>570</v>
      </c>
      <c r="B544" s="8" t="s">
        <v>619</v>
      </c>
      <c r="C544" s="538"/>
      <c r="D544" s="7">
        <v>227182</v>
      </c>
      <c r="E544" s="446">
        <v>8</v>
      </c>
      <c r="F544" s="582"/>
      <c r="G544" s="585"/>
      <c r="H544" s="582">
        <v>623892</v>
      </c>
      <c r="I544" s="585">
        <v>534215</v>
      </c>
      <c r="J544" s="582">
        <v>271052</v>
      </c>
      <c r="K544" s="585">
        <v>262061</v>
      </c>
      <c r="L544" s="582">
        <v>0</v>
      </c>
      <c r="M544" s="585">
        <v>0</v>
      </c>
      <c r="N544" s="582">
        <v>505376</v>
      </c>
      <c r="O544" s="585">
        <v>511797</v>
      </c>
      <c r="P544" s="583">
        <f t="shared" si="144"/>
        <v>1400320</v>
      </c>
      <c r="Q544" s="583">
        <f t="shared" si="145"/>
        <v>46677.333333333336</v>
      </c>
      <c r="R544" s="584">
        <f t="shared" si="146"/>
        <v>1308073</v>
      </c>
      <c r="S544" s="584">
        <f t="shared" si="147"/>
        <v>43602.433333333334</v>
      </c>
      <c r="T544" s="582">
        <v>188396</v>
      </c>
      <c r="U544" s="585">
        <v>204193</v>
      </c>
      <c r="V544" s="583">
        <f t="shared" si="148"/>
        <v>1400320</v>
      </c>
      <c r="W544" s="584">
        <f>IF(ISBLANK(#REF!),0,R544)</f>
        <v>1308073</v>
      </c>
      <c r="X544" s="582">
        <v>73735</v>
      </c>
      <c r="Y544" s="585">
        <v>63864</v>
      </c>
      <c r="Z544" s="582">
        <v>73597</v>
      </c>
      <c r="AA544" s="585">
        <v>62551</v>
      </c>
      <c r="AB544" s="582">
        <v>88885</v>
      </c>
      <c r="AC544" s="585">
        <v>60010</v>
      </c>
      <c r="AD544" s="582">
        <v>104805</v>
      </c>
      <c r="AE544" s="585">
        <v>89923</v>
      </c>
      <c r="AF544" s="583">
        <f t="shared" si="150"/>
        <v>341022</v>
      </c>
      <c r="AG544" s="583">
        <f t="shared" si="151"/>
        <v>378.91333333333336</v>
      </c>
      <c r="AH544" s="584">
        <f t="shared" si="152"/>
        <v>276348</v>
      </c>
      <c r="AI544" s="584">
        <f t="shared" si="153"/>
        <v>307.05333333333334</v>
      </c>
      <c r="AJ544" s="582"/>
      <c r="AK544" s="585"/>
      <c r="AL544" s="583">
        <f t="shared" si="154"/>
        <v>0</v>
      </c>
      <c r="AM544" s="584">
        <f t="shared" si="155"/>
        <v>0</v>
      </c>
      <c r="AN544" s="582"/>
      <c r="AO544" s="585"/>
      <c r="AP544" s="582"/>
      <c r="AQ544" s="585"/>
      <c r="AR544" s="582"/>
      <c r="AS544" s="585"/>
      <c r="AT544" s="582"/>
      <c r="AU544" s="585"/>
      <c r="AV544" s="583">
        <f t="shared" si="156"/>
        <v>0</v>
      </c>
      <c r="AW544" s="583">
        <f t="shared" si="157"/>
        <v>0</v>
      </c>
      <c r="AX544" s="584">
        <f t="shared" si="158"/>
        <v>0</v>
      </c>
      <c r="AY544" s="584">
        <f t="shared" si="159"/>
        <v>0</v>
      </c>
      <c r="AZ544" s="583">
        <f t="shared" si="160"/>
        <v>47056.246666666666</v>
      </c>
      <c r="BA544" s="584">
        <f t="shared" si="161"/>
        <v>43909.486666666671</v>
      </c>
    </row>
    <row r="545" spans="1:53" ht="14.5">
      <c r="A545" s="436" t="s">
        <v>570</v>
      </c>
      <c r="B545" s="61" t="s">
        <v>620</v>
      </c>
      <c r="C545" s="538"/>
      <c r="D545" s="7">
        <v>226578</v>
      </c>
      <c r="E545" s="446">
        <v>8</v>
      </c>
      <c r="F545" s="582"/>
      <c r="G545" s="585"/>
      <c r="H545" s="582">
        <v>74658</v>
      </c>
      <c r="I545" s="585">
        <v>74502</v>
      </c>
      <c r="J545" s="582">
        <v>18882</v>
      </c>
      <c r="K545" s="585">
        <v>18486</v>
      </c>
      <c r="L545" s="582">
        <v>10860</v>
      </c>
      <c r="M545" s="585">
        <v>11407</v>
      </c>
      <c r="N545" s="582">
        <v>76974</v>
      </c>
      <c r="O545" s="585">
        <v>72581</v>
      </c>
      <c r="P545" s="583">
        <f t="shared" si="144"/>
        <v>181374</v>
      </c>
      <c r="Q545" s="583">
        <f t="shared" si="145"/>
        <v>6045.8</v>
      </c>
      <c r="R545" s="584">
        <f t="shared" si="146"/>
        <v>176976</v>
      </c>
      <c r="S545" s="584">
        <f t="shared" si="147"/>
        <v>5899.2</v>
      </c>
      <c r="T545" s="582">
        <v>21160</v>
      </c>
      <c r="U545" s="585">
        <v>22068</v>
      </c>
      <c r="V545" s="583">
        <f t="shared" si="148"/>
        <v>181374</v>
      </c>
      <c r="W545" s="584">
        <f>IF(ISBLANK(#REF!),0,R545)</f>
        <v>176976</v>
      </c>
      <c r="X545" s="582">
        <v>33215</v>
      </c>
      <c r="Y545" s="585">
        <v>37337</v>
      </c>
      <c r="Z545" s="582">
        <v>20802</v>
      </c>
      <c r="AA545" s="585">
        <v>29247</v>
      </c>
      <c r="AB545" s="582">
        <v>55183</v>
      </c>
      <c r="AC545" s="585">
        <v>44206</v>
      </c>
      <c r="AD545" s="582">
        <v>42404</v>
      </c>
      <c r="AE545" s="585">
        <v>45704</v>
      </c>
      <c r="AF545" s="583">
        <f t="shared" si="150"/>
        <v>151604</v>
      </c>
      <c r="AG545" s="583">
        <f t="shared" si="151"/>
        <v>168.44888888888889</v>
      </c>
      <c r="AH545" s="584">
        <f t="shared" si="152"/>
        <v>156494</v>
      </c>
      <c r="AI545" s="584">
        <f t="shared" si="153"/>
        <v>173.88222222222223</v>
      </c>
      <c r="AJ545" s="582"/>
      <c r="AK545" s="585"/>
      <c r="AL545" s="583">
        <f t="shared" si="154"/>
        <v>0</v>
      </c>
      <c r="AM545" s="584">
        <f t="shared" si="155"/>
        <v>0</v>
      </c>
      <c r="AN545" s="582"/>
      <c r="AO545" s="585"/>
      <c r="AP545" s="582"/>
      <c r="AQ545" s="585"/>
      <c r="AR545" s="582"/>
      <c r="AS545" s="585"/>
      <c r="AT545" s="582"/>
      <c r="AU545" s="585"/>
      <c r="AV545" s="583">
        <f t="shared" si="156"/>
        <v>0</v>
      </c>
      <c r="AW545" s="583">
        <f t="shared" si="157"/>
        <v>0</v>
      </c>
      <c r="AX545" s="584">
        <f t="shared" si="158"/>
        <v>0</v>
      </c>
      <c r="AY545" s="584">
        <f t="shared" si="159"/>
        <v>0</v>
      </c>
      <c r="AZ545" s="583">
        <f t="shared" si="160"/>
        <v>6214.2488888888893</v>
      </c>
      <c r="BA545" s="584">
        <f t="shared" si="161"/>
        <v>6073.0822222222223</v>
      </c>
    </row>
    <row r="546" spans="1:53" ht="14.5">
      <c r="A546" s="436" t="s">
        <v>570</v>
      </c>
      <c r="B546" s="63" t="s">
        <v>904</v>
      </c>
      <c r="C546" s="527"/>
      <c r="D546" s="7">
        <v>226930</v>
      </c>
      <c r="E546" s="446">
        <v>8</v>
      </c>
      <c r="F546" s="582"/>
      <c r="G546" s="585"/>
      <c r="H546" s="582">
        <v>71246</v>
      </c>
      <c r="I546" s="585">
        <v>72632</v>
      </c>
      <c r="J546" s="582">
        <v>33584</v>
      </c>
      <c r="K546" s="585">
        <v>34618</v>
      </c>
      <c r="L546" s="582">
        <v>0</v>
      </c>
      <c r="M546" s="585">
        <v>0</v>
      </c>
      <c r="N546" s="582">
        <v>71459</v>
      </c>
      <c r="O546" s="585">
        <v>76442</v>
      </c>
      <c r="P546" s="583">
        <f t="shared" si="144"/>
        <v>176289</v>
      </c>
      <c r="Q546" s="583">
        <f t="shared" si="145"/>
        <v>5876.3</v>
      </c>
      <c r="R546" s="584">
        <f t="shared" si="146"/>
        <v>183692</v>
      </c>
      <c r="S546" s="584">
        <f t="shared" si="147"/>
        <v>6123.0666666666666</v>
      </c>
      <c r="T546" s="582">
        <v>37228</v>
      </c>
      <c r="U546" s="585">
        <v>40358</v>
      </c>
      <c r="V546" s="583">
        <f t="shared" si="148"/>
        <v>176289</v>
      </c>
      <c r="W546" s="584">
        <f>IF(ISBLANK(#REF!),0,R546)</f>
        <v>183692</v>
      </c>
      <c r="X546" s="582">
        <v>19922</v>
      </c>
      <c r="Y546" s="585">
        <v>30112</v>
      </c>
      <c r="Z546" s="582">
        <v>25916</v>
      </c>
      <c r="AA546" s="585">
        <v>33519</v>
      </c>
      <c r="AB546" s="582">
        <v>35403</v>
      </c>
      <c r="AC546" s="585">
        <v>39364</v>
      </c>
      <c r="AD546" s="582">
        <v>27279</v>
      </c>
      <c r="AE546" s="585">
        <v>36545</v>
      </c>
      <c r="AF546" s="583">
        <f t="shared" si="150"/>
        <v>108520</v>
      </c>
      <c r="AG546" s="583">
        <f t="shared" si="151"/>
        <v>120.57777777777778</v>
      </c>
      <c r="AH546" s="584">
        <f t="shared" si="152"/>
        <v>139540</v>
      </c>
      <c r="AI546" s="584">
        <f t="shared" si="153"/>
        <v>155.04444444444445</v>
      </c>
      <c r="AJ546" s="582"/>
      <c r="AK546" s="585"/>
      <c r="AL546" s="583">
        <f t="shared" si="154"/>
        <v>0</v>
      </c>
      <c r="AM546" s="584">
        <f t="shared" si="155"/>
        <v>0</v>
      </c>
      <c r="AN546" s="582"/>
      <c r="AO546" s="585"/>
      <c r="AP546" s="582"/>
      <c r="AQ546" s="585"/>
      <c r="AR546" s="582"/>
      <c r="AS546" s="585"/>
      <c r="AT546" s="582"/>
      <c r="AU546" s="585"/>
      <c r="AV546" s="583">
        <f t="shared" si="156"/>
        <v>0</v>
      </c>
      <c r="AW546" s="583">
        <f t="shared" si="157"/>
        <v>0</v>
      </c>
      <c r="AX546" s="584">
        <f t="shared" si="158"/>
        <v>0</v>
      </c>
      <c r="AY546" s="584">
        <f t="shared" si="159"/>
        <v>0</v>
      </c>
      <c r="AZ546" s="583">
        <f t="shared" si="160"/>
        <v>5996.8777777777777</v>
      </c>
      <c r="BA546" s="584">
        <f t="shared" si="161"/>
        <v>6278.1111111111113</v>
      </c>
    </row>
    <row r="547" spans="1:53" ht="14.5">
      <c r="A547" s="436" t="s">
        <v>570</v>
      </c>
      <c r="B547" s="61" t="s">
        <v>621</v>
      </c>
      <c r="C547" s="538"/>
      <c r="D547" s="7">
        <v>227146</v>
      </c>
      <c r="E547" s="446">
        <v>8</v>
      </c>
      <c r="F547" s="582"/>
      <c r="G547" s="585"/>
      <c r="H547" s="582">
        <v>77657</v>
      </c>
      <c r="I547" s="585">
        <v>73051</v>
      </c>
      <c r="J547" s="582">
        <v>12334</v>
      </c>
      <c r="K547" s="585">
        <v>14379</v>
      </c>
      <c r="L547" s="582">
        <v>10981</v>
      </c>
      <c r="M547" s="585">
        <v>8637</v>
      </c>
      <c r="N547" s="582">
        <v>76474</v>
      </c>
      <c r="O547" s="585">
        <v>72821</v>
      </c>
      <c r="P547" s="583">
        <f t="shared" si="144"/>
        <v>177446</v>
      </c>
      <c r="Q547" s="583">
        <f t="shared" si="145"/>
        <v>5914.8666666666668</v>
      </c>
      <c r="R547" s="584">
        <f t="shared" si="146"/>
        <v>168888</v>
      </c>
      <c r="S547" s="584">
        <f t="shared" si="147"/>
        <v>5629.6</v>
      </c>
      <c r="T547" s="582">
        <v>39260</v>
      </c>
      <c r="U547" s="585">
        <v>40886</v>
      </c>
      <c r="V547" s="583">
        <f t="shared" si="148"/>
        <v>177446</v>
      </c>
      <c r="W547" s="584">
        <f>IF(ISBLANK(#REF!),0,R547)</f>
        <v>168888</v>
      </c>
      <c r="X547" s="582">
        <v>53388</v>
      </c>
      <c r="Y547" s="585">
        <v>53442</v>
      </c>
      <c r="Z547" s="582">
        <v>38030</v>
      </c>
      <c r="AA547" s="585">
        <v>32959</v>
      </c>
      <c r="AB547" s="582">
        <v>64733</v>
      </c>
      <c r="AC547" s="585">
        <v>53490</v>
      </c>
      <c r="AD547" s="582">
        <v>46266</v>
      </c>
      <c r="AE547" s="585">
        <v>25050</v>
      </c>
      <c r="AF547" s="583">
        <f t="shared" si="150"/>
        <v>202417</v>
      </c>
      <c r="AG547" s="583">
        <f t="shared" si="151"/>
        <v>224.90777777777777</v>
      </c>
      <c r="AH547" s="584">
        <f t="shared" si="152"/>
        <v>164941</v>
      </c>
      <c r="AI547" s="584">
        <f t="shared" si="153"/>
        <v>183.26777777777778</v>
      </c>
      <c r="AJ547" s="582"/>
      <c r="AK547" s="585"/>
      <c r="AL547" s="583">
        <f t="shared" si="154"/>
        <v>0</v>
      </c>
      <c r="AM547" s="584">
        <f t="shared" si="155"/>
        <v>0</v>
      </c>
      <c r="AN547" s="582"/>
      <c r="AO547" s="585"/>
      <c r="AP547" s="582"/>
      <c r="AQ547" s="585"/>
      <c r="AR547" s="582"/>
      <c r="AS547" s="585"/>
      <c r="AT547" s="582"/>
      <c r="AU547" s="585"/>
      <c r="AV547" s="583">
        <f t="shared" si="156"/>
        <v>0</v>
      </c>
      <c r="AW547" s="583">
        <f t="shared" si="157"/>
        <v>0</v>
      </c>
      <c r="AX547" s="584">
        <f t="shared" si="158"/>
        <v>0</v>
      </c>
      <c r="AY547" s="584">
        <f t="shared" si="159"/>
        <v>0</v>
      </c>
      <c r="AZ547" s="583">
        <f t="shared" si="160"/>
        <v>6139.7744444444443</v>
      </c>
      <c r="BA547" s="584">
        <f t="shared" si="161"/>
        <v>5812.8677777777784</v>
      </c>
    </row>
    <row r="548" spans="1:53" ht="14.5">
      <c r="A548" s="436" t="s">
        <v>570</v>
      </c>
      <c r="B548" s="65" t="s">
        <v>622</v>
      </c>
      <c r="C548" s="538"/>
      <c r="D548" s="7">
        <v>224110</v>
      </c>
      <c r="E548" s="446">
        <v>8</v>
      </c>
      <c r="F548" s="582"/>
      <c r="G548" s="585"/>
      <c r="H548" s="582">
        <v>72892</v>
      </c>
      <c r="I548" s="585">
        <v>77584</v>
      </c>
      <c r="J548" s="582">
        <v>26541</v>
      </c>
      <c r="K548" s="585">
        <v>27589</v>
      </c>
      <c r="L548" s="582">
        <v>0</v>
      </c>
      <c r="M548" s="585">
        <v>0</v>
      </c>
      <c r="N548" s="582">
        <v>80559</v>
      </c>
      <c r="O548" s="585">
        <v>72325</v>
      </c>
      <c r="P548" s="583">
        <f t="shared" si="144"/>
        <v>179992</v>
      </c>
      <c r="Q548" s="583">
        <f t="shared" si="145"/>
        <v>5999.7333333333336</v>
      </c>
      <c r="R548" s="584">
        <f t="shared" si="146"/>
        <v>177498</v>
      </c>
      <c r="S548" s="584">
        <f t="shared" si="147"/>
        <v>5916.6</v>
      </c>
      <c r="T548" s="582">
        <v>24383</v>
      </c>
      <c r="U548" s="585">
        <v>26804</v>
      </c>
      <c r="V548" s="583">
        <f t="shared" si="148"/>
        <v>179992</v>
      </c>
      <c r="W548" s="584">
        <f>IF(ISBLANK(#REF!),0,R548)</f>
        <v>177498</v>
      </c>
      <c r="X548" s="582">
        <v>9579</v>
      </c>
      <c r="Y548" s="585">
        <v>9470</v>
      </c>
      <c r="Z548" s="582">
        <v>6810</v>
      </c>
      <c r="AA548" s="585">
        <v>5522</v>
      </c>
      <c r="AB548" s="582">
        <v>9232</v>
      </c>
      <c r="AC548" s="585">
        <v>5261</v>
      </c>
      <c r="AD548" s="582">
        <v>14528</v>
      </c>
      <c r="AE548" s="585">
        <v>11899</v>
      </c>
      <c r="AF548" s="583">
        <f t="shared" si="150"/>
        <v>40149</v>
      </c>
      <c r="AG548" s="583">
        <f t="shared" si="151"/>
        <v>44.61</v>
      </c>
      <c r="AH548" s="584">
        <f t="shared" si="152"/>
        <v>32152</v>
      </c>
      <c r="AI548" s="584">
        <f t="shared" si="153"/>
        <v>35.724444444444444</v>
      </c>
      <c r="AJ548" s="582"/>
      <c r="AK548" s="585"/>
      <c r="AL548" s="583">
        <f t="shared" si="154"/>
        <v>0</v>
      </c>
      <c r="AM548" s="584">
        <f t="shared" si="155"/>
        <v>0</v>
      </c>
      <c r="AN548" s="582"/>
      <c r="AO548" s="585"/>
      <c r="AP548" s="582"/>
      <c r="AQ548" s="585"/>
      <c r="AR548" s="582"/>
      <c r="AS548" s="585"/>
      <c r="AT548" s="582"/>
      <c r="AU548" s="585"/>
      <c r="AV548" s="583">
        <f t="shared" si="156"/>
        <v>0</v>
      </c>
      <c r="AW548" s="583">
        <f t="shared" si="157"/>
        <v>0</v>
      </c>
      <c r="AX548" s="584">
        <f t="shared" si="158"/>
        <v>0</v>
      </c>
      <c r="AY548" s="584">
        <f t="shared" si="159"/>
        <v>0</v>
      </c>
      <c r="AZ548" s="583">
        <f t="shared" si="160"/>
        <v>6044.3433333333332</v>
      </c>
      <c r="BA548" s="584">
        <f t="shared" si="161"/>
        <v>5952.3244444444445</v>
      </c>
    </row>
    <row r="549" spans="1:53" ht="14.5">
      <c r="A549" s="436" t="s">
        <v>570</v>
      </c>
      <c r="B549" s="63" t="s">
        <v>899</v>
      </c>
      <c r="C549" s="538"/>
      <c r="D549" s="7">
        <v>227191</v>
      </c>
      <c r="E549" s="446">
        <v>8</v>
      </c>
      <c r="F549" s="582"/>
      <c r="G549" s="585"/>
      <c r="H549" s="582">
        <v>66268</v>
      </c>
      <c r="I549" s="585">
        <v>64458</v>
      </c>
      <c r="J549" s="582">
        <v>50904</v>
      </c>
      <c r="K549" s="585">
        <v>47453</v>
      </c>
      <c r="L549" s="582">
        <v>0</v>
      </c>
      <c r="M549" s="585">
        <v>0</v>
      </c>
      <c r="N549" s="582">
        <v>65553</v>
      </c>
      <c r="O549" s="585">
        <v>55015</v>
      </c>
      <c r="P549" s="583">
        <f t="shared" si="144"/>
        <v>182725</v>
      </c>
      <c r="Q549" s="583">
        <f t="shared" si="145"/>
        <v>6090.833333333333</v>
      </c>
      <c r="R549" s="584">
        <f t="shared" si="146"/>
        <v>166926</v>
      </c>
      <c r="S549" s="584">
        <f t="shared" si="147"/>
        <v>5564.2</v>
      </c>
      <c r="T549" s="582">
        <v>18671</v>
      </c>
      <c r="U549" s="585">
        <v>20395</v>
      </c>
      <c r="V549" s="583">
        <f t="shared" si="148"/>
        <v>182725</v>
      </c>
      <c r="W549" s="584">
        <f>IF(ISBLANK(#REF!),0,R549)</f>
        <v>166926</v>
      </c>
      <c r="X549" s="582">
        <v>166753</v>
      </c>
      <c r="Y549" s="585">
        <v>176016</v>
      </c>
      <c r="Z549" s="582">
        <v>119114</v>
      </c>
      <c r="AA549" s="585">
        <v>91267</v>
      </c>
      <c r="AB549" s="582">
        <v>96851</v>
      </c>
      <c r="AC549" s="585">
        <v>93231</v>
      </c>
      <c r="AD549" s="582">
        <v>221926</v>
      </c>
      <c r="AE549" s="585">
        <v>189515</v>
      </c>
      <c r="AF549" s="583">
        <f t="shared" si="150"/>
        <v>604644</v>
      </c>
      <c r="AG549" s="583">
        <f t="shared" si="151"/>
        <v>671.82666666666671</v>
      </c>
      <c r="AH549" s="584">
        <f t="shared" si="152"/>
        <v>550029</v>
      </c>
      <c r="AI549" s="584">
        <f t="shared" si="153"/>
        <v>611.14333333333332</v>
      </c>
      <c r="AJ549" s="582"/>
      <c r="AK549" s="585"/>
      <c r="AL549" s="583">
        <f t="shared" si="154"/>
        <v>0</v>
      </c>
      <c r="AM549" s="584">
        <f t="shared" si="155"/>
        <v>0</v>
      </c>
      <c r="AN549" s="582"/>
      <c r="AO549" s="585"/>
      <c r="AP549" s="582"/>
      <c r="AQ549" s="585"/>
      <c r="AR549" s="582"/>
      <c r="AS549" s="585"/>
      <c r="AT549" s="582"/>
      <c r="AU549" s="585"/>
      <c r="AV549" s="583">
        <f t="shared" si="156"/>
        <v>0</v>
      </c>
      <c r="AW549" s="583">
        <f t="shared" si="157"/>
        <v>0</v>
      </c>
      <c r="AX549" s="584">
        <f t="shared" si="158"/>
        <v>0</v>
      </c>
      <c r="AY549" s="584">
        <f t="shared" si="159"/>
        <v>0</v>
      </c>
      <c r="AZ549" s="583">
        <f t="shared" si="160"/>
        <v>6762.66</v>
      </c>
      <c r="BA549" s="584">
        <f t="shared" si="161"/>
        <v>6175.3433333333332</v>
      </c>
    </row>
    <row r="550" spans="1:53" ht="14.5">
      <c r="A550" s="436" t="s">
        <v>570</v>
      </c>
      <c r="B550" s="66" t="s">
        <v>623</v>
      </c>
      <c r="C550" s="538"/>
      <c r="D550" s="7">
        <v>420398</v>
      </c>
      <c r="E550" s="446">
        <v>8</v>
      </c>
      <c r="F550" s="582"/>
      <c r="G550" s="585"/>
      <c r="H550" s="582">
        <v>126246</v>
      </c>
      <c r="I550" s="585">
        <v>121783</v>
      </c>
      <c r="J550" s="582">
        <v>43499</v>
      </c>
      <c r="K550" s="585">
        <v>41892</v>
      </c>
      <c r="L550" s="582">
        <v>0</v>
      </c>
      <c r="M550" s="585">
        <v>0</v>
      </c>
      <c r="N550" s="582">
        <v>124563</v>
      </c>
      <c r="O550" s="585">
        <v>137401</v>
      </c>
      <c r="P550" s="583">
        <f t="shared" si="144"/>
        <v>294308</v>
      </c>
      <c r="Q550" s="583">
        <f t="shared" si="145"/>
        <v>9810.2666666666664</v>
      </c>
      <c r="R550" s="584">
        <f t="shared" si="146"/>
        <v>301076</v>
      </c>
      <c r="S550" s="584">
        <f t="shared" si="147"/>
        <v>10035.866666666667</v>
      </c>
      <c r="T550" s="582">
        <v>38869</v>
      </c>
      <c r="U550" s="585">
        <v>39944</v>
      </c>
      <c r="V550" s="583">
        <f t="shared" si="148"/>
        <v>294308</v>
      </c>
      <c r="W550" s="584">
        <f>IF(ISBLANK(#REF!),0,R550)</f>
        <v>301076</v>
      </c>
      <c r="X550" s="582">
        <v>11992</v>
      </c>
      <c r="Y550" s="585">
        <v>12146</v>
      </c>
      <c r="Z550" s="582">
        <v>20718</v>
      </c>
      <c r="AA550" s="585">
        <v>15413</v>
      </c>
      <c r="AB550" s="582">
        <v>27124</v>
      </c>
      <c r="AC550" s="585">
        <v>15118</v>
      </c>
      <c r="AD550" s="582">
        <v>14070</v>
      </c>
      <c r="AE550" s="585">
        <v>19556</v>
      </c>
      <c r="AF550" s="583">
        <f t="shared" si="150"/>
        <v>73904</v>
      </c>
      <c r="AG550" s="583">
        <f t="shared" si="151"/>
        <v>82.115555555555559</v>
      </c>
      <c r="AH550" s="584">
        <f t="shared" si="152"/>
        <v>62233</v>
      </c>
      <c r="AI550" s="584">
        <f t="shared" si="153"/>
        <v>69.147777777777776</v>
      </c>
      <c r="AJ550" s="582"/>
      <c r="AK550" s="585"/>
      <c r="AL550" s="583">
        <f t="shared" si="154"/>
        <v>0</v>
      </c>
      <c r="AM550" s="584">
        <f t="shared" si="155"/>
        <v>0</v>
      </c>
      <c r="AN550" s="582"/>
      <c r="AO550" s="585"/>
      <c r="AP550" s="582"/>
      <c r="AQ550" s="585"/>
      <c r="AR550" s="582"/>
      <c r="AS550" s="585"/>
      <c r="AT550" s="582"/>
      <c r="AU550" s="585"/>
      <c r="AV550" s="583">
        <f t="shared" si="156"/>
        <v>0</v>
      </c>
      <c r="AW550" s="583">
        <f t="shared" si="157"/>
        <v>0</v>
      </c>
      <c r="AX550" s="584">
        <f t="shared" si="158"/>
        <v>0</v>
      </c>
      <c r="AY550" s="584">
        <f t="shared" si="159"/>
        <v>0</v>
      </c>
      <c r="AZ550" s="583">
        <f t="shared" si="160"/>
        <v>9892.3822222222225</v>
      </c>
      <c r="BA550" s="584">
        <f t="shared" si="161"/>
        <v>10105.014444444445</v>
      </c>
    </row>
    <row r="551" spans="1:53" ht="14.5">
      <c r="A551" s="436" t="s">
        <v>570</v>
      </c>
      <c r="B551" s="63" t="s">
        <v>900</v>
      </c>
      <c r="C551" s="538"/>
      <c r="D551" s="7">
        <v>246354</v>
      </c>
      <c r="E551" s="446">
        <v>8</v>
      </c>
      <c r="F551" s="582"/>
      <c r="G551" s="585"/>
      <c r="H551" s="582">
        <v>70929</v>
      </c>
      <c r="I551" s="585">
        <v>68749</v>
      </c>
      <c r="J551" s="582">
        <v>25982</v>
      </c>
      <c r="K551" s="585">
        <v>23353</v>
      </c>
      <c r="L551" s="582">
        <v>0</v>
      </c>
      <c r="M551" s="585">
        <v>0</v>
      </c>
      <c r="N551" s="582">
        <v>68064</v>
      </c>
      <c r="O551" s="585">
        <v>75026</v>
      </c>
      <c r="P551" s="583">
        <f t="shared" si="144"/>
        <v>164975</v>
      </c>
      <c r="Q551" s="583">
        <f t="shared" si="145"/>
        <v>5499.166666666667</v>
      </c>
      <c r="R551" s="584">
        <f t="shared" si="146"/>
        <v>167128</v>
      </c>
      <c r="S551" s="584">
        <f t="shared" si="147"/>
        <v>5570.9333333333334</v>
      </c>
      <c r="T551" s="582">
        <v>35472</v>
      </c>
      <c r="U551" s="585">
        <v>35169</v>
      </c>
      <c r="V551" s="583">
        <f t="shared" si="148"/>
        <v>164975</v>
      </c>
      <c r="W551" s="584">
        <f>IF(ISBLANK(#REF!),0,R551)</f>
        <v>167128</v>
      </c>
      <c r="X551" s="582">
        <v>12988</v>
      </c>
      <c r="Y551" s="585">
        <v>14004</v>
      </c>
      <c r="Z551" s="582">
        <v>12734</v>
      </c>
      <c r="AA551" s="585">
        <v>19569</v>
      </c>
      <c r="AB551" s="582">
        <v>23047</v>
      </c>
      <c r="AC551" s="585">
        <v>8306</v>
      </c>
      <c r="AD551" s="582">
        <v>36484</v>
      </c>
      <c r="AE551" s="585">
        <v>18096</v>
      </c>
      <c r="AF551" s="583">
        <f t="shared" si="150"/>
        <v>85253</v>
      </c>
      <c r="AG551" s="583">
        <f t="shared" si="151"/>
        <v>94.725555555555559</v>
      </c>
      <c r="AH551" s="584">
        <f t="shared" si="152"/>
        <v>59975</v>
      </c>
      <c r="AI551" s="584">
        <f t="shared" si="153"/>
        <v>66.638888888888886</v>
      </c>
      <c r="AJ551" s="582"/>
      <c r="AK551" s="585"/>
      <c r="AL551" s="583">
        <f t="shared" si="154"/>
        <v>0</v>
      </c>
      <c r="AM551" s="584">
        <f t="shared" si="155"/>
        <v>0</v>
      </c>
      <c r="AN551" s="582"/>
      <c r="AO551" s="585"/>
      <c r="AP551" s="582"/>
      <c r="AQ551" s="585"/>
      <c r="AR551" s="582"/>
      <c r="AS551" s="585"/>
      <c r="AT551" s="582"/>
      <c r="AU551" s="585"/>
      <c r="AV551" s="583">
        <f t="shared" si="156"/>
        <v>0</v>
      </c>
      <c r="AW551" s="583">
        <f t="shared" si="157"/>
        <v>0</v>
      </c>
      <c r="AX551" s="584">
        <f t="shared" si="158"/>
        <v>0</v>
      </c>
      <c r="AY551" s="584">
        <f t="shared" si="159"/>
        <v>0</v>
      </c>
      <c r="AZ551" s="583">
        <f t="shared" si="160"/>
        <v>5593.8922222222227</v>
      </c>
      <c r="BA551" s="584">
        <f t="shared" si="161"/>
        <v>5637.5722222222221</v>
      </c>
    </row>
    <row r="552" spans="1:53" ht="14.5">
      <c r="A552" s="436" t="s">
        <v>570</v>
      </c>
      <c r="B552" s="63" t="s">
        <v>901</v>
      </c>
      <c r="C552" s="538"/>
      <c r="D552" s="7">
        <v>227766</v>
      </c>
      <c r="E552" s="446">
        <v>8</v>
      </c>
      <c r="F552" s="582"/>
      <c r="G552" s="585"/>
      <c r="H552" s="582">
        <v>140370</v>
      </c>
      <c r="I552" s="585">
        <v>138811</v>
      </c>
      <c r="J552" s="582">
        <v>78055</v>
      </c>
      <c r="K552" s="585">
        <v>72761</v>
      </c>
      <c r="L552" s="582">
        <v>0</v>
      </c>
      <c r="M552" s="585">
        <v>0</v>
      </c>
      <c r="N552" s="582">
        <v>116474</v>
      </c>
      <c r="O552" s="585">
        <v>121369</v>
      </c>
      <c r="P552" s="583">
        <f t="shared" si="144"/>
        <v>334899</v>
      </c>
      <c r="Q552" s="583">
        <f t="shared" si="145"/>
        <v>11163.3</v>
      </c>
      <c r="R552" s="584">
        <f t="shared" si="146"/>
        <v>332941</v>
      </c>
      <c r="S552" s="584">
        <f t="shared" si="147"/>
        <v>11098.033333333333</v>
      </c>
      <c r="T552" s="582">
        <v>51845</v>
      </c>
      <c r="U552" s="585">
        <v>58238</v>
      </c>
      <c r="V552" s="583">
        <f t="shared" si="148"/>
        <v>334899</v>
      </c>
      <c r="W552" s="584">
        <f>IF(ISBLANK(#REF!),0,R552)</f>
        <v>332941</v>
      </c>
      <c r="X552" s="582">
        <v>62795</v>
      </c>
      <c r="Y552" s="585">
        <v>72987</v>
      </c>
      <c r="Z552" s="582">
        <v>86458</v>
      </c>
      <c r="AA552" s="585">
        <v>83631</v>
      </c>
      <c r="AB552" s="582">
        <v>76562</v>
      </c>
      <c r="AC552" s="585">
        <v>89957</v>
      </c>
      <c r="AD552" s="582">
        <v>118781</v>
      </c>
      <c r="AE552" s="585">
        <v>127154</v>
      </c>
      <c r="AF552" s="583">
        <f t="shared" si="150"/>
        <v>344596</v>
      </c>
      <c r="AG552" s="583">
        <f t="shared" si="151"/>
        <v>382.88444444444445</v>
      </c>
      <c r="AH552" s="584">
        <f t="shared" si="152"/>
        <v>373729</v>
      </c>
      <c r="AI552" s="584">
        <f t="shared" si="153"/>
        <v>415.25444444444446</v>
      </c>
      <c r="AJ552" s="582"/>
      <c r="AK552" s="585"/>
      <c r="AL552" s="583">
        <f t="shared" si="154"/>
        <v>0</v>
      </c>
      <c r="AM552" s="584">
        <f t="shared" si="155"/>
        <v>0</v>
      </c>
      <c r="AN552" s="582"/>
      <c r="AO552" s="585"/>
      <c r="AP552" s="582"/>
      <c r="AQ552" s="585"/>
      <c r="AR552" s="582"/>
      <c r="AS552" s="585"/>
      <c r="AT552" s="582"/>
      <c r="AU552" s="585"/>
      <c r="AV552" s="583">
        <f t="shared" si="156"/>
        <v>0</v>
      </c>
      <c r="AW552" s="583">
        <f t="shared" si="157"/>
        <v>0</v>
      </c>
      <c r="AX552" s="584">
        <f t="shared" si="158"/>
        <v>0</v>
      </c>
      <c r="AY552" s="584">
        <f t="shared" si="159"/>
        <v>0</v>
      </c>
      <c r="AZ552" s="583">
        <f t="shared" si="160"/>
        <v>11546.184444444443</v>
      </c>
      <c r="BA552" s="584">
        <f t="shared" si="161"/>
        <v>11513.287777777778</v>
      </c>
    </row>
    <row r="553" spans="1:53" ht="14.5">
      <c r="A553" s="9" t="s">
        <v>570</v>
      </c>
      <c r="B553" s="66" t="s">
        <v>624</v>
      </c>
      <c r="C553" s="538"/>
      <c r="D553" s="7">
        <v>227924</v>
      </c>
      <c r="E553" s="446">
        <v>8</v>
      </c>
      <c r="F553" s="582"/>
      <c r="G553" s="585"/>
      <c r="H553" s="582">
        <v>148829</v>
      </c>
      <c r="I553" s="585">
        <v>130631</v>
      </c>
      <c r="J553" s="582">
        <v>58912</v>
      </c>
      <c r="K553" s="585">
        <v>53043</v>
      </c>
      <c r="L553" s="582">
        <v>0</v>
      </c>
      <c r="M553" s="585">
        <v>0</v>
      </c>
      <c r="N553" s="582">
        <v>121420</v>
      </c>
      <c r="O553" s="585">
        <v>139993</v>
      </c>
      <c r="P553" s="583">
        <f t="shared" si="144"/>
        <v>329161</v>
      </c>
      <c r="Q553" s="583">
        <f t="shared" si="145"/>
        <v>10972.033333333333</v>
      </c>
      <c r="R553" s="584">
        <f t="shared" si="146"/>
        <v>323667</v>
      </c>
      <c r="S553" s="584">
        <f t="shared" si="147"/>
        <v>10788.9</v>
      </c>
      <c r="T553" s="582">
        <v>30594</v>
      </c>
      <c r="U553" s="585">
        <v>26563</v>
      </c>
      <c r="V553" s="583">
        <f t="shared" si="148"/>
        <v>329161</v>
      </c>
      <c r="W553" s="584">
        <f>IF(ISBLANK(#REF!),0,R553)</f>
        <v>323667</v>
      </c>
      <c r="X553" s="582">
        <v>20472</v>
      </c>
      <c r="Y553" s="585">
        <v>8547</v>
      </c>
      <c r="Z553" s="582">
        <v>24062</v>
      </c>
      <c r="AA553" s="585">
        <v>9036</v>
      </c>
      <c r="AB553" s="582">
        <v>14019</v>
      </c>
      <c r="AC553" s="585">
        <v>6552</v>
      </c>
      <c r="AD553" s="582">
        <v>14839</v>
      </c>
      <c r="AE553" s="585">
        <v>8522</v>
      </c>
      <c r="AF553" s="583">
        <f t="shared" si="150"/>
        <v>73392</v>
      </c>
      <c r="AG553" s="583">
        <f t="shared" si="151"/>
        <v>81.546666666666667</v>
      </c>
      <c r="AH553" s="584">
        <f t="shared" si="152"/>
        <v>32657</v>
      </c>
      <c r="AI553" s="584">
        <f t="shared" si="153"/>
        <v>36.285555555555554</v>
      </c>
      <c r="AJ553" s="582"/>
      <c r="AK553" s="585"/>
      <c r="AL553" s="583">
        <f t="shared" si="154"/>
        <v>0</v>
      </c>
      <c r="AM553" s="584">
        <f t="shared" si="155"/>
        <v>0</v>
      </c>
      <c r="AN553" s="582"/>
      <c r="AO553" s="585"/>
      <c r="AP553" s="582"/>
      <c r="AQ553" s="585"/>
      <c r="AR553" s="582"/>
      <c r="AS553" s="585"/>
      <c r="AT553" s="582"/>
      <c r="AU553" s="585"/>
      <c r="AV553" s="583">
        <f t="shared" si="156"/>
        <v>0</v>
      </c>
      <c r="AW553" s="583">
        <f t="shared" si="157"/>
        <v>0</v>
      </c>
      <c r="AX553" s="584">
        <f t="shared" si="158"/>
        <v>0</v>
      </c>
      <c r="AY553" s="584">
        <f t="shared" si="159"/>
        <v>0</v>
      </c>
      <c r="AZ553" s="583">
        <f t="shared" si="160"/>
        <v>11053.58</v>
      </c>
      <c r="BA553" s="584">
        <f t="shared" si="161"/>
        <v>10825.185555555556</v>
      </c>
    </row>
    <row r="554" spans="1:53" ht="14.5">
      <c r="A554" s="9" t="s">
        <v>570</v>
      </c>
      <c r="B554" s="61" t="s">
        <v>625</v>
      </c>
      <c r="C554" s="538"/>
      <c r="D554" s="7">
        <v>227979</v>
      </c>
      <c r="E554" s="446">
        <v>8</v>
      </c>
      <c r="F554" s="582"/>
      <c r="G554" s="585"/>
      <c r="H554" s="582">
        <v>241794</v>
      </c>
      <c r="I554" s="585">
        <v>258116</v>
      </c>
      <c r="J554" s="582">
        <v>116176</v>
      </c>
      <c r="K554" s="585">
        <v>87826</v>
      </c>
      <c r="L554" s="582">
        <v>0</v>
      </c>
      <c r="M554" s="585">
        <v>0</v>
      </c>
      <c r="N554" s="582">
        <v>249625</v>
      </c>
      <c r="O554" s="585">
        <v>267742</v>
      </c>
      <c r="P554" s="583">
        <f t="shared" si="144"/>
        <v>607595</v>
      </c>
      <c r="Q554" s="583">
        <f t="shared" si="145"/>
        <v>20253.166666666668</v>
      </c>
      <c r="R554" s="584">
        <f t="shared" si="146"/>
        <v>613684</v>
      </c>
      <c r="S554" s="584">
        <f t="shared" si="147"/>
        <v>20456.133333333335</v>
      </c>
      <c r="T554" s="582">
        <v>63508</v>
      </c>
      <c r="U554" s="585">
        <v>75879</v>
      </c>
      <c r="V554" s="583">
        <f t="shared" si="148"/>
        <v>607595</v>
      </c>
      <c r="W554" s="584">
        <f>IF(ISBLANK(#REF!),0,R554)</f>
        <v>613684</v>
      </c>
      <c r="X554" s="582">
        <v>79537</v>
      </c>
      <c r="Y554" s="585">
        <v>75581</v>
      </c>
      <c r="Z554" s="582">
        <v>52855</v>
      </c>
      <c r="AA554" s="585">
        <v>39885</v>
      </c>
      <c r="AB554" s="582">
        <v>68394</v>
      </c>
      <c r="AC554" s="585">
        <v>47935</v>
      </c>
      <c r="AD554" s="582">
        <v>89362</v>
      </c>
      <c r="AE554" s="585">
        <v>69555</v>
      </c>
      <c r="AF554" s="583">
        <f t="shared" si="150"/>
        <v>290148</v>
      </c>
      <c r="AG554" s="583">
        <f t="shared" si="151"/>
        <v>322.38666666666666</v>
      </c>
      <c r="AH554" s="584">
        <f t="shared" si="152"/>
        <v>232956</v>
      </c>
      <c r="AI554" s="584">
        <f t="shared" si="153"/>
        <v>258.83999999999997</v>
      </c>
      <c r="AJ554" s="582"/>
      <c r="AK554" s="585"/>
      <c r="AL554" s="583">
        <f t="shared" si="154"/>
        <v>0</v>
      </c>
      <c r="AM554" s="584">
        <f t="shared" si="155"/>
        <v>0</v>
      </c>
      <c r="AN554" s="582"/>
      <c r="AO554" s="585"/>
      <c r="AP554" s="582"/>
      <c r="AQ554" s="585"/>
      <c r="AR554" s="582"/>
      <c r="AS554" s="585"/>
      <c r="AT554" s="582"/>
      <c r="AU554" s="585"/>
      <c r="AV554" s="583">
        <f t="shared" si="156"/>
        <v>0</v>
      </c>
      <c r="AW554" s="583">
        <f t="shared" si="157"/>
        <v>0</v>
      </c>
      <c r="AX554" s="584">
        <f t="shared" si="158"/>
        <v>0</v>
      </c>
      <c r="AY554" s="584">
        <f t="shared" si="159"/>
        <v>0</v>
      </c>
      <c r="AZ554" s="583">
        <f t="shared" si="160"/>
        <v>20575.553333333333</v>
      </c>
      <c r="BA554" s="584">
        <f t="shared" si="161"/>
        <v>20714.973333333335</v>
      </c>
    </row>
    <row r="555" spans="1:53" ht="14.5">
      <c r="A555" s="9" t="s">
        <v>570</v>
      </c>
      <c r="B555" s="61" t="s">
        <v>626</v>
      </c>
      <c r="C555" s="538"/>
      <c r="D555" s="7">
        <v>228158</v>
      </c>
      <c r="E555" s="446">
        <v>8</v>
      </c>
      <c r="F555" s="582"/>
      <c r="G555" s="585"/>
      <c r="H555" s="582">
        <v>81141</v>
      </c>
      <c r="I555" s="585">
        <v>79435</v>
      </c>
      <c r="J555" s="582">
        <v>13482</v>
      </c>
      <c r="K555" s="585">
        <v>18397</v>
      </c>
      <c r="L555" s="582">
        <v>6761</v>
      </c>
      <c r="M555" s="585">
        <v>0</v>
      </c>
      <c r="N555" s="582">
        <v>86395</v>
      </c>
      <c r="O555" s="585">
        <v>85565</v>
      </c>
      <c r="P555" s="583">
        <f t="shared" ref="P555:P618" si="162">SUM(H555,J555,L555,N555)</f>
        <v>187779</v>
      </c>
      <c r="Q555" s="583">
        <f t="shared" ref="Q555:Q618" si="163">+P555/30</f>
        <v>6259.3</v>
      </c>
      <c r="R555" s="584">
        <f t="shared" ref="R555:R618" si="164">SUM(I555,K555,M555,O555)</f>
        <v>183397</v>
      </c>
      <c r="S555" s="584">
        <f t="shared" ref="S555:S618" si="165">+R555/30</f>
        <v>6113.2333333333336</v>
      </c>
      <c r="T555" s="582">
        <v>19702</v>
      </c>
      <c r="U555" s="585">
        <v>23176</v>
      </c>
      <c r="V555" s="583">
        <f t="shared" ref="V555:V618" si="166">IF(ISBLANK(T555),0,P555)</f>
        <v>187779</v>
      </c>
      <c r="W555" s="584">
        <f>IF(ISBLANK(#REF!),0,R555)</f>
        <v>183397</v>
      </c>
      <c r="X555" s="582">
        <v>17145</v>
      </c>
      <c r="Y555" s="585">
        <v>13896</v>
      </c>
      <c r="Z555" s="582">
        <v>43838</v>
      </c>
      <c r="AA555" s="585">
        <v>12654</v>
      </c>
      <c r="AB555" s="582">
        <v>31831</v>
      </c>
      <c r="AC555" s="585">
        <v>14323</v>
      </c>
      <c r="AD555" s="582">
        <v>10861</v>
      </c>
      <c r="AE555" s="585">
        <v>15989</v>
      </c>
      <c r="AF555" s="583">
        <f t="shared" ref="AF555:AF618" si="167">SUM(X555,Z555,AB555,AD555)</f>
        <v>103675</v>
      </c>
      <c r="AG555" s="583">
        <f t="shared" ref="AG555:AG618" si="168">+AF555/900</f>
        <v>115.19444444444444</v>
      </c>
      <c r="AH555" s="584">
        <f t="shared" ref="AH555:AH618" si="169">SUM(Y555,AA555,AC555,AE555)</f>
        <v>56862</v>
      </c>
      <c r="AI555" s="584">
        <f t="shared" ref="AI555:AI618" si="170">+AH555/900</f>
        <v>63.18</v>
      </c>
      <c r="AJ555" s="582"/>
      <c r="AK555" s="585"/>
      <c r="AL555" s="583">
        <f t="shared" si="154"/>
        <v>0</v>
      </c>
      <c r="AM555" s="584">
        <f t="shared" si="155"/>
        <v>0</v>
      </c>
      <c r="AN555" s="582"/>
      <c r="AO555" s="585"/>
      <c r="AP555" s="582"/>
      <c r="AQ555" s="585"/>
      <c r="AR555" s="582"/>
      <c r="AS555" s="585"/>
      <c r="AT555" s="582"/>
      <c r="AU555" s="585"/>
      <c r="AV555" s="583">
        <f t="shared" si="156"/>
        <v>0</v>
      </c>
      <c r="AW555" s="583">
        <f t="shared" si="157"/>
        <v>0</v>
      </c>
      <c r="AX555" s="584">
        <f t="shared" si="158"/>
        <v>0</v>
      </c>
      <c r="AY555" s="584">
        <f t="shared" si="159"/>
        <v>0</v>
      </c>
      <c r="AZ555" s="583">
        <f t="shared" si="160"/>
        <v>6374.4944444444445</v>
      </c>
      <c r="BA555" s="584">
        <f t="shared" si="161"/>
        <v>6176.4133333333339</v>
      </c>
    </row>
    <row r="556" spans="1:53" ht="14.5">
      <c r="A556" s="9" t="s">
        <v>570</v>
      </c>
      <c r="B556" s="63" t="s">
        <v>902</v>
      </c>
      <c r="C556" s="538"/>
      <c r="D556" s="7">
        <v>227854</v>
      </c>
      <c r="E556" s="446">
        <v>8</v>
      </c>
      <c r="F556" s="582"/>
      <c r="G556" s="585"/>
      <c r="H556" s="582">
        <v>87486</v>
      </c>
      <c r="I556" s="585">
        <v>85933</v>
      </c>
      <c r="J556" s="582">
        <v>33425</v>
      </c>
      <c r="K556" s="585">
        <v>32095</v>
      </c>
      <c r="L556" s="582">
        <v>0</v>
      </c>
      <c r="M556" s="585">
        <v>0</v>
      </c>
      <c r="N556" s="582">
        <v>72285</v>
      </c>
      <c r="O556" s="585">
        <v>83369</v>
      </c>
      <c r="P556" s="583">
        <f t="shared" si="162"/>
        <v>193196</v>
      </c>
      <c r="Q556" s="583">
        <f t="shared" si="163"/>
        <v>6439.8666666666668</v>
      </c>
      <c r="R556" s="584">
        <f t="shared" si="164"/>
        <v>201397</v>
      </c>
      <c r="S556" s="584">
        <f t="shared" si="165"/>
        <v>6713.2333333333336</v>
      </c>
      <c r="T556" s="582">
        <v>45856</v>
      </c>
      <c r="U556" s="585">
        <v>44470</v>
      </c>
      <c r="V556" s="583">
        <f t="shared" si="166"/>
        <v>193196</v>
      </c>
      <c r="W556" s="584">
        <f>IF(ISBLANK(#REF!),0,R556)</f>
        <v>201397</v>
      </c>
      <c r="X556" s="582">
        <v>24085</v>
      </c>
      <c r="Y556" s="585">
        <v>31830</v>
      </c>
      <c r="Z556" s="582">
        <v>25176</v>
      </c>
      <c r="AA556" s="585">
        <v>28785</v>
      </c>
      <c r="AB556" s="582">
        <v>35170</v>
      </c>
      <c r="AC556" s="585">
        <v>32729</v>
      </c>
      <c r="AD556" s="582">
        <v>43656</v>
      </c>
      <c r="AE556" s="585">
        <v>33033</v>
      </c>
      <c r="AF556" s="583">
        <f t="shared" si="167"/>
        <v>128087</v>
      </c>
      <c r="AG556" s="583">
        <f t="shared" si="168"/>
        <v>142.31888888888889</v>
      </c>
      <c r="AH556" s="584">
        <f t="shared" si="169"/>
        <v>126377</v>
      </c>
      <c r="AI556" s="584">
        <f t="shared" si="170"/>
        <v>140.41888888888889</v>
      </c>
      <c r="AJ556" s="582"/>
      <c r="AK556" s="585"/>
      <c r="AL556" s="583">
        <f t="shared" si="154"/>
        <v>0</v>
      </c>
      <c r="AM556" s="584">
        <f t="shared" si="155"/>
        <v>0</v>
      </c>
      <c r="AN556" s="582"/>
      <c r="AO556" s="585"/>
      <c r="AP556" s="582"/>
      <c r="AQ556" s="585"/>
      <c r="AR556" s="582"/>
      <c r="AS556" s="585"/>
      <c r="AT556" s="582"/>
      <c r="AU556" s="585"/>
      <c r="AV556" s="583">
        <f t="shared" si="156"/>
        <v>0</v>
      </c>
      <c r="AW556" s="583">
        <f t="shared" si="157"/>
        <v>0</v>
      </c>
      <c r="AX556" s="584">
        <f t="shared" si="158"/>
        <v>0</v>
      </c>
      <c r="AY556" s="584">
        <f t="shared" si="159"/>
        <v>0</v>
      </c>
      <c r="AZ556" s="583">
        <f t="shared" si="160"/>
        <v>6582.1855555555558</v>
      </c>
      <c r="BA556" s="584">
        <f t="shared" si="161"/>
        <v>6853.6522222222229</v>
      </c>
    </row>
    <row r="557" spans="1:53" ht="14.5">
      <c r="A557" s="9" t="s">
        <v>570</v>
      </c>
      <c r="B557" s="61" t="s">
        <v>627</v>
      </c>
      <c r="C557" s="538"/>
      <c r="D557" s="7">
        <v>228547</v>
      </c>
      <c r="E557" s="446">
        <v>8</v>
      </c>
      <c r="F557" s="582"/>
      <c r="G557" s="585"/>
      <c r="H557" s="582">
        <v>391548</v>
      </c>
      <c r="I557" s="585">
        <v>359044</v>
      </c>
      <c r="J557" s="582">
        <v>197301</v>
      </c>
      <c r="K557" s="585">
        <v>189128</v>
      </c>
      <c r="L557" s="582">
        <v>0</v>
      </c>
      <c r="M557" s="585">
        <v>0</v>
      </c>
      <c r="N557" s="582">
        <v>368581</v>
      </c>
      <c r="O557" s="585">
        <v>346034</v>
      </c>
      <c r="P557" s="583">
        <f t="shared" si="162"/>
        <v>957430</v>
      </c>
      <c r="Q557" s="583">
        <f t="shared" si="163"/>
        <v>31914.333333333332</v>
      </c>
      <c r="R557" s="584">
        <f t="shared" si="164"/>
        <v>894206</v>
      </c>
      <c r="S557" s="584">
        <f t="shared" si="165"/>
        <v>29806.866666666665</v>
      </c>
      <c r="T557" s="582">
        <v>108127</v>
      </c>
      <c r="U557" s="585">
        <v>115694</v>
      </c>
      <c r="V557" s="583">
        <f t="shared" si="166"/>
        <v>957430</v>
      </c>
      <c r="W557" s="584">
        <f>IF(ISBLANK(#REF!),0,R557)</f>
        <v>894206</v>
      </c>
      <c r="X557" s="582">
        <v>179295</v>
      </c>
      <c r="Y557" s="585">
        <v>165699</v>
      </c>
      <c r="Z557" s="582">
        <v>152099</v>
      </c>
      <c r="AA557" s="585">
        <v>172722</v>
      </c>
      <c r="AB557" s="582">
        <v>161617</v>
      </c>
      <c r="AC557" s="585">
        <v>130505</v>
      </c>
      <c r="AD557" s="582">
        <v>167690</v>
      </c>
      <c r="AE557" s="585">
        <v>145414</v>
      </c>
      <c r="AF557" s="583">
        <f t="shared" si="167"/>
        <v>660701</v>
      </c>
      <c r="AG557" s="583">
        <f t="shared" si="168"/>
        <v>734.11222222222227</v>
      </c>
      <c r="AH557" s="584">
        <f t="shared" si="169"/>
        <v>614340</v>
      </c>
      <c r="AI557" s="584">
        <f t="shared" si="170"/>
        <v>682.6</v>
      </c>
      <c r="AJ557" s="582"/>
      <c r="AK557" s="585"/>
      <c r="AL557" s="583">
        <f t="shared" si="154"/>
        <v>0</v>
      </c>
      <c r="AM557" s="584">
        <f t="shared" si="155"/>
        <v>0</v>
      </c>
      <c r="AN557" s="582"/>
      <c r="AO557" s="585"/>
      <c r="AP557" s="582"/>
      <c r="AQ557" s="585"/>
      <c r="AR557" s="582"/>
      <c r="AS557" s="585"/>
      <c r="AT557" s="582"/>
      <c r="AU557" s="585"/>
      <c r="AV557" s="583">
        <f t="shared" si="156"/>
        <v>0</v>
      </c>
      <c r="AW557" s="583">
        <f t="shared" si="157"/>
        <v>0</v>
      </c>
      <c r="AX557" s="584">
        <f t="shared" si="158"/>
        <v>0</v>
      </c>
      <c r="AY557" s="584">
        <f t="shared" si="159"/>
        <v>0</v>
      </c>
      <c r="AZ557" s="583">
        <f t="shared" si="160"/>
        <v>32648.445555555554</v>
      </c>
      <c r="BA557" s="584">
        <f t="shared" si="161"/>
        <v>30489.466666666664</v>
      </c>
    </row>
    <row r="558" spans="1:53" ht="14.5">
      <c r="A558" s="9" t="s">
        <v>570</v>
      </c>
      <c r="B558" s="8" t="s">
        <v>628</v>
      </c>
      <c r="C558" s="538"/>
      <c r="D558" s="7">
        <v>225308</v>
      </c>
      <c r="E558" s="446">
        <v>8</v>
      </c>
      <c r="F558" s="582"/>
      <c r="G558" s="585"/>
      <c r="H558" s="582">
        <v>52652</v>
      </c>
      <c r="I558" s="585">
        <v>54611</v>
      </c>
      <c r="J558" s="582">
        <v>14181</v>
      </c>
      <c r="K558" s="585">
        <v>12593</v>
      </c>
      <c r="L558" s="582">
        <v>10539</v>
      </c>
      <c r="M558" s="585">
        <v>8822</v>
      </c>
      <c r="N558" s="582">
        <v>59180</v>
      </c>
      <c r="O558" s="585">
        <v>55249</v>
      </c>
      <c r="P558" s="583">
        <f t="shared" si="162"/>
        <v>136552</v>
      </c>
      <c r="Q558" s="583">
        <f t="shared" si="163"/>
        <v>4551.7333333333336</v>
      </c>
      <c r="R558" s="584">
        <f t="shared" si="164"/>
        <v>131275</v>
      </c>
      <c r="S558" s="584">
        <f t="shared" si="165"/>
        <v>4375.833333333333</v>
      </c>
      <c r="T558" s="582">
        <v>31189</v>
      </c>
      <c r="U558" s="585">
        <v>32626</v>
      </c>
      <c r="V558" s="583">
        <f t="shared" si="166"/>
        <v>136552</v>
      </c>
      <c r="W558" s="584">
        <f>IF(ISBLANK(#REF!),0,R558)</f>
        <v>131275</v>
      </c>
      <c r="X558" s="582">
        <v>88170</v>
      </c>
      <c r="Y558" s="585">
        <v>154804</v>
      </c>
      <c r="Z558" s="582">
        <v>129495</v>
      </c>
      <c r="AA558" s="585">
        <v>171591</v>
      </c>
      <c r="AB558" s="582">
        <v>58845</v>
      </c>
      <c r="AC558" s="585">
        <v>110745</v>
      </c>
      <c r="AD558" s="582">
        <v>208733</v>
      </c>
      <c r="AE558" s="585">
        <v>202166</v>
      </c>
      <c r="AF558" s="583">
        <f t="shared" si="167"/>
        <v>485243</v>
      </c>
      <c r="AG558" s="583">
        <f t="shared" si="168"/>
        <v>539.1588888888889</v>
      </c>
      <c r="AH558" s="584">
        <f t="shared" si="169"/>
        <v>639306</v>
      </c>
      <c r="AI558" s="584">
        <f t="shared" si="170"/>
        <v>710.34</v>
      </c>
      <c r="AJ558" s="582"/>
      <c r="AK558" s="585"/>
      <c r="AL558" s="583">
        <f t="shared" si="154"/>
        <v>0</v>
      </c>
      <c r="AM558" s="584">
        <f t="shared" si="155"/>
        <v>0</v>
      </c>
      <c r="AN558" s="582"/>
      <c r="AO558" s="585"/>
      <c r="AP558" s="582"/>
      <c r="AQ558" s="585"/>
      <c r="AR558" s="582"/>
      <c r="AS558" s="585"/>
      <c r="AT558" s="582"/>
      <c r="AU558" s="585"/>
      <c r="AV558" s="583">
        <f t="shared" si="156"/>
        <v>0</v>
      </c>
      <c r="AW558" s="583">
        <f t="shared" si="157"/>
        <v>0</v>
      </c>
      <c r="AX558" s="584">
        <f t="shared" si="158"/>
        <v>0</v>
      </c>
      <c r="AY558" s="584">
        <f t="shared" si="159"/>
        <v>0</v>
      </c>
      <c r="AZ558" s="583">
        <f t="shared" si="160"/>
        <v>5090.8922222222227</v>
      </c>
      <c r="BA558" s="584">
        <f t="shared" si="161"/>
        <v>5086.1733333333332</v>
      </c>
    </row>
    <row r="559" spans="1:53" ht="14.5">
      <c r="A559" s="9" t="s">
        <v>570</v>
      </c>
      <c r="B559" s="61" t="s">
        <v>629</v>
      </c>
      <c r="C559" s="538" t="s">
        <v>928</v>
      </c>
      <c r="D559" s="7">
        <v>229355</v>
      </c>
      <c r="E559" s="446">
        <v>8</v>
      </c>
      <c r="F559" s="582"/>
      <c r="G559" s="585"/>
      <c r="H559" s="582">
        <v>105675</v>
      </c>
      <c r="I559" s="585">
        <v>111328</v>
      </c>
      <c r="J559" s="582">
        <v>32017</v>
      </c>
      <c r="K559" s="585">
        <v>30475</v>
      </c>
      <c r="L559" s="582">
        <v>6833</v>
      </c>
      <c r="M559" s="585">
        <v>7278</v>
      </c>
      <c r="N559" s="582">
        <v>101607</v>
      </c>
      <c r="O559" s="585">
        <v>113617</v>
      </c>
      <c r="P559" s="583">
        <f t="shared" si="162"/>
        <v>246132</v>
      </c>
      <c r="Q559" s="583">
        <f t="shared" si="163"/>
        <v>8204.4</v>
      </c>
      <c r="R559" s="584">
        <f t="shared" si="164"/>
        <v>262698</v>
      </c>
      <c r="S559" s="584">
        <f t="shared" si="165"/>
        <v>8756.6</v>
      </c>
      <c r="T559" s="582">
        <v>29139</v>
      </c>
      <c r="U559" s="585">
        <v>42383</v>
      </c>
      <c r="V559" s="583">
        <f t="shared" si="166"/>
        <v>246132</v>
      </c>
      <c r="W559" s="584">
        <f>IF(ISBLANK(#REF!),0,R559)</f>
        <v>262698</v>
      </c>
      <c r="X559" s="582">
        <v>31102</v>
      </c>
      <c r="Y559" s="585">
        <v>21022</v>
      </c>
      <c r="Z559" s="582">
        <v>29063</v>
      </c>
      <c r="AA559" s="585">
        <v>35753</v>
      </c>
      <c r="AB559" s="582">
        <v>15691</v>
      </c>
      <c r="AC559" s="585">
        <v>20396</v>
      </c>
      <c r="AD559" s="582">
        <v>47569</v>
      </c>
      <c r="AE559" s="585">
        <v>29702</v>
      </c>
      <c r="AF559" s="583">
        <f t="shared" si="167"/>
        <v>123425</v>
      </c>
      <c r="AG559" s="583">
        <f t="shared" si="168"/>
        <v>137.13888888888889</v>
      </c>
      <c r="AH559" s="584">
        <f t="shared" si="169"/>
        <v>106873</v>
      </c>
      <c r="AI559" s="584">
        <f t="shared" si="170"/>
        <v>118.74777777777778</v>
      </c>
      <c r="AJ559" s="582"/>
      <c r="AK559" s="585"/>
      <c r="AL559" s="583">
        <f t="shared" si="154"/>
        <v>0</v>
      </c>
      <c r="AM559" s="584">
        <f t="shared" si="155"/>
        <v>0</v>
      </c>
      <c r="AN559" s="582"/>
      <c r="AO559" s="585"/>
      <c r="AP559" s="582"/>
      <c r="AQ559" s="585"/>
      <c r="AR559" s="582"/>
      <c r="AS559" s="585"/>
      <c r="AT559" s="582"/>
      <c r="AU559" s="585"/>
      <c r="AV559" s="583">
        <f t="shared" si="156"/>
        <v>0</v>
      </c>
      <c r="AW559" s="583">
        <f t="shared" si="157"/>
        <v>0</v>
      </c>
      <c r="AX559" s="584">
        <f t="shared" si="158"/>
        <v>0</v>
      </c>
      <c r="AY559" s="584">
        <f t="shared" si="159"/>
        <v>0</v>
      </c>
      <c r="AZ559" s="583">
        <f t="shared" si="160"/>
        <v>8341.5388888888883</v>
      </c>
      <c r="BA559" s="584">
        <f t="shared" si="161"/>
        <v>8875.3477777777789</v>
      </c>
    </row>
    <row r="560" spans="1:53" ht="14.5">
      <c r="A560" s="9" t="s">
        <v>570</v>
      </c>
      <c r="B560" s="61" t="s">
        <v>630</v>
      </c>
      <c r="C560" s="538"/>
      <c r="D560" s="7">
        <v>222567</v>
      </c>
      <c r="E560" s="446">
        <v>9</v>
      </c>
      <c r="F560" s="582"/>
      <c r="G560" s="585"/>
      <c r="H560" s="582">
        <v>43066</v>
      </c>
      <c r="I560" s="585">
        <v>43188</v>
      </c>
      <c r="J560" s="582">
        <v>18880</v>
      </c>
      <c r="K560" s="585">
        <v>18579</v>
      </c>
      <c r="L560" s="582">
        <v>0</v>
      </c>
      <c r="M560" s="585">
        <v>0</v>
      </c>
      <c r="N560" s="582">
        <v>43240</v>
      </c>
      <c r="O560" s="585">
        <v>45108</v>
      </c>
      <c r="P560" s="583">
        <f t="shared" si="162"/>
        <v>105186</v>
      </c>
      <c r="Q560" s="583">
        <f t="shared" si="163"/>
        <v>3506.2</v>
      </c>
      <c r="R560" s="584">
        <f t="shared" si="164"/>
        <v>106875</v>
      </c>
      <c r="S560" s="584">
        <f t="shared" si="165"/>
        <v>3562.5</v>
      </c>
      <c r="T560" s="582">
        <v>26168</v>
      </c>
      <c r="U560" s="585">
        <v>29151</v>
      </c>
      <c r="V560" s="583">
        <f t="shared" si="166"/>
        <v>105186</v>
      </c>
      <c r="W560" s="584">
        <f>IF(ISBLANK(#REF!),0,R560)</f>
        <v>106875</v>
      </c>
      <c r="X560" s="582">
        <v>18814</v>
      </c>
      <c r="Y560" s="585">
        <v>19831</v>
      </c>
      <c r="Z560" s="582">
        <v>11096</v>
      </c>
      <c r="AA560" s="585">
        <v>9045</v>
      </c>
      <c r="AB560" s="582">
        <v>14208</v>
      </c>
      <c r="AC560" s="585">
        <v>15828</v>
      </c>
      <c r="AD560" s="582">
        <v>18492</v>
      </c>
      <c r="AE560" s="585">
        <v>24814</v>
      </c>
      <c r="AF560" s="583">
        <f t="shared" si="167"/>
        <v>62610</v>
      </c>
      <c r="AG560" s="583">
        <f t="shared" si="168"/>
        <v>69.566666666666663</v>
      </c>
      <c r="AH560" s="584">
        <f t="shared" si="169"/>
        <v>69518</v>
      </c>
      <c r="AI560" s="584">
        <f t="shared" si="170"/>
        <v>77.242222222222225</v>
      </c>
      <c r="AJ560" s="582"/>
      <c r="AK560" s="585"/>
      <c r="AL560" s="583">
        <f t="shared" si="154"/>
        <v>0</v>
      </c>
      <c r="AM560" s="584">
        <f t="shared" si="155"/>
        <v>0</v>
      </c>
      <c r="AN560" s="582"/>
      <c r="AO560" s="585"/>
      <c r="AP560" s="582"/>
      <c r="AQ560" s="585"/>
      <c r="AR560" s="582"/>
      <c r="AS560" s="585"/>
      <c r="AT560" s="582"/>
      <c r="AU560" s="585"/>
      <c r="AV560" s="583">
        <f t="shared" si="156"/>
        <v>0</v>
      </c>
      <c r="AW560" s="583">
        <f t="shared" si="157"/>
        <v>0</v>
      </c>
      <c r="AX560" s="584">
        <f t="shared" si="158"/>
        <v>0</v>
      </c>
      <c r="AY560" s="584">
        <f t="shared" si="159"/>
        <v>0</v>
      </c>
      <c r="AZ560" s="583">
        <f t="shared" si="160"/>
        <v>3575.7666666666664</v>
      </c>
      <c r="BA560" s="584">
        <f t="shared" si="161"/>
        <v>3639.7422222222222</v>
      </c>
    </row>
    <row r="561" spans="1:53" ht="14.5">
      <c r="A561" s="9" t="s">
        <v>570</v>
      </c>
      <c r="B561" s="61" t="s">
        <v>631</v>
      </c>
      <c r="C561" s="538"/>
      <c r="D561" s="7">
        <v>222822</v>
      </c>
      <c r="E561" s="446">
        <v>9</v>
      </c>
      <c r="F561" s="582"/>
      <c r="G561" s="585"/>
      <c r="H561" s="582">
        <v>37994</v>
      </c>
      <c r="I561" s="585">
        <v>35984</v>
      </c>
      <c r="J561" s="582">
        <v>7028</v>
      </c>
      <c r="K561" s="585">
        <v>6219</v>
      </c>
      <c r="L561" s="582">
        <v>3762</v>
      </c>
      <c r="M561" s="585">
        <v>0</v>
      </c>
      <c r="N561" s="582">
        <v>39010</v>
      </c>
      <c r="O561" s="585">
        <v>40481</v>
      </c>
      <c r="P561" s="583">
        <f t="shared" si="162"/>
        <v>87794</v>
      </c>
      <c r="Q561" s="583">
        <f t="shared" si="163"/>
        <v>2926.4666666666667</v>
      </c>
      <c r="R561" s="584">
        <f t="shared" si="164"/>
        <v>82684</v>
      </c>
      <c r="S561" s="584">
        <f t="shared" si="165"/>
        <v>2756.1333333333332</v>
      </c>
      <c r="T561" s="582">
        <v>17232</v>
      </c>
      <c r="U561" s="585">
        <v>16679</v>
      </c>
      <c r="V561" s="583">
        <f t="shared" si="166"/>
        <v>87794</v>
      </c>
      <c r="W561" s="584">
        <f>IF(ISBLANK(#REF!),0,R561)</f>
        <v>82684</v>
      </c>
      <c r="X561" s="582">
        <v>31413</v>
      </c>
      <c r="Y561" s="585">
        <v>67659</v>
      </c>
      <c r="Z561" s="582">
        <v>58663</v>
      </c>
      <c r="AA561" s="585">
        <v>15088</v>
      </c>
      <c r="AB561" s="582">
        <v>68440</v>
      </c>
      <c r="AC561" s="585">
        <v>47541</v>
      </c>
      <c r="AD561" s="582">
        <v>47572</v>
      </c>
      <c r="AE561" s="585">
        <v>30900</v>
      </c>
      <c r="AF561" s="583">
        <f t="shared" si="167"/>
        <v>206088</v>
      </c>
      <c r="AG561" s="583">
        <f t="shared" si="168"/>
        <v>228.98666666666668</v>
      </c>
      <c r="AH561" s="584">
        <f t="shared" si="169"/>
        <v>161188</v>
      </c>
      <c r="AI561" s="584">
        <f t="shared" si="170"/>
        <v>179.09777777777776</v>
      </c>
      <c r="AJ561" s="582"/>
      <c r="AK561" s="585"/>
      <c r="AL561" s="583">
        <f t="shared" si="154"/>
        <v>0</v>
      </c>
      <c r="AM561" s="584">
        <f t="shared" si="155"/>
        <v>0</v>
      </c>
      <c r="AN561" s="582"/>
      <c r="AO561" s="585"/>
      <c r="AP561" s="582"/>
      <c r="AQ561" s="585"/>
      <c r="AR561" s="582"/>
      <c r="AS561" s="585"/>
      <c r="AT561" s="582"/>
      <c r="AU561" s="585"/>
      <c r="AV561" s="583">
        <f t="shared" si="156"/>
        <v>0</v>
      </c>
      <c r="AW561" s="583">
        <f t="shared" si="157"/>
        <v>0</v>
      </c>
      <c r="AX561" s="584">
        <f t="shared" si="158"/>
        <v>0</v>
      </c>
      <c r="AY561" s="584">
        <f t="shared" si="159"/>
        <v>0</v>
      </c>
      <c r="AZ561" s="583">
        <f t="shared" si="160"/>
        <v>3155.4533333333334</v>
      </c>
      <c r="BA561" s="584">
        <f t="shared" si="161"/>
        <v>2935.2311111111112</v>
      </c>
    </row>
    <row r="562" spans="1:53" ht="14.5">
      <c r="A562" s="9" t="s">
        <v>570</v>
      </c>
      <c r="B562" s="63" t="s">
        <v>903</v>
      </c>
      <c r="C562" s="538"/>
      <c r="D562" s="7">
        <v>223773</v>
      </c>
      <c r="E562" s="446">
        <v>9</v>
      </c>
      <c r="F562" s="582"/>
      <c r="G562" s="585"/>
      <c r="H562" s="582">
        <v>51269</v>
      </c>
      <c r="I562" s="585">
        <v>55167</v>
      </c>
      <c r="J562" s="582">
        <v>33034</v>
      </c>
      <c r="K562" s="585">
        <v>34177</v>
      </c>
      <c r="L562" s="582">
        <v>0</v>
      </c>
      <c r="M562" s="585">
        <v>0</v>
      </c>
      <c r="N562" s="582">
        <v>42504</v>
      </c>
      <c r="O562" s="585">
        <v>46970</v>
      </c>
      <c r="P562" s="583">
        <f t="shared" si="162"/>
        <v>126807</v>
      </c>
      <c r="Q562" s="583">
        <f t="shared" si="163"/>
        <v>4226.8999999999996</v>
      </c>
      <c r="R562" s="584">
        <f t="shared" si="164"/>
        <v>136314</v>
      </c>
      <c r="S562" s="584">
        <f t="shared" si="165"/>
        <v>4543.8</v>
      </c>
      <c r="T562" s="582">
        <v>22300</v>
      </c>
      <c r="U562" s="585">
        <v>25347</v>
      </c>
      <c r="V562" s="583">
        <f t="shared" si="166"/>
        <v>126807</v>
      </c>
      <c r="W562" s="584">
        <f>IF(ISBLANK(#REF!),0,R562)</f>
        <v>136314</v>
      </c>
      <c r="X562" s="582">
        <v>48456</v>
      </c>
      <c r="Y562" s="585">
        <v>38445</v>
      </c>
      <c r="Z562" s="582">
        <v>100015</v>
      </c>
      <c r="AA562" s="585">
        <v>35226</v>
      </c>
      <c r="AB562" s="582">
        <v>151520</v>
      </c>
      <c r="AC562" s="585">
        <v>79272</v>
      </c>
      <c r="AD562" s="582">
        <v>47438</v>
      </c>
      <c r="AE562" s="585">
        <v>28540</v>
      </c>
      <c r="AF562" s="583">
        <f t="shared" si="167"/>
        <v>347429</v>
      </c>
      <c r="AG562" s="583">
        <f t="shared" si="168"/>
        <v>386.03222222222223</v>
      </c>
      <c r="AH562" s="584">
        <f t="shared" si="169"/>
        <v>181483</v>
      </c>
      <c r="AI562" s="584">
        <f t="shared" si="170"/>
        <v>201.64777777777778</v>
      </c>
      <c r="AJ562" s="582"/>
      <c r="AK562" s="585"/>
      <c r="AL562" s="583">
        <f t="shared" si="154"/>
        <v>0</v>
      </c>
      <c r="AM562" s="584">
        <f t="shared" si="155"/>
        <v>0</v>
      </c>
      <c r="AN562" s="582"/>
      <c r="AO562" s="585"/>
      <c r="AP562" s="582"/>
      <c r="AQ562" s="585"/>
      <c r="AR562" s="582"/>
      <c r="AS562" s="585"/>
      <c r="AT562" s="582"/>
      <c r="AU562" s="585"/>
      <c r="AV562" s="583">
        <f t="shared" si="156"/>
        <v>0</v>
      </c>
      <c r="AW562" s="583">
        <f t="shared" si="157"/>
        <v>0</v>
      </c>
      <c r="AX562" s="584">
        <f t="shared" si="158"/>
        <v>0</v>
      </c>
      <c r="AY562" s="584">
        <f t="shared" si="159"/>
        <v>0</v>
      </c>
      <c r="AZ562" s="583">
        <f t="shared" si="160"/>
        <v>4612.9322222222218</v>
      </c>
      <c r="BA562" s="584">
        <f t="shared" si="161"/>
        <v>4745.4477777777784</v>
      </c>
    </row>
    <row r="563" spans="1:53" ht="14.5">
      <c r="A563" s="9" t="s">
        <v>570</v>
      </c>
      <c r="B563" s="61" t="s">
        <v>632</v>
      </c>
      <c r="C563" s="538"/>
      <c r="D563" s="7">
        <v>223898</v>
      </c>
      <c r="E563" s="446">
        <v>9</v>
      </c>
      <c r="F563" s="582"/>
      <c r="G563" s="585"/>
      <c r="H563" s="582">
        <v>29087</v>
      </c>
      <c r="I563" s="585">
        <v>29132</v>
      </c>
      <c r="J563" s="582">
        <v>6889</v>
      </c>
      <c r="K563" s="585">
        <v>7205</v>
      </c>
      <c r="L563" s="582">
        <v>2447</v>
      </c>
      <c r="M563" s="585">
        <v>2759</v>
      </c>
      <c r="N563" s="582">
        <v>30646</v>
      </c>
      <c r="O563" s="585">
        <v>31306</v>
      </c>
      <c r="P563" s="583">
        <f t="shared" si="162"/>
        <v>69069</v>
      </c>
      <c r="Q563" s="583">
        <f t="shared" si="163"/>
        <v>2302.3000000000002</v>
      </c>
      <c r="R563" s="584">
        <f t="shared" si="164"/>
        <v>70402</v>
      </c>
      <c r="S563" s="584">
        <f t="shared" si="165"/>
        <v>2346.7333333333331</v>
      </c>
      <c r="T563" s="582">
        <v>9341</v>
      </c>
      <c r="U563" s="585">
        <v>11425</v>
      </c>
      <c r="V563" s="583">
        <f t="shared" si="166"/>
        <v>69069</v>
      </c>
      <c r="W563" s="584">
        <f>IF(ISBLANK(#REF!),0,R563)</f>
        <v>70402</v>
      </c>
      <c r="X563" s="582">
        <v>1100</v>
      </c>
      <c r="Y563" s="585">
        <v>2440</v>
      </c>
      <c r="Z563" s="582">
        <v>1700</v>
      </c>
      <c r="AA563" s="585">
        <v>4100</v>
      </c>
      <c r="AB563" s="582">
        <v>2816</v>
      </c>
      <c r="AC563" s="585">
        <v>5644</v>
      </c>
      <c r="AD563" s="582">
        <v>3792</v>
      </c>
      <c r="AE563" s="585">
        <v>3576</v>
      </c>
      <c r="AF563" s="583">
        <f t="shared" si="167"/>
        <v>9408</v>
      </c>
      <c r="AG563" s="583">
        <f t="shared" si="168"/>
        <v>10.453333333333333</v>
      </c>
      <c r="AH563" s="584">
        <f t="shared" si="169"/>
        <v>15760</v>
      </c>
      <c r="AI563" s="584">
        <f t="shared" si="170"/>
        <v>17.511111111111113</v>
      </c>
      <c r="AJ563" s="582"/>
      <c r="AK563" s="585"/>
      <c r="AL563" s="583">
        <f t="shared" si="154"/>
        <v>0</v>
      </c>
      <c r="AM563" s="584">
        <f t="shared" si="155"/>
        <v>0</v>
      </c>
      <c r="AN563" s="582"/>
      <c r="AO563" s="585"/>
      <c r="AP563" s="582"/>
      <c r="AQ563" s="585"/>
      <c r="AR563" s="582"/>
      <c r="AS563" s="585"/>
      <c r="AT563" s="582"/>
      <c r="AU563" s="585"/>
      <c r="AV563" s="583">
        <f t="shared" si="156"/>
        <v>0</v>
      </c>
      <c r="AW563" s="583">
        <f t="shared" si="157"/>
        <v>0</v>
      </c>
      <c r="AX563" s="584">
        <f t="shared" si="158"/>
        <v>0</v>
      </c>
      <c r="AY563" s="584">
        <f t="shared" si="159"/>
        <v>0</v>
      </c>
      <c r="AZ563" s="583">
        <f t="shared" si="160"/>
        <v>2312.7533333333336</v>
      </c>
      <c r="BA563" s="584">
        <f t="shared" si="161"/>
        <v>2364.2444444444441</v>
      </c>
    </row>
    <row r="564" spans="1:53" ht="14.5">
      <c r="A564" s="9" t="s">
        <v>570</v>
      </c>
      <c r="B564" s="61" t="s">
        <v>633</v>
      </c>
      <c r="C564" s="538"/>
      <c r="D564" s="7">
        <v>223320</v>
      </c>
      <c r="E564" s="446">
        <v>9</v>
      </c>
      <c r="F564" s="582"/>
      <c r="G564" s="585"/>
      <c r="H564" s="582">
        <v>34493</v>
      </c>
      <c r="I564" s="585">
        <v>32249</v>
      </c>
      <c r="J564" s="582">
        <v>8542</v>
      </c>
      <c r="K564" s="585">
        <v>5501</v>
      </c>
      <c r="L564" s="582">
        <v>2818</v>
      </c>
      <c r="M564" s="585">
        <v>4472</v>
      </c>
      <c r="N564" s="582">
        <v>33813</v>
      </c>
      <c r="O564" s="585">
        <v>35495</v>
      </c>
      <c r="P564" s="583">
        <f t="shared" si="162"/>
        <v>79666</v>
      </c>
      <c r="Q564" s="583">
        <f t="shared" si="163"/>
        <v>2655.5333333333333</v>
      </c>
      <c r="R564" s="584">
        <f t="shared" si="164"/>
        <v>77717</v>
      </c>
      <c r="S564" s="584">
        <f t="shared" si="165"/>
        <v>2590.5666666666666</v>
      </c>
      <c r="T564" s="582">
        <v>19752</v>
      </c>
      <c r="U564" s="585">
        <v>30911</v>
      </c>
      <c r="V564" s="583">
        <f t="shared" si="166"/>
        <v>79666</v>
      </c>
      <c r="W564" s="584">
        <f>IF(ISBLANK(#REF!),0,R564)</f>
        <v>77717</v>
      </c>
      <c r="X564" s="582">
        <v>10920</v>
      </c>
      <c r="Y564" s="585">
        <v>833</v>
      </c>
      <c r="Z564" s="582">
        <v>6514</v>
      </c>
      <c r="AA564" s="585">
        <v>4833</v>
      </c>
      <c r="AB564" s="582">
        <v>11450</v>
      </c>
      <c r="AC564" s="585">
        <v>3316</v>
      </c>
      <c r="AD564" s="582">
        <v>4940</v>
      </c>
      <c r="AE564" s="585">
        <v>7985</v>
      </c>
      <c r="AF564" s="583">
        <f t="shared" si="167"/>
        <v>33824</v>
      </c>
      <c r="AG564" s="583">
        <f t="shared" si="168"/>
        <v>37.582222222222221</v>
      </c>
      <c r="AH564" s="584">
        <f t="shared" si="169"/>
        <v>16967</v>
      </c>
      <c r="AI564" s="584">
        <f t="shared" si="170"/>
        <v>18.852222222222224</v>
      </c>
      <c r="AJ564" s="582"/>
      <c r="AK564" s="585"/>
      <c r="AL564" s="583">
        <f t="shared" si="154"/>
        <v>0</v>
      </c>
      <c r="AM564" s="584">
        <f t="shared" si="155"/>
        <v>0</v>
      </c>
      <c r="AN564" s="582"/>
      <c r="AO564" s="585"/>
      <c r="AP564" s="582"/>
      <c r="AQ564" s="585"/>
      <c r="AR564" s="582"/>
      <c r="AS564" s="585"/>
      <c r="AT564" s="582"/>
      <c r="AU564" s="585"/>
      <c r="AV564" s="583">
        <f t="shared" si="156"/>
        <v>0</v>
      </c>
      <c r="AW564" s="583">
        <f t="shared" si="157"/>
        <v>0</v>
      </c>
      <c r="AX564" s="584">
        <f t="shared" si="158"/>
        <v>0</v>
      </c>
      <c r="AY564" s="584">
        <f t="shared" si="159"/>
        <v>0</v>
      </c>
      <c r="AZ564" s="583">
        <f t="shared" si="160"/>
        <v>2693.1155555555556</v>
      </c>
      <c r="BA564" s="584">
        <f t="shared" si="161"/>
        <v>2609.4188888888889</v>
      </c>
    </row>
    <row r="565" spans="1:53" ht="14.5">
      <c r="A565" s="9" t="s">
        <v>570</v>
      </c>
      <c r="B565" s="61" t="s">
        <v>634</v>
      </c>
      <c r="C565" s="538"/>
      <c r="D565" s="7">
        <v>226408</v>
      </c>
      <c r="E565" s="446">
        <v>9</v>
      </c>
      <c r="F565" s="582"/>
      <c r="G565" s="585"/>
      <c r="H565" s="582">
        <v>33491</v>
      </c>
      <c r="I565" s="585">
        <v>34846</v>
      </c>
      <c r="J565" s="582">
        <v>9838</v>
      </c>
      <c r="K565" s="585">
        <v>9804</v>
      </c>
      <c r="L565" s="582">
        <v>0</v>
      </c>
      <c r="M565" s="585">
        <v>0</v>
      </c>
      <c r="N565" s="582">
        <v>40320</v>
      </c>
      <c r="O565" s="585">
        <v>35499</v>
      </c>
      <c r="P565" s="583">
        <f t="shared" si="162"/>
        <v>83649</v>
      </c>
      <c r="Q565" s="583">
        <f t="shared" si="163"/>
        <v>2788.3</v>
      </c>
      <c r="R565" s="584">
        <f t="shared" si="164"/>
        <v>80149</v>
      </c>
      <c r="S565" s="584">
        <f t="shared" si="165"/>
        <v>2671.6333333333332</v>
      </c>
      <c r="T565" s="582">
        <v>18774</v>
      </c>
      <c r="U565" s="585">
        <v>20845</v>
      </c>
      <c r="V565" s="583">
        <f t="shared" si="166"/>
        <v>83649</v>
      </c>
      <c r="W565" s="584">
        <f>IF(ISBLANK(#REF!),0,R565)</f>
        <v>80149</v>
      </c>
      <c r="X565" s="582">
        <v>51508</v>
      </c>
      <c r="Y565" s="585">
        <v>62428</v>
      </c>
      <c r="Z565" s="582">
        <v>15781</v>
      </c>
      <c r="AA565" s="585">
        <v>18192</v>
      </c>
      <c r="AB565" s="582">
        <v>27336</v>
      </c>
      <c r="AC565" s="585">
        <v>21742</v>
      </c>
      <c r="AD565" s="582">
        <v>20937</v>
      </c>
      <c r="AE565" s="585">
        <v>12985</v>
      </c>
      <c r="AF565" s="583">
        <f t="shared" si="167"/>
        <v>115562</v>
      </c>
      <c r="AG565" s="583">
        <f t="shared" si="168"/>
        <v>128.40222222222224</v>
      </c>
      <c r="AH565" s="584">
        <f t="shared" si="169"/>
        <v>115347</v>
      </c>
      <c r="AI565" s="584">
        <f t="shared" si="170"/>
        <v>128.16333333333333</v>
      </c>
      <c r="AJ565" s="582"/>
      <c r="AK565" s="585"/>
      <c r="AL565" s="583">
        <f t="shared" si="154"/>
        <v>0</v>
      </c>
      <c r="AM565" s="584">
        <f t="shared" si="155"/>
        <v>0</v>
      </c>
      <c r="AN565" s="582"/>
      <c r="AO565" s="585"/>
      <c r="AP565" s="582"/>
      <c r="AQ565" s="585"/>
      <c r="AR565" s="582"/>
      <c r="AS565" s="585"/>
      <c r="AT565" s="582"/>
      <c r="AU565" s="585"/>
      <c r="AV565" s="583">
        <f t="shared" si="156"/>
        <v>0</v>
      </c>
      <c r="AW565" s="583">
        <f t="shared" si="157"/>
        <v>0</v>
      </c>
      <c r="AX565" s="584">
        <f t="shared" si="158"/>
        <v>0</v>
      </c>
      <c r="AY565" s="584">
        <f t="shared" si="159"/>
        <v>0</v>
      </c>
      <c r="AZ565" s="583">
        <f t="shared" si="160"/>
        <v>2916.7022222222222</v>
      </c>
      <c r="BA565" s="584">
        <f t="shared" si="161"/>
        <v>2799.7966666666666</v>
      </c>
    </row>
    <row r="566" spans="1:53" ht="14.5">
      <c r="A566" s="9" t="s">
        <v>570</v>
      </c>
      <c r="B566" s="61" t="s">
        <v>635</v>
      </c>
      <c r="C566" s="538"/>
      <c r="D566" s="7">
        <v>225070</v>
      </c>
      <c r="E566" s="446">
        <v>9</v>
      </c>
      <c r="F566" s="582"/>
      <c r="G566" s="585"/>
      <c r="H566" s="582">
        <v>34306</v>
      </c>
      <c r="I566" s="585">
        <v>32945</v>
      </c>
      <c r="J566" s="582">
        <v>7705</v>
      </c>
      <c r="K566" s="585">
        <v>9225</v>
      </c>
      <c r="L566" s="582">
        <v>0</v>
      </c>
      <c r="M566" s="585">
        <v>0</v>
      </c>
      <c r="N566" s="582">
        <v>40390</v>
      </c>
      <c r="O566" s="585">
        <v>39104</v>
      </c>
      <c r="P566" s="583">
        <f t="shared" si="162"/>
        <v>82401</v>
      </c>
      <c r="Q566" s="583">
        <f t="shared" si="163"/>
        <v>2746.7</v>
      </c>
      <c r="R566" s="584">
        <f t="shared" si="164"/>
        <v>81274</v>
      </c>
      <c r="S566" s="584">
        <f t="shared" si="165"/>
        <v>2709.1333333333332</v>
      </c>
      <c r="T566" s="582">
        <v>12465</v>
      </c>
      <c r="U566" s="585">
        <v>12344</v>
      </c>
      <c r="V566" s="583">
        <f t="shared" si="166"/>
        <v>82401</v>
      </c>
      <c r="W566" s="584">
        <f>IF(ISBLANK(#REF!),0,R566)</f>
        <v>81274</v>
      </c>
      <c r="X566" s="582">
        <v>14329</v>
      </c>
      <c r="Y566" s="585">
        <v>19002</v>
      </c>
      <c r="Z566" s="582">
        <v>10767</v>
      </c>
      <c r="AA566" s="585">
        <v>12055</v>
      </c>
      <c r="AB566" s="582">
        <v>18349</v>
      </c>
      <c r="AC566" s="585">
        <v>16365</v>
      </c>
      <c r="AD566" s="582">
        <v>17914</v>
      </c>
      <c r="AE566" s="585">
        <v>17687</v>
      </c>
      <c r="AF566" s="583">
        <f t="shared" si="167"/>
        <v>61359</v>
      </c>
      <c r="AG566" s="583">
        <f t="shared" si="168"/>
        <v>68.176666666666662</v>
      </c>
      <c r="AH566" s="584">
        <f t="shared" si="169"/>
        <v>65109</v>
      </c>
      <c r="AI566" s="584">
        <f t="shared" si="170"/>
        <v>72.343333333333334</v>
      </c>
      <c r="AJ566" s="582"/>
      <c r="AK566" s="585"/>
      <c r="AL566" s="583">
        <f t="shared" si="154"/>
        <v>0</v>
      </c>
      <c r="AM566" s="584">
        <f t="shared" si="155"/>
        <v>0</v>
      </c>
      <c r="AN566" s="582"/>
      <c r="AO566" s="585"/>
      <c r="AP566" s="582"/>
      <c r="AQ566" s="585"/>
      <c r="AR566" s="582"/>
      <c r="AS566" s="585"/>
      <c r="AT566" s="582"/>
      <c r="AU566" s="585"/>
      <c r="AV566" s="583">
        <f t="shared" si="156"/>
        <v>0</v>
      </c>
      <c r="AW566" s="583">
        <f t="shared" si="157"/>
        <v>0</v>
      </c>
      <c r="AX566" s="584">
        <f t="shared" si="158"/>
        <v>0</v>
      </c>
      <c r="AY566" s="584">
        <f t="shared" si="159"/>
        <v>0</v>
      </c>
      <c r="AZ566" s="583">
        <f t="shared" si="160"/>
        <v>2814.8766666666666</v>
      </c>
      <c r="BA566" s="584">
        <f t="shared" si="161"/>
        <v>2781.4766666666665</v>
      </c>
    </row>
    <row r="567" spans="1:53" ht="14.5">
      <c r="A567" s="9" t="s">
        <v>570</v>
      </c>
      <c r="B567" s="61" t="s">
        <v>636</v>
      </c>
      <c r="C567" s="538"/>
      <c r="D567" s="7">
        <v>225371</v>
      </c>
      <c r="E567" s="446">
        <v>9</v>
      </c>
      <c r="F567" s="582"/>
      <c r="G567" s="585"/>
      <c r="H567" s="582">
        <v>34908</v>
      </c>
      <c r="I567" s="585">
        <v>36210</v>
      </c>
      <c r="J567" s="582">
        <v>10141</v>
      </c>
      <c r="K567" s="585">
        <v>10205</v>
      </c>
      <c r="L567" s="582">
        <v>3445</v>
      </c>
      <c r="M567" s="585">
        <v>3361</v>
      </c>
      <c r="N567" s="582">
        <v>36770</v>
      </c>
      <c r="O567" s="585">
        <v>36221</v>
      </c>
      <c r="P567" s="583">
        <f t="shared" si="162"/>
        <v>85264</v>
      </c>
      <c r="Q567" s="583">
        <f t="shared" si="163"/>
        <v>2842.1333333333332</v>
      </c>
      <c r="R567" s="584">
        <f t="shared" si="164"/>
        <v>85997</v>
      </c>
      <c r="S567" s="584">
        <f t="shared" si="165"/>
        <v>2866.5666666666666</v>
      </c>
      <c r="T567" s="582">
        <v>13793</v>
      </c>
      <c r="U567" s="585">
        <v>17013</v>
      </c>
      <c r="V567" s="583">
        <f t="shared" si="166"/>
        <v>85264</v>
      </c>
      <c r="W567" s="584">
        <f>IF(ISBLANK(#REF!),0,R567)</f>
        <v>85997</v>
      </c>
      <c r="X567" s="582">
        <v>19579</v>
      </c>
      <c r="Y567" s="585">
        <v>20870</v>
      </c>
      <c r="Z567" s="582">
        <v>24566</v>
      </c>
      <c r="AA567" s="585">
        <v>22290</v>
      </c>
      <c r="AB567" s="582">
        <v>27563</v>
      </c>
      <c r="AC567" s="585">
        <v>18012</v>
      </c>
      <c r="AD567" s="582">
        <v>22742</v>
      </c>
      <c r="AE567" s="585">
        <v>16688</v>
      </c>
      <c r="AF567" s="583">
        <f t="shared" si="167"/>
        <v>94450</v>
      </c>
      <c r="AG567" s="583">
        <f t="shared" si="168"/>
        <v>104.94444444444444</v>
      </c>
      <c r="AH567" s="584">
        <f t="shared" si="169"/>
        <v>77860</v>
      </c>
      <c r="AI567" s="584">
        <f t="shared" si="170"/>
        <v>86.511111111111106</v>
      </c>
      <c r="AJ567" s="582"/>
      <c r="AK567" s="585"/>
      <c r="AL567" s="583">
        <f t="shared" si="154"/>
        <v>0</v>
      </c>
      <c r="AM567" s="584">
        <f t="shared" si="155"/>
        <v>0</v>
      </c>
      <c r="AN567" s="582"/>
      <c r="AO567" s="585"/>
      <c r="AP567" s="582"/>
      <c r="AQ567" s="585"/>
      <c r="AR567" s="582"/>
      <c r="AS567" s="585"/>
      <c r="AT567" s="582"/>
      <c r="AU567" s="585"/>
      <c r="AV567" s="583">
        <f t="shared" si="156"/>
        <v>0</v>
      </c>
      <c r="AW567" s="583">
        <f t="shared" si="157"/>
        <v>0</v>
      </c>
      <c r="AX567" s="584">
        <f t="shared" si="158"/>
        <v>0</v>
      </c>
      <c r="AY567" s="584">
        <f t="shared" si="159"/>
        <v>0</v>
      </c>
      <c r="AZ567" s="583">
        <f t="shared" si="160"/>
        <v>2947.0777777777776</v>
      </c>
      <c r="BA567" s="584">
        <f t="shared" si="161"/>
        <v>2953.0777777777776</v>
      </c>
    </row>
    <row r="568" spans="1:53" ht="14.5">
      <c r="A568" s="9" t="s">
        <v>570</v>
      </c>
      <c r="B568" s="67" t="s">
        <v>637</v>
      </c>
      <c r="C568" s="538"/>
      <c r="D568" s="7">
        <v>225520</v>
      </c>
      <c r="E568" s="446">
        <v>9</v>
      </c>
      <c r="F568" s="582"/>
      <c r="G568" s="585"/>
      <c r="H568" s="582">
        <v>25996</v>
      </c>
      <c r="I568" s="585">
        <v>26824</v>
      </c>
      <c r="J568" s="582">
        <v>5217</v>
      </c>
      <c r="K568" s="585">
        <v>4527</v>
      </c>
      <c r="L568" s="582">
        <v>2074</v>
      </c>
      <c r="M568" s="585">
        <v>1948</v>
      </c>
      <c r="N568" s="582">
        <v>32920</v>
      </c>
      <c r="O568" s="585">
        <v>31481</v>
      </c>
      <c r="P568" s="583">
        <f t="shared" si="162"/>
        <v>66207</v>
      </c>
      <c r="Q568" s="583">
        <f t="shared" si="163"/>
        <v>2206.9</v>
      </c>
      <c r="R568" s="584">
        <f t="shared" si="164"/>
        <v>64780</v>
      </c>
      <c r="S568" s="584">
        <f t="shared" si="165"/>
        <v>2159.3333333333335</v>
      </c>
      <c r="T568" s="582">
        <v>17371</v>
      </c>
      <c r="U568" s="585">
        <v>18252</v>
      </c>
      <c r="V568" s="583">
        <f t="shared" si="166"/>
        <v>66207</v>
      </c>
      <c r="W568" s="584">
        <f>IF(ISBLANK(#REF!),0,R568)</f>
        <v>64780</v>
      </c>
      <c r="X568" s="582">
        <v>112699</v>
      </c>
      <c r="Y568" s="585">
        <v>118680</v>
      </c>
      <c r="Z568" s="582">
        <v>135796</v>
      </c>
      <c r="AA568" s="585">
        <v>152630</v>
      </c>
      <c r="AB568" s="582">
        <v>142645</v>
      </c>
      <c r="AC568" s="585">
        <v>96293</v>
      </c>
      <c r="AD568" s="582">
        <v>153367</v>
      </c>
      <c r="AE568" s="585">
        <v>128831</v>
      </c>
      <c r="AF568" s="583">
        <f t="shared" si="167"/>
        <v>544507</v>
      </c>
      <c r="AG568" s="583">
        <f t="shared" si="168"/>
        <v>605.00777777777773</v>
      </c>
      <c r="AH568" s="584">
        <f t="shared" si="169"/>
        <v>496434</v>
      </c>
      <c r="AI568" s="584">
        <f t="shared" si="170"/>
        <v>551.59333333333336</v>
      </c>
      <c r="AJ568" s="582"/>
      <c r="AK568" s="585"/>
      <c r="AL568" s="583">
        <f t="shared" si="154"/>
        <v>0</v>
      </c>
      <c r="AM568" s="584">
        <f t="shared" si="155"/>
        <v>0</v>
      </c>
      <c r="AN568" s="582"/>
      <c r="AO568" s="585"/>
      <c r="AP568" s="582"/>
      <c r="AQ568" s="585"/>
      <c r="AR568" s="582"/>
      <c r="AS568" s="585"/>
      <c r="AT568" s="582"/>
      <c r="AU568" s="585"/>
      <c r="AV568" s="583">
        <f t="shared" si="156"/>
        <v>0</v>
      </c>
      <c r="AW568" s="583">
        <f t="shared" si="157"/>
        <v>0</v>
      </c>
      <c r="AX568" s="584">
        <f t="shared" si="158"/>
        <v>0</v>
      </c>
      <c r="AY568" s="584">
        <f t="shared" si="159"/>
        <v>0</v>
      </c>
      <c r="AZ568" s="583">
        <f t="shared" si="160"/>
        <v>2811.9077777777779</v>
      </c>
      <c r="BA568" s="584">
        <f t="shared" si="161"/>
        <v>2710.9266666666667</v>
      </c>
    </row>
    <row r="569" spans="1:53" ht="14.5">
      <c r="A569" s="436" t="s">
        <v>570</v>
      </c>
      <c r="B569" s="8" t="s">
        <v>638</v>
      </c>
      <c r="C569" s="538"/>
      <c r="D569" s="7">
        <v>226019</v>
      </c>
      <c r="E569" s="446">
        <v>9</v>
      </c>
      <c r="F569" s="582"/>
      <c r="G569" s="585"/>
      <c r="H569" s="582">
        <v>47274</v>
      </c>
      <c r="I569" s="585">
        <v>44820</v>
      </c>
      <c r="J569" s="582">
        <v>9164</v>
      </c>
      <c r="K569" s="585">
        <v>9178</v>
      </c>
      <c r="L569" s="582">
        <v>0</v>
      </c>
      <c r="M569" s="585">
        <v>0</v>
      </c>
      <c r="N569" s="582">
        <v>52094</v>
      </c>
      <c r="O569" s="585">
        <v>38156</v>
      </c>
      <c r="P569" s="583">
        <f t="shared" si="162"/>
        <v>108532</v>
      </c>
      <c r="Q569" s="583">
        <f t="shared" si="163"/>
        <v>3617.7333333333331</v>
      </c>
      <c r="R569" s="584">
        <f t="shared" si="164"/>
        <v>92154</v>
      </c>
      <c r="S569" s="584">
        <f t="shared" si="165"/>
        <v>3071.8</v>
      </c>
      <c r="T569" s="582">
        <v>16777</v>
      </c>
      <c r="U569" s="585">
        <v>17721</v>
      </c>
      <c r="V569" s="583">
        <f t="shared" si="166"/>
        <v>108532</v>
      </c>
      <c r="W569" s="584">
        <f>IF(ISBLANK(#REF!),0,R569)</f>
        <v>92154</v>
      </c>
      <c r="X569" s="582">
        <v>33584</v>
      </c>
      <c r="Y569" s="585">
        <v>113697</v>
      </c>
      <c r="Z569" s="582">
        <v>113124</v>
      </c>
      <c r="AA569" s="585">
        <v>72643</v>
      </c>
      <c r="AB569" s="582">
        <v>84101</v>
      </c>
      <c r="AC569" s="585">
        <v>139192</v>
      </c>
      <c r="AD569" s="582">
        <v>81957</v>
      </c>
      <c r="AE569" s="585">
        <v>101775</v>
      </c>
      <c r="AF569" s="583">
        <f t="shared" si="167"/>
        <v>312766</v>
      </c>
      <c r="AG569" s="583">
        <f t="shared" si="168"/>
        <v>347.51777777777778</v>
      </c>
      <c r="AH569" s="584">
        <f t="shared" si="169"/>
        <v>427307</v>
      </c>
      <c r="AI569" s="584">
        <f t="shared" si="170"/>
        <v>474.78555555555556</v>
      </c>
      <c r="AJ569" s="582"/>
      <c r="AK569" s="585"/>
      <c r="AL569" s="583">
        <f t="shared" si="154"/>
        <v>0</v>
      </c>
      <c r="AM569" s="584">
        <f t="shared" si="155"/>
        <v>0</v>
      </c>
      <c r="AN569" s="582"/>
      <c r="AO569" s="585"/>
      <c r="AP569" s="582"/>
      <c r="AQ569" s="585"/>
      <c r="AR569" s="582"/>
      <c r="AS569" s="585"/>
      <c r="AT569" s="582"/>
      <c r="AU569" s="585"/>
      <c r="AV569" s="583">
        <f t="shared" si="156"/>
        <v>0</v>
      </c>
      <c r="AW569" s="583">
        <f t="shared" si="157"/>
        <v>0</v>
      </c>
      <c r="AX569" s="584">
        <f t="shared" si="158"/>
        <v>0</v>
      </c>
      <c r="AY569" s="584">
        <f t="shared" si="159"/>
        <v>0</v>
      </c>
      <c r="AZ569" s="583">
        <f t="shared" si="160"/>
        <v>3965.2511111111107</v>
      </c>
      <c r="BA569" s="584">
        <f t="shared" si="161"/>
        <v>3546.5855555555559</v>
      </c>
    </row>
    <row r="570" spans="1:53" ht="14.5">
      <c r="A570" s="436" t="s">
        <v>570</v>
      </c>
      <c r="B570" s="61" t="s">
        <v>639</v>
      </c>
      <c r="C570" s="538"/>
      <c r="D570" s="7">
        <v>441760</v>
      </c>
      <c r="E570" s="446">
        <v>9</v>
      </c>
      <c r="F570" s="582"/>
      <c r="G570" s="585"/>
      <c r="H570" s="582">
        <v>25015</v>
      </c>
      <c r="I570" s="585">
        <v>26426</v>
      </c>
      <c r="J570" s="582">
        <v>4838</v>
      </c>
      <c r="K570" s="585">
        <v>4355</v>
      </c>
      <c r="L570" s="582">
        <v>0</v>
      </c>
      <c r="M570" s="585">
        <v>0</v>
      </c>
      <c r="N570" s="582">
        <v>31432</v>
      </c>
      <c r="O570" s="585">
        <v>36543</v>
      </c>
      <c r="P570" s="583">
        <f t="shared" si="162"/>
        <v>61285</v>
      </c>
      <c r="Q570" s="583">
        <f t="shared" si="163"/>
        <v>2042.8333333333333</v>
      </c>
      <c r="R570" s="584">
        <f t="shared" si="164"/>
        <v>67324</v>
      </c>
      <c r="S570" s="584">
        <f t="shared" si="165"/>
        <v>2244.1333333333332</v>
      </c>
      <c r="T570" s="582">
        <v>4542</v>
      </c>
      <c r="U570" s="585">
        <v>8770</v>
      </c>
      <c r="V570" s="583">
        <f t="shared" si="166"/>
        <v>61285</v>
      </c>
      <c r="W570" s="584">
        <f>IF(ISBLANK(#REF!),0,R570)</f>
        <v>67324</v>
      </c>
      <c r="X570" s="582">
        <v>46032</v>
      </c>
      <c r="Y570" s="585">
        <v>73761</v>
      </c>
      <c r="Z570" s="582">
        <v>55283</v>
      </c>
      <c r="AA570" s="585">
        <v>63497</v>
      </c>
      <c r="AB570" s="582">
        <v>67445</v>
      </c>
      <c r="AC570" s="585">
        <v>82543</v>
      </c>
      <c r="AD570" s="582">
        <v>83392</v>
      </c>
      <c r="AE570" s="585">
        <v>68305</v>
      </c>
      <c r="AF570" s="583">
        <f t="shared" si="167"/>
        <v>252152</v>
      </c>
      <c r="AG570" s="583">
        <f t="shared" si="168"/>
        <v>280.16888888888889</v>
      </c>
      <c r="AH570" s="584">
        <f t="shared" si="169"/>
        <v>288106</v>
      </c>
      <c r="AI570" s="584">
        <f t="shared" si="170"/>
        <v>320.1177777777778</v>
      </c>
      <c r="AJ570" s="582"/>
      <c r="AK570" s="585"/>
      <c r="AL570" s="583">
        <f t="shared" si="154"/>
        <v>0</v>
      </c>
      <c r="AM570" s="584">
        <f t="shared" si="155"/>
        <v>0</v>
      </c>
      <c r="AN570" s="582"/>
      <c r="AO570" s="585"/>
      <c r="AP570" s="582"/>
      <c r="AQ570" s="585"/>
      <c r="AR570" s="582"/>
      <c r="AS570" s="585"/>
      <c r="AT570" s="582"/>
      <c r="AU570" s="585"/>
      <c r="AV570" s="583">
        <f t="shared" si="156"/>
        <v>0</v>
      </c>
      <c r="AW570" s="583">
        <f t="shared" si="157"/>
        <v>0</v>
      </c>
      <c r="AX570" s="584">
        <f t="shared" si="158"/>
        <v>0</v>
      </c>
      <c r="AY570" s="584">
        <f t="shared" si="159"/>
        <v>0</v>
      </c>
      <c r="AZ570" s="583">
        <f t="shared" si="160"/>
        <v>2323.0022222222224</v>
      </c>
      <c r="BA570" s="584">
        <f t="shared" si="161"/>
        <v>2564.2511111111112</v>
      </c>
    </row>
    <row r="571" spans="1:53" ht="14.5">
      <c r="A571" s="436" t="s">
        <v>570</v>
      </c>
      <c r="B571" s="61" t="s">
        <v>641</v>
      </c>
      <c r="C571" s="538"/>
      <c r="D571" s="7">
        <v>226204</v>
      </c>
      <c r="E571" s="446">
        <v>9</v>
      </c>
      <c r="F571" s="582"/>
      <c r="G571" s="585"/>
      <c r="H571" s="582">
        <v>59538</v>
      </c>
      <c r="I571" s="585">
        <v>60295</v>
      </c>
      <c r="J571" s="582">
        <v>25762</v>
      </c>
      <c r="K571" s="585">
        <v>28308</v>
      </c>
      <c r="L571" s="582">
        <v>2092</v>
      </c>
      <c r="M571" s="585">
        <v>2929</v>
      </c>
      <c r="N571" s="582">
        <v>58609</v>
      </c>
      <c r="O571" s="585">
        <v>56105</v>
      </c>
      <c r="P571" s="583">
        <f t="shared" si="162"/>
        <v>146001</v>
      </c>
      <c r="Q571" s="583">
        <f t="shared" si="163"/>
        <v>4866.7</v>
      </c>
      <c r="R571" s="584">
        <f t="shared" si="164"/>
        <v>147637</v>
      </c>
      <c r="S571" s="584">
        <f t="shared" si="165"/>
        <v>4921.2333333333336</v>
      </c>
      <c r="T571" s="582">
        <v>18951</v>
      </c>
      <c r="U571" s="585">
        <v>25021</v>
      </c>
      <c r="V571" s="583">
        <f t="shared" si="166"/>
        <v>146001</v>
      </c>
      <c r="W571" s="584">
        <f>IF(ISBLANK(#REF!),0,R571)</f>
        <v>147637</v>
      </c>
      <c r="X571" s="582">
        <v>16331</v>
      </c>
      <c r="Y571" s="585">
        <v>12680</v>
      </c>
      <c r="Z571" s="582">
        <v>15548</v>
      </c>
      <c r="AA571" s="585">
        <v>8758</v>
      </c>
      <c r="AB571" s="582">
        <v>24821</v>
      </c>
      <c r="AC571" s="585">
        <v>16125</v>
      </c>
      <c r="AD571" s="582">
        <v>24966</v>
      </c>
      <c r="AE571" s="585">
        <v>14706</v>
      </c>
      <c r="AF571" s="583">
        <f t="shared" si="167"/>
        <v>81666</v>
      </c>
      <c r="AG571" s="583">
        <f t="shared" si="168"/>
        <v>90.74</v>
      </c>
      <c r="AH571" s="584">
        <f t="shared" si="169"/>
        <v>52269</v>
      </c>
      <c r="AI571" s="584">
        <f t="shared" si="170"/>
        <v>58.076666666666668</v>
      </c>
      <c r="AJ571" s="582"/>
      <c r="AK571" s="585"/>
      <c r="AL571" s="583">
        <f t="shared" si="154"/>
        <v>0</v>
      </c>
      <c r="AM571" s="584">
        <f t="shared" si="155"/>
        <v>0</v>
      </c>
      <c r="AN571" s="582"/>
      <c r="AO571" s="585"/>
      <c r="AP571" s="582"/>
      <c r="AQ571" s="585"/>
      <c r="AR571" s="582"/>
      <c r="AS571" s="585"/>
      <c r="AT571" s="582"/>
      <c r="AU571" s="585"/>
      <c r="AV571" s="583">
        <f t="shared" si="156"/>
        <v>0</v>
      </c>
      <c r="AW571" s="583">
        <f t="shared" si="157"/>
        <v>0</v>
      </c>
      <c r="AX571" s="584">
        <f t="shared" si="158"/>
        <v>0</v>
      </c>
      <c r="AY571" s="584">
        <f t="shared" si="159"/>
        <v>0</v>
      </c>
      <c r="AZ571" s="583">
        <f t="shared" si="160"/>
        <v>4957.4399999999996</v>
      </c>
      <c r="BA571" s="584">
        <f t="shared" si="161"/>
        <v>4979.3100000000004</v>
      </c>
    </row>
    <row r="572" spans="1:53">
      <c r="A572" s="436" t="s">
        <v>570</v>
      </c>
      <c r="B572" s="8" t="s">
        <v>642</v>
      </c>
      <c r="C572" s="423"/>
      <c r="D572" s="7">
        <v>227225</v>
      </c>
      <c r="E572" s="446">
        <v>9</v>
      </c>
      <c r="F572" s="582"/>
      <c r="G572" s="585"/>
      <c r="H572" s="582">
        <v>25422</v>
      </c>
      <c r="I572" s="585">
        <v>25735</v>
      </c>
      <c r="J572" s="582">
        <v>9329</v>
      </c>
      <c r="K572" s="585">
        <v>9279</v>
      </c>
      <c r="L572" s="582">
        <v>0</v>
      </c>
      <c r="M572" s="585">
        <v>0</v>
      </c>
      <c r="N572" s="582">
        <v>28181</v>
      </c>
      <c r="O572" s="585">
        <v>27985</v>
      </c>
      <c r="P572" s="583">
        <f t="shared" si="162"/>
        <v>62932</v>
      </c>
      <c r="Q572" s="583">
        <f t="shared" si="163"/>
        <v>2097.7333333333331</v>
      </c>
      <c r="R572" s="584">
        <f t="shared" si="164"/>
        <v>62999</v>
      </c>
      <c r="S572" s="584">
        <f t="shared" si="165"/>
        <v>2099.9666666666667</v>
      </c>
      <c r="T572" s="582">
        <v>10590</v>
      </c>
      <c r="U572" s="585">
        <v>10764</v>
      </c>
      <c r="V572" s="583">
        <f t="shared" si="166"/>
        <v>62932</v>
      </c>
      <c r="W572" s="584">
        <f>IF(ISBLANK(#REF!),0,R572)</f>
        <v>62999</v>
      </c>
      <c r="X572" s="582">
        <v>4751</v>
      </c>
      <c r="Y572" s="585">
        <v>4935</v>
      </c>
      <c r="Z572" s="582">
        <v>4492</v>
      </c>
      <c r="AA572" s="585">
        <v>5567</v>
      </c>
      <c r="AB572" s="582">
        <v>6924</v>
      </c>
      <c r="AC572" s="585">
        <v>5127</v>
      </c>
      <c r="AD572" s="582">
        <v>9197</v>
      </c>
      <c r="AE572" s="585">
        <v>6596</v>
      </c>
      <c r="AF572" s="583">
        <f t="shared" si="167"/>
        <v>25364</v>
      </c>
      <c r="AG572" s="583">
        <f t="shared" si="168"/>
        <v>28.182222222222222</v>
      </c>
      <c r="AH572" s="584">
        <f t="shared" si="169"/>
        <v>22225</v>
      </c>
      <c r="AI572" s="584">
        <f t="shared" si="170"/>
        <v>24.694444444444443</v>
      </c>
      <c r="AJ572" s="582"/>
      <c r="AK572" s="585"/>
      <c r="AL572" s="583">
        <f t="shared" si="154"/>
        <v>0</v>
      </c>
      <c r="AM572" s="584">
        <f t="shared" si="155"/>
        <v>0</v>
      </c>
      <c r="AN572" s="582"/>
      <c r="AO572" s="585"/>
      <c r="AP572" s="582"/>
      <c r="AQ572" s="585"/>
      <c r="AR572" s="582"/>
      <c r="AS572" s="585"/>
      <c r="AT572" s="582"/>
      <c r="AU572" s="585"/>
      <c r="AV572" s="583">
        <f t="shared" si="156"/>
        <v>0</v>
      </c>
      <c r="AW572" s="583">
        <f t="shared" si="157"/>
        <v>0</v>
      </c>
      <c r="AX572" s="584">
        <f t="shared" si="158"/>
        <v>0</v>
      </c>
      <c r="AY572" s="584">
        <f t="shared" si="159"/>
        <v>0</v>
      </c>
      <c r="AZ572" s="583">
        <f t="shared" si="160"/>
        <v>2125.9155555555553</v>
      </c>
      <c r="BA572" s="584">
        <f t="shared" si="161"/>
        <v>2124.661111111111</v>
      </c>
    </row>
    <row r="573" spans="1:53">
      <c r="A573" s="436" t="s">
        <v>570</v>
      </c>
      <c r="B573" s="61" t="s">
        <v>643</v>
      </c>
      <c r="C573" s="423"/>
      <c r="D573" s="7">
        <v>227304</v>
      </c>
      <c r="E573" s="446">
        <v>9</v>
      </c>
      <c r="F573" s="582"/>
      <c r="G573" s="585"/>
      <c r="H573" s="582">
        <v>33023</v>
      </c>
      <c r="I573" s="585">
        <v>51729</v>
      </c>
      <c r="J573" s="582">
        <v>23072</v>
      </c>
      <c r="K573" s="585">
        <v>6737</v>
      </c>
      <c r="L573" s="582">
        <v>8045</v>
      </c>
      <c r="M573" s="585">
        <v>7102</v>
      </c>
      <c r="N573" s="582">
        <v>56954</v>
      </c>
      <c r="O573" s="585">
        <v>57274</v>
      </c>
      <c r="P573" s="583">
        <f t="shared" si="162"/>
        <v>121094</v>
      </c>
      <c r="Q573" s="583">
        <f t="shared" si="163"/>
        <v>4036.4666666666667</v>
      </c>
      <c r="R573" s="584">
        <f t="shared" si="164"/>
        <v>122842</v>
      </c>
      <c r="S573" s="584">
        <f t="shared" si="165"/>
        <v>4094.7333333333331</v>
      </c>
      <c r="T573" s="582">
        <v>27173</v>
      </c>
      <c r="U573" s="585">
        <v>32652</v>
      </c>
      <c r="V573" s="583">
        <f t="shared" si="166"/>
        <v>121094</v>
      </c>
      <c r="W573" s="584">
        <f>IF(ISBLANK(#REF!),0,R573)</f>
        <v>122842</v>
      </c>
      <c r="X573" s="582">
        <v>22916</v>
      </c>
      <c r="Y573" s="585">
        <v>45590</v>
      </c>
      <c r="Z573" s="582">
        <v>28353</v>
      </c>
      <c r="AA573" s="585">
        <v>50305</v>
      </c>
      <c r="AB573" s="582">
        <v>37529</v>
      </c>
      <c r="AC573" s="585">
        <v>55771</v>
      </c>
      <c r="AD573" s="582">
        <v>54424</v>
      </c>
      <c r="AE573" s="585">
        <v>55054</v>
      </c>
      <c r="AF573" s="583">
        <f t="shared" si="167"/>
        <v>143222</v>
      </c>
      <c r="AG573" s="583">
        <f t="shared" si="168"/>
        <v>159.13555555555556</v>
      </c>
      <c r="AH573" s="584">
        <f t="shared" si="169"/>
        <v>206720</v>
      </c>
      <c r="AI573" s="584">
        <f t="shared" si="170"/>
        <v>229.6888888888889</v>
      </c>
      <c r="AJ573" s="582"/>
      <c r="AK573" s="585"/>
      <c r="AL573" s="583">
        <f t="shared" si="154"/>
        <v>0</v>
      </c>
      <c r="AM573" s="584">
        <f t="shared" si="155"/>
        <v>0</v>
      </c>
      <c r="AN573" s="582"/>
      <c r="AO573" s="585"/>
      <c r="AP573" s="582"/>
      <c r="AQ573" s="585"/>
      <c r="AR573" s="582"/>
      <c r="AS573" s="585"/>
      <c r="AT573" s="582"/>
      <c r="AU573" s="585"/>
      <c r="AV573" s="583">
        <f t="shared" si="156"/>
        <v>0</v>
      </c>
      <c r="AW573" s="583">
        <f t="shared" si="157"/>
        <v>0</v>
      </c>
      <c r="AX573" s="584">
        <f t="shared" si="158"/>
        <v>0</v>
      </c>
      <c r="AY573" s="584">
        <f t="shared" si="159"/>
        <v>0</v>
      </c>
      <c r="AZ573" s="583">
        <f t="shared" si="160"/>
        <v>4195.6022222222218</v>
      </c>
      <c r="BA573" s="584">
        <f t="shared" si="161"/>
        <v>4324.4222222222224</v>
      </c>
    </row>
    <row r="574" spans="1:53">
      <c r="A574" s="436" t="s">
        <v>570</v>
      </c>
      <c r="B574" s="61" t="s">
        <v>644</v>
      </c>
      <c r="C574" s="423"/>
      <c r="D574" s="7">
        <v>227401</v>
      </c>
      <c r="E574" s="446">
        <v>9</v>
      </c>
      <c r="F574" s="582"/>
      <c r="G574" s="585"/>
      <c r="H574" s="582">
        <v>37800</v>
      </c>
      <c r="I574" s="585">
        <v>40023</v>
      </c>
      <c r="J574" s="582">
        <v>10389</v>
      </c>
      <c r="K574" s="585">
        <v>11005</v>
      </c>
      <c r="L574" s="582">
        <v>0</v>
      </c>
      <c r="M574" s="585">
        <v>0</v>
      </c>
      <c r="N574" s="582">
        <v>48879</v>
      </c>
      <c r="O574" s="585">
        <v>46976</v>
      </c>
      <c r="P574" s="583">
        <f t="shared" si="162"/>
        <v>97068</v>
      </c>
      <c r="Q574" s="583">
        <f t="shared" si="163"/>
        <v>3235.6</v>
      </c>
      <c r="R574" s="584">
        <f t="shared" si="164"/>
        <v>98004</v>
      </c>
      <c r="S574" s="584">
        <f t="shared" si="165"/>
        <v>3266.8</v>
      </c>
      <c r="T574" s="582">
        <v>21510</v>
      </c>
      <c r="U574" s="585">
        <v>23465</v>
      </c>
      <c r="V574" s="583">
        <f t="shared" si="166"/>
        <v>97068</v>
      </c>
      <c r="W574" s="584">
        <f>IF(ISBLANK(#REF!),0,R574)</f>
        <v>98004</v>
      </c>
      <c r="X574" s="582">
        <v>23521</v>
      </c>
      <c r="Y574" s="585">
        <v>35342</v>
      </c>
      <c r="Z574" s="582">
        <v>31352</v>
      </c>
      <c r="AA574" s="585">
        <v>9765</v>
      </c>
      <c r="AB574" s="582">
        <v>11757</v>
      </c>
      <c r="AC574" s="585">
        <v>9049</v>
      </c>
      <c r="AD574" s="582">
        <v>12516</v>
      </c>
      <c r="AE574" s="585">
        <v>32400</v>
      </c>
      <c r="AF574" s="583">
        <f t="shared" si="167"/>
        <v>79146</v>
      </c>
      <c r="AG574" s="583">
        <f t="shared" si="168"/>
        <v>87.94</v>
      </c>
      <c r="AH574" s="584">
        <f t="shared" si="169"/>
        <v>86556</v>
      </c>
      <c r="AI574" s="584">
        <f t="shared" si="170"/>
        <v>96.173333333333332</v>
      </c>
      <c r="AJ574" s="582"/>
      <c r="AK574" s="585"/>
      <c r="AL574" s="583">
        <f t="shared" si="154"/>
        <v>0</v>
      </c>
      <c r="AM574" s="584">
        <f t="shared" si="155"/>
        <v>0</v>
      </c>
      <c r="AN574" s="582"/>
      <c r="AO574" s="585"/>
      <c r="AP574" s="582"/>
      <c r="AQ574" s="585"/>
      <c r="AR574" s="582"/>
      <c r="AS574" s="585"/>
      <c r="AT574" s="582"/>
      <c r="AU574" s="585"/>
      <c r="AV574" s="583">
        <f t="shared" si="156"/>
        <v>0</v>
      </c>
      <c r="AW574" s="583">
        <f t="shared" si="157"/>
        <v>0</v>
      </c>
      <c r="AX574" s="584">
        <f t="shared" si="158"/>
        <v>0</v>
      </c>
      <c r="AY574" s="584">
        <f t="shared" si="159"/>
        <v>0</v>
      </c>
      <c r="AZ574" s="583">
        <f t="shared" si="160"/>
        <v>3323.54</v>
      </c>
      <c r="BA574" s="584">
        <f t="shared" si="161"/>
        <v>3362.9733333333334</v>
      </c>
    </row>
    <row r="575" spans="1:53">
      <c r="A575" s="436" t="s">
        <v>570</v>
      </c>
      <c r="B575" s="61" t="s">
        <v>645</v>
      </c>
      <c r="C575" s="423"/>
      <c r="D575" s="7">
        <v>228316</v>
      </c>
      <c r="E575" s="446">
        <v>9</v>
      </c>
      <c r="F575" s="582"/>
      <c r="G575" s="585"/>
      <c r="H575" s="582">
        <v>50323</v>
      </c>
      <c r="I575" s="585">
        <v>53171</v>
      </c>
      <c r="J575" s="582">
        <v>9817</v>
      </c>
      <c r="K575" s="585">
        <v>10327</v>
      </c>
      <c r="L575" s="582">
        <v>4229</v>
      </c>
      <c r="M575" s="585">
        <v>5017</v>
      </c>
      <c r="N575" s="582">
        <v>53064</v>
      </c>
      <c r="O575" s="585">
        <v>53079</v>
      </c>
      <c r="P575" s="583">
        <f t="shared" si="162"/>
        <v>117433</v>
      </c>
      <c r="Q575" s="583">
        <f t="shared" si="163"/>
        <v>3914.4333333333334</v>
      </c>
      <c r="R575" s="584">
        <f t="shared" si="164"/>
        <v>121594</v>
      </c>
      <c r="S575" s="584">
        <f t="shared" si="165"/>
        <v>4053.1333333333332</v>
      </c>
      <c r="T575" s="582">
        <v>32306</v>
      </c>
      <c r="U575" s="585">
        <v>40441</v>
      </c>
      <c r="V575" s="583">
        <f t="shared" si="166"/>
        <v>117433</v>
      </c>
      <c r="W575" s="584">
        <f>IF(ISBLANK(#REF!),0,R575)</f>
        <v>121594</v>
      </c>
      <c r="X575" s="582">
        <v>11255</v>
      </c>
      <c r="Y575" s="585">
        <v>5653</v>
      </c>
      <c r="Z575" s="582">
        <v>14662</v>
      </c>
      <c r="AA575" s="585">
        <v>20614</v>
      </c>
      <c r="AB575" s="582">
        <v>10622</v>
      </c>
      <c r="AC575" s="585">
        <v>21750</v>
      </c>
      <c r="AD575" s="582">
        <v>11235</v>
      </c>
      <c r="AE575" s="585">
        <v>18918</v>
      </c>
      <c r="AF575" s="583">
        <f t="shared" si="167"/>
        <v>47774</v>
      </c>
      <c r="AG575" s="583">
        <f t="shared" si="168"/>
        <v>53.082222222222221</v>
      </c>
      <c r="AH575" s="584">
        <f t="shared" si="169"/>
        <v>66935</v>
      </c>
      <c r="AI575" s="584">
        <f t="shared" si="170"/>
        <v>74.37222222222222</v>
      </c>
      <c r="AJ575" s="582"/>
      <c r="AK575" s="585"/>
      <c r="AL575" s="583">
        <f t="shared" si="154"/>
        <v>0</v>
      </c>
      <c r="AM575" s="584">
        <f t="shared" si="155"/>
        <v>0</v>
      </c>
      <c r="AN575" s="582"/>
      <c r="AO575" s="585"/>
      <c r="AP575" s="582"/>
      <c r="AQ575" s="585"/>
      <c r="AR575" s="582"/>
      <c r="AS575" s="585"/>
      <c r="AT575" s="582"/>
      <c r="AU575" s="585"/>
      <c r="AV575" s="583">
        <f t="shared" si="156"/>
        <v>0</v>
      </c>
      <c r="AW575" s="583">
        <f t="shared" si="157"/>
        <v>0</v>
      </c>
      <c r="AX575" s="584">
        <f t="shared" si="158"/>
        <v>0</v>
      </c>
      <c r="AY575" s="584">
        <f t="shared" si="159"/>
        <v>0</v>
      </c>
      <c r="AZ575" s="583">
        <f t="shared" si="160"/>
        <v>3967.5155555555557</v>
      </c>
      <c r="BA575" s="584">
        <f t="shared" si="161"/>
        <v>4127.5055555555555</v>
      </c>
    </row>
    <row r="576" spans="1:53">
      <c r="A576" s="436" t="s">
        <v>570</v>
      </c>
      <c r="B576" s="61" t="s">
        <v>646</v>
      </c>
      <c r="C576" s="423"/>
      <c r="D576" s="7">
        <v>228608</v>
      </c>
      <c r="E576" s="446">
        <v>9</v>
      </c>
      <c r="F576" s="582"/>
      <c r="G576" s="585"/>
      <c r="H576" s="582">
        <v>40920</v>
      </c>
      <c r="I576" s="585">
        <v>39943</v>
      </c>
      <c r="J576" s="582">
        <v>11147</v>
      </c>
      <c r="K576" s="585">
        <v>10751</v>
      </c>
      <c r="L576" s="582">
        <v>0</v>
      </c>
      <c r="M576" s="585">
        <v>0</v>
      </c>
      <c r="N576" s="582">
        <v>44783</v>
      </c>
      <c r="O576" s="585">
        <v>43358</v>
      </c>
      <c r="P576" s="583">
        <f t="shared" si="162"/>
        <v>96850</v>
      </c>
      <c r="Q576" s="583">
        <f t="shared" si="163"/>
        <v>3228.3333333333335</v>
      </c>
      <c r="R576" s="584">
        <f t="shared" si="164"/>
        <v>94052</v>
      </c>
      <c r="S576" s="584">
        <f t="shared" si="165"/>
        <v>3135.0666666666666</v>
      </c>
      <c r="T576" s="582">
        <v>15952</v>
      </c>
      <c r="U576" s="585">
        <v>16212</v>
      </c>
      <c r="V576" s="583">
        <f t="shared" si="166"/>
        <v>96850</v>
      </c>
      <c r="W576" s="584">
        <f>IF(ISBLANK(#REF!),0,R576)</f>
        <v>94052</v>
      </c>
      <c r="X576" s="582">
        <v>10932</v>
      </c>
      <c r="Y576" s="585">
        <v>4792</v>
      </c>
      <c r="Z576" s="582">
        <v>15624</v>
      </c>
      <c r="AA576" s="585">
        <v>25696</v>
      </c>
      <c r="AB576" s="582">
        <v>18981</v>
      </c>
      <c r="AC576" s="585">
        <v>9753</v>
      </c>
      <c r="AD576" s="582">
        <v>14582</v>
      </c>
      <c r="AE576" s="585">
        <v>21508</v>
      </c>
      <c r="AF576" s="583">
        <f t="shared" si="167"/>
        <v>60119</v>
      </c>
      <c r="AG576" s="583">
        <f t="shared" si="168"/>
        <v>66.798888888888882</v>
      </c>
      <c r="AH576" s="584">
        <f t="shared" si="169"/>
        <v>61749</v>
      </c>
      <c r="AI576" s="584">
        <f t="shared" si="170"/>
        <v>68.61</v>
      </c>
      <c r="AJ576" s="582"/>
      <c r="AK576" s="585"/>
      <c r="AL576" s="583">
        <f t="shared" si="154"/>
        <v>0</v>
      </c>
      <c r="AM576" s="584">
        <f t="shared" si="155"/>
        <v>0</v>
      </c>
      <c r="AN576" s="582"/>
      <c r="AO576" s="585"/>
      <c r="AP576" s="582"/>
      <c r="AQ576" s="585"/>
      <c r="AR576" s="582"/>
      <c r="AS576" s="585"/>
      <c r="AT576" s="582"/>
      <c r="AU576" s="585"/>
      <c r="AV576" s="583">
        <f t="shared" si="156"/>
        <v>0</v>
      </c>
      <c r="AW576" s="583">
        <f t="shared" si="157"/>
        <v>0</v>
      </c>
      <c r="AX576" s="584">
        <f t="shared" si="158"/>
        <v>0</v>
      </c>
      <c r="AY576" s="584">
        <f t="shared" si="159"/>
        <v>0</v>
      </c>
      <c r="AZ576" s="583">
        <f t="shared" si="160"/>
        <v>3295.1322222222225</v>
      </c>
      <c r="BA576" s="584">
        <f t="shared" si="161"/>
        <v>3203.6766666666667</v>
      </c>
    </row>
    <row r="577" spans="1:53">
      <c r="A577" s="436" t="s">
        <v>570</v>
      </c>
      <c r="B577" s="61" t="s">
        <v>647</v>
      </c>
      <c r="C577" s="423"/>
      <c r="D577" s="7">
        <v>228699</v>
      </c>
      <c r="E577" s="446">
        <v>9</v>
      </c>
      <c r="F577" s="582"/>
      <c r="G577" s="585"/>
      <c r="H577" s="582">
        <v>30933</v>
      </c>
      <c r="I577" s="585">
        <v>31833</v>
      </c>
      <c r="J577" s="582">
        <v>7457</v>
      </c>
      <c r="K577" s="585">
        <v>7643</v>
      </c>
      <c r="L577" s="582">
        <v>0</v>
      </c>
      <c r="M577" s="585">
        <v>0</v>
      </c>
      <c r="N577" s="582">
        <v>38916</v>
      </c>
      <c r="O577" s="585">
        <v>36211</v>
      </c>
      <c r="P577" s="583">
        <f t="shared" si="162"/>
        <v>77306</v>
      </c>
      <c r="Q577" s="583">
        <f t="shared" si="163"/>
        <v>2576.8666666666668</v>
      </c>
      <c r="R577" s="584">
        <f t="shared" si="164"/>
        <v>75687</v>
      </c>
      <c r="S577" s="584">
        <f t="shared" si="165"/>
        <v>2522.9</v>
      </c>
      <c r="T577" s="582">
        <v>18312</v>
      </c>
      <c r="U577" s="585">
        <v>18185</v>
      </c>
      <c r="V577" s="583">
        <f t="shared" si="166"/>
        <v>77306</v>
      </c>
      <c r="W577" s="584">
        <f>IF(ISBLANK(#REF!),0,R577)</f>
        <v>75687</v>
      </c>
      <c r="X577" s="582">
        <v>76268</v>
      </c>
      <c r="Y577" s="585">
        <v>67434</v>
      </c>
      <c r="Z577" s="582">
        <v>69339</v>
      </c>
      <c r="AA577" s="585">
        <v>79616</v>
      </c>
      <c r="AB577" s="582">
        <v>73125</v>
      </c>
      <c r="AC577" s="585">
        <v>81877</v>
      </c>
      <c r="AD577" s="582">
        <v>67498</v>
      </c>
      <c r="AE577" s="585">
        <v>76663</v>
      </c>
      <c r="AF577" s="583">
        <f t="shared" si="167"/>
        <v>286230</v>
      </c>
      <c r="AG577" s="583">
        <f t="shared" si="168"/>
        <v>318.03333333333336</v>
      </c>
      <c r="AH577" s="584">
        <f t="shared" si="169"/>
        <v>305590</v>
      </c>
      <c r="AI577" s="584">
        <f t="shared" si="170"/>
        <v>339.54444444444442</v>
      </c>
      <c r="AJ577" s="582"/>
      <c r="AK577" s="585"/>
      <c r="AL577" s="583">
        <f t="shared" si="154"/>
        <v>0</v>
      </c>
      <c r="AM577" s="584">
        <f t="shared" si="155"/>
        <v>0</v>
      </c>
      <c r="AN577" s="582"/>
      <c r="AO577" s="585"/>
      <c r="AP577" s="582"/>
      <c r="AQ577" s="585"/>
      <c r="AR577" s="582"/>
      <c r="AS577" s="585"/>
      <c r="AT577" s="582"/>
      <c r="AU577" s="585"/>
      <c r="AV577" s="583">
        <f t="shared" si="156"/>
        <v>0</v>
      </c>
      <c r="AW577" s="583">
        <f t="shared" si="157"/>
        <v>0</v>
      </c>
      <c r="AX577" s="584">
        <f t="shared" si="158"/>
        <v>0</v>
      </c>
      <c r="AY577" s="584">
        <f t="shared" si="159"/>
        <v>0</v>
      </c>
      <c r="AZ577" s="583">
        <f t="shared" si="160"/>
        <v>2894.9</v>
      </c>
      <c r="BA577" s="584">
        <f t="shared" si="161"/>
        <v>2862.4444444444443</v>
      </c>
    </row>
    <row r="578" spans="1:53">
      <c r="A578" s="436" t="s">
        <v>570</v>
      </c>
      <c r="B578" s="61" t="s">
        <v>648</v>
      </c>
      <c r="C578" s="564"/>
      <c r="D578" s="7">
        <v>229072</v>
      </c>
      <c r="E578" s="446">
        <v>9</v>
      </c>
      <c r="F578" s="582"/>
      <c r="G578" s="585"/>
      <c r="H578" s="582">
        <v>48202</v>
      </c>
      <c r="I578" s="585">
        <v>52338</v>
      </c>
      <c r="J578" s="582">
        <v>4269</v>
      </c>
      <c r="K578" s="585">
        <v>6854</v>
      </c>
      <c r="L578" s="582">
        <v>4628</v>
      </c>
      <c r="M578" s="585">
        <v>4357</v>
      </c>
      <c r="N578" s="582">
        <v>50474</v>
      </c>
      <c r="O578" s="585">
        <v>59826</v>
      </c>
      <c r="P578" s="583">
        <f t="shared" si="162"/>
        <v>107573</v>
      </c>
      <c r="Q578" s="583">
        <f t="shared" si="163"/>
        <v>3585.7666666666669</v>
      </c>
      <c r="R578" s="584">
        <f t="shared" si="164"/>
        <v>123375</v>
      </c>
      <c r="S578" s="584">
        <f t="shared" si="165"/>
        <v>4112.5</v>
      </c>
      <c r="T578" s="582">
        <v>32019</v>
      </c>
      <c r="U578" s="585">
        <v>42299</v>
      </c>
      <c r="V578" s="583">
        <f t="shared" si="166"/>
        <v>107573</v>
      </c>
      <c r="W578" s="584">
        <f>IF(ISBLANK(#REF!),0,R578)</f>
        <v>123375</v>
      </c>
      <c r="X578" s="582">
        <v>6400</v>
      </c>
      <c r="Y578" s="585">
        <v>12996</v>
      </c>
      <c r="Z578" s="582">
        <v>10338</v>
      </c>
      <c r="AA578" s="585">
        <v>20040</v>
      </c>
      <c r="AB578" s="582">
        <v>12334</v>
      </c>
      <c r="AC578" s="585">
        <v>13752</v>
      </c>
      <c r="AD578" s="582">
        <v>18763</v>
      </c>
      <c r="AE578" s="585">
        <v>19600</v>
      </c>
      <c r="AF578" s="583">
        <f t="shared" si="167"/>
        <v>47835</v>
      </c>
      <c r="AG578" s="583">
        <f t="shared" si="168"/>
        <v>53.15</v>
      </c>
      <c r="AH578" s="584">
        <f t="shared" si="169"/>
        <v>66388</v>
      </c>
      <c r="AI578" s="584">
        <f t="shared" si="170"/>
        <v>73.76444444444445</v>
      </c>
      <c r="AJ578" s="582"/>
      <c r="AK578" s="585"/>
      <c r="AL578" s="583">
        <f t="shared" si="154"/>
        <v>0</v>
      </c>
      <c r="AM578" s="584">
        <f t="shared" si="155"/>
        <v>0</v>
      </c>
      <c r="AN578" s="582"/>
      <c r="AO578" s="585"/>
      <c r="AP578" s="582"/>
      <c r="AQ578" s="585"/>
      <c r="AR578" s="582"/>
      <c r="AS578" s="585"/>
      <c r="AT578" s="582"/>
      <c r="AU578" s="585"/>
      <c r="AV578" s="583">
        <f t="shared" si="156"/>
        <v>0</v>
      </c>
      <c r="AW578" s="583">
        <f t="shared" si="157"/>
        <v>0</v>
      </c>
      <c r="AX578" s="584">
        <f t="shared" si="158"/>
        <v>0</v>
      </c>
      <c r="AY578" s="584">
        <f t="shared" si="159"/>
        <v>0</v>
      </c>
      <c r="AZ578" s="583">
        <f t="shared" si="160"/>
        <v>3638.916666666667</v>
      </c>
      <c r="BA578" s="584">
        <f t="shared" si="161"/>
        <v>4186.2644444444441</v>
      </c>
    </row>
    <row r="579" spans="1:53">
      <c r="A579" s="436" t="s">
        <v>570</v>
      </c>
      <c r="B579" s="61" t="s">
        <v>649</v>
      </c>
      <c r="C579" s="564"/>
      <c r="D579" s="7">
        <v>229319</v>
      </c>
      <c r="E579" s="446">
        <v>9</v>
      </c>
      <c r="F579" s="582"/>
      <c r="G579" s="585"/>
      <c r="H579" s="582">
        <v>38004</v>
      </c>
      <c r="I579" s="585">
        <v>32358</v>
      </c>
      <c r="J579" s="582">
        <v>20102</v>
      </c>
      <c r="K579" s="585">
        <v>17073</v>
      </c>
      <c r="L579" s="582">
        <v>0</v>
      </c>
      <c r="M579" s="585">
        <v>0</v>
      </c>
      <c r="N579" s="582">
        <v>39305</v>
      </c>
      <c r="O579" s="585">
        <v>36768</v>
      </c>
      <c r="P579" s="583">
        <f t="shared" si="162"/>
        <v>97411</v>
      </c>
      <c r="Q579" s="583">
        <f t="shared" si="163"/>
        <v>3247.0333333333333</v>
      </c>
      <c r="R579" s="584">
        <f t="shared" si="164"/>
        <v>86199</v>
      </c>
      <c r="S579" s="584">
        <f t="shared" si="165"/>
        <v>2873.3</v>
      </c>
      <c r="T579" s="582">
        <v>4406</v>
      </c>
      <c r="U579" s="585">
        <v>1524</v>
      </c>
      <c r="V579" s="583">
        <f t="shared" si="166"/>
        <v>97411</v>
      </c>
      <c r="W579" s="584">
        <f>IF(ISBLANK(#REF!),0,R579)</f>
        <v>86199</v>
      </c>
      <c r="X579" s="582">
        <v>9598</v>
      </c>
      <c r="Y579" s="585">
        <v>12508</v>
      </c>
      <c r="Z579" s="582">
        <v>11299</v>
      </c>
      <c r="AA579" s="585">
        <v>13042</v>
      </c>
      <c r="AB579" s="582">
        <v>14799</v>
      </c>
      <c r="AC579" s="585">
        <v>12096</v>
      </c>
      <c r="AD579" s="582">
        <v>11954</v>
      </c>
      <c r="AE579" s="585">
        <v>11488</v>
      </c>
      <c r="AF579" s="583">
        <f t="shared" si="167"/>
        <v>47650</v>
      </c>
      <c r="AG579" s="583">
        <f t="shared" si="168"/>
        <v>52.944444444444443</v>
      </c>
      <c r="AH579" s="584">
        <f t="shared" si="169"/>
        <v>49134</v>
      </c>
      <c r="AI579" s="584">
        <f t="shared" si="170"/>
        <v>54.593333333333334</v>
      </c>
      <c r="AJ579" s="582"/>
      <c r="AK579" s="585"/>
      <c r="AL579" s="583">
        <f t="shared" si="154"/>
        <v>0</v>
      </c>
      <c r="AM579" s="584">
        <f t="shared" si="155"/>
        <v>0</v>
      </c>
      <c r="AN579" s="582"/>
      <c r="AO579" s="585"/>
      <c r="AP579" s="582"/>
      <c r="AQ579" s="585"/>
      <c r="AR579" s="582"/>
      <c r="AS579" s="585"/>
      <c r="AT579" s="582"/>
      <c r="AU579" s="585"/>
      <c r="AV579" s="583">
        <f t="shared" si="156"/>
        <v>0</v>
      </c>
      <c r="AW579" s="583">
        <f t="shared" si="157"/>
        <v>0</v>
      </c>
      <c r="AX579" s="584">
        <f t="shared" si="158"/>
        <v>0</v>
      </c>
      <c r="AY579" s="584">
        <f t="shared" si="159"/>
        <v>0</v>
      </c>
      <c r="AZ579" s="583">
        <f t="shared" si="160"/>
        <v>3299.9777777777776</v>
      </c>
      <c r="BA579" s="584">
        <f t="shared" si="161"/>
        <v>2927.8933333333334</v>
      </c>
    </row>
    <row r="580" spans="1:53">
      <c r="A580" s="436" t="s">
        <v>570</v>
      </c>
      <c r="B580" s="8" t="s">
        <v>650</v>
      </c>
      <c r="C580" s="564"/>
      <c r="D580" s="7">
        <v>228680</v>
      </c>
      <c r="E580" s="446">
        <v>9</v>
      </c>
      <c r="F580" s="582"/>
      <c r="G580" s="585"/>
      <c r="H580" s="582">
        <v>37581</v>
      </c>
      <c r="I580" s="585">
        <v>34558</v>
      </c>
      <c r="J580" s="582">
        <v>25906</v>
      </c>
      <c r="K580" s="585">
        <v>26126</v>
      </c>
      <c r="L580" s="582">
        <v>0</v>
      </c>
      <c r="M580" s="585">
        <v>0</v>
      </c>
      <c r="N580" s="582">
        <v>42391</v>
      </c>
      <c r="O580" s="585">
        <v>41390</v>
      </c>
      <c r="P580" s="583">
        <f t="shared" si="162"/>
        <v>105878</v>
      </c>
      <c r="Q580" s="583">
        <f t="shared" si="163"/>
        <v>3529.2666666666669</v>
      </c>
      <c r="R580" s="584">
        <f t="shared" si="164"/>
        <v>102074</v>
      </c>
      <c r="S580" s="584">
        <f t="shared" si="165"/>
        <v>3402.4666666666667</v>
      </c>
      <c r="T580" s="582">
        <v>2019</v>
      </c>
      <c r="U580" s="585">
        <v>1920</v>
      </c>
      <c r="V580" s="583">
        <f t="shared" si="166"/>
        <v>105878</v>
      </c>
      <c r="W580" s="584">
        <f>IF(ISBLANK(#REF!),0,R580)</f>
        <v>102074</v>
      </c>
      <c r="X580" s="582"/>
      <c r="Y580" s="585">
        <v>384</v>
      </c>
      <c r="Z580" s="582"/>
      <c r="AA580" s="585">
        <v>1920</v>
      </c>
      <c r="AB580" s="582"/>
      <c r="AC580" s="585">
        <v>1344</v>
      </c>
      <c r="AD580" s="582"/>
      <c r="AE580" s="585">
        <v>0</v>
      </c>
      <c r="AF580" s="583">
        <f t="shared" si="167"/>
        <v>0</v>
      </c>
      <c r="AG580" s="583">
        <f t="shared" si="168"/>
        <v>0</v>
      </c>
      <c r="AH580" s="584">
        <f t="shared" si="169"/>
        <v>3648</v>
      </c>
      <c r="AI580" s="584">
        <f t="shared" si="170"/>
        <v>4.0533333333333337</v>
      </c>
      <c r="AJ580" s="582"/>
      <c r="AK580" s="585"/>
      <c r="AL580" s="583">
        <f t="shared" si="154"/>
        <v>0</v>
      </c>
      <c r="AM580" s="584">
        <f t="shared" si="155"/>
        <v>0</v>
      </c>
      <c r="AN580" s="582"/>
      <c r="AO580" s="585"/>
      <c r="AP580" s="582"/>
      <c r="AQ580" s="585"/>
      <c r="AR580" s="582"/>
      <c r="AS580" s="585"/>
      <c r="AT580" s="582"/>
      <c r="AU580" s="585"/>
      <c r="AV580" s="583">
        <f t="shared" si="156"/>
        <v>0</v>
      </c>
      <c r="AW580" s="583">
        <f t="shared" si="157"/>
        <v>0</v>
      </c>
      <c r="AX580" s="584">
        <f t="shared" si="158"/>
        <v>0</v>
      </c>
      <c r="AY580" s="584">
        <f t="shared" si="159"/>
        <v>0</v>
      </c>
      <c r="AZ580" s="583">
        <f t="shared" si="160"/>
        <v>3529.2666666666669</v>
      </c>
      <c r="BA580" s="584">
        <f t="shared" si="161"/>
        <v>3406.52</v>
      </c>
    </row>
    <row r="581" spans="1:53">
      <c r="A581" s="436" t="s">
        <v>570</v>
      </c>
      <c r="B581" s="61" t="s">
        <v>651</v>
      </c>
      <c r="C581" s="423"/>
      <c r="D581" s="7">
        <v>229504</v>
      </c>
      <c r="E581" s="446">
        <v>9</v>
      </c>
      <c r="F581" s="582"/>
      <c r="G581" s="585"/>
      <c r="H581" s="582">
        <v>24558</v>
      </c>
      <c r="I581" s="585">
        <v>22882</v>
      </c>
      <c r="J581" s="582">
        <v>2875</v>
      </c>
      <c r="K581" s="585">
        <v>2567</v>
      </c>
      <c r="L581" s="582">
        <v>4039</v>
      </c>
      <c r="M581" s="585">
        <v>3613</v>
      </c>
      <c r="N581" s="582">
        <v>26057</v>
      </c>
      <c r="O581" s="585">
        <v>25219</v>
      </c>
      <c r="P581" s="583">
        <f t="shared" si="162"/>
        <v>57529</v>
      </c>
      <c r="Q581" s="583">
        <f t="shared" si="163"/>
        <v>1917.6333333333334</v>
      </c>
      <c r="R581" s="584">
        <f t="shared" si="164"/>
        <v>54281</v>
      </c>
      <c r="S581" s="584">
        <f t="shared" si="165"/>
        <v>1809.3666666666666</v>
      </c>
      <c r="T581" s="582">
        <v>7576</v>
      </c>
      <c r="U581" s="585">
        <v>8235</v>
      </c>
      <c r="V581" s="583">
        <f t="shared" si="166"/>
        <v>57529</v>
      </c>
      <c r="W581" s="584">
        <f>IF(ISBLANK(#REF!),0,R581)</f>
        <v>54281</v>
      </c>
      <c r="X581" s="582">
        <v>85541</v>
      </c>
      <c r="Y581" s="585">
        <v>58227</v>
      </c>
      <c r="Z581" s="582">
        <v>53706</v>
      </c>
      <c r="AA581" s="585">
        <v>58552</v>
      </c>
      <c r="AB581" s="582">
        <v>28411</v>
      </c>
      <c r="AC581" s="585">
        <v>28434</v>
      </c>
      <c r="AD581" s="582">
        <v>81217</v>
      </c>
      <c r="AE581" s="585">
        <v>66305</v>
      </c>
      <c r="AF581" s="583">
        <f t="shared" si="167"/>
        <v>248875</v>
      </c>
      <c r="AG581" s="583">
        <f t="shared" si="168"/>
        <v>276.52777777777777</v>
      </c>
      <c r="AH581" s="584">
        <f t="shared" si="169"/>
        <v>211518</v>
      </c>
      <c r="AI581" s="584">
        <f t="shared" si="170"/>
        <v>235.02</v>
      </c>
      <c r="AJ581" s="582"/>
      <c r="AK581" s="585"/>
      <c r="AL581" s="583">
        <f t="shared" si="154"/>
        <v>0</v>
      </c>
      <c r="AM581" s="584">
        <f t="shared" si="155"/>
        <v>0</v>
      </c>
      <c r="AN581" s="582"/>
      <c r="AO581" s="585"/>
      <c r="AP581" s="582"/>
      <c r="AQ581" s="585"/>
      <c r="AR581" s="582"/>
      <c r="AS581" s="585"/>
      <c r="AT581" s="582"/>
      <c r="AU581" s="585"/>
      <c r="AV581" s="583">
        <f t="shared" si="156"/>
        <v>0</v>
      </c>
      <c r="AW581" s="583">
        <f t="shared" si="157"/>
        <v>0</v>
      </c>
      <c r="AX581" s="584">
        <f t="shared" si="158"/>
        <v>0</v>
      </c>
      <c r="AY581" s="584">
        <f t="shared" si="159"/>
        <v>0</v>
      </c>
      <c r="AZ581" s="583">
        <f t="shared" si="160"/>
        <v>2194.161111111111</v>
      </c>
      <c r="BA581" s="584">
        <f t="shared" si="161"/>
        <v>2044.3866666666665</v>
      </c>
    </row>
    <row r="582" spans="1:53">
      <c r="A582" s="436" t="s">
        <v>570</v>
      </c>
      <c r="B582" s="61" t="s">
        <v>652</v>
      </c>
      <c r="C582" s="423"/>
      <c r="D582" s="7">
        <v>229540</v>
      </c>
      <c r="E582" s="446">
        <v>9</v>
      </c>
      <c r="F582" s="582"/>
      <c r="G582" s="585"/>
      <c r="H582" s="582">
        <v>29151</v>
      </c>
      <c r="I582" s="585">
        <v>26008</v>
      </c>
      <c r="J582" s="582">
        <v>7931</v>
      </c>
      <c r="K582" s="585">
        <v>7204</v>
      </c>
      <c r="L582" s="582">
        <v>0</v>
      </c>
      <c r="M582" s="585">
        <v>0</v>
      </c>
      <c r="N582" s="582">
        <v>29926</v>
      </c>
      <c r="O582" s="585">
        <v>28637</v>
      </c>
      <c r="P582" s="583">
        <f t="shared" si="162"/>
        <v>67008</v>
      </c>
      <c r="Q582" s="583">
        <f t="shared" si="163"/>
        <v>2233.6</v>
      </c>
      <c r="R582" s="584">
        <f t="shared" si="164"/>
        <v>61849</v>
      </c>
      <c r="S582" s="584">
        <f t="shared" si="165"/>
        <v>2061.6333333333332</v>
      </c>
      <c r="T582" s="582">
        <v>6802</v>
      </c>
      <c r="U582" s="585">
        <v>6811</v>
      </c>
      <c r="V582" s="583">
        <f t="shared" si="166"/>
        <v>67008</v>
      </c>
      <c r="W582" s="584">
        <f>IF(ISBLANK(#REF!),0,R582)</f>
        <v>61849</v>
      </c>
      <c r="X582" s="582">
        <v>25198</v>
      </c>
      <c r="Y582" s="585">
        <v>35154</v>
      </c>
      <c r="Z582" s="582">
        <v>20231</v>
      </c>
      <c r="AA582" s="585">
        <v>18716</v>
      </c>
      <c r="AB582" s="582">
        <v>29734</v>
      </c>
      <c r="AC582" s="585">
        <v>21181</v>
      </c>
      <c r="AD582" s="582">
        <v>38044</v>
      </c>
      <c r="AE582" s="585">
        <v>31852</v>
      </c>
      <c r="AF582" s="583">
        <f t="shared" si="167"/>
        <v>113207</v>
      </c>
      <c r="AG582" s="583">
        <f t="shared" si="168"/>
        <v>125.78555555555556</v>
      </c>
      <c r="AH582" s="584">
        <f t="shared" si="169"/>
        <v>106903</v>
      </c>
      <c r="AI582" s="584">
        <f t="shared" si="170"/>
        <v>118.78111111111112</v>
      </c>
      <c r="AJ582" s="582"/>
      <c r="AK582" s="585"/>
      <c r="AL582" s="583">
        <f t="shared" si="154"/>
        <v>0</v>
      </c>
      <c r="AM582" s="584">
        <f t="shared" si="155"/>
        <v>0</v>
      </c>
      <c r="AN582" s="582"/>
      <c r="AO582" s="585"/>
      <c r="AP582" s="582"/>
      <c r="AQ582" s="585"/>
      <c r="AR582" s="582"/>
      <c r="AS582" s="585"/>
      <c r="AT582" s="582"/>
      <c r="AU582" s="585"/>
      <c r="AV582" s="583">
        <f t="shared" si="156"/>
        <v>0</v>
      </c>
      <c r="AW582" s="583">
        <f t="shared" si="157"/>
        <v>0</v>
      </c>
      <c r="AX582" s="584">
        <f t="shared" si="158"/>
        <v>0</v>
      </c>
      <c r="AY582" s="584">
        <f t="shared" si="159"/>
        <v>0</v>
      </c>
      <c r="AZ582" s="583">
        <f t="shared" si="160"/>
        <v>2359.3855555555556</v>
      </c>
      <c r="BA582" s="584">
        <f t="shared" si="161"/>
        <v>2180.4144444444441</v>
      </c>
    </row>
    <row r="583" spans="1:53">
      <c r="A583" s="436" t="s">
        <v>570</v>
      </c>
      <c r="B583" s="61" t="s">
        <v>653</v>
      </c>
      <c r="C583" s="423"/>
      <c r="D583" s="7">
        <v>229799</v>
      </c>
      <c r="E583" s="446">
        <v>9</v>
      </c>
      <c r="F583" s="582"/>
      <c r="G583" s="585"/>
      <c r="H583" s="582">
        <v>49180</v>
      </c>
      <c r="I583" s="585">
        <v>47389</v>
      </c>
      <c r="J583" s="582">
        <v>7530</v>
      </c>
      <c r="K583" s="585">
        <v>7445</v>
      </c>
      <c r="L583" s="582">
        <v>4796</v>
      </c>
      <c r="M583" s="585">
        <v>5527</v>
      </c>
      <c r="N583" s="582">
        <v>52829</v>
      </c>
      <c r="O583" s="585">
        <v>48948</v>
      </c>
      <c r="P583" s="583">
        <f t="shared" si="162"/>
        <v>114335</v>
      </c>
      <c r="Q583" s="583">
        <f t="shared" si="163"/>
        <v>3811.1666666666665</v>
      </c>
      <c r="R583" s="584">
        <f t="shared" si="164"/>
        <v>109309</v>
      </c>
      <c r="S583" s="584">
        <f t="shared" si="165"/>
        <v>3643.6333333333332</v>
      </c>
      <c r="T583" s="582">
        <v>18680</v>
      </c>
      <c r="U583" s="585">
        <v>18993</v>
      </c>
      <c r="V583" s="583">
        <f t="shared" si="166"/>
        <v>114335</v>
      </c>
      <c r="W583" s="584">
        <f>IF(ISBLANK(#REF!),0,R583)</f>
        <v>109309</v>
      </c>
      <c r="X583" s="582">
        <v>31961</v>
      </c>
      <c r="Y583" s="585">
        <v>31841</v>
      </c>
      <c r="Z583" s="582">
        <v>31171</v>
      </c>
      <c r="AA583" s="585">
        <v>36919</v>
      </c>
      <c r="AB583" s="582">
        <v>26631</v>
      </c>
      <c r="AC583" s="585">
        <v>22382</v>
      </c>
      <c r="AD583" s="582">
        <v>37330</v>
      </c>
      <c r="AE583" s="585">
        <v>29692</v>
      </c>
      <c r="AF583" s="583">
        <f t="shared" si="167"/>
        <v>127093</v>
      </c>
      <c r="AG583" s="583">
        <f t="shared" si="168"/>
        <v>141.21444444444444</v>
      </c>
      <c r="AH583" s="584">
        <f t="shared" si="169"/>
        <v>120834</v>
      </c>
      <c r="AI583" s="584">
        <f t="shared" si="170"/>
        <v>134.26</v>
      </c>
      <c r="AJ583" s="582"/>
      <c r="AK583" s="585"/>
      <c r="AL583" s="583">
        <f t="shared" ref="AL583:AL646" si="171">IF(ISBLANK(AJ583),0,AF583)</f>
        <v>0</v>
      </c>
      <c r="AM583" s="584">
        <f t="shared" ref="AM583:AM646" si="172">IF(ISBLANK(AK583),0,AH583)</f>
        <v>0</v>
      </c>
      <c r="AN583" s="582"/>
      <c r="AO583" s="585"/>
      <c r="AP583" s="582"/>
      <c r="AQ583" s="585"/>
      <c r="AR583" s="582"/>
      <c r="AS583" s="585"/>
      <c r="AT583" s="582"/>
      <c r="AU583" s="585"/>
      <c r="AV583" s="583">
        <f t="shared" ref="AV583:AV646" si="173">SUM(AN583,AP583,AR583,AT583)</f>
        <v>0</v>
      </c>
      <c r="AW583" s="583">
        <f t="shared" ref="AW583:AW646" si="174">+AV583/24</f>
        <v>0</v>
      </c>
      <c r="AX583" s="584">
        <f t="shared" ref="AX583:AX646" si="175">SUM(AO583,AQ583,AS583,AU583)</f>
        <v>0</v>
      </c>
      <c r="AY583" s="584">
        <f t="shared" ref="AY583:AY646" si="176">+AX583/24</f>
        <v>0</v>
      </c>
      <c r="AZ583" s="583">
        <f t="shared" ref="AZ583:AZ646" si="177">SUM(Q583,AG583,AW583)</f>
        <v>3952.3811111111108</v>
      </c>
      <c r="BA583" s="584">
        <f t="shared" ref="BA583:BA646" si="178">SUM(S583,AI583,AY583)</f>
        <v>3777.8933333333334</v>
      </c>
    </row>
    <row r="584" spans="1:53">
      <c r="A584" s="436" t="s">
        <v>570</v>
      </c>
      <c r="B584" s="61" t="s">
        <v>654</v>
      </c>
      <c r="C584" s="423"/>
      <c r="D584" s="7">
        <v>229841</v>
      </c>
      <c r="E584" s="446">
        <v>9</v>
      </c>
      <c r="F584" s="582"/>
      <c r="G584" s="585"/>
      <c r="H584" s="582">
        <v>58477</v>
      </c>
      <c r="I584" s="585">
        <v>60208</v>
      </c>
      <c r="J584" s="582">
        <v>10260</v>
      </c>
      <c r="K584" s="585">
        <v>10674</v>
      </c>
      <c r="L584" s="582">
        <v>5588</v>
      </c>
      <c r="M584" s="585">
        <v>5552</v>
      </c>
      <c r="N584" s="582">
        <v>64784</v>
      </c>
      <c r="O584" s="585">
        <v>66772</v>
      </c>
      <c r="P584" s="583">
        <f t="shared" si="162"/>
        <v>139109</v>
      </c>
      <c r="Q584" s="583">
        <f t="shared" si="163"/>
        <v>4636.9666666666662</v>
      </c>
      <c r="R584" s="584">
        <f t="shared" si="164"/>
        <v>143206</v>
      </c>
      <c r="S584" s="584">
        <f t="shared" si="165"/>
        <v>4773.5333333333338</v>
      </c>
      <c r="T584" s="582">
        <v>6822</v>
      </c>
      <c r="U584" s="585">
        <v>6588</v>
      </c>
      <c r="V584" s="583">
        <f t="shared" si="166"/>
        <v>139109</v>
      </c>
      <c r="W584" s="584">
        <f>IF(ISBLANK(#REF!),0,R584)</f>
        <v>143206</v>
      </c>
      <c r="X584" s="582">
        <v>7578</v>
      </c>
      <c r="Y584" s="585">
        <v>6457</v>
      </c>
      <c r="Z584" s="582">
        <v>10156</v>
      </c>
      <c r="AA584" s="585">
        <v>8028</v>
      </c>
      <c r="AB584" s="582">
        <v>8881</v>
      </c>
      <c r="AC584" s="585">
        <v>10972</v>
      </c>
      <c r="AD584" s="582">
        <v>10266</v>
      </c>
      <c r="AE584" s="585">
        <v>9537</v>
      </c>
      <c r="AF584" s="583">
        <f t="shared" si="167"/>
        <v>36881</v>
      </c>
      <c r="AG584" s="583">
        <f t="shared" si="168"/>
        <v>40.978888888888889</v>
      </c>
      <c r="AH584" s="584">
        <f t="shared" si="169"/>
        <v>34994</v>
      </c>
      <c r="AI584" s="584">
        <f t="shared" si="170"/>
        <v>38.882222222222225</v>
      </c>
      <c r="AJ584" s="582"/>
      <c r="AK584" s="585"/>
      <c r="AL584" s="583">
        <f t="shared" si="171"/>
        <v>0</v>
      </c>
      <c r="AM584" s="584">
        <f t="shared" si="172"/>
        <v>0</v>
      </c>
      <c r="AN584" s="582"/>
      <c r="AO584" s="585"/>
      <c r="AP584" s="582"/>
      <c r="AQ584" s="585"/>
      <c r="AR584" s="582"/>
      <c r="AS584" s="585"/>
      <c r="AT584" s="582"/>
      <c r="AU584" s="585"/>
      <c r="AV584" s="583">
        <f t="shared" si="173"/>
        <v>0</v>
      </c>
      <c r="AW584" s="583">
        <f t="shared" si="174"/>
        <v>0</v>
      </c>
      <c r="AX584" s="584">
        <f t="shared" si="175"/>
        <v>0</v>
      </c>
      <c r="AY584" s="584">
        <f t="shared" si="176"/>
        <v>0</v>
      </c>
      <c r="AZ584" s="583">
        <f t="shared" si="177"/>
        <v>4677.9455555555551</v>
      </c>
      <c r="BA584" s="584">
        <f t="shared" si="178"/>
        <v>4812.4155555555562</v>
      </c>
    </row>
    <row r="585" spans="1:53">
      <c r="A585" s="436" t="s">
        <v>570</v>
      </c>
      <c r="B585" s="61" t="s">
        <v>655</v>
      </c>
      <c r="C585" s="423"/>
      <c r="D585" s="7">
        <v>223922</v>
      </c>
      <c r="E585" s="446">
        <v>10</v>
      </c>
      <c r="F585" s="582"/>
      <c r="G585" s="585"/>
      <c r="H585" s="582">
        <v>13260</v>
      </c>
      <c r="I585" s="585">
        <v>12969</v>
      </c>
      <c r="J585" s="582">
        <v>3184</v>
      </c>
      <c r="K585" s="585">
        <v>1053</v>
      </c>
      <c r="L585" s="582">
        <v>705</v>
      </c>
      <c r="M585" s="585">
        <v>2422</v>
      </c>
      <c r="N585" s="582">
        <v>14474</v>
      </c>
      <c r="O585" s="585">
        <v>13868</v>
      </c>
      <c r="P585" s="583">
        <f t="shared" si="162"/>
        <v>31623</v>
      </c>
      <c r="Q585" s="583">
        <f t="shared" si="163"/>
        <v>1054.0999999999999</v>
      </c>
      <c r="R585" s="584">
        <f t="shared" si="164"/>
        <v>30312</v>
      </c>
      <c r="S585" s="584">
        <f t="shared" si="165"/>
        <v>1010.4</v>
      </c>
      <c r="T585" s="582">
        <v>7376</v>
      </c>
      <c r="U585" s="585">
        <v>7976</v>
      </c>
      <c r="V585" s="583">
        <f t="shared" si="166"/>
        <v>31623</v>
      </c>
      <c r="W585" s="584">
        <f>IF(ISBLANK(#REF!),0,R585)</f>
        <v>30312</v>
      </c>
      <c r="X585" s="582">
        <v>6932</v>
      </c>
      <c r="Y585" s="585">
        <v>2020</v>
      </c>
      <c r="Z585" s="582">
        <v>5144</v>
      </c>
      <c r="AA585" s="585">
        <v>2760</v>
      </c>
      <c r="AB585" s="582">
        <v>3968</v>
      </c>
      <c r="AC585" s="585">
        <v>1488</v>
      </c>
      <c r="AD585" s="582">
        <v>7072</v>
      </c>
      <c r="AE585" s="585">
        <v>992</v>
      </c>
      <c r="AF585" s="583">
        <f t="shared" si="167"/>
        <v>23116</v>
      </c>
      <c r="AG585" s="583">
        <f t="shared" si="168"/>
        <v>25.684444444444445</v>
      </c>
      <c r="AH585" s="584">
        <f t="shared" si="169"/>
        <v>7260</v>
      </c>
      <c r="AI585" s="584">
        <f t="shared" si="170"/>
        <v>8.0666666666666664</v>
      </c>
      <c r="AJ585" s="582"/>
      <c r="AK585" s="585"/>
      <c r="AL585" s="583">
        <f t="shared" si="171"/>
        <v>0</v>
      </c>
      <c r="AM585" s="584">
        <f t="shared" si="172"/>
        <v>0</v>
      </c>
      <c r="AN585" s="582"/>
      <c r="AO585" s="585"/>
      <c r="AP585" s="582"/>
      <c r="AQ585" s="585"/>
      <c r="AR585" s="582"/>
      <c r="AS585" s="585"/>
      <c r="AT585" s="582"/>
      <c r="AU585" s="585"/>
      <c r="AV585" s="583">
        <f t="shared" si="173"/>
        <v>0</v>
      </c>
      <c r="AW585" s="583">
        <f t="shared" si="174"/>
        <v>0</v>
      </c>
      <c r="AX585" s="584">
        <f t="shared" si="175"/>
        <v>0</v>
      </c>
      <c r="AY585" s="584">
        <f t="shared" si="176"/>
        <v>0</v>
      </c>
      <c r="AZ585" s="583">
        <f t="shared" si="177"/>
        <v>1079.7844444444443</v>
      </c>
      <c r="BA585" s="584">
        <f t="shared" si="178"/>
        <v>1018.4666666666667</v>
      </c>
    </row>
    <row r="586" spans="1:53">
      <c r="A586" s="436" t="s">
        <v>570</v>
      </c>
      <c r="B586" s="61" t="s">
        <v>656</v>
      </c>
      <c r="C586" s="423"/>
      <c r="D586" s="7">
        <v>224891</v>
      </c>
      <c r="E586" s="446">
        <v>10</v>
      </c>
      <c r="F586" s="582"/>
      <c r="G586" s="585"/>
      <c r="H586" s="582">
        <v>11397</v>
      </c>
      <c r="I586" s="585">
        <v>12074</v>
      </c>
      <c r="J586" s="582">
        <v>1541</v>
      </c>
      <c r="K586" s="585">
        <v>1341</v>
      </c>
      <c r="L586" s="582">
        <v>719</v>
      </c>
      <c r="M586" s="585">
        <v>824</v>
      </c>
      <c r="N586" s="582">
        <v>12131</v>
      </c>
      <c r="O586" s="585">
        <v>13283</v>
      </c>
      <c r="P586" s="583">
        <f t="shared" si="162"/>
        <v>25788</v>
      </c>
      <c r="Q586" s="583">
        <f t="shared" si="163"/>
        <v>859.6</v>
      </c>
      <c r="R586" s="584">
        <f t="shared" si="164"/>
        <v>27522</v>
      </c>
      <c r="S586" s="584">
        <f t="shared" si="165"/>
        <v>917.4</v>
      </c>
      <c r="T586" s="582">
        <v>9935</v>
      </c>
      <c r="U586" s="585">
        <v>10288</v>
      </c>
      <c r="V586" s="583">
        <f t="shared" si="166"/>
        <v>25788</v>
      </c>
      <c r="W586" s="584">
        <f>IF(ISBLANK(#REF!),0,R586)</f>
        <v>27522</v>
      </c>
      <c r="X586" s="582">
        <v>26198</v>
      </c>
      <c r="Y586" s="585">
        <v>11400</v>
      </c>
      <c r="Z586" s="582">
        <v>14538</v>
      </c>
      <c r="AA586" s="585">
        <v>7239</v>
      </c>
      <c r="AB586" s="582">
        <v>15723</v>
      </c>
      <c r="AC586" s="585">
        <v>11281</v>
      </c>
      <c r="AD586" s="582">
        <v>16650</v>
      </c>
      <c r="AE586" s="585">
        <v>18152</v>
      </c>
      <c r="AF586" s="583">
        <f t="shared" si="167"/>
        <v>73109</v>
      </c>
      <c r="AG586" s="583">
        <f t="shared" si="168"/>
        <v>81.232222222222219</v>
      </c>
      <c r="AH586" s="584">
        <f t="shared" si="169"/>
        <v>48072</v>
      </c>
      <c r="AI586" s="584">
        <f t="shared" si="170"/>
        <v>53.413333333333334</v>
      </c>
      <c r="AJ586" s="582"/>
      <c r="AK586" s="585"/>
      <c r="AL586" s="583">
        <f t="shared" si="171"/>
        <v>0</v>
      </c>
      <c r="AM586" s="584">
        <f t="shared" si="172"/>
        <v>0</v>
      </c>
      <c r="AN586" s="582"/>
      <c r="AO586" s="585"/>
      <c r="AP586" s="582"/>
      <c r="AQ586" s="585"/>
      <c r="AR586" s="582"/>
      <c r="AS586" s="585"/>
      <c r="AT586" s="582"/>
      <c r="AU586" s="585"/>
      <c r="AV586" s="583">
        <f t="shared" si="173"/>
        <v>0</v>
      </c>
      <c r="AW586" s="583">
        <f t="shared" si="174"/>
        <v>0</v>
      </c>
      <c r="AX586" s="584">
        <f t="shared" si="175"/>
        <v>0</v>
      </c>
      <c r="AY586" s="584">
        <f t="shared" si="176"/>
        <v>0</v>
      </c>
      <c r="AZ586" s="583">
        <f t="shared" si="177"/>
        <v>940.8322222222223</v>
      </c>
      <c r="BA586" s="584">
        <f t="shared" si="178"/>
        <v>970.81333333333328</v>
      </c>
    </row>
    <row r="587" spans="1:53">
      <c r="A587" s="436" t="s">
        <v>570</v>
      </c>
      <c r="B587" s="61" t="s">
        <v>657</v>
      </c>
      <c r="C587" s="423"/>
      <c r="D587" s="7">
        <v>224961</v>
      </c>
      <c r="E587" s="446">
        <v>10</v>
      </c>
      <c r="F587" s="582"/>
      <c r="G587" s="585"/>
      <c r="H587" s="582">
        <v>17461</v>
      </c>
      <c r="I587" s="585">
        <v>18693</v>
      </c>
      <c r="J587" s="582">
        <v>3830</v>
      </c>
      <c r="K587" s="585">
        <v>4078</v>
      </c>
      <c r="L587" s="582">
        <v>3660</v>
      </c>
      <c r="M587" s="585">
        <v>3643</v>
      </c>
      <c r="N587" s="582">
        <v>20041</v>
      </c>
      <c r="O587" s="585">
        <v>19847</v>
      </c>
      <c r="P587" s="583">
        <f t="shared" si="162"/>
        <v>44992</v>
      </c>
      <c r="Q587" s="583">
        <f t="shared" si="163"/>
        <v>1499.7333333333333</v>
      </c>
      <c r="R587" s="584">
        <f t="shared" si="164"/>
        <v>46261</v>
      </c>
      <c r="S587" s="584">
        <f t="shared" si="165"/>
        <v>1542.0333333333333</v>
      </c>
      <c r="T587" s="582">
        <v>4764</v>
      </c>
      <c r="U587" s="585">
        <v>6212</v>
      </c>
      <c r="V587" s="583">
        <f t="shared" si="166"/>
        <v>44992</v>
      </c>
      <c r="W587" s="584">
        <f>IF(ISBLANK(#REF!),0,R587)</f>
        <v>46261</v>
      </c>
      <c r="X587" s="582">
        <v>18266</v>
      </c>
      <c r="Y587" s="585">
        <v>17406</v>
      </c>
      <c r="Z587" s="582">
        <v>4408</v>
      </c>
      <c r="AA587" s="585">
        <v>8028</v>
      </c>
      <c r="AB587" s="582">
        <v>8137</v>
      </c>
      <c r="AC587" s="585">
        <v>8069</v>
      </c>
      <c r="AD587" s="582">
        <v>19459</v>
      </c>
      <c r="AE587" s="585">
        <v>27676</v>
      </c>
      <c r="AF587" s="583">
        <f t="shared" si="167"/>
        <v>50270</v>
      </c>
      <c r="AG587" s="583">
        <f t="shared" si="168"/>
        <v>55.855555555555554</v>
      </c>
      <c r="AH587" s="584">
        <f t="shared" si="169"/>
        <v>61179</v>
      </c>
      <c r="AI587" s="584">
        <f t="shared" si="170"/>
        <v>67.976666666666674</v>
      </c>
      <c r="AJ587" s="582"/>
      <c r="AK587" s="585"/>
      <c r="AL587" s="583">
        <f t="shared" si="171"/>
        <v>0</v>
      </c>
      <c r="AM587" s="584">
        <f t="shared" si="172"/>
        <v>0</v>
      </c>
      <c r="AN587" s="582"/>
      <c r="AO587" s="585"/>
      <c r="AP587" s="582"/>
      <c r="AQ587" s="585"/>
      <c r="AR587" s="582"/>
      <c r="AS587" s="585"/>
      <c r="AT587" s="582"/>
      <c r="AU587" s="585"/>
      <c r="AV587" s="583">
        <f t="shared" si="173"/>
        <v>0</v>
      </c>
      <c r="AW587" s="583">
        <f t="shared" si="174"/>
        <v>0</v>
      </c>
      <c r="AX587" s="584">
        <f t="shared" si="175"/>
        <v>0</v>
      </c>
      <c r="AY587" s="584">
        <f t="shared" si="176"/>
        <v>0</v>
      </c>
      <c r="AZ587" s="583">
        <f t="shared" si="177"/>
        <v>1555.588888888889</v>
      </c>
      <c r="BA587" s="584">
        <f t="shared" si="178"/>
        <v>1610.01</v>
      </c>
    </row>
    <row r="588" spans="1:53">
      <c r="A588" s="436" t="s">
        <v>570</v>
      </c>
      <c r="B588" s="61" t="s">
        <v>658</v>
      </c>
      <c r="C588" s="423"/>
      <c r="D588" s="7">
        <v>226107</v>
      </c>
      <c r="E588" s="446">
        <v>10</v>
      </c>
      <c r="F588" s="582"/>
      <c r="G588" s="585"/>
      <c r="H588" s="582">
        <v>17767</v>
      </c>
      <c r="I588" s="585">
        <v>17896</v>
      </c>
      <c r="J588" s="582">
        <v>5719</v>
      </c>
      <c r="K588" s="585">
        <v>4696</v>
      </c>
      <c r="L588" s="582">
        <v>0</v>
      </c>
      <c r="M588" s="585">
        <v>0</v>
      </c>
      <c r="N588" s="582">
        <v>20159</v>
      </c>
      <c r="O588" s="585">
        <v>21186</v>
      </c>
      <c r="P588" s="583">
        <f t="shared" si="162"/>
        <v>43645</v>
      </c>
      <c r="Q588" s="583">
        <f t="shared" si="163"/>
        <v>1454.8333333333333</v>
      </c>
      <c r="R588" s="584">
        <f t="shared" si="164"/>
        <v>43778</v>
      </c>
      <c r="S588" s="584">
        <f t="shared" si="165"/>
        <v>1459.2666666666667</v>
      </c>
      <c r="T588" s="582">
        <v>5917</v>
      </c>
      <c r="U588" s="585">
        <v>5942</v>
      </c>
      <c r="V588" s="583">
        <f t="shared" si="166"/>
        <v>43645</v>
      </c>
      <c r="W588" s="584">
        <f>IF(ISBLANK(#REF!),0,R588)</f>
        <v>43778</v>
      </c>
      <c r="X588" s="582">
        <v>3794</v>
      </c>
      <c r="Y588" s="585">
        <v>2534</v>
      </c>
      <c r="Z588" s="582">
        <v>4281</v>
      </c>
      <c r="AA588" s="585">
        <v>2009</v>
      </c>
      <c r="AB588" s="582">
        <v>5340</v>
      </c>
      <c r="AC588" s="585">
        <v>13824</v>
      </c>
      <c r="AD588" s="582">
        <v>3547</v>
      </c>
      <c r="AE588" s="585">
        <v>3025</v>
      </c>
      <c r="AF588" s="583">
        <f t="shared" si="167"/>
        <v>16962</v>
      </c>
      <c r="AG588" s="583">
        <f t="shared" si="168"/>
        <v>18.846666666666668</v>
      </c>
      <c r="AH588" s="584">
        <f t="shared" si="169"/>
        <v>21392</v>
      </c>
      <c r="AI588" s="584">
        <f t="shared" si="170"/>
        <v>23.768888888888888</v>
      </c>
      <c r="AJ588" s="582"/>
      <c r="AK588" s="585"/>
      <c r="AL588" s="583">
        <f t="shared" si="171"/>
        <v>0</v>
      </c>
      <c r="AM588" s="584">
        <f t="shared" si="172"/>
        <v>0</v>
      </c>
      <c r="AN588" s="582"/>
      <c r="AO588" s="585"/>
      <c r="AP588" s="582"/>
      <c r="AQ588" s="585"/>
      <c r="AR588" s="582"/>
      <c r="AS588" s="585"/>
      <c r="AT588" s="582"/>
      <c r="AU588" s="585"/>
      <c r="AV588" s="583">
        <f t="shared" si="173"/>
        <v>0</v>
      </c>
      <c r="AW588" s="583">
        <f t="shared" si="174"/>
        <v>0</v>
      </c>
      <c r="AX588" s="584">
        <f t="shared" si="175"/>
        <v>0</v>
      </c>
      <c r="AY588" s="584">
        <f t="shared" si="176"/>
        <v>0</v>
      </c>
      <c r="AZ588" s="583">
        <f t="shared" si="177"/>
        <v>1473.6799999999998</v>
      </c>
      <c r="BA588" s="584">
        <f t="shared" si="178"/>
        <v>1483.0355555555554</v>
      </c>
    </row>
    <row r="589" spans="1:53" ht="14.5">
      <c r="A589" s="436" t="s">
        <v>570</v>
      </c>
      <c r="B589" s="61" t="s">
        <v>640</v>
      </c>
      <c r="C589" s="538" t="s">
        <v>940</v>
      </c>
      <c r="D589" s="7">
        <v>226116</v>
      </c>
      <c r="E589" s="446">
        <v>10</v>
      </c>
      <c r="F589" s="582"/>
      <c r="G589" s="585"/>
      <c r="H589" s="582">
        <v>17970</v>
      </c>
      <c r="I589" s="585">
        <v>21746</v>
      </c>
      <c r="J589" s="582">
        <v>5962</v>
      </c>
      <c r="K589" s="585">
        <v>5965</v>
      </c>
      <c r="L589" s="582">
        <v>623</v>
      </c>
      <c r="M589" s="585">
        <v>0</v>
      </c>
      <c r="N589" s="582">
        <v>21947</v>
      </c>
      <c r="O589" s="585">
        <v>24476</v>
      </c>
      <c r="P589" s="583">
        <f t="shared" si="162"/>
        <v>46502</v>
      </c>
      <c r="Q589" s="583">
        <f t="shared" si="163"/>
        <v>1550.0666666666666</v>
      </c>
      <c r="R589" s="584">
        <f t="shared" si="164"/>
        <v>52187</v>
      </c>
      <c r="S589" s="584">
        <f t="shared" si="165"/>
        <v>1739.5666666666666</v>
      </c>
      <c r="T589" s="582">
        <v>6636</v>
      </c>
      <c r="U589" s="585">
        <v>8297</v>
      </c>
      <c r="V589" s="583">
        <f t="shared" si="166"/>
        <v>46502</v>
      </c>
      <c r="W589" s="584">
        <f>IF(ISBLANK(#REF!),0,R589)</f>
        <v>52187</v>
      </c>
      <c r="X589" s="582">
        <v>13241</v>
      </c>
      <c r="Y589" s="585">
        <v>68131</v>
      </c>
      <c r="Z589" s="582">
        <v>100280</v>
      </c>
      <c r="AA589" s="585">
        <v>62540</v>
      </c>
      <c r="AB589" s="582">
        <v>60687</v>
      </c>
      <c r="AC589" s="585">
        <v>55664</v>
      </c>
      <c r="AD589" s="582">
        <v>108518</v>
      </c>
      <c r="AE589" s="585">
        <v>66608</v>
      </c>
      <c r="AF589" s="583">
        <f t="shared" si="167"/>
        <v>282726</v>
      </c>
      <c r="AG589" s="583">
        <f t="shared" si="168"/>
        <v>314.14</v>
      </c>
      <c r="AH589" s="584">
        <f t="shared" si="169"/>
        <v>252943</v>
      </c>
      <c r="AI589" s="584">
        <f t="shared" si="170"/>
        <v>281.04777777777775</v>
      </c>
      <c r="AJ589" s="582"/>
      <c r="AK589" s="585"/>
      <c r="AL589" s="583">
        <f t="shared" si="171"/>
        <v>0</v>
      </c>
      <c r="AM589" s="584">
        <f t="shared" si="172"/>
        <v>0</v>
      </c>
      <c r="AN589" s="582"/>
      <c r="AO589" s="585"/>
      <c r="AP589" s="582"/>
      <c r="AQ589" s="585"/>
      <c r="AR589" s="582"/>
      <c r="AS589" s="585"/>
      <c r="AT589" s="582"/>
      <c r="AU589" s="585"/>
      <c r="AV589" s="583">
        <f t="shared" si="173"/>
        <v>0</v>
      </c>
      <c r="AW589" s="583">
        <f t="shared" si="174"/>
        <v>0</v>
      </c>
      <c r="AX589" s="584">
        <f t="shared" si="175"/>
        <v>0</v>
      </c>
      <c r="AY589" s="584">
        <f t="shared" si="176"/>
        <v>0</v>
      </c>
      <c r="AZ589" s="583">
        <f t="shared" si="177"/>
        <v>1864.2066666666665</v>
      </c>
      <c r="BA589" s="584">
        <f t="shared" si="178"/>
        <v>2020.6144444444444</v>
      </c>
    </row>
    <row r="590" spans="1:53" ht="14.5">
      <c r="A590" s="436" t="s">
        <v>570</v>
      </c>
      <c r="B590" s="66" t="s">
        <v>659</v>
      </c>
      <c r="C590" s="538" t="s">
        <v>920</v>
      </c>
      <c r="D590" s="7">
        <v>488730</v>
      </c>
      <c r="E590" s="446">
        <v>10</v>
      </c>
      <c r="F590" s="582"/>
      <c r="G590" s="585"/>
      <c r="H590" s="582">
        <v>23685</v>
      </c>
      <c r="I590" s="585">
        <v>42436</v>
      </c>
      <c r="J590" s="582">
        <v>8765</v>
      </c>
      <c r="K590" s="585">
        <v>11929</v>
      </c>
      <c r="L590" s="582">
        <v>0</v>
      </c>
      <c r="M590" s="585">
        <v>0</v>
      </c>
      <c r="N590" s="582">
        <v>40998</v>
      </c>
      <c r="O590" s="585">
        <v>51705</v>
      </c>
      <c r="P590" s="583">
        <f t="shared" si="162"/>
        <v>73448</v>
      </c>
      <c r="Q590" s="583">
        <f t="shared" si="163"/>
        <v>2448.2666666666669</v>
      </c>
      <c r="R590" s="584">
        <f t="shared" si="164"/>
        <v>106070</v>
      </c>
      <c r="S590" s="584">
        <f t="shared" si="165"/>
        <v>3535.6666666666665</v>
      </c>
      <c r="T590" s="582">
        <v>4983</v>
      </c>
      <c r="U590" s="585">
        <v>11300</v>
      </c>
      <c r="V590" s="583">
        <f t="shared" si="166"/>
        <v>73448</v>
      </c>
      <c r="W590" s="584">
        <f>IF(ISBLANK(#REF!),0,R590)</f>
        <v>106070</v>
      </c>
      <c r="X590" s="582">
        <v>4504</v>
      </c>
      <c r="Y590" s="585">
        <v>5504</v>
      </c>
      <c r="Z590" s="582">
        <v>4096</v>
      </c>
      <c r="AA590" s="585">
        <v>9140</v>
      </c>
      <c r="AB590" s="582">
        <v>8516</v>
      </c>
      <c r="AC590" s="585">
        <v>7072</v>
      </c>
      <c r="AD590" s="582">
        <v>7712</v>
      </c>
      <c r="AE590" s="585">
        <v>4168</v>
      </c>
      <c r="AF590" s="583">
        <f t="shared" si="167"/>
        <v>24828</v>
      </c>
      <c r="AG590" s="583">
        <f t="shared" si="168"/>
        <v>27.586666666666666</v>
      </c>
      <c r="AH590" s="584">
        <f t="shared" si="169"/>
        <v>25884</v>
      </c>
      <c r="AI590" s="584">
        <f t="shared" si="170"/>
        <v>28.76</v>
      </c>
      <c r="AJ590" s="582"/>
      <c r="AK590" s="585"/>
      <c r="AL590" s="583">
        <f t="shared" si="171"/>
        <v>0</v>
      </c>
      <c r="AM590" s="584">
        <f t="shared" si="172"/>
        <v>0</v>
      </c>
      <c r="AN590" s="582"/>
      <c r="AO590" s="585"/>
      <c r="AP590" s="582"/>
      <c r="AQ590" s="585"/>
      <c r="AR590" s="582"/>
      <c r="AS590" s="585"/>
      <c r="AT590" s="582"/>
      <c r="AU590" s="585"/>
      <c r="AV590" s="583">
        <f t="shared" si="173"/>
        <v>0</v>
      </c>
      <c r="AW590" s="583">
        <f t="shared" si="174"/>
        <v>0</v>
      </c>
      <c r="AX590" s="584">
        <f t="shared" si="175"/>
        <v>0</v>
      </c>
      <c r="AY590" s="584">
        <f t="shared" si="176"/>
        <v>0</v>
      </c>
      <c r="AZ590" s="583">
        <f t="shared" si="177"/>
        <v>2475.8533333333335</v>
      </c>
      <c r="BA590" s="584">
        <f t="shared" si="178"/>
        <v>3564.4266666666667</v>
      </c>
    </row>
    <row r="591" spans="1:53">
      <c r="A591" s="436" t="s">
        <v>570</v>
      </c>
      <c r="B591" s="61" t="s">
        <v>660</v>
      </c>
      <c r="C591" s="6"/>
      <c r="D591" s="7">
        <v>227386</v>
      </c>
      <c r="E591" s="446">
        <v>10</v>
      </c>
      <c r="F591" s="582"/>
      <c r="G591" s="585"/>
      <c r="H591" s="582">
        <v>24270</v>
      </c>
      <c r="I591" s="585">
        <v>22498</v>
      </c>
      <c r="J591" s="582">
        <v>3414</v>
      </c>
      <c r="K591" s="585">
        <v>3321</v>
      </c>
      <c r="L591" s="582">
        <v>2396</v>
      </c>
      <c r="M591" s="585">
        <v>2457</v>
      </c>
      <c r="N591" s="582">
        <v>25721</v>
      </c>
      <c r="O591" s="585">
        <v>23667</v>
      </c>
      <c r="P591" s="583">
        <f t="shared" si="162"/>
        <v>55801</v>
      </c>
      <c r="Q591" s="583">
        <f t="shared" si="163"/>
        <v>1860.0333333333333</v>
      </c>
      <c r="R591" s="584">
        <f t="shared" si="164"/>
        <v>51943</v>
      </c>
      <c r="S591" s="584">
        <f t="shared" si="165"/>
        <v>1731.4333333333334</v>
      </c>
      <c r="T591" s="582">
        <v>8455</v>
      </c>
      <c r="U591" s="585">
        <v>10417</v>
      </c>
      <c r="V591" s="583">
        <f t="shared" si="166"/>
        <v>55801</v>
      </c>
      <c r="W591" s="584">
        <f>IF(ISBLANK(#REF!),0,R591)</f>
        <v>51943</v>
      </c>
      <c r="X591" s="582">
        <v>15720</v>
      </c>
      <c r="Y591" s="585">
        <v>14463</v>
      </c>
      <c r="Z591" s="582">
        <v>13310</v>
      </c>
      <c r="AA591" s="585">
        <v>8466</v>
      </c>
      <c r="AB591" s="582">
        <v>15618</v>
      </c>
      <c r="AC591" s="585">
        <v>11658</v>
      </c>
      <c r="AD591" s="582">
        <v>14632</v>
      </c>
      <c r="AE591" s="585">
        <v>18428</v>
      </c>
      <c r="AF591" s="583">
        <f t="shared" si="167"/>
        <v>59280</v>
      </c>
      <c r="AG591" s="583">
        <f t="shared" si="168"/>
        <v>65.86666666666666</v>
      </c>
      <c r="AH591" s="584">
        <f t="shared" si="169"/>
        <v>53015</v>
      </c>
      <c r="AI591" s="584">
        <f t="shared" si="170"/>
        <v>58.905555555555559</v>
      </c>
      <c r="AJ591" s="582"/>
      <c r="AK591" s="585"/>
      <c r="AL591" s="583">
        <f t="shared" si="171"/>
        <v>0</v>
      </c>
      <c r="AM591" s="584">
        <f t="shared" si="172"/>
        <v>0</v>
      </c>
      <c r="AN591" s="582"/>
      <c r="AO591" s="585"/>
      <c r="AP591" s="582"/>
      <c r="AQ591" s="585"/>
      <c r="AR591" s="582"/>
      <c r="AS591" s="585"/>
      <c r="AT591" s="582"/>
      <c r="AU591" s="585"/>
      <c r="AV591" s="583">
        <f t="shared" si="173"/>
        <v>0</v>
      </c>
      <c r="AW591" s="583">
        <f t="shared" si="174"/>
        <v>0</v>
      </c>
      <c r="AX591" s="584">
        <f t="shared" si="175"/>
        <v>0</v>
      </c>
      <c r="AY591" s="584">
        <f t="shared" si="176"/>
        <v>0</v>
      </c>
      <c r="AZ591" s="583">
        <f t="shared" si="177"/>
        <v>1925.8999999999999</v>
      </c>
      <c r="BA591" s="584">
        <f t="shared" si="178"/>
        <v>1790.338888888889</v>
      </c>
    </row>
    <row r="592" spans="1:53">
      <c r="A592" s="436" t="s">
        <v>570</v>
      </c>
      <c r="B592" s="61" t="s">
        <v>661</v>
      </c>
      <c r="C592" s="6"/>
      <c r="D592" s="7">
        <v>227687</v>
      </c>
      <c r="E592" s="446">
        <v>10</v>
      </c>
      <c r="F592" s="582"/>
      <c r="G592" s="585"/>
      <c r="H592" s="582">
        <v>19553</v>
      </c>
      <c r="I592" s="585">
        <v>19787</v>
      </c>
      <c r="J592" s="582">
        <v>3568</v>
      </c>
      <c r="K592" s="585">
        <v>3306</v>
      </c>
      <c r="L592" s="582">
        <v>1088</v>
      </c>
      <c r="M592" s="585">
        <v>1189</v>
      </c>
      <c r="N592" s="582">
        <v>22255</v>
      </c>
      <c r="O592" s="585">
        <v>21772</v>
      </c>
      <c r="P592" s="583">
        <f t="shared" si="162"/>
        <v>46464</v>
      </c>
      <c r="Q592" s="583">
        <f t="shared" si="163"/>
        <v>1548.8</v>
      </c>
      <c r="R592" s="584">
        <f t="shared" si="164"/>
        <v>46054</v>
      </c>
      <c r="S592" s="584">
        <f t="shared" si="165"/>
        <v>1535.1333333333334</v>
      </c>
      <c r="T592" s="582">
        <v>13430</v>
      </c>
      <c r="U592" s="585">
        <v>13702</v>
      </c>
      <c r="V592" s="583">
        <f t="shared" si="166"/>
        <v>46464</v>
      </c>
      <c r="W592" s="584">
        <f>IF(ISBLANK(#REF!),0,R592)</f>
        <v>46054</v>
      </c>
      <c r="X592" s="582">
        <v>29072</v>
      </c>
      <c r="Y592" s="585">
        <v>21228</v>
      </c>
      <c r="Z592" s="582">
        <v>12428</v>
      </c>
      <c r="AA592" s="585">
        <v>8400</v>
      </c>
      <c r="AB592" s="582">
        <v>10878</v>
      </c>
      <c r="AC592" s="585">
        <v>15112</v>
      </c>
      <c r="AD592" s="582">
        <v>9044</v>
      </c>
      <c r="AE592" s="585">
        <v>6200</v>
      </c>
      <c r="AF592" s="583">
        <f t="shared" si="167"/>
        <v>61422</v>
      </c>
      <c r="AG592" s="583">
        <f t="shared" si="168"/>
        <v>68.24666666666667</v>
      </c>
      <c r="AH592" s="584">
        <f t="shared" si="169"/>
        <v>50940</v>
      </c>
      <c r="AI592" s="584">
        <f t="shared" si="170"/>
        <v>56.6</v>
      </c>
      <c r="AJ592" s="582"/>
      <c r="AK592" s="585"/>
      <c r="AL592" s="583">
        <f t="shared" si="171"/>
        <v>0</v>
      </c>
      <c r="AM592" s="584">
        <f t="shared" si="172"/>
        <v>0</v>
      </c>
      <c r="AN592" s="582"/>
      <c r="AO592" s="585"/>
      <c r="AP592" s="582"/>
      <c r="AQ592" s="585"/>
      <c r="AR592" s="582"/>
      <c r="AS592" s="585"/>
      <c r="AT592" s="582"/>
      <c r="AU592" s="585"/>
      <c r="AV592" s="583">
        <f t="shared" si="173"/>
        <v>0</v>
      </c>
      <c r="AW592" s="583">
        <f t="shared" si="174"/>
        <v>0</v>
      </c>
      <c r="AX592" s="584">
        <f t="shared" si="175"/>
        <v>0</v>
      </c>
      <c r="AY592" s="584">
        <f t="shared" si="176"/>
        <v>0</v>
      </c>
      <c r="AZ592" s="583">
        <f t="shared" si="177"/>
        <v>1617.0466666666666</v>
      </c>
      <c r="BA592" s="584">
        <f t="shared" si="178"/>
        <v>1591.7333333333333</v>
      </c>
    </row>
    <row r="593" spans="1:53">
      <c r="A593" s="436" t="s">
        <v>570</v>
      </c>
      <c r="B593" s="67" t="s">
        <v>662</v>
      </c>
      <c r="C593" s="6"/>
      <c r="D593" s="7">
        <v>382911</v>
      </c>
      <c r="E593" s="446">
        <v>10</v>
      </c>
      <c r="F593" s="582"/>
      <c r="G593" s="585"/>
      <c r="H593" s="582">
        <v>988</v>
      </c>
      <c r="I593" s="585">
        <v>867</v>
      </c>
      <c r="J593" s="582">
        <v>12</v>
      </c>
      <c r="K593" s="585">
        <v>9</v>
      </c>
      <c r="L593" s="582">
        <v>0</v>
      </c>
      <c r="M593" s="585">
        <v>0</v>
      </c>
      <c r="N593" s="582">
        <v>975</v>
      </c>
      <c r="O593" s="585">
        <v>667</v>
      </c>
      <c r="P593" s="583">
        <f t="shared" si="162"/>
        <v>1975</v>
      </c>
      <c r="Q593" s="583">
        <f t="shared" si="163"/>
        <v>65.833333333333329</v>
      </c>
      <c r="R593" s="584">
        <f t="shared" si="164"/>
        <v>1543</v>
      </c>
      <c r="S593" s="584">
        <f t="shared" si="165"/>
        <v>51.43333333333333</v>
      </c>
      <c r="T593" s="582">
        <v>0</v>
      </c>
      <c r="U593" s="585">
        <v>0</v>
      </c>
      <c r="V593" s="583">
        <f t="shared" si="166"/>
        <v>1975</v>
      </c>
      <c r="W593" s="584">
        <f>IF(ISBLANK(#REF!),0,R593)</f>
        <v>1543</v>
      </c>
      <c r="X593" s="582"/>
      <c r="Y593" s="585"/>
      <c r="Z593" s="582"/>
      <c r="AA593" s="585"/>
      <c r="AB593" s="582"/>
      <c r="AC593" s="585"/>
      <c r="AD593" s="582"/>
      <c r="AE593" s="585"/>
      <c r="AF593" s="583">
        <f t="shared" si="167"/>
        <v>0</v>
      </c>
      <c r="AG593" s="583">
        <f t="shared" si="168"/>
        <v>0</v>
      </c>
      <c r="AH593" s="584">
        <f t="shared" si="169"/>
        <v>0</v>
      </c>
      <c r="AI593" s="584">
        <f t="shared" si="170"/>
        <v>0</v>
      </c>
      <c r="AJ593" s="582"/>
      <c r="AK593" s="585"/>
      <c r="AL593" s="583">
        <f t="shared" si="171"/>
        <v>0</v>
      </c>
      <c r="AM593" s="584">
        <f t="shared" si="172"/>
        <v>0</v>
      </c>
      <c r="AN593" s="582"/>
      <c r="AO593" s="585"/>
      <c r="AP593" s="582"/>
      <c r="AQ593" s="585"/>
      <c r="AR593" s="582"/>
      <c r="AS593" s="585"/>
      <c r="AT593" s="582"/>
      <c r="AU593" s="585"/>
      <c r="AV593" s="583">
        <f t="shared" si="173"/>
        <v>0</v>
      </c>
      <c r="AW593" s="583">
        <f t="shared" si="174"/>
        <v>0</v>
      </c>
      <c r="AX593" s="584">
        <f t="shared" si="175"/>
        <v>0</v>
      </c>
      <c r="AY593" s="584">
        <f t="shared" si="176"/>
        <v>0</v>
      </c>
      <c r="AZ593" s="583">
        <f t="shared" si="177"/>
        <v>65.833333333333329</v>
      </c>
      <c r="BA593" s="584">
        <f t="shared" si="178"/>
        <v>51.43333333333333</v>
      </c>
    </row>
    <row r="594" spans="1:53">
      <c r="A594" s="436" t="s">
        <v>570</v>
      </c>
      <c r="B594" s="63" t="s">
        <v>673</v>
      </c>
      <c r="C594" s="6"/>
      <c r="D594" s="68" t="s">
        <v>905</v>
      </c>
      <c r="E594" s="62">
        <v>10</v>
      </c>
      <c r="F594" s="582"/>
      <c r="G594" s="585"/>
      <c r="H594" s="582">
        <v>3479</v>
      </c>
      <c r="I594" s="585">
        <v>3766</v>
      </c>
      <c r="J594" s="582">
        <v>2218</v>
      </c>
      <c r="K594" s="585">
        <v>2494</v>
      </c>
      <c r="L594" s="582">
        <v>0</v>
      </c>
      <c r="M594" s="585">
        <v>0</v>
      </c>
      <c r="N594" s="582">
        <v>4894</v>
      </c>
      <c r="O594" s="585">
        <v>5387</v>
      </c>
      <c r="P594" s="583">
        <f t="shared" si="162"/>
        <v>10591</v>
      </c>
      <c r="Q594" s="583">
        <f t="shared" si="163"/>
        <v>353.03333333333336</v>
      </c>
      <c r="R594" s="584">
        <f t="shared" si="164"/>
        <v>11647</v>
      </c>
      <c r="S594" s="584">
        <f t="shared" si="165"/>
        <v>388.23333333333335</v>
      </c>
      <c r="T594" s="582">
        <v>60</v>
      </c>
      <c r="U594" s="585">
        <v>187</v>
      </c>
      <c r="V594" s="583">
        <f t="shared" si="166"/>
        <v>10591</v>
      </c>
      <c r="W594" s="584">
        <f>IF(ISBLANK(#REF!),0,R594)</f>
        <v>11647</v>
      </c>
      <c r="X594" s="582"/>
      <c r="Y594" s="585"/>
      <c r="Z594" s="582"/>
      <c r="AA594" s="585"/>
      <c r="AB594" s="582"/>
      <c r="AC594" s="585"/>
      <c r="AD594" s="582"/>
      <c r="AE594" s="585"/>
      <c r="AF594" s="583">
        <f t="shared" si="167"/>
        <v>0</v>
      </c>
      <c r="AG594" s="583">
        <f t="shared" si="168"/>
        <v>0</v>
      </c>
      <c r="AH594" s="584">
        <f t="shared" si="169"/>
        <v>0</v>
      </c>
      <c r="AI594" s="584">
        <f t="shared" si="170"/>
        <v>0</v>
      </c>
      <c r="AJ594" s="582"/>
      <c r="AK594" s="585"/>
      <c r="AL594" s="583">
        <f t="shared" si="171"/>
        <v>0</v>
      </c>
      <c r="AM594" s="584">
        <f t="shared" si="172"/>
        <v>0</v>
      </c>
      <c r="AN594" s="582"/>
      <c r="AO594" s="585"/>
      <c r="AP594" s="582"/>
      <c r="AQ594" s="585"/>
      <c r="AR594" s="582"/>
      <c r="AS594" s="585"/>
      <c r="AT594" s="582"/>
      <c r="AU594" s="585"/>
      <c r="AV594" s="583">
        <f t="shared" si="173"/>
        <v>0</v>
      </c>
      <c r="AW594" s="583">
        <f t="shared" si="174"/>
        <v>0</v>
      </c>
      <c r="AX594" s="584">
        <f t="shared" si="175"/>
        <v>0</v>
      </c>
      <c r="AY594" s="584">
        <f t="shared" si="176"/>
        <v>0</v>
      </c>
      <c r="AZ594" s="583">
        <f t="shared" si="177"/>
        <v>353.03333333333336</v>
      </c>
      <c r="BA594" s="584">
        <f t="shared" si="178"/>
        <v>388.23333333333335</v>
      </c>
    </row>
    <row r="595" spans="1:53">
      <c r="A595" s="436" t="s">
        <v>570</v>
      </c>
      <c r="B595" s="61" t="s">
        <v>663</v>
      </c>
      <c r="C595" s="6"/>
      <c r="D595" s="7">
        <v>408394</v>
      </c>
      <c r="E595" s="446">
        <v>10</v>
      </c>
      <c r="F595" s="582"/>
      <c r="G595" s="585"/>
      <c r="H595" s="582">
        <v>5174</v>
      </c>
      <c r="I595" s="585">
        <v>4510</v>
      </c>
      <c r="J595" s="582">
        <v>3247</v>
      </c>
      <c r="K595" s="585">
        <v>2502</v>
      </c>
      <c r="L595" s="582">
        <v>0</v>
      </c>
      <c r="M595" s="585">
        <v>0</v>
      </c>
      <c r="N595" s="582">
        <v>5381</v>
      </c>
      <c r="O595" s="585">
        <v>5769</v>
      </c>
      <c r="P595" s="583">
        <f t="shared" si="162"/>
        <v>13802</v>
      </c>
      <c r="Q595" s="583">
        <f t="shared" si="163"/>
        <v>460.06666666666666</v>
      </c>
      <c r="R595" s="584">
        <f t="shared" si="164"/>
        <v>12781</v>
      </c>
      <c r="S595" s="584">
        <f t="shared" si="165"/>
        <v>426.03333333333336</v>
      </c>
      <c r="T595" s="582">
        <v>334</v>
      </c>
      <c r="U595" s="585">
        <v>304</v>
      </c>
      <c r="V595" s="583">
        <f t="shared" si="166"/>
        <v>13802</v>
      </c>
      <c r="W595" s="584">
        <f>IF(ISBLANK(#REF!),0,R595)</f>
        <v>12781</v>
      </c>
      <c r="X595" s="582"/>
      <c r="Y595" s="585"/>
      <c r="Z595" s="582"/>
      <c r="AA595" s="585"/>
      <c r="AB595" s="582"/>
      <c r="AC595" s="585"/>
      <c r="AD595" s="582"/>
      <c r="AE595" s="585"/>
      <c r="AF595" s="583">
        <f t="shared" si="167"/>
        <v>0</v>
      </c>
      <c r="AG595" s="583">
        <f t="shared" si="168"/>
        <v>0</v>
      </c>
      <c r="AH595" s="584">
        <f t="shared" si="169"/>
        <v>0</v>
      </c>
      <c r="AI595" s="584">
        <f t="shared" si="170"/>
        <v>0</v>
      </c>
      <c r="AJ595" s="582"/>
      <c r="AK595" s="585"/>
      <c r="AL595" s="583">
        <f t="shared" si="171"/>
        <v>0</v>
      </c>
      <c r="AM595" s="584">
        <f t="shared" si="172"/>
        <v>0</v>
      </c>
      <c r="AN595" s="582"/>
      <c r="AO595" s="585"/>
      <c r="AP595" s="582"/>
      <c r="AQ595" s="585"/>
      <c r="AR595" s="582"/>
      <c r="AS595" s="585"/>
      <c r="AT595" s="582"/>
      <c r="AU595" s="585"/>
      <c r="AV595" s="583">
        <f t="shared" si="173"/>
        <v>0</v>
      </c>
      <c r="AW595" s="583">
        <f t="shared" si="174"/>
        <v>0</v>
      </c>
      <c r="AX595" s="584">
        <f t="shared" si="175"/>
        <v>0</v>
      </c>
      <c r="AY595" s="584">
        <f t="shared" si="176"/>
        <v>0</v>
      </c>
      <c r="AZ595" s="583">
        <f t="shared" si="177"/>
        <v>460.06666666666666</v>
      </c>
      <c r="BA595" s="584">
        <f t="shared" si="178"/>
        <v>426.03333333333336</v>
      </c>
    </row>
    <row r="596" spans="1:53">
      <c r="A596" s="436" t="s">
        <v>570</v>
      </c>
      <c r="B596" s="63" t="s">
        <v>672</v>
      </c>
      <c r="C596" s="6"/>
      <c r="D596" s="68" t="s">
        <v>905</v>
      </c>
      <c r="E596" s="446">
        <v>10</v>
      </c>
      <c r="F596" s="582"/>
      <c r="G596" s="585"/>
      <c r="H596" s="582">
        <v>2293</v>
      </c>
      <c r="I596" s="585">
        <v>1980</v>
      </c>
      <c r="J596" s="582">
        <v>1632</v>
      </c>
      <c r="K596" s="585">
        <v>1135</v>
      </c>
      <c r="L596" s="582">
        <v>0</v>
      </c>
      <c r="M596" s="585">
        <v>0</v>
      </c>
      <c r="N596" s="582">
        <v>2737</v>
      </c>
      <c r="O596" s="585">
        <v>2161</v>
      </c>
      <c r="P596" s="583">
        <f t="shared" si="162"/>
        <v>6662</v>
      </c>
      <c r="Q596" s="583">
        <f t="shared" si="163"/>
        <v>222.06666666666666</v>
      </c>
      <c r="R596" s="584">
        <f t="shared" si="164"/>
        <v>5276</v>
      </c>
      <c r="S596" s="584">
        <f t="shared" si="165"/>
        <v>175.86666666666667</v>
      </c>
      <c r="T596" s="582">
        <v>149</v>
      </c>
      <c r="U596" s="585">
        <v>240</v>
      </c>
      <c r="V596" s="583">
        <f t="shared" si="166"/>
        <v>6662</v>
      </c>
      <c r="W596" s="584">
        <f>IF(ISBLANK(#REF!),0,R596)</f>
        <v>5276</v>
      </c>
      <c r="X596" s="582"/>
      <c r="Y596" s="585"/>
      <c r="Z596" s="582"/>
      <c r="AA596" s="585"/>
      <c r="AB596" s="582"/>
      <c r="AC596" s="585"/>
      <c r="AD596" s="582"/>
      <c r="AE596" s="585"/>
      <c r="AF596" s="583">
        <f t="shared" si="167"/>
        <v>0</v>
      </c>
      <c r="AG596" s="583">
        <f t="shared" si="168"/>
        <v>0</v>
      </c>
      <c r="AH596" s="584">
        <f t="shared" si="169"/>
        <v>0</v>
      </c>
      <c r="AI596" s="584">
        <f t="shared" si="170"/>
        <v>0</v>
      </c>
      <c r="AJ596" s="582"/>
      <c r="AK596" s="585"/>
      <c r="AL596" s="583">
        <f t="shared" si="171"/>
        <v>0</v>
      </c>
      <c r="AM596" s="584">
        <f t="shared" si="172"/>
        <v>0</v>
      </c>
      <c r="AN596" s="582"/>
      <c r="AO596" s="585"/>
      <c r="AP596" s="582"/>
      <c r="AQ596" s="585"/>
      <c r="AR596" s="582"/>
      <c r="AS596" s="585"/>
      <c r="AT596" s="582"/>
      <c r="AU596" s="585"/>
      <c r="AV596" s="583">
        <f t="shared" si="173"/>
        <v>0</v>
      </c>
      <c r="AW596" s="583">
        <f t="shared" si="174"/>
        <v>0</v>
      </c>
      <c r="AX596" s="584">
        <f t="shared" si="175"/>
        <v>0</v>
      </c>
      <c r="AY596" s="584">
        <f t="shared" si="176"/>
        <v>0</v>
      </c>
      <c r="AZ596" s="583">
        <f t="shared" si="177"/>
        <v>222.06666666666666</v>
      </c>
      <c r="BA596" s="584">
        <f t="shared" si="178"/>
        <v>175.86666666666667</v>
      </c>
    </row>
    <row r="597" spans="1:53">
      <c r="A597" s="436" t="s">
        <v>570</v>
      </c>
      <c r="B597" s="61" t="s">
        <v>664</v>
      </c>
      <c r="C597" s="6"/>
      <c r="D597" s="7">
        <v>229328</v>
      </c>
      <c r="E597" s="446">
        <v>10</v>
      </c>
      <c r="F597" s="582"/>
      <c r="G597" s="585"/>
      <c r="H597" s="582">
        <v>9898</v>
      </c>
      <c r="I597" s="585">
        <v>11349</v>
      </c>
      <c r="J597" s="582">
        <v>7634</v>
      </c>
      <c r="K597" s="585">
        <v>8379</v>
      </c>
      <c r="L597" s="582">
        <v>0</v>
      </c>
      <c r="M597" s="585">
        <v>0</v>
      </c>
      <c r="N597" s="582">
        <v>13569</v>
      </c>
      <c r="O597" s="585">
        <v>13630</v>
      </c>
      <c r="P597" s="583">
        <f t="shared" si="162"/>
        <v>31101</v>
      </c>
      <c r="Q597" s="583">
        <f t="shared" si="163"/>
        <v>1036.7</v>
      </c>
      <c r="R597" s="584">
        <f t="shared" si="164"/>
        <v>33358</v>
      </c>
      <c r="S597" s="584">
        <f t="shared" si="165"/>
        <v>1111.9333333333334</v>
      </c>
      <c r="T597" s="582">
        <v>2242</v>
      </c>
      <c r="U597" s="585"/>
      <c r="V597" s="583">
        <f t="shared" si="166"/>
        <v>31101</v>
      </c>
      <c r="W597" s="584">
        <f>IF(ISBLANK(#REF!),0,R597)</f>
        <v>33358</v>
      </c>
      <c r="X597" s="582">
        <v>2380</v>
      </c>
      <c r="Y597" s="585">
        <v>420</v>
      </c>
      <c r="Z597" s="582">
        <v>1080</v>
      </c>
      <c r="AA597" s="585">
        <v>0</v>
      </c>
      <c r="AB597" s="582">
        <v>680</v>
      </c>
      <c r="AC597" s="585">
        <v>1060</v>
      </c>
      <c r="AD597" s="582">
        <v>600</v>
      </c>
      <c r="AE597" s="585">
        <v>1512</v>
      </c>
      <c r="AF597" s="583">
        <f t="shared" si="167"/>
        <v>4740</v>
      </c>
      <c r="AG597" s="583">
        <f t="shared" si="168"/>
        <v>5.2666666666666666</v>
      </c>
      <c r="AH597" s="584">
        <f t="shared" si="169"/>
        <v>2992</v>
      </c>
      <c r="AI597" s="584">
        <f t="shared" si="170"/>
        <v>3.3244444444444445</v>
      </c>
      <c r="AJ597" s="582"/>
      <c r="AK597" s="585"/>
      <c r="AL597" s="583">
        <f t="shared" si="171"/>
        <v>0</v>
      </c>
      <c r="AM597" s="584">
        <f t="shared" si="172"/>
        <v>0</v>
      </c>
      <c r="AN597" s="582"/>
      <c r="AO597" s="585"/>
      <c r="AP597" s="582"/>
      <c r="AQ597" s="585"/>
      <c r="AR597" s="582"/>
      <c r="AS597" s="585"/>
      <c r="AT597" s="582"/>
      <c r="AU597" s="585"/>
      <c r="AV597" s="583">
        <f t="shared" si="173"/>
        <v>0</v>
      </c>
      <c r="AW597" s="583">
        <f t="shared" si="174"/>
        <v>0</v>
      </c>
      <c r="AX597" s="584">
        <f t="shared" si="175"/>
        <v>0</v>
      </c>
      <c r="AY597" s="584">
        <f t="shared" si="176"/>
        <v>0</v>
      </c>
      <c r="AZ597" s="583">
        <f t="shared" si="177"/>
        <v>1041.9666666666667</v>
      </c>
      <c r="BA597" s="584">
        <f t="shared" si="178"/>
        <v>1115.2577777777778</v>
      </c>
    </row>
    <row r="598" spans="1:53">
      <c r="A598" s="436" t="s">
        <v>570</v>
      </c>
      <c r="B598" s="61" t="s">
        <v>665</v>
      </c>
      <c r="C598" s="6"/>
      <c r="D598" s="7">
        <v>229832</v>
      </c>
      <c r="E598" s="446">
        <v>10</v>
      </c>
      <c r="F598" s="582"/>
      <c r="G598" s="585"/>
      <c r="H598" s="582">
        <v>17510</v>
      </c>
      <c r="I598" s="585">
        <v>16308</v>
      </c>
      <c r="J598" s="582">
        <v>8240</v>
      </c>
      <c r="K598" s="585">
        <v>7242</v>
      </c>
      <c r="L598" s="582">
        <v>4365</v>
      </c>
      <c r="M598" s="585">
        <v>3672</v>
      </c>
      <c r="N598" s="582">
        <v>16456</v>
      </c>
      <c r="O598" s="585">
        <v>15574</v>
      </c>
      <c r="P598" s="583">
        <f t="shared" si="162"/>
        <v>46571</v>
      </c>
      <c r="Q598" s="583">
        <f t="shared" si="163"/>
        <v>1552.3666666666666</v>
      </c>
      <c r="R598" s="584">
        <f t="shared" si="164"/>
        <v>42796</v>
      </c>
      <c r="S598" s="584">
        <f t="shared" si="165"/>
        <v>1426.5333333333333</v>
      </c>
      <c r="T598" s="582">
        <v>8983</v>
      </c>
      <c r="U598" s="585"/>
      <c r="V598" s="583">
        <f t="shared" si="166"/>
        <v>46571</v>
      </c>
      <c r="W598" s="584">
        <f>IF(ISBLANK(#REF!),0,R598)</f>
        <v>42796</v>
      </c>
      <c r="X598" s="582">
        <v>24108</v>
      </c>
      <c r="Y598" s="585">
        <v>41850</v>
      </c>
      <c r="Z598" s="582">
        <v>24293</v>
      </c>
      <c r="AA598" s="585">
        <v>31427</v>
      </c>
      <c r="AB598" s="582">
        <v>4903</v>
      </c>
      <c r="AC598" s="585">
        <v>15782</v>
      </c>
      <c r="AD598" s="582">
        <v>25630</v>
      </c>
      <c r="AE598" s="585">
        <v>36778</v>
      </c>
      <c r="AF598" s="583">
        <f t="shared" si="167"/>
        <v>78934</v>
      </c>
      <c r="AG598" s="583">
        <f t="shared" si="168"/>
        <v>87.704444444444448</v>
      </c>
      <c r="AH598" s="584">
        <f t="shared" si="169"/>
        <v>125837</v>
      </c>
      <c r="AI598" s="584">
        <f t="shared" si="170"/>
        <v>139.81888888888889</v>
      </c>
      <c r="AJ598" s="582"/>
      <c r="AK598" s="585"/>
      <c r="AL598" s="583">
        <f t="shared" si="171"/>
        <v>0</v>
      </c>
      <c r="AM598" s="584">
        <f t="shared" si="172"/>
        <v>0</v>
      </c>
      <c r="AN598" s="582"/>
      <c r="AO598" s="585"/>
      <c r="AP598" s="582"/>
      <c r="AQ598" s="585"/>
      <c r="AR598" s="582"/>
      <c r="AS598" s="585"/>
      <c r="AT598" s="582"/>
      <c r="AU598" s="585"/>
      <c r="AV598" s="583">
        <f t="shared" si="173"/>
        <v>0</v>
      </c>
      <c r="AW598" s="583">
        <f t="shared" si="174"/>
        <v>0</v>
      </c>
      <c r="AX598" s="584">
        <f t="shared" si="175"/>
        <v>0</v>
      </c>
      <c r="AY598" s="584">
        <f t="shared" si="176"/>
        <v>0</v>
      </c>
      <c r="AZ598" s="583">
        <f t="shared" si="177"/>
        <v>1640.0711111111109</v>
      </c>
      <c r="BA598" s="584">
        <f t="shared" si="178"/>
        <v>1566.3522222222223</v>
      </c>
    </row>
    <row r="599" spans="1:53" ht="12.5">
      <c r="A599" s="436" t="s">
        <v>570</v>
      </c>
      <c r="B599" s="63" t="s">
        <v>666</v>
      </c>
      <c r="C599" s="66"/>
      <c r="D599" s="9"/>
      <c r="E599" s="40">
        <v>11</v>
      </c>
      <c r="F599" s="582"/>
      <c r="G599" s="585"/>
      <c r="H599" s="582">
        <v>346004</v>
      </c>
      <c r="I599" s="585">
        <f>SUM(I603,I607)</f>
        <v>294850</v>
      </c>
      <c r="J599" s="582">
        <v>128393</v>
      </c>
      <c r="K599" s="585">
        <f>SUM(K603,K607)</f>
        <v>106864</v>
      </c>
      <c r="L599" s="582">
        <v>0</v>
      </c>
      <c r="M599" s="585">
        <f>SUM(M603,M607)</f>
        <v>0</v>
      </c>
      <c r="N599" s="582">
        <v>314047</v>
      </c>
      <c r="O599" s="585">
        <f>SUM(O603,O607)</f>
        <v>329099</v>
      </c>
      <c r="P599" s="583">
        <f t="shared" si="162"/>
        <v>788444</v>
      </c>
      <c r="Q599" s="583">
        <f t="shared" si="163"/>
        <v>26281.466666666667</v>
      </c>
      <c r="R599" s="584">
        <f t="shared" si="164"/>
        <v>730813</v>
      </c>
      <c r="S599" s="584">
        <f t="shared" si="165"/>
        <v>24360.433333333334</v>
      </c>
      <c r="T599" s="582">
        <v>104935</v>
      </c>
      <c r="U599" s="585">
        <f>SUM(U603,U607)</f>
        <v>77807</v>
      </c>
      <c r="V599" s="583">
        <f t="shared" si="166"/>
        <v>788444</v>
      </c>
      <c r="W599" s="584">
        <f>IF(ISBLANK(#REF!),0,R599)</f>
        <v>730813</v>
      </c>
      <c r="X599" s="582">
        <v>45452</v>
      </c>
      <c r="Y599" s="585">
        <f>SUM(Y603,Y607)</f>
        <v>26197</v>
      </c>
      <c r="Z599" s="582">
        <v>57514</v>
      </c>
      <c r="AA599" s="585">
        <f>SUM(AA603,AA607)</f>
        <v>33589</v>
      </c>
      <c r="AB599" s="582">
        <v>64190</v>
      </c>
      <c r="AC599" s="585">
        <f>SUM(AC603,AC607)</f>
        <v>28742</v>
      </c>
      <c r="AD599" s="582">
        <v>65393</v>
      </c>
      <c r="AE599" s="585">
        <f>SUM(AE603,AE607)</f>
        <v>32246</v>
      </c>
      <c r="AF599" s="583">
        <f t="shared" si="167"/>
        <v>232549</v>
      </c>
      <c r="AG599" s="583">
        <f t="shared" si="168"/>
        <v>258.38777777777779</v>
      </c>
      <c r="AH599" s="584">
        <f t="shared" si="169"/>
        <v>120774</v>
      </c>
      <c r="AI599" s="584">
        <f t="shared" si="170"/>
        <v>134.19333333333333</v>
      </c>
      <c r="AJ599" s="582"/>
      <c r="AK599" s="585"/>
      <c r="AL599" s="583">
        <f t="shared" si="171"/>
        <v>0</v>
      </c>
      <c r="AM599" s="584">
        <f t="shared" si="172"/>
        <v>0</v>
      </c>
      <c r="AN599" s="582"/>
      <c r="AO599" s="585"/>
      <c r="AP599" s="582"/>
      <c r="AQ599" s="585"/>
      <c r="AR599" s="582"/>
      <c r="AS599" s="585"/>
      <c r="AT599" s="582"/>
      <c r="AU599" s="585"/>
      <c r="AV599" s="583">
        <f t="shared" si="173"/>
        <v>0</v>
      </c>
      <c r="AW599" s="583">
        <f t="shared" si="174"/>
        <v>0</v>
      </c>
      <c r="AX599" s="584">
        <f t="shared" si="175"/>
        <v>0</v>
      </c>
      <c r="AY599" s="584">
        <f t="shared" si="176"/>
        <v>0</v>
      </c>
      <c r="AZ599" s="583">
        <f t="shared" si="177"/>
        <v>26539.854444444445</v>
      </c>
      <c r="BA599" s="584">
        <f t="shared" si="178"/>
        <v>24494.626666666667</v>
      </c>
    </row>
    <row r="600" spans="1:53" ht="12.5">
      <c r="A600" s="436" t="s">
        <v>570</v>
      </c>
      <c r="B600" s="63" t="s">
        <v>906</v>
      </c>
      <c r="C600" s="64"/>
      <c r="D600" s="9"/>
      <c r="E600" s="40">
        <v>11</v>
      </c>
      <c r="F600" s="582"/>
      <c r="G600" s="585"/>
      <c r="H600" s="582">
        <v>483089</v>
      </c>
      <c r="I600" s="585">
        <f>SUM(I604,I605)</f>
        <v>593461</v>
      </c>
      <c r="J600" s="582">
        <v>289024</v>
      </c>
      <c r="K600" s="585">
        <f>SUM(K604,K605)</f>
        <v>354196</v>
      </c>
      <c r="L600" s="582">
        <v>0</v>
      </c>
      <c r="M600" s="585">
        <f>SUM(M604,M605)</f>
        <v>0</v>
      </c>
      <c r="N600" s="582">
        <v>393596</v>
      </c>
      <c r="O600" s="585">
        <f>SUM(O604,O605)</f>
        <v>515287</v>
      </c>
      <c r="P600" s="583">
        <f t="shared" si="162"/>
        <v>1165709</v>
      </c>
      <c r="Q600" s="583">
        <f t="shared" si="163"/>
        <v>38856.966666666667</v>
      </c>
      <c r="R600" s="584">
        <f t="shared" si="164"/>
        <v>1462944</v>
      </c>
      <c r="S600" s="584">
        <f t="shared" si="165"/>
        <v>48764.800000000003</v>
      </c>
      <c r="T600" s="582">
        <v>187097</v>
      </c>
      <c r="U600" s="585">
        <f>SUM(U604,U605)</f>
        <v>270836</v>
      </c>
      <c r="V600" s="583">
        <f t="shared" si="166"/>
        <v>1165709</v>
      </c>
      <c r="W600" s="584">
        <f>IF(ISBLANK(#REF!),0,R600)</f>
        <v>1462944</v>
      </c>
      <c r="X600" s="582">
        <v>369810</v>
      </c>
      <c r="Y600" s="585">
        <f>SUM(Y604,Y605)</f>
        <v>472429</v>
      </c>
      <c r="Z600" s="582">
        <v>400106</v>
      </c>
      <c r="AA600" s="585">
        <f>SUM(AA604,AA605)</f>
        <v>416600</v>
      </c>
      <c r="AB600" s="582">
        <v>338689</v>
      </c>
      <c r="AC600" s="585">
        <f>SUM(AC604,AC605)</f>
        <v>524058</v>
      </c>
      <c r="AD600" s="582">
        <v>539245</v>
      </c>
      <c r="AE600" s="585">
        <f>SUM(AE604,AE605)</f>
        <v>634309</v>
      </c>
      <c r="AF600" s="583">
        <f t="shared" si="167"/>
        <v>1647850</v>
      </c>
      <c r="AG600" s="583">
        <f t="shared" si="168"/>
        <v>1830.9444444444443</v>
      </c>
      <c r="AH600" s="584">
        <f t="shared" si="169"/>
        <v>2047396</v>
      </c>
      <c r="AI600" s="584">
        <f t="shared" si="170"/>
        <v>2274.8844444444444</v>
      </c>
      <c r="AJ600" s="582"/>
      <c r="AK600" s="585"/>
      <c r="AL600" s="583">
        <f t="shared" si="171"/>
        <v>0</v>
      </c>
      <c r="AM600" s="584">
        <f t="shared" si="172"/>
        <v>0</v>
      </c>
      <c r="AN600" s="582"/>
      <c r="AO600" s="585"/>
      <c r="AP600" s="582"/>
      <c r="AQ600" s="585"/>
      <c r="AR600" s="582"/>
      <c r="AS600" s="585"/>
      <c r="AT600" s="582"/>
      <c r="AU600" s="585"/>
      <c r="AV600" s="583">
        <f t="shared" si="173"/>
        <v>0</v>
      </c>
      <c r="AW600" s="583">
        <f t="shared" si="174"/>
        <v>0</v>
      </c>
      <c r="AX600" s="584">
        <f t="shared" si="175"/>
        <v>0</v>
      </c>
      <c r="AY600" s="584">
        <f t="shared" si="176"/>
        <v>0</v>
      </c>
      <c r="AZ600" s="583">
        <f t="shared" si="177"/>
        <v>40687.911111111112</v>
      </c>
      <c r="BA600" s="584">
        <f t="shared" si="178"/>
        <v>51039.68444444445</v>
      </c>
    </row>
    <row r="601" spans="1:53" ht="12.5">
      <c r="A601" s="436" t="s">
        <v>570</v>
      </c>
      <c r="B601" s="63" t="s">
        <v>667</v>
      </c>
      <c r="C601" s="67"/>
      <c r="D601" s="9"/>
      <c r="E601" s="40">
        <v>11</v>
      </c>
      <c r="F601" s="582"/>
      <c r="G601" s="585"/>
      <c r="H601" s="582">
        <v>25996</v>
      </c>
      <c r="I601" s="585">
        <f>SUM(I606,I608)</f>
        <v>27691</v>
      </c>
      <c r="J601" s="582">
        <v>5217</v>
      </c>
      <c r="K601" s="585">
        <f>SUM(K606,K608)</f>
        <v>4536</v>
      </c>
      <c r="L601" s="582">
        <v>2074</v>
      </c>
      <c r="M601" s="585">
        <f>SUM(M606,M608)</f>
        <v>1948</v>
      </c>
      <c r="N601" s="582">
        <v>32920</v>
      </c>
      <c r="O601" s="585">
        <f>SUM(O606,O608)</f>
        <v>32148</v>
      </c>
      <c r="P601" s="583">
        <f t="shared" si="162"/>
        <v>66207</v>
      </c>
      <c r="Q601" s="583">
        <f t="shared" si="163"/>
        <v>2206.9</v>
      </c>
      <c r="R601" s="584">
        <f t="shared" si="164"/>
        <v>66323</v>
      </c>
      <c r="S601" s="584">
        <f t="shared" si="165"/>
        <v>2210.7666666666669</v>
      </c>
      <c r="T601" s="582">
        <v>17371</v>
      </c>
      <c r="U601" s="585">
        <f>SUM(U606,U608)</f>
        <v>18252</v>
      </c>
      <c r="V601" s="583">
        <f t="shared" si="166"/>
        <v>66207</v>
      </c>
      <c r="W601" s="584">
        <f>IF(ISBLANK(#REF!),0,R601)</f>
        <v>66323</v>
      </c>
      <c r="X601" s="582">
        <v>112699</v>
      </c>
      <c r="Y601" s="585">
        <f>SUM(Y606,Y608)</f>
        <v>118680</v>
      </c>
      <c r="Z601" s="582">
        <v>135796</v>
      </c>
      <c r="AA601" s="585">
        <f>SUM(AA606,AA608)</f>
        <v>152630</v>
      </c>
      <c r="AB601" s="582">
        <v>142645</v>
      </c>
      <c r="AC601" s="585">
        <f>SUM(AC606,AC608)</f>
        <v>96293</v>
      </c>
      <c r="AD601" s="582">
        <v>153367</v>
      </c>
      <c r="AE601" s="585">
        <f>SUM(AE606,AE608)</f>
        <v>128831</v>
      </c>
      <c r="AF601" s="583">
        <f t="shared" si="167"/>
        <v>544507</v>
      </c>
      <c r="AG601" s="583">
        <f t="shared" si="168"/>
        <v>605.00777777777773</v>
      </c>
      <c r="AH601" s="584">
        <f t="shared" si="169"/>
        <v>496434</v>
      </c>
      <c r="AI601" s="584">
        <f t="shared" si="170"/>
        <v>551.59333333333336</v>
      </c>
      <c r="AJ601" s="582"/>
      <c r="AK601" s="585"/>
      <c r="AL601" s="583">
        <f t="shared" si="171"/>
        <v>0</v>
      </c>
      <c r="AM601" s="584">
        <f t="shared" si="172"/>
        <v>0</v>
      </c>
      <c r="AN601" s="582"/>
      <c r="AO601" s="585"/>
      <c r="AP601" s="582"/>
      <c r="AQ601" s="585"/>
      <c r="AR601" s="582"/>
      <c r="AS601" s="585"/>
      <c r="AT601" s="582"/>
      <c r="AU601" s="585"/>
      <c r="AV601" s="583">
        <f t="shared" si="173"/>
        <v>0</v>
      </c>
      <c r="AW601" s="583">
        <f t="shared" si="174"/>
        <v>0</v>
      </c>
      <c r="AX601" s="584">
        <f t="shared" si="175"/>
        <v>0</v>
      </c>
      <c r="AY601" s="584">
        <f t="shared" si="176"/>
        <v>0</v>
      </c>
      <c r="AZ601" s="583">
        <f t="shared" si="177"/>
        <v>2811.9077777777779</v>
      </c>
      <c r="BA601" s="584">
        <f t="shared" si="178"/>
        <v>2762.36</v>
      </c>
    </row>
    <row r="602" spans="1:53">
      <c r="A602" s="436" t="s">
        <v>570</v>
      </c>
      <c r="B602" s="8" t="s">
        <v>668</v>
      </c>
      <c r="C602" s="6"/>
      <c r="D602" s="596">
        <v>443711</v>
      </c>
      <c r="E602" s="446">
        <v>15</v>
      </c>
      <c r="F602" s="582"/>
      <c r="G602" s="585"/>
      <c r="H602" s="582">
        <v>0</v>
      </c>
      <c r="I602" s="585">
        <v>0</v>
      </c>
      <c r="J602" s="582">
        <v>28533</v>
      </c>
      <c r="K602" s="585">
        <v>30606</v>
      </c>
      <c r="L602" s="582">
        <v>7679</v>
      </c>
      <c r="M602" s="585">
        <v>7757</v>
      </c>
      <c r="N602" s="582">
        <v>33061</v>
      </c>
      <c r="O602" s="585">
        <v>35236</v>
      </c>
      <c r="P602" s="583">
        <f t="shared" si="162"/>
        <v>69273</v>
      </c>
      <c r="Q602" s="583">
        <f t="shared" si="163"/>
        <v>2309.1</v>
      </c>
      <c r="R602" s="584">
        <f t="shared" si="164"/>
        <v>73599</v>
      </c>
      <c r="S602" s="584">
        <f t="shared" si="165"/>
        <v>2453.3000000000002</v>
      </c>
      <c r="T602" s="582">
        <v>0</v>
      </c>
      <c r="U602" s="585"/>
      <c r="V602" s="583">
        <f t="shared" si="166"/>
        <v>69273</v>
      </c>
      <c r="W602" s="584">
        <f>IF(ISBLANK(#REF!),0,R602)</f>
        <v>73599</v>
      </c>
      <c r="X602" s="582"/>
      <c r="Y602" s="585"/>
      <c r="Z602" s="582"/>
      <c r="AA602" s="585"/>
      <c r="AB602" s="582"/>
      <c r="AC602" s="585"/>
      <c r="AD602" s="582"/>
      <c r="AE602" s="585"/>
      <c r="AF602" s="583">
        <f t="shared" si="167"/>
        <v>0</v>
      </c>
      <c r="AG602" s="583">
        <f t="shared" si="168"/>
        <v>0</v>
      </c>
      <c r="AH602" s="584">
        <f t="shared" si="169"/>
        <v>0</v>
      </c>
      <c r="AI602" s="584">
        <f t="shared" si="170"/>
        <v>0</v>
      </c>
      <c r="AJ602" s="582"/>
      <c r="AK602" s="585"/>
      <c r="AL602" s="583">
        <f t="shared" si="171"/>
        <v>0</v>
      </c>
      <c r="AM602" s="584">
        <f t="shared" si="172"/>
        <v>0</v>
      </c>
      <c r="AN602" s="582"/>
      <c r="AO602" s="585"/>
      <c r="AP602" s="582">
        <v>6515</v>
      </c>
      <c r="AQ602" s="585">
        <v>7021</v>
      </c>
      <c r="AR602" s="582">
        <v>2733</v>
      </c>
      <c r="AS602" s="585">
        <v>3016</v>
      </c>
      <c r="AT602" s="582">
        <v>6968</v>
      </c>
      <c r="AU602" s="585">
        <v>7243</v>
      </c>
      <c r="AV602" s="583">
        <f t="shared" si="173"/>
        <v>16216</v>
      </c>
      <c r="AW602" s="583">
        <f t="shared" si="174"/>
        <v>675.66666666666663</v>
      </c>
      <c r="AX602" s="584">
        <f t="shared" si="175"/>
        <v>17280</v>
      </c>
      <c r="AY602" s="584">
        <f t="shared" si="176"/>
        <v>720</v>
      </c>
      <c r="AZ602" s="583">
        <f t="shared" si="177"/>
        <v>2984.7666666666664</v>
      </c>
      <c r="BA602" s="584">
        <f t="shared" si="178"/>
        <v>3173.3</v>
      </c>
    </row>
    <row r="603" spans="1:53">
      <c r="A603" s="436" t="s">
        <v>570</v>
      </c>
      <c r="B603" s="63" t="s">
        <v>666</v>
      </c>
      <c r="C603" s="69"/>
      <c r="D603" s="9"/>
      <c r="E603" s="40" t="s">
        <v>669</v>
      </c>
      <c r="F603" s="582"/>
      <c r="G603" s="585"/>
      <c r="H603" s="582">
        <v>23685</v>
      </c>
      <c r="I603" s="585">
        <f>SUM(I550,I553)</f>
        <v>252414</v>
      </c>
      <c r="J603" s="582">
        <v>8765</v>
      </c>
      <c r="K603" s="585">
        <f>SUM(K550,K553)</f>
        <v>94935</v>
      </c>
      <c r="L603" s="582">
        <v>0</v>
      </c>
      <c r="M603" s="585">
        <f>SUM(M550,M553)</f>
        <v>0</v>
      </c>
      <c r="N603" s="582">
        <v>40998</v>
      </c>
      <c r="O603" s="585">
        <f>SUM(O550,O553)</f>
        <v>277394</v>
      </c>
      <c r="P603" s="583">
        <f t="shared" si="162"/>
        <v>73448</v>
      </c>
      <c r="Q603" s="583">
        <f t="shared" si="163"/>
        <v>2448.2666666666669</v>
      </c>
      <c r="R603" s="584">
        <f t="shared" si="164"/>
        <v>624743</v>
      </c>
      <c r="S603" s="584">
        <f t="shared" si="165"/>
        <v>20824.766666666666</v>
      </c>
      <c r="T603" s="582">
        <v>4983</v>
      </c>
      <c r="U603" s="585">
        <f>SUM(U550,U553)</f>
        <v>66507</v>
      </c>
      <c r="V603" s="583">
        <f t="shared" si="166"/>
        <v>73448</v>
      </c>
      <c r="W603" s="584">
        <f>IF(ISBLANK(#REF!),0,R603)</f>
        <v>624743</v>
      </c>
      <c r="X603" s="582">
        <v>4504</v>
      </c>
      <c r="Y603" s="585">
        <f>SUM(Y550,Y553)</f>
        <v>20693</v>
      </c>
      <c r="Z603" s="582">
        <v>4096</v>
      </c>
      <c r="AA603" s="585">
        <f>SUM(AA550,AA553)</f>
        <v>24449</v>
      </c>
      <c r="AB603" s="582">
        <v>8516</v>
      </c>
      <c r="AC603" s="585">
        <f>SUM(AC550,AC553)</f>
        <v>21670</v>
      </c>
      <c r="AD603" s="582">
        <v>7712</v>
      </c>
      <c r="AE603" s="585">
        <f>SUM(AE550,AE553)</f>
        <v>28078</v>
      </c>
      <c r="AF603" s="583">
        <f t="shared" si="167"/>
        <v>24828</v>
      </c>
      <c r="AG603" s="583">
        <f t="shared" si="168"/>
        <v>27.586666666666666</v>
      </c>
      <c r="AH603" s="584">
        <f t="shared" si="169"/>
        <v>94890</v>
      </c>
      <c r="AI603" s="584">
        <f t="shared" si="170"/>
        <v>105.43333333333334</v>
      </c>
      <c r="AJ603" s="582"/>
      <c r="AK603" s="585"/>
      <c r="AL603" s="583">
        <f t="shared" si="171"/>
        <v>0</v>
      </c>
      <c r="AM603" s="584">
        <f t="shared" si="172"/>
        <v>0</v>
      </c>
      <c r="AN603" s="582"/>
      <c r="AO603" s="585"/>
      <c r="AP603" s="582"/>
      <c r="AQ603" s="585"/>
      <c r="AR603" s="582"/>
      <c r="AS603" s="585"/>
      <c r="AT603" s="582"/>
      <c r="AU603" s="585"/>
      <c r="AV603" s="583">
        <f t="shared" si="173"/>
        <v>0</v>
      </c>
      <c r="AW603" s="583">
        <f t="shared" si="174"/>
        <v>0</v>
      </c>
      <c r="AX603" s="584">
        <f t="shared" si="175"/>
        <v>0</v>
      </c>
      <c r="AY603" s="584">
        <f t="shared" si="176"/>
        <v>0</v>
      </c>
      <c r="AZ603" s="583">
        <f t="shared" si="177"/>
        <v>2475.8533333333335</v>
      </c>
      <c r="BA603" s="584">
        <f t="shared" si="178"/>
        <v>20930.2</v>
      </c>
    </row>
    <row r="604" spans="1:53">
      <c r="A604" s="436" t="s">
        <v>570</v>
      </c>
      <c r="B604" s="63" t="s">
        <v>906</v>
      </c>
      <c r="C604" s="70"/>
      <c r="D604" s="9"/>
      <c r="E604" s="40" t="s">
        <v>669</v>
      </c>
      <c r="F604" s="582"/>
      <c r="G604" s="585"/>
      <c r="H604" s="582">
        <v>122515</v>
      </c>
      <c r="I604" s="585">
        <f>SUM(I535,I539,I540,I546,I549,I552)</f>
        <v>538294</v>
      </c>
      <c r="J604" s="582">
        <v>66618</v>
      </c>
      <c r="K604" s="585">
        <f>SUM(K535,K539,K540,K546,K549,K552)</f>
        <v>320019</v>
      </c>
      <c r="L604" s="582">
        <v>0</v>
      </c>
      <c r="M604" s="585">
        <f>SUM(M535,M539,M540,M546,M549,M552)</f>
        <v>0</v>
      </c>
      <c r="N604" s="582">
        <v>113963</v>
      </c>
      <c r="O604" s="585">
        <f>SUM(O535,O539,O540,O546,O549,O552)</f>
        <v>468317</v>
      </c>
      <c r="P604" s="583">
        <f t="shared" si="162"/>
        <v>303096</v>
      </c>
      <c r="Q604" s="583">
        <f t="shared" si="163"/>
        <v>10103.200000000001</v>
      </c>
      <c r="R604" s="584">
        <f t="shared" si="164"/>
        <v>1326630</v>
      </c>
      <c r="S604" s="584">
        <f t="shared" si="165"/>
        <v>44221</v>
      </c>
      <c r="T604" s="582">
        <v>59528</v>
      </c>
      <c r="U604" s="585">
        <f>SUM(U535,U539,U540,U546,U549,U552)</f>
        <v>245489</v>
      </c>
      <c r="V604" s="583">
        <f t="shared" si="166"/>
        <v>303096</v>
      </c>
      <c r="W604" s="584">
        <f>IF(ISBLANK(#REF!),0,R604)</f>
        <v>1326630</v>
      </c>
      <c r="X604" s="582">
        <v>68378</v>
      </c>
      <c r="Y604" s="585">
        <f>SUM(Y535,Y539,Y540,Y546,Y549,Y552)</f>
        <v>433984</v>
      </c>
      <c r="Z604" s="582">
        <v>125931</v>
      </c>
      <c r="AA604" s="585">
        <f>SUM(AA535,AA539,AA540,AA546,AA549,AA552)</f>
        <v>381374</v>
      </c>
      <c r="AB604" s="582">
        <v>186923</v>
      </c>
      <c r="AC604" s="585">
        <f>SUM(AC535,AC539,AC540,AC546,AC549,AC552)</f>
        <v>444786</v>
      </c>
      <c r="AD604" s="582">
        <v>74717</v>
      </c>
      <c r="AE604" s="585">
        <f>SUM(AE535,AE539,AE540,AE546,AE549,AE552)</f>
        <v>605769</v>
      </c>
      <c r="AF604" s="583">
        <f t="shared" si="167"/>
        <v>455949</v>
      </c>
      <c r="AG604" s="583">
        <f t="shared" si="168"/>
        <v>506.61</v>
      </c>
      <c r="AH604" s="584">
        <f t="shared" si="169"/>
        <v>1865913</v>
      </c>
      <c r="AI604" s="584">
        <f t="shared" si="170"/>
        <v>2073.2366666666667</v>
      </c>
      <c r="AJ604" s="582"/>
      <c r="AK604" s="585"/>
      <c r="AL604" s="583">
        <f t="shared" si="171"/>
        <v>0</v>
      </c>
      <c r="AM604" s="584">
        <f t="shared" si="172"/>
        <v>0</v>
      </c>
      <c r="AN604" s="582"/>
      <c r="AO604" s="585"/>
      <c r="AP604" s="582"/>
      <c r="AQ604" s="585"/>
      <c r="AR604" s="582"/>
      <c r="AS604" s="585"/>
      <c r="AT604" s="582"/>
      <c r="AU604" s="585"/>
      <c r="AV604" s="583">
        <f t="shared" si="173"/>
        <v>0</v>
      </c>
      <c r="AW604" s="583">
        <f t="shared" si="174"/>
        <v>0</v>
      </c>
      <c r="AX604" s="584">
        <f t="shared" si="175"/>
        <v>0</v>
      </c>
      <c r="AY604" s="584">
        <f t="shared" si="176"/>
        <v>0</v>
      </c>
      <c r="AZ604" s="583">
        <f t="shared" si="177"/>
        <v>10609.810000000001</v>
      </c>
      <c r="BA604" s="584">
        <f t="shared" si="178"/>
        <v>46294.236666666664</v>
      </c>
    </row>
    <row r="605" spans="1:53">
      <c r="A605" s="436" t="s">
        <v>570</v>
      </c>
      <c r="B605" s="63" t="s">
        <v>906</v>
      </c>
      <c r="C605" s="71"/>
      <c r="D605" s="9"/>
      <c r="E605" s="40" t="s">
        <v>670</v>
      </c>
      <c r="F605" s="582"/>
      <c r="G605" s="585"/>
      <c r="H605" s="582">
        <v>605604</v>
      </c>
      <c r="I605" s="585">
        <f>I562</f>
        <v>55167</v>
      </c>
      <c r="J605" s="582">
        <v>355642</v>
      </c>
      <c r="K605" s="585">
        <f>K562</f>
        <v>34177</v>
      </c>
      <c r="L605" s="582">
        <v>0</v>
      </c>
      <c r="M605" s="585">
        <f>M562</f>
        <v>0</v>
      </c>
      <c r="N605" s="582">
        <v>507559</v>
      </c>
      <c r="O605" s="585">
        <f>O562</f>
        <v>46970</v>
      </c>
      <c r="P605" s="583">
        <f t="shared" si="162"/>
        <v>1468805</v>
      </c>
      <c r="Q605" s="583">
        <f t="shared" si="163"/>
        <v>48960.166666666664</v>
      </c>
      <c r="R605" s="584">
        <f t="shared" si="164"/>
        <v>136314</v>
      </c>
      <c r="S605" s="584">
        <f t="shared" si="165"/>
        <v>4543.8</v>
      </c>
      <c r="T605" s="582">
        <v>246625</v>
      </c>
      <c r="U605" s="585">
        <f>U562</f>
        <v>25347</v>
      </c>
      <c r="V605" s="583">
        <f t="shared" si="166"/>
        <v>1468805</v>
      </c>
      <c r="W605" s="584">
        <f>IF(ISBLANK(#REF!),0,R605)</f>
        <v>136314</v>
      </c>
      <c r="X605" s="582">
        <v>438188</v>
      </c>
      <c r="Y605" s="585">
        <f>Y562</f>
        <v>38445</v>
      </c>
      <c r="Z605" s="582">
        <v>526037</v>
      </c>
      <c r="AA605" s="585">
        <f>AA562</f>
        <v>35226</v>
      </c>
      <c r="AB605" s="582">
        <v>525612</v>
      </c>
      <c r="AC605" s="585">
        <f>AC562</f>
        <v>79272</v>
      </c>
      <c r="AD605" s="582">
        <v>613962</v>
      </c>
      <c r="AE605" s="585">
        <f>AE562</f>
        <v>28540</v>
      </c>
      <c r="AF605" s="583">
        <f t="shared" si="167"/>
        <v>2103799</v>
      </c>
      <c r="AG605" s="583">
        <f t="shared" si="168"/>
        <v>2337.5544444444445</v>
      </c>
      <c r="AH605" s="584">
        <f t="shared" si="169"/>
        <v>181483</v>
      </c>
      <c r="AI605" s="584">
        <f t="shared" si="170"/>
        <v>201.64777777777778</v>
      </c>
      <c r="AJ605" s="582"/>
      <c r="AK605" s="585"/>
      <c r="AL605" s="583">
        <f t="shared" si="171"/>
        <v>0</v>
      </c>
      <c r="AM605" s="584">
        <f t="shared" si="172"/>
        <v>0</v>
      </c>
      <c r="AN605" s="582"/>
      <c r="AO605" s="585"/>
      <c r="AP605" s="582"/>
      <c r="AQ605" s="585"/>
      <c r="AR605" s="582"/>
      <c r="AS605" s="585"/>
      <c r="AT605" s="582"/>
      <c r="AU605" s="585"/>
      <c r="AV605" s="583">
        <f t="shared" si="173"/>
        <v>0</v>
      </c>
      <c r="AW605" s="583">
        <f t="shared" si="174"/>
        <v>0</v>
      </c>
      <c r="AX605" s="584">
        <f t="shared" si="175"/>
        <v>0</v>
      </c>
      <c r="AY605" s="584">
        <f t="shared" si="176"/>
        <v>0</v>
      </c>
      <c r="AZ605" s="583">
        <f t="shared" si="177"/>
        <v>51297.72111111111</v>
      </c>
      <c r="BA605" s="584">
        <f t="shared" si="178"/>
        <v>4745.4477777777784</v>
      </c>
    </row>
    <row r="606" spans="1:53">
      <c r="A606" s="436" t="s">
        <v>570</v>
      </c>
      <c r="B606" s="63" t="s">
        <v>667</v>
      </c>
      <c r="C606" s="72"/>
      <c r="D606" s="9"/>
      <c r="E606" s="40" t="s">
        <v>670</v>
      </c>
      <c r="F606" s="582"/>
      <c r="G606" s="585"/>
      <c r="H606" s="582">
        <v>988</v>
      </c>
      <c r="I606" s="585">
        <f>I568</f>
        <v>26824</v>
      </c>
      <c r="J606" s="582">
        <v>12</v>
      </c>
      <c r="K606" s="585">
        <f>K568</f>
        <v>4527</v>
      </c>
      <c r="L606" s="582">
        <v>0</v>
      </c>
      <c r="M606" s="585">
        <f>M568</f>
        <v>1948</v>
      </c>
      <c r="N606" s="582">
        <v>975</v>
      </c>
      <c r="O606" s="585">
        <f>O568</f>
        <v>31481</v>
      </c>
      <c r="P606" s="583">
        <f t="shared" si="162"/>
        <v>1975</v>
      </c>
      <c r="Q606" s="583">
        <f t="shared" si="163"/>
        <v>65.833333333333329</v>
      </c>
      <c r="R606" s="584">
        <f t="shared" si="164"/>
        <v>64780</v>
      </c>
      <c r="S606" s="584">
        <f t="shared" si="165"/>
        <v>2159.3333333333335</v>
      </c>
      <c r="T606" s="582">
        <v>0</v>
      </c>
      <c r="U606" s="585">
        <f>U568</f>
        <v>18252</v>
      </c>
      <c r="V606" s="583">
        <f t="shared" si="166"/>
        <v>1975</v>
      </c>
      <c r="W606" s="584">
        <f>IF(ISBLANK(#REF!),0,R606)</f>
        <v>64780</v>
      </c>
      <c r="X606" s="582">
        <v>0</v>
      </c>
      <c r="Y606" s="585">
        <f>Y568</f>
        <v>118680</v>
      </c>
      <c r="Z606" s="582">
        <v>0</v>
      </c>
      <c r="AA606" s="585">
        <f>AA568</f>
        <v>152630</v>
      </c>
      <c r="AB606" s="582">
        <v>0</v>
      </c>
      <c r="AC606" s="585">
        <f>AC568</f>
        <v>96293</v>
      </c>
      <c r="AD606" s="582">
        <v>0</v>
      </c>
      <c r="AE606" s="585">
        <f>AE568</f>
        <v>128831</v>
      </c>
      <c r="AF606" s="583">
        <f t="shared" si="167"/>
        <v>0</v>
      </c>
      <c r="AG606" s="583">
        <f t="shared" si="168"/>
        <v>0</v>
      </c>
      <c r="AH606" s="584">
        <f t="shared" si="169"/>
        <v>496434</v>
      </c>
      <c r="AI606" s="584">
        <f t="shared" si="170"/>
        <v>551.59333333333336</v>
      </c>
      <c r="AJ606" s="582"/>
      <c r="AK606" s="585"/>
      <c r="AL606" s="583">
        <f t="shared" si="171"/>
        <v>0</v>
      </c>
      <c r="AM606" s="584">
        <f t="shared" si="172"/>
        <v>0</v>
      </c>
      <c r="AN606" s="582"/>
      <c r="AO606" s="585"/>
      <c r="AP606" s="582"/>
      <c r="AQ606" s="585"/>
      <c r="AR606" s="582"/>
      <c r="AS606" s="585"/>
      <c r="AT606" s="582"/>
      <c r="AU606" s="585"/>
      <c r="AV606" s="583">
        <f t="shared" si="173"/>
        <v>0</v>
      </c>
      <c r="AW606" s="583">
        <f t="shared" si="174"/>
        <v>0</v>
      </c>
      <c r="AX606" s="584">
        <f t="shared" si="175"/>
        <v>0</v>
      </c>
      <c r="AY606" s="584">
        <f t="shared" si="176"/>
        <v>0</v>
      </c>
      <c r="AZ606" s="583">
        <f t="shared" si="177"/>
        <v>65.833333333333329</v>
      </c>
      <c r="BA606" s="584">
        <f t="shared" si="178"/>
        <v>2710.9266666666667</v>
      </c>
    </row>
    <row r="607" spans="1:53">
      <c r="A607" s="436" t="s">
        <v>570</v>
      </c>
      <c r="B607" s="63" t="s">
        <v>666</v>
      </c>
      <c r="C607" s="73"/>
      <c r="D607" s="9"/>
      <c r="E607" s="40" t="s">
        <v>671</v>
      </c>
      <c r="F607" s="582"/>
      <c r="G607" s="585"/>
      <c r="H607" s="582">
        <v>369689</v>
      </c>
      <c r="I607" s="585">
        <f>I590</f>
        <v>42436</v>
      </c>
      <c r="J607" s="582">
        <v>137158</v>
      </c>
      <c r="K607" s="585">
        <f>K590</f>
        <v>11929</v>
      </c>
      <c r="L607" s="582">
        <v>0</v>
      </c>
      <c r="M607" s="585">
        <f>M590</f>
        <v>0</v>
      </c>
      <c r="N607" s="582">
        <v>355045</v>
      </c>
      <c r="O607" s="585">
        <f>O590</f>
        <v>51705</v>
      </c>
      <c r="P607" s="583">
        <f t="shared" si="162"/>
        <v>861892</v>
      </c>
      <c r="Q607" s="583">
        <f t="shared" si="163"/>
        <v>28729.733333333334</v>
      </c>
      <c r="R607" s="584">
        <f t="shared" si="164"/>
        <v>106070</v>
      </c>
      <c r="S607" s="584">
        <f t="shared" si="165"/>
        <v>3535.6666666666665</v>
      </c>
      <c r="T607" s="582">
        <v>109918</v>
      </c>
      <c r="U607" s="585">
        <f>U590</f>
        <v>11300</v>
      </c>
      <c r="V607" s="583">
        <f t="shared" si="166"/>
        <v>861892</v>
      </c>
      <c r="W607" s="584">
        <f>IF(ISBLANK(#REF!),0,R607)</f>
        <v>106070</v>
      </c>
      <c r="X607" s="582">
        <v>49956</v>
      </c>
      <c r="Y607" s="585">
        <f>Y590</f>
        <v>5504</v>
      </c>
      <c r="Z607" s="582">
        <v>61610</v>
      </c>
      <c r="AA607" s="585">
        <f>AA590</f>
        <v>9140</v>
      </c>
      <c r="AB607" s="582">
        <v>72706</v>
      </c>
      <c r="AC607" s="585">
        <f>AC590</f>
        <v>7072</v>
      </c>
      <c r="AD607" s="582">
        <v>73105</v>
      </c>
      <c r="AE607" s="585">
        <f>AE590</f>
        <v>4168</v>
      </c>
      <c r="AF607" s="583">
        <f t="shared" si="167"/>
        <v>257377</v>
      </c>
      <c r="AG607" s="583">
        <f t="shared" si="168"/>
        <v>285.97444444444443</v>
      </c>
      <c r="AH607" s="584">
        <f t="shared" si="169"/>
        <v>25884</v>
      </c>
      <c r="AI607" s="584">
        <f t="shared" si="170"/>
        <v>28.76</v>
      </c>
      <c r="AJ607" s="582"/>
      <c r="AK607" s="585"/>
      <c r="AL607" s="583">
        <f t="shared" si="171"/>
        <v>0</v>
      </c>
      <c r="AM607" s="584">
        <f t="shared" si="172"/>
        <v>0</v>
      </c>
      <c r="AN607" s="582"/>
      <c r="AO607" s="585"/>
      <c r="AP607" s="582"/>
      <c r="AQ607" s="585"/>
      <c r="AR607" s="582"/>
      <c r="AS607" s="585"/>
      <c r="AT607" s="582"/>
      <c r="AU607" s="585"/>
      <c r="AV607" s="583">
        <f t="shared" si="173"/>
        <v>0</v>
      </c>
      <c r="AW607" s="583">
        <f t="shared" si="174"/>
        <v>0</v>
      </c>
      <c r="AX607" s="584">
        <f t="shared" si="175"/>
        <v>0</v>
      </c>
      <c r="AY607" s="584">
        <f t="shared" si="176"/>
        <v>0</v>
      </c>
      <c r="AZ607" s="583">
        <f t="shared" si="177"/>
        <v>29015.707777777778</v>
      </c>
      <c r="BA607" s="584">
        <f t="shared" si="178"/>
        <v>3564.4266666666667</v>
      </c>
    </row>
    <row r="608" spans="1:53">
      <c r="A608" s="436" t="s">
        <v>570</v>
      </c>
      <c r="B608" s="63" t="s">
        <v>667</v>
      </c>
      <c r="C608" s="74"/>
      <c r="D608" s="9"/>
      <c r="E608" s="40" t="s">
        <v>671</v>
      </c>
      <c r="F608" s="582"/>
      <c r="G608" s="585"/>
      <c r="H608" s="582">
        <v>26984</v>
      </c>
      <c r="I608" s="585">
        <f>I593</f>
        <v>867</v>
      </c>
      <c r="J608" s="582">
        <v>5229</v>
      </c>
      <c r="K608" s="585">
        <f>K593</f>
        <v>9</v>
      </c>
      <c r="L608" s="582">
        <v>2074</v>
      </c>
      <c r="M608" s="585">
        <f>M593</f>
        <v>0</v>
      </c>
      <c r="N608" s="582">
        <v>33895</v>
      </c>
      <c r="O608" s="585">
        <f>O593</f>
        <v>667</v>
      </c>
      <c r="P608" s="583">
        <f t="shared" si="162"/>
        <v>68182</v>
      </c>
      <c r="Q608" s="583">
        <f t="shared" si="163"/>
        <v>2272.7333333333331</v>
      </c>
      <c r="R608" s="584">
        <f t="shared" si="164"/>
        <v>1543</v>
      </c>
      <c r="S608" s="584">
        <f t="shared" si="165"/>
        <v>51.43333333333333</v>
      </c>
      <c r="T608" s="582">
        <v>17371</v>
      </c>
      <c r="U608" s="585">
        <f>U593</f>
        <v>0</v>
      </c>
      <c r="V608" s="583">
        <f t="shared" si="166"/>
        <v>68182</v>
      </c>
      <c r="W608" s="584">
        <f>IF(ISBLANK(#REF!),0,R608)</f>
        <v>1543</v>
      </c>
      <c r="X608" s="582">
        <v>112699</v>
      </c>
      <c r="Y608" s="585">
        <f>Y593</f>
        <v>0</v>
      </c>
      <c r="Z608" s="582">
        <v>135796</v>
      </c>
      <c r="AA608" s="585">
        <f>AA593</f>
        <v>0</v>
      </c>
      <c r="AB608" s="582">
        <v>142645</v>
      </c>
      <c r="AC608" s="585">
        <f>AC593</f>
        <v>0</v>
      </c>
      <c r="AD608" s="582">
        <v>153367</v>
      </c>
      <c r="AE608" s="585">
        <f>AE593</f>
        <v>0</v>
      </c>
      <c r="AF608" s="583">
        <f t="shared" si="167"/>
        <v>544507</v>
      </c>
      <c r="AG608" s="583">
        <f t="shared" si="168"/>
        <v>605.00777777777773</v>
      </c>
      <c r="AH608" s="584">
        <f t="shared" si="169"/>
        <v>0</v>
      </c>
      <c r="AI608" s="584">
        <f t="shared" si="170"/>
        <v>0</v>
      </c>
      <c r="AJ608" s="582"/>
      <c r="AK608" s="585"/>
      <c r="AL608" s="583">
        <f t="shared" si="171"/>
        <v>0</v>
      </c>
      <c r="AM608" s="584">
        <f t="shared" si="172"/>
        <v>0</v>
      </c>
      <c r="AN608" s="582"/>
      <c r="AO608" s="585"/>
      <c r="AP608" s="582"/>
      <c r="AQ608" s="585"/>
      <c r="AR608" s="582"/>
      <c r="AS608" s="585"/>
      <c r="AT608" s="582"/>
      <c r="AU608" s="585"/>
      <c r="AV608" s="583">
        <f t="shared" si="173"/>
        <v>0</v>
      </c>
      <c r="AW608" s="583">
        <f t="shared" si="174"/>
        <v>0</v>
      </c>
      <c r="AX608" s="584">
        <f t="shared" si="175"/>
        <v>0</v>
      </c>
      <c r="AY608" s="584">
        <f t="shared" si="176"/>
        <v>0</v>
      </c>
      <c r="AZ608" s="583">
        <f t="shared" si="177"/>
        <v>2877.741111111111</v>
      </c>
      <c r="BA608" s="584">
        <f t="shared" si="178"/>
        <v>51.43333333333333</v>
      </c>
    </row>
    <row r="609" spans="1:53" ht="14.5">
      <c r="A609" s="5" t="s">
        <v>674</v>
      </c>
      <c r="B609" s="4" t="s">
        <v>675</v>
      </c>
      <c r="C609" s="539"/>
      <c r="D609" s="2">
        <v>232186</v>
      </c>
      <c r="E609" s="2">
        <v>1</v>
      </c>
      <c r="F609" s="582"/>
      <c r="G609" s="585"/>
      <c r="H609" s="582"/>
      <c r="I609" s="585"/>
      <c r="J609" s="582">
        <v>319281</v>
      </c>
      <c r="K609" s="585">
        <v>331742</v>
      </c>
      <c r="L609" s="582">
        <v>58134</v>
      </c>
      <c r="M609" s="585">
        <v>60579</v>
      </c>
      <c r="N609" s="582">
        <v>348307.5</v>
      </c>
      <c r="O609" s="585">
        <v>354280.5</v>
      </c>
      <c r="P609" s="583">
        <f t="shared" si="162"/>
        <v>725722.5</v>
      </c>
      <c r="Q609" s="583">
        <f t="shared" si="163"/>
        <v>24190.75</v>
      </c>
      <c r="R609" s="584">
        <f t="shared" si="164"/>
        <v>746601.5</v>
      </c>
      <c r="S609" s="584">
        <f t="shared" si="165"/>
        <v>24886.716666666667</v>
      </c>
      <c r="T609" s="582">
        <v>17469</v>
      </c>
      <c r="U609" s="585">
        <v>19071</v>
      </c>
      <c r="V609" s="583">
        <f t="shared" si="166"/>
        <v>725722.5</v>
      </c>
      <c r="W609" s="584">
        <f t="shared" ref="W609:W671" si="179">IF(ISBLANK(U609),0,R609)</f>
        <v>746601.5</v>
      </c>
      <c r="X609" s="582"/>
      <c r="Y609" s="585"/>
      <c r="Z609" s="582"/>
      <c r="AA609" s="585"/>
      <c r="AB609" s="582"/>
      <c r="AC609" s="585"/>
      <c r="AD609" s="582"/>
      <c r="AE609" s="585"/>
      <c r="AF609" s="583">
        <f t="shared" si="167"/>
        <v>0</v>
      </c>
      <c r="AG609" s="583">
        <f t="shared" si="168"/>
        <v>0</v>
      </c>
      <c r="AH609" s="584">
        <f t="shared" si="169"/>
        <v>0</v>
      </c>
      <c r="AI609" s="584">
        <f t="shared" si="170"/>
        <v>0</v>
      </c>
      <c r="AJ609" s="582"/>
      <c r="AK609" s="585"/>
      <c r="AL609" s="583">
        <f t="shared" si="171"/>
        <v>0</v>
      </c>
      <c r="AM609" s="584">
        <f t="shared" si="172"/>
        <v>0</v>
      </c>
      <c r="AN609" s="582"/>
      <c r="AO609" s="585"/>
      <c r="AP609" s="582">
        <v>74728</v>
      </c>
      <c r="AQ609" s="585">
        <v>74542.5</v>
      </c>
      <c r="AR609" s="582">
        <v>16787</v>
      </c>
      <c r="AS609" s="585">
        <v>19111</v>
      </c>
      <c r="AT609" s="582">
        <v>76855.5</v>
      </c>
      <c r="AU609" s="585">
        <v>76641.5</v>
      </c>
      <c r="AV609" s="583">
        <f t="shared" si="173"/>
        <v>168370.5</v>
      </c>
      <c r="AW609" s="583">
        <f t="shared" si="174"/>
        <v>7015.4375</v>
      </c>
      <c r="AX609" s="584">
        <f t="shared" si="175"/>
        <v>170295</v>
      </c>
      <c r="AY609" s="584">
        <f t="shared" si="176"/>
        <v>7095.625</v>
      </c>
      <c r="AZ609" s="583">
        <f t="shared" si="177"/>
        <v>31206.1875</v>
      </c>
      <c r="BA609" s="584">
        <f t="shared" si="178"/>
        <v>31982.341666666667</v>
      </c>
    </row>
    <row r="610" spans="1:53" ht="14.5">
      <c r="A610" s="5" t="s">
        <v>674</v>
      </c>
      <c r="B610" s="4" t="s">
        <v>676</v>
      </c>
      <c r="C610" s="539"/>
      <c r="D610" s="2">
        <v>232982</v>
      </c>
      <c r="E610" s="2">
        <v>1</v>
      </c>
      <c r="F610" s="582"/>
      <c r="G610" s="585"/>
      <c r="H610" s="582"/>
      <c r="I610" s="585"/>
      <c r="J610" s="582">
        <v>216681</v>
      </c>
      <c r="K610" s="585">
        <v>214868</v>
      </c>
      <c r="L610" s="582">
        <v>51723</v>
      </c>
      <c r="M610" s="585">
        <v>50618</v>
      </c>
      <c r="N610" s="582">
        <v>238159</v>
      </c>
      <c r="O610" s="585">
        <v>235382</v>
      </c>
      <c r="P610" s="583">
        <f t="shared" si="162"/>
        <v>506563</v>
      </c>
      <c r="Q610" s="583">
        <f t="shared" si="163"/>
        <v>16885.433333333334</v>
      </c>
      <c r="R610" s="584">
        <f t="shared" si="164"/>
        <v>500868</v>
      </c>
      <c r="S610" s="584">
        <f t="shared" si="165"/>
        <v>16695.599999999999</v>
      </c>
      <c r="T610" s="582">
        <v>98</v>
      </c>
      <c r="U610" s="585">
        <v>57</v>
      </c>
      <c r="V610" s="583">
        <f t="shared" si="166"/>
        <v>506563</v>
      </c>
      <c r="W610" s="584">
        <f t="shared" si="179"/>
        <v>500868</v>
      </c>
      <c r="X610" s="582"/>
      <c r="Y610" s="585"/>
      <c r="Z610" s="582"/>
      <c r="AA610" s="585"/>
      <c r="AB610" s="582"/>
      <c r="AC610" s="585"/>
      <c r="AD610" s="582"/>
      <c r="AE610" s="585"/>
      <c r="AF610" s="583">
        <f t="shared" si="167"/>
        <v>0</v>
      </c>
      <c r="AG610" s="583">
        <f t="shared" si="168"/>
        <v>0</v>
      </c>
      <c r="AH610" s="584">
        <f t="shared" si="169"/>
        <v>0</v>
      </c>
      <c r="AI610" s="584">
        <f t="shared" si="170"/>
        <v>0</v>
      </c>
      <c r="AJ610" s="582"/>
      <c r="AK610" s="585"/>
      <c r="AL610" s="583">
        <f t="shared" si="171"/>
        <v>0</v>
      </c>
      <c r="AM610" s="584">
        <f t="shared" si="172"/>
        <v>0</v>
      </c>
      <c r="AN610" s="582"/>
      <c r="AO610" s="585"/>
      <c r="AP610" s="582">
        <v>26691</v>
      </c>
      <c r="AQ610" s="585">
        <v>25832</v>
      </c>
      <c r="AR610" s="582">
        <v>13980</v>
      </c>
      <c r="AS610" s="585">
        <v>13674</v>
      </c>
      <c r="AT610" s="582">
        <v>27716</v>
      </c>
      <c r="AU610" s="585">
        <v>26891</v>
      </c>
      <c r="AV610" s="583">
        <f t="shared" si="173"/>
        <v>68387</v>
      </c>
      <c r="AW610" s="583">
        <f t="shared" si="174"/>
        <v>2849.4583333333335</v>
      </c>
      <c r="AX610" s="584">
        <f t="shared" si="175"/>
        <v>66397</v>
      </c>
      <c r="AY610" s="584">
        <f t="shared" si="176"/>
        <v>2766.5416666666665</v>
      </c>
      <c r="AZ610" s="583">
        <f t="shared" si="177"/>
        <v>19734.891666666666</v>
      </c>
      <c r="BA610" s="584">
        <f t="shared" si="178"/>
        <v>19462.141666666666</v>
      </c>
    </row>
    <row r="611" spans="1:53">
      <c r="A611" s="5" t="s">
        <v>674</v>
      </c>
      <c r="B611" s="4" t="s">
        <v>677</v>
      </c>
      <c r="C611" s="3"/>
      <c r="D611" s="2">
        <v>234076</v>
      </c>
      <c r="E611" s="2">
        <v>1</v>
      </c>
      <c r="F611" s="582"/>
      <c r="G611" s="585"/>
      <c r="H611" s="582"/>
      <c r="I611" s="585"/>
      <c r="J611" s="582">
        <v>235505</v>
      </c>
      <c r="K611" s="585">
        <v>238170.5</v>
      </c>
      <c r="L611" s="582">
        <v>16538.5</v>
      </c>
      <c r="M611" s="585">
        <v>18999</v>
      </c>
      <c r="N611" s="582">
        <v>245340.5</v>
      </c>
      <c r="O611" s="585">
        <v>250197</v>
      </c>
      <c r="P611" s="583">
        <f t="shared" si="162"/>
        <v>497384</v>
      </c>
      <c r="Q611" s="583">
        <f t="shared" si="163"/>
        <v>16579.466666666667</v>
      </c>
      <c r="R611" s="584">
        <f t="shared" si="164"/>
        <v>507366.5</v>
      </c>
      <c r="S611" s="584">
        <f t="shared" si="165"/>
        <v>16912.216666666667</v>
      </c>
      <c r="T611" s="582">
        <v>0</v>
      </c>
      <c r="U611" s="585">
        <v>0</v>
      </c>
      <c r="V611" s="583">
        <f t="shared" si="166"/>
        <v>497384</v>
      </c>
      <c r="W611" s="584">
        <f t="shared" si="179"/>
        <v>507366.5</v>
      </c>
      <c r="X611" s="582"/>
      <c r="Y611" s="585"/>
      <c r="Z611" s="582"/>
      <c r="AA611" s="585"/>
      <c r="AB611" s="582"/>
      <c r="AC611" s="585"/>
      <c r="AD611" s="582"/>
      <c r="AE611" s="585"/>
      <c r="AF611" s="583">
        <f t="shared" si="167"/>
        <v>0</v>
      </c>
      <c r="AG611" s="583">
        <f t="shared" si="168"/>
        <v>0</v>
      </c>
      <c r="AH611" s="584">
        <f t="shared" si="169"/>
        <v>0</v>
      </c>
      <c r="AI611" s="584">
        <f t="shared" si="170"/>
        <v>0</v>
      </c>
      <c r="AJ611" s="582"/>
      <c r="AK611" s="585"/>
      <c r="AL611" s="583">
        <f t="shared" si="171"/>
        <v>0</v>
      </c>
      <c r="AM611" s="584">
        <f t="shared" si="172"/>
        <v>0</v>
      </c>
      <c r="AN611" s="582"/>
      <c r="AO611" s="585"/>
      <c r="AP611" s="582">
        <v>88271.5</v>
      </c>
      <c r="AQ611" s="585">
        <v>90742.5</v>
      </c>
      <c r="AR611" s="582">
        <v>15622</v>
      </c>
      <c r="AS611" s="585">
        <v>16369.5</v>
      </c>
      <c r="AT611" s="582">
        <v>90882.5</v>
      </c>
      <c r="AU611" s="585">
        <v>92840</v>
      </c>
      <c r="AV611" s="583">
        <f t="shared" si="173"/>
        <v>194776</v>
      </c>
      <c r="AW611" s="583">
        <f t="shared" si="174"/>
        <v>8115.666666666667</v>
      </c>
      <c r="AX611" s="584">
        <f t="shared" si="175"/>
        <v>199952</v>
      </c>
      <c r="AY611" s="584">
        <f t="shared" si="176"/>
        <v>8331.3333333333339</v>
      </c>
      <c r="AZ611" s="583">
        <f t="shared" si="177"/>
        <v>24695.133333333335</v>
      </c>
      <c r="BA611" s="584">
        <f t="shared" si="178"/>
        <v>25243.550000000003</v>
      </c>
    </row>
    <row r="612" spans="1:53">
      <c r="A612" s="5" t="s">
        <v>674</v>
      </c>
      <c r="B612" s="4" t="s">
        <v>678</v>
      </c>
      <c r="C612" s="1"/>
      <c r="D612" s="2">
        <v>234030</v>
      </c>
      <c r="E612" s="2">
        <v>1</v>
      </c>
      <c r="F612" s="582"/>
      <c r="G612" s="585"/>
      <c r="H612" s="582"/>
      <c r="I612" s="585"/>
      <c r="J612" s="582">
        <v>290194</v>
      </c>
      <c r="K612" s="585">
        <v>287895.5</v>
      </c>
      <c r="L612" s="582">
        <v>36343.5</v>
      </c>
      <c r="M612" s="585">
        <v>33632.5</v>
      </c>
      <c r="N612" s="582">
        <v>318408</v>
      </c>
      <c r="O612" s="585">
        <v>310358</v>
      </c>
      <c r="P612" s="583">
        <f t="shared" si="162"/>
        <v>644945.5</v>
      </c>
      <c r="Q612" s="583">
        <f t="shared" si="163"/>
        <v>21498.183333333334</v>
      </c>
      <c r="R612" s="584">
        <f t="shared" si="164"/>
        <v>631886</v>
      </c>
      <c r="S612" s="584">
        <f t="shared" si="165"/>
        <v>21062.866666666665</v>
      </c>
      <c r="T612" s="582">
        <v>8116</v>
      </c>
      <c r="U612" s="585">
        <v>7937</v>
      </c>
      <c r="V612" s="583">
        <f t="shared" si="166"/>
        <v>644945.5</v>
      </c>
      <c r="W612" s="584">
        <f t="shared" si="179"/>
        <v>631886</v>
      </c>
      <c r="X612" s="582"/>
      <c r="Y612" s="585"/>
      <c r="Z612" s="582"/>
      <c r="AA612" s="585"/>
      <c r="AB612" s="582"/>
      <c r="AC612" s="585"/>
      <c r="AD612" s="582"/>
      <c r="AE612" s="585"/>
      <c r="AF612" s="583">
        <f t="shared" si="167"/>
        <v>0</v>
      </c>
      <c r="AG612" s="583">
        <f t="shared" si="168"/>
        <v>0</v>
      </c>
      <c r="AH612" s="584">
        <f t="shared" si="169"/>
        <v>0</v>
      </c>
      <c r="AI612" s="584">
        <f t="shared" si="170"/>
        <v>0</v>
      </c>
      <c r="AJ612" s="582"/>
      <c r="AK612" s="585"/>
      <c r="AL612" s="583">
        <f t="shared" si="171"/>
        <v>0</v>
      </c>
      <c r="AM612" s="584">
        <f t="shared" si="172"/>
        <v>0</v>
      </c>
      <c r="AN612" s="582"/>
      <c r="AO612" s="585"/>
      <c r="AP612" s="582">
        <v>58845</v>
      </c>
      <c r="AQ612" s="585">
        <v>59799</v>
      </c>
      <c r="AR612" s="582">
        <v>12641</v>
      </c>
      <c r="AS612" s="585">
        <v>12727</v>
      </c>
      <c r="AT612" s="582">
        <v>61559.5</v>
      </c>
      <c r="AU612" s="585">
        <v>59779</v>
      </c>
      <c r="AV612" s="583">
        <f t="shared" si="173"/>
        <v>133045.5</v>
      </c>
      <c r="AW612" s="583">
        <f t="shared" si="174"/>
        <v>5543.5625</v>
      </c>
      <c r="AX612" s="584">
        <f t="shared" si="175"/>
        <v>132305</v>
      </c>
      <c r="AY612" s="584">
        <f t="shared" si="176"/>
        <v>5512.708333333333</v>
      </c>
      <c r="AZ612" s="583">
        <f t="shared" si="177"/>
        <v>27041.745833333334</v>
      </c>
      <c r="BA612" s="584">
        <f t="shared" si="178"/>
        <v>26575.574999999997</v>
      </c>
    </row>
    <row r="613" spans="1:53">
      <c r="A613" s="5" t="s">
        <v>674</v>
      </c>
      <c r="B613" s="4" t="s">
        <v>679</v>
      </c>
      <c r="C613" s="3"/>
      <c r="D613" s="2">
        <v>233921</v>
      </c>
      <c r="E613" s="2">
        <v>1</v>
      </c>
      <c r="F613" s="582"/>
      <c r="G613" s="585"/>
      <c r="H613" s="582"/>
      <c r="I613" s="585"/>
      <c r="J613" s="582">
        <v>401436</v>
      </c>
      <c r="K613" s="585">
        <v>411483</v>
      </c>
      <c r="L613" s="582">
        <v>27237</v>
      </c>
      <c r="M613" s="585">
        <v>28196</v>
      </c>
      <c r="N613" s="582">
        <v>426031</v>
      </c>
      <c r="O613" s="585">
        <v>448243</v>
      </c>
      <c r="P613" s="583">
        <f t="shared" si="162"/>
        <v>854704</v>
      </c>
      <c r="Q613" s="583">
        <f t="shared" si="163"/>
        <v>28490.133333333335</v>
      </c>
      <c r="R613" s="584">
        <f t="shared" si="164"/>
        <v>887922</v>
      </c>
      <c r="S613" s="584">
        <f t="shared" si="165"/>
        <v>29597.4</v>
      </c>
      <c r="T613" s="582">
        <v>0</v>
      </c>
      <c r="U613" s="585">
        <v>0</v>
      </c>
      <c r="V613" s="583">
        <f t="shared" si="166"/>
        <v>854704</v>
      </c>
      <c r="W613" s="584">
        <f t="shared" si="179"/>
        <v>887922</v>
      </c>
      <c r="X613" s="582"/>
      <c r="Y613" s="585"/>
      <c r="Z613" s="582"/>
      <c r="AA613" s="585"/>
      <c r="AB613" s="582"/>
      <c r="AC613" s="585"/>
      <c r="AD613" s="582"/>
      <c r="AE613" s="585"/>
      <c r="AF613" s="583">
        <f t="shared" si="167"/>
        <v>0</v>
      </c>
      <c r="AG613" s="583">
        <f t="shared" si="168"/>
        <v>0</v>
      </c>
      <c r="AH613" s="584">
        <f t="shared" si="169"/>
        <v>0</v>
      </c>
      <c r="AI613" s="584">
        <f t="shared" si="170"/>
        <v>0</v>
      </c>
      <c r="AJ613" s="582"/>
      <c r="AK613" s="585"/>
      <c r="AL613" s="583">
        <f t="shared" si="171"/>
        <v>0</v>
      </c>
      <c r="AM613" s="584">
        <f t="shared" si="172"/>
        <v>0</v>
      </c>
      <c r="AN613" s="582"/>
      <c r="AO613" s="585"/>
      <c r="AP613" s="582">
        <v>67236</v>
      </c>
      <c r="AQ613" s="585">
        <v>66086</v>
      </c>
      <c r="AR613" s="582">
        <v>6896</v>
      </c>
      <c r="AS613" s="585">
        <v>7015</v>
      </c>
      <c r="AT613" s="582">
        <v>68286</v>
      </c>
      <c r="AU613" s="585">
        <v>69569</v>
      </c>
      <c r="AV613" s="583">
        <f t="shared" si="173"/>
        <v>142418</v>
      </c>
      <c r="AW613" s="583">
        <f t="shared" si="174"/>
        <v>5934.083333333333</v>
      </c>
      <c r="AX613" s="584">
        <f t="shared" si="175"/>
        <v>142670</v>
      </c>
      <c r="AY613" s="584">
        <f t="shared" si="176"/>
        <v>5944.583333333333</v>
      </c>
      <c r="AZ613" s="583">
        <f t="shared" si="177"/>
        <v>34424.216666666667</v>
      </c>
      <c r="BA613" s="584">
        <f t="shared" si="178"/>
        <v>35541.983333333337</v>
      </c>
    </row>
    <row r="614" spans="1:53">
      <c r="A614" s="5" t="s">
        <v>674</v>
      </c>
      <c r="B614" s="4" t="s">
        <v>680</v>
      </c>
      <c r="C614" s="3"/>
      <c r="D614" s="2">
        <v>231624</v>
      </c>
      <c r="E614" s="2">
        <v>2</v>
      </c>
      <c r="F614" s="582"/>
      <c r="G614" s="585"/>
      <c r="H614" s="582"/>
      <c r="I614" s="585"/>
      <c r="J614" s="582">
        <v>86380</v>
      </c>
      <c r="K614" s="585">
        <v>86129.5</v>
      </c>
      <c r="L614" s="582">
        <v>8915</v>
      </c>
      <c r="M614" s="585">
        <v>8416</v>
      </c>
      <c r="N614" s="582">
        <v>91145.5</v>
      </c>
      <c r="O614" s="585">
        <v>89598</v>
      </c>
      <c r="P614" s="583">
        <f t="shared" si="162"/>
        <v>186440.5</v>
      </c>
      <c r="Q614" s="583">
        <f t="shared" si="163"/>
        <v>6214.6833333333334</v>
      </c>
      <c r="R614" s="584">
        <f t="shared" si="164"/>
        <v>184143.5</v>
      </c>
      <c r="S614" s="584">
        <f t="shared" si="165"/>
        <v>6138.1166666666668</v>
      </c>
      <c r="T614" s="582">
        <v>0</v>
      </c>
      <c r="U614" s="585">
        <v>0</v>
      </c>
      <c r="V614" s="583">
        <f t="shared" si="166"/>
        <v>186440.5</v>
      </c>
      <c r="W614" s="584">
        <f t="shared" si="179"/>
        <v>184143.5</v>
      </c>
      <c r="X614" s="582"/>
      <c r="Y614" s="585"/>
      <c r="Z614" s="582"/>
      <c r="AA614" s="585"/>
      <c r="AB614" s="582"/>
      <c r="AC614" s="585"/>
      <c r="AD614" s="582"/>
      <c r="AE614" s="585"/>
      <c r="AF614" s="583">
        <f t="shared" si="167"/>
        <v>0</v>
      </c>
      <c r="AG614" s="583">
        <f t="shared" si="168"/>
        <v>0</v>
      </c>
      <c r="AH614" s="584">
        <f t="shared" si="169"/>
        <v>0</v>
      </c>
      <c r="AI614" s="584">
        <f t="shared" si="170"/>
        <v>0</v>
      </c>
      <c r="AJ614" s="582"/>
      <c r="AK614" s="585"/>
      <c r="AL614" s="583">
        <f t="shared" si="171"/>
        <v>0</v>
      </c>
      <c r="AM614" s="584">
        <f t="shared" si="172"/>
        <v>0</v>
      </c>
      <c r="AN614" s="582"/>
      <c r="AO614" s="585"/>
      <c r="AP614" s="582">
        <v>27683</v>
      </c>
      <c r="AQ614" s="585">
        <v>26382</v>
      </c>
      <c r="AR614" s="582">
        <v>6164.5</v>
      </c>
      <c r="AS614" s="585">
        <v>5930.5</v>
      </c>
      <c r="AT614" s="582">
        <v>27465</v>
      </c>
      <c r="AU614" s="585">
        <v>27570.5</v>
      </c>
      <c r="AV614" s="583">
        <f t="shared" si="173"/>
        <v>61312.5</v>
      </c>
      <c r="AW614" s="583">
        <f t="shared" si="174"/>
        <v>2554.6875</v>
      </c>
      <c r="AX614" s="584">
        <f t="shared" si="175"/>
        <v>59883</v>
      </c>
      <c r="AY614" s="584">
        <f t="shared" si="176"/>
        <v>2495.125</v>
      </c>
      <c r="AZ614" s="583">
        <f t="shared" si="177"/>
        <v>8769.3708333333343</v>
      </c>
      <c r="BA614" s="584">
        <f t="shared" si="178"/>
        <v>8633.2416666666668</v>
      </c>
    </row>
    <row r="615" spans="1:53" ht="14.5">
      <c r="A615" s="5" t="s">
        <v>674</v>
      </c>
      <c r="B615" s="4" t="s">
        <v>681</v>
      </c>
      <c r="C615" s="539"/>
      <c r="D615" s="2">
        <v>232423</v>
      </c>
      <c r="E615" s="2">
        <v>3</v>
      </c>
      <c r="F615" s="582"/>
      <c r="G615" s="585"/>
      <c r="H615" s="582"/>
      <c r="I615" s="585"/>
      <c r="J615" s="582">
        <v>270828</v>
      </c>
      <c r="K615" s="585">
        <v>270251</v>
      </c>
      <c r="L615" s="582">
        <v>31525</v>
      </c>
      <c r="M615" s="585">
        <v>31946</v>
      </c>
      <c r="N615" s="582">
        <v>290183</v>
      </c>
      <c r="O615" s="585">
        <v>289383</v>
      </c>
      <c r="P615" s="583">
        <f t="shared" si="162"/>
        <v>592536</v>
      </c>
      <c r="Q615" s="583">
        <f t="shared" si="163"/>
        <v>19751.2</v>
      </c>
      <c r="R615" s="584">
        <f t="shared" si="164"/>
        <v>591580</v>
      </c>
      <c r="S615" s="584">
        <f t="shared" si="165"/>
        <v>19719.333333333332</v>
      </c>
      <c r="T615" s="582">
        <v>4949</v>
      </c>
      <c r="U615" s="585">
        <v>4797</v>
      </c>
      <c r="V615" s="583">
        <f t="shared" si="166"/>
        <v>592536</v>
      </c>
      <c r="W615" s="584">
        <f t="shared" si="179"/>
        <v>591580</v>
      </c>
      <c r="X615" s="582"/>
      <c r="Y615" s="585"/>
      <c r="Z615" s="582"/>
      <c r="AA615" s="585"/>
      <c r="AB615" s="582"/>
      <c r="AC615" s="585"/>
      <c r="AD615" s="582"/>
      <c r="AE615" s="585"/>
      <c r="AF615" s="583">
        <f t="shared" si="167"/>
        <v>0</v>
      </c>
      <c r="AG615" s="583">
        <f t="shared" si="168"/>
        <v>0</v>
      </c>
      <c r="AH615" s="584">
        <f t="shared" si="169"/>
        <v>0</v>
      </c>
      <c r="AI615" s="584">
        <f t="shared" si="170"/>
        <v>0</v>
      </c>
      <c r="AJ615" s="582"/>
      <c r="AK615" s="585"/>
      <c r="AL615" s="583">
        <f t="shared" si="171"/>
        <v>0</v>
      </c>
      <c r="AM615" s="584">
        <f t="shared" si="172"/>
        <v>0</v>
      </c>
      <c r="AN615" s="582"/>
      <c r="AO615" s="585"/>
      <c r="AP615" s="582">
        <v>13532</v>
      </c>
      <c r="AQ615" s="585">
        <v>13513</v>
      </c>
      <c r="AR615" s="582">
        <v>7348</v>
      </c>
      <c r="AS615" s="585">
        <v>7215</v>
      </c>
      <c r="AT615" s="582">
        <v>14953</v>
      </c>
      <c r="AU615" s="585">
        <v>14933</v>
      </c>
      <c r="AV615" s="583">
        <f t="shared" si="173"/>
        <v>35833</v>
      </c>
      <c r="AW615" s="583">
        <f t="shared" si="174"/>
        <v>1493.0416666666667</v>
      </c>
      <c r="AX615" s="584">
        <f t="shared" si="175"/>
        <v>35661</v>
      </c>
      <c r="AY615" s="584">
        <f t="shared" si="176"/>
        <v>1485.875</v>
      </c>
      <c r="AZ615" s="583">
        <f t="shared" si="177"/>
        <v>21244.241666666669</v>
      </c>
      <c r="BA615" s="584">
        <f t="shared" si="178"/>
        <v>21205.208333333332</v>
      </c>
    </row>
    <row r="616" spans="1:53" ht="14.5">
      <c r="A616" s="5" t="s">
        <v>674</v>
      </c>
      <c r="B616" s="4" t="s">
        <v>682</v>
      </c>
      <c r="C616" s="539" t="s">
        <v>930</v>
      </c>
      <c r="D616" s="2">
        <v>232566</v>
      </c>
      <c r="E616" s="2">
        <v>3</v>
      </c>
      <c r="F616" s="582"/>
      <c r="G616" s="585"/>
      <c r="H616" s="582"/>
      <c r="I616" s="585"/>
      <c r="J616" s="582">
        <v>57425</v>
      </c>
      <c r="K616" s="585">
        <v>54426</v>
      </c>
      <c r="L616" s="582">
        <v>9097</v>
      </c>
      <c r="M616" s="585">
        <v>8436</v>
      </c>
      <c r="N616" s="582">
        <v>57618</v>
      </c>
      <c r="O616" s="585">
        <v>52396</v>
      </c>
      <c r="P616" s="583">
        <f t="shared" si="162"/>
        <v>124140</v>
      </c>
      <c r="Q616" s="583">
        <f t="shared" si="163"/>
        <v>4138</v>
      </c>
      <c r="R616" s="584">
        <f t="shared" si="164"/>
        <v>115258</v>
      </c>
      <c r="S616" s="584">
        <f t="shared" si="165"/>
        <v>3841.9333333333334</v>
      </c>
      <c r="T616" s="582">
        <v>2785</v>
      </c>
      <c r="U616" s="585">
        <v>3692</v>
      </c>
      <c r="V616" s="583">
        <f t="shared" si="166"/>
        <v>124140</v>
      </c>
      <c r="W616" s="584">
        <f t="shared" si="179"/>
        <v>115258</v>
      </c>
      <c r="X616" s="582"/>
      <c r="Y616" s="585"/>
      <c r="Z616" s="582"/>
      <c r="AA616" s="585"/>
      <c r="AB616" s="582"/>
      <c r="AC616" s="585"/>
      <c r="AD616" s="582"/>
      <c r="AE616" s="585"/>
      <c r="AF616" s="583">
        <f t="shared" si="167"/>
        <v>0</v>
      </c>
      <c r="AG616" s="583">
        <f t="shared" si="168"/>
        <v>0</v>
      </c>
      <c r="AH616" s="584">
        <f t="shared" si="169"/>
        <v>0</v>
      </c>
      <c r="AI616" s="584">
        <f t="shared" si="170"/>
        <v>0</v>
      </c>
      <c r="AJ616" s="582"/>
      <c r="AK616" s="585"/>
      <c r="AL616" s="583">
        <f t="shared" si="171"/>
        <v>0</v>
      </c>
      <c r="AM616" s="584">
        <f t="shared" si="172"/>
        <v>0</v>
      </c>
      <c r="AN616" s="582"/>
      <c r="AO616" s="585"/>
      <c r="AP616" s="582">
        <v>3571</v>
      </c>
      <c r="AQ616" s="585">
        <v>3590</v>
      </c>
      <c r="AR616" s="582">
        <v>3504</v>
      </c>
      <c r="AS616" s="585">
        <v>3466</v>
      </c>
      <c r="AT616" s="582">
        <v>3592</v>
      </c>
      <c r="AU616" s="585">
        <v>3938</v>
      </c>
      <c r="AV616" s="583">
        <f t="shared" si="173"/>
        <v>10667</v>
      </c>
      <c r="AW616" s="583">
        <f t="shared" si="174"/>
        <v>444.45833333333331</v>
      </c>
      <c r="AX616" s="584">
        <f t="shared" si="175"/>
        <v>10994</v>
      </c>
      <c r="AY616" s="584">
        <f t="shared" si="176"/>
        <v>458.08333333333331</v>
      </c>
      <c r="AZ616" s="583">
        <f t="shared" si="177"/>
        <v>4582.458333333333</v>
      </c>
      <c r="BA616" s="584">
        <f t="shared" si="178"/>
        <v>4300.0166666666664</v>
      </c>
    </row>
    <row r="617" spans="1:53" ht="14.5">
      <c r="A617" s="5" t="s">
        <v>674</v>
      </c>
      <c r="B617" s="4" t="s">
        <v>683</v>
      </c>
      <c r="C617" s="539" t="s">
        <v>916</v>
      </c>
      <c r="D617" s="2">
        <v>232937</v>
      </c>
      <c r="E617" s="2">
        <v>3</v>
      </c>
      <c r="F617" s="582"/>
      <c r="G617" s="585"/>
      <c r="H617" s="582"/>
      <c r="I617" s="585"/>
      <c r="J617" s="582">
        <v>57119</v>
      </c>
      <c r="K617" s="585">
        <v>59619</v>
      </c>
      <c r="L617" s="582">
        <v>5505</v>
      </c>
      <c r="M617" s="585">
        <v>5296</v>
      </c>
      <c r="N617" s="582">
        <v>65258</v>
      </c>
      <c r="O617" s="585">
        <v>72583</v>
      </c>
      <c r="P617" s="583">
        <f t="shared" si="162"/>
        <v>127882</v>
      </c>
      <c r="Q617" s="583">
        <f t="shared" si="163"/>
        <v>4262.7333333333336</v>
      </c>
      <c r="R617" s="584">
        <f t="shared" si="164"/>
        <v>137498</v>
      </c>
      <c r="S617" s="584">
        <f t="shared" si="165"/>
        <v>4583.2666666666664</v>
      </c>
      <c r="T617" s="582">
        <v>48</v>
      </c>
      <c r="U617" s="585">
        <v>114</v>
      </c>
      <c r="V617" s="583">
        <f t="shared" si="166"/>
        <v>127882</v>
      </c>
      <c r="W617" s="584">
        <f t="shared" si="179"/>
        <v>137498</v>
      </c>
      <c r="X617" s="582"/>
      <c r="Y617" s="585"/>
      <c r="Z617" s="582"/>
      <c r="AA617" s="585"/>
      <c r="AB617" s="582"/>
      <c r="AC617" s="585"/>
      <c r="AD617" s="582"/>
      <c r="AE617" s="585"/>
      <c r="AF617" s="583">
        <f t="shared" si="167"/>
        <v>0</v>
      </c>
      <c r="AG617" s="583">
        <f t="shared" si="168"/>
        <v>0</v>
      </c>
      <c r="AH617" s="584">
        <f t="shared" si="169"/>
        <v>0</v>
      </c>
      <c r="AI617" s="584">
        <f t="shared" si="170"/>
        <v>0</v>
      </c>
      <c r="AJ617" s="582"/>
      <c r="AK617" s="585"/>
      <c r="AL617" s="583">
        <f t="shared" si="171"/>
        <v>0</v>
      </c>
      <c r="AM617" s="584">
        <f t="shared" si="172"/>
        <v>0</v>
      </c>
      <c r="AN617" s="582"/>
      <c r="AO617" s="585"/>
      <c r="AP617" s="582">
        <v>5243</v>
      </c>
      <c r="AQ617" s="585">
        <v>4590</v>
      </c>
      <c r="AR617" s="582">
        <v>609</v>
      </c>
      <c r="AS617" s="585">
        <v>391</v>
      </c>
      <c r="AT617" s="582">
        <v>5031</v>
      </c>
      <c r="AU617" s="585">
        <v>4563</v>
      </c>
      <c r="AV617" s="583">
        <f t="shared" si="173"/>
        <v>10883</v>
      </c>
      <c r="AW617" s="583">
        <f t="shared" si="174"/>
        <v>453.45833333333331</v>
      </c>
      <c r="AX617" s="584">
        <f t="shared" si="175"/>
        <v>9544</v>
      </c>
      <c r="AY617" s="584">
        <f t="shared" si="176"/>
        <v>397.66666666666669</v>
      </c>
      <c r="AZ617" s="583">
        <f t="shared" si="177"/>
        <v>4716.1916666666666</v>
      </c>
      <c r="BA617" s="584">
        <f t="shared" si="178"/>
        <v>4980.9333333333334</v>
      </c>
    </row>
    <row r="618" spans="1:53" ht="14.5">
      <c r="A618" s="5" t="s">
        <v>674</v>
      </c>
      <c r="B618" s="4" t="s">
        <v>684</v>
      </c>
      <c r="C618" s="539"/>
      <c r="D618" s="2">
        <v>233277</v>
      </c>
      <c r="E618" s="2">
        <v>3</v>
      </c>
      <c r="F618" s="582"/>
      <c r="G618" s="585"/>
      <c r="H618" s="582"/>
      <c r="I618" s="585"/>
      <c r="J618" s="582">
        <v>111758</v>
      </c>
      <c r="K618" s="585">
        <v>107405.7</v>
      </c>
      <c r="L618" s="582">
        <v>8908</v>
      </c>
      <c r="M618" s="585">
        <v>8244</v>
      </c>
      <c r="N618" s="582">
        <v>117088.7</v>
      </c>
      <c r="O618" s="585">
        <v>117039</v>
      </c>
      <c r="P618" s="583">
        <f t="shared" si="162"/>
        <v>237754.7</v>
      </c>
      <c r="Q618" s="583">
        <f t="shared" si="163"/>
        <v>7925.1566666666668</v>
      </c>
      <c r="R618" s="584">
        <f t="shared" si="164"/>
        <v>232688.7</v>
      </c>
      <c r="S618" s="584">
        <f t="shared" si="165"/>
        <v>7756.29</v>
      </c>
      <c r="T618" s="582">
        <v>0</v>
      </c>
      <c r="U618" s="585">
        <v>190</v>
      </c>
      <c r="V618" s="583">
        <f t="shared" si="166"/>
        <v>237754.7</v>
      </c>
      <c r="W618" s="584">
        <f t="shared" si="179"/>
        <v>232688.7</v>
      </c>
      <c r="X618" s="582"/>
      <c r="Y618" s="585"/>
      <c r="Z618" s="582"/>
      <c r="AA618" s="585"/>
      <c r="AB618" s="582"/>
      <c r="AC618" s="585"/>
      <c r="AD618" s="582"/>
      <c r="AE618" s="585"/>
      <c r="AF618" s="583">
        <f t="shared" si="167"/>
        <v>0</v>
      </c>
      <c r="AG618" s="583">
        <f t="shared" si="168"/>
        <v>0</v>
      </c>
      <c r="AH618" s="584">
        <f t="shared" si="169"/>
        <v>0</v>
      </c>
      <c r="AI618" s="584">
        <f t="shared" si="170"/>
        <v>0</v>
      </c>
      <c r="AJ618" s="582"/>
      <c r="AK618" s="585"/>
      <c r="AL618" s="583">
        <f t="shared" si="171"/>
        <v>0</v>
      </c>
      <c r="AM618" s="584">
        <f t="shared" si="172"/>
        <v>0</v>
      </c>
      <c r="AN618" s="582"/>
      <c r="AO618" s="585"/>
      <c r="AP618" s="582">
        <v>8215</v>
      </c>
      <c r="AQ618" s="585">
        <v>8939</v>
      </c>
      <c r="AR618" s="582">
        <v>4674</v>
      </c>
      <c r="AS618" s="585">
        <v>5838</v>
      </c>
      <c r="AT618" s="582">
        <v>8882</v>
      </c>
      <c r="AU618" s="585">
        <v>15400</v>
      </c>
      <c r="AV618" s="583">
        <f t="shared" si="173"/>
        <v>21771</v>
      </c>
      <c r="AW618" s="583">
        <f t="shared" si="174"/>
        <v>907.125</v>
      </c>
      <c r="AX618" s="584">
        <f t="shared" si="175"/>
        <v>30177</v>
      </c>
      <c r="AY618" s="584">
        <f t="shared" si="176"/>
        <v>1257.375</v>
      </c>
      <c r="AZ618" s="583">
        <f t="shared" si="177"/>
        <v>8832.2816666666658</v>
      </c>
      <c r="BA618" s="584">
        <f t="shared" si="178"/>
        <v>9013.6650000000009</v>
      </c>
    </row>
    <row r="619" spans="1:53" ht="14.5">
      <c r="A619" s="5" t="s">
        <v>674</v>
      </c>
      <c r="B619" s="4" t="s">
        <v>685</v>
      </c>
      <c r="C619" s="539" t="s">
        <v>930</v>
      </c>
      <c r="D619" s="2">
        <v>232681</v>
      </c>
      <c r="E619" s="2">
        <v>3</v>
      </c>
      <c r="F619" s="582"/>
      <c r="G619" s="585"/>
      <c r="H619" s="582"/>
      <c r="I619" s="585"/>
      <c r="J619" s="582">
        <v>56838</v>
      </c>
      <c r="K619" s="585">
        <v>55598</v>
      </c>
      <c r="L619" s="582">
        <v>5056</v>
      </c>
      <c r="M619" s="585">
        <v>4385.2</v>
      </c>
      <c r="N619" s="582">
        <v>60948</v>
      </c>
      <c r="O619" s="585">
        <v>57520</v>
      </c>
      <c r="P619" s="583">
        <f t="shared" ref="P619:P671" si="180">SUM(H619,J619,L619,N619)</f>
        <v>122842</v>
      </c>
      <c r="Q619" s="583">
        <f t="shared" ref="Q619:Q671" si="181">+P619/30</f>
        <v>4094.7333333333331</v>
      </c>
      <c r="R619" s="584">
        <f t="shared" ref="R619:R671" si="182">SUM(I619,K619,M619,O619)</f>
        <v>117503.2</v>
      </c>
      <c r="S619" s="584">
        <f t="shared" ref="S619:S671" si="183">+R619/30</f>
        <v>3916.7733333333331</v>
      </c>
      <c r="T619" s="582">
        <v>36</v>
      </c>
      <c r="U619" s="585">
        <v>41</v>
      </c>
      <c r="V619" s="583">
        <f t="shared" ref="V619:V671" si="184">IF(ISBLANK(T619),0,P619)</f>
        <v>122842</v>
      </c>
      <c r="W619" s="584">
        <f t="shared" si="179"/>
        <v>117503.2</v>
      </c>
      <c r="X619" s="582"/>
      <c r="Y619" s="585"/>
      <c r="Z619" s="582"/>
      <c r="AA619" s="585"/>
      <c r="AB619" s="582"/>
      <c r="AC619" s="585"/>
      <c r="AD619" s="582"/>
      <c r="AE619" s="585"/>
      <c r="AF619" s="583">
        <f t="shared" ref="AF619:AF671" si="185">SUM(X619,Z619,AB619,AD619)</f>
        <v>0</v>
      </c>
      <c r="AG619" s="583">
        <f t="shared" ref="AG619:AG671" si="186">+AF619/900</f>
        <v>0</v>
      </c>
      <c r="AH619" s="584">
        <f t="shared" ref="AH619:AH671" si="187">SUM(Y619,AA619,AC619,AE619)</f>
        <v>0</v>
      </c>
      <c r="AI619" s="584">
        <f t="shared" ref="AI619:AI671" si="188">+AH619/900</f>
        <v>0</v>
      </c>
      <c r="AJ619" s="582"/>
      <c r="AK619" s="585"/>
      <c r="AL619" s="583">
        <f t="shared" si="171"/>
        <v>0</v>
      </c>
      <c r="AM619" s="584">
        <f t="shared" si="172"/>
        <v>0</v>
      </c>
      <c r="AN619" s="582"/>
      <c r="AO619" s="585"/>
      <c r="AP619" s="582">
        <v>2239.4</v>
      </c>
      <c r="AQ619" s="585">
        <v>1970</v>
      </c>
      <c r="AR619" s="582">
        <v>806</v>
      </c>
      <c r="AS619" s="585">
        <v>775</v>
      </c>
      <c r="AT619" s="582">
        <v>2377</v>
      </c>
      <c r="AU619" s="585">
        <v>2408</v>
      </c>
      <c r="AV619" s="583">
        <f t="shared" si="173"/>
        <v>5422.4</v>
      </c>
      <c r="AW619" s="583">
        <f t="shared" si="174"/>
        <v>225.93333333333331</v>
      </c>
      <c r="AX619" s="584">
        <f t="shared" si="175"/>
        <v>5153</v>
      </c>
      <c r="AY619" s="584">
        <f t="shared" si="176"/>
        <v>214.70833333333334</v>
      </c>
      <c r="AZ619" s="583">
        <f t="shared" si="177"/>
        <v>4320.6666666666661</v>
      </c>
      <c r="BA619" s="584">
        <f t="shared" si="178"/>
        <v>4131.4816666666666</v>
      </c>
    </row>
    <row r="620" spans="1:53" ht="14.5">
      <c r="A620" s="5" t="s">
        <v>674</v>
      </c>
      <c r="B620" s="4" t="s">
        <v>686</v>
      </c>
      <c r="C620" s="539"/>
      <c r="D620" s="2">
        <v>234155</v>
      </c>
      <c r="E620" s="2">
        <v>3</v>
      </c>
      <c r="F620" s="582"/>
      <c r="G620" s="585"/>
      <c r="H620" s="582"/>
      <c r="I620" s="585"/>
      <c r="J620" s="582">
        <v>57910</v>
      </c>
      <c r="K620" s="585">
        <v>55400</v>
      </c>
      <c r="L620" s="582">
        <v>4317</v>
      </c>
      <c r="M620" s="585">
        <v>3597</v>
      </c>
      <c r="N620" s="582">
        <v>60484</v>
      </c>
      <c r="O620" s="585">
        <v>61113</v>
      </c>
      <c r="P620" s="583">
        <f t="shared" si="180"/>
        <v>122711</v>
      </c>
      <c r="Q620" s="583">
        <f t="shared" si="181"/>
        <v>4090.3666666666668</v>
      </c>
      <c r="R620" s="584">
        <f t="shared" si="182"/>
        <v>120110</v>
      </c>
      <c r="S620" s="584">
        <f t="shared" si="183"/>
        <v>4003.6666666666665</v>
      </c>
      <c r="T620" s="582">
        <v>0</v>
      </c>
      <c r="U620" s="585">
        <v>0</v>
      </c>
      <c r="V620" s="583">
        <f t="shared" si="184"/>
        <v>122711</v>
      </c>
      <c r="W620" s="584">
        <f t="shared" si="179"/>
        <v>120110</v>
      </c>
      <c r="X620" s="582"/>
      <c r="Y620" s="585"/>
      <c r="Z620" s="582"/>
      <c r="AA620" s="585"/>
      <c r="AB620" s="582"/>
      <c r="AC620" s="585"/>
      <c r="AD620" s="582"/>
      <c r="AE620" s="585"/>
      <c r="AF620" s="583">
        <f t="shared" si="185"/>
        <v>0</v>
      </c>
      <c r="AG620" s="583">
        <f t="shared" si="186"/>
        <v>0</v>
      </c>
      <c r="AH620" s="584">
        <f t="shared" si="187"/>
        <v>0</v>
      </c>
      <c r="AI620" s="584">
        <f t="shared" si="188"/>
        <v>0</v>
      </c>
      <c r="AJ620" s="582"/>
      <c r="AK620" s="585"/>
      <c r="AL620" s="583">
        <f t="shared" si="171"/>
        <v>0</v>
      </c>
      <c r="AM620" s="584">
        <f t="shared" si="172"/>
        <v>0</v>
      </c>
      <c r="AN620" s="582"/>
      <c r="AO620" s="585"/>
      <c r="AP620" s="582">
        <v>2753</v>
      </c>
      <c r="AQ620" s="585">
        <v>2738</v>
      </c>
      <c r="AR620" s="582">
        <v>343</v>
      </c>
      <c r="AS620" s="585">
        <v>300</v>
      </c>
      <c r="AT620" s="582">
        <v>3027</v>
      </c>
      <c r="AU620" s="585">
        <v>2802</v>
      </c>
      <c r="AV620" s="583">
        <f t="shared" si="173"/>
        <v>6123</v>
      </c>
      <c r="AW620" s="583">
        <f t="shared" si="174"/>
        <v>255.125</v>
      </c>
      <c r="AX620" s="584">
        <f t="shared" si="175"/>
        <v>5840</v>
      </c>
      <c r="AY620" s="584">
        <f t="shared" si="176"/>
        <v>243.33333333333334</v>
      </c>
      <c r="AZ620" s="583">
        <f t="shared" si="177"/>
        <v>4345.4916666666668</v>
      </c>
      <c r="BA620" s="584">
        <f t="shared" si="178"/>
        <v>4247</v>
      </c>
    </row>
    <row r="621" spans="1:53" ht="14.5">
      <c r="A621" s="5" t="s">
        <v>674</v>
      </c>
      <c r="B621" s="4" t="s">
        <v>687</v>
      </c>
      <c r="C621" s="539"/>
      <c r="D621" s="2">
        <v>231712</v>
      </c>
      <c r="E621" s="2">
        <v>5</v>
      </c>
      <c r="F621" s="582"/>
      <c r="G621" s="585"/>
      <c r="H621" s="582"/>
      <c r="I621" s="585"/>
      <c r="J621" s="582">
        <v>68365</v>
      </c>
      <c r="K621" s="585">
        <v>67359</v>
      </c>
      <c r="L621" s="582">
        <v>1107</v>
      </c>
      <c r="M621" s="585">
        <v>1199</v>
      </c>
      <c r="N621" s="582">
        <v>72181</v>
      </c>
      <c r="O621" s="585">
        <v>71353</v>
      </c>
      <c r="P621" s="583">
        <f t="shared" si="180"/>
        <v>141653</v>
      </c>
      <c r="Q621" s="583">
        <f t="shared" si="181"/>
        <v>4721.7666666666664</v>
      </c>
      <c r="R621" s="584">
        <f t="shared" si="182"/>
        <v>139911</v>
      </c>
      <c r="S621" s="584">
        <f t="shared" si="183"/>
        <v>4663.7</v>
      </c>
      <c r="T621" s="582">
        <v>135</v>
      </c>
      <c r="U621" s="585">
        <v>69</v>
      </c>
      <c r="V621" s="583">
        <f t="shared" si="184"/>
        <v>141653</v>
      </c>
      <c r="W621" s="584">
        <f t="shared" si="179"/>
        <v>139911</v>
      </c>
      <c r="X621" s="582"/>
      <c r="Y621" s="585"/>
      <c r="Z621" s="582"/>
      <c r="AA621" s="585"/>
      <c r="AB621" s="582"/>
      <c r="AC621" s="585"/>
      <c r="AD621" s="582"/>
      <c r="AE621" s="585"/>
      <c r="AF621" s="583">
        <f t="shared" si="185"/>
        <v>0</v>
      </c>
      <c r="AG621" s="583">
        <f t="shared" si="186"/>
        <v>0</v>
      </c>
      <c r="AH621" s="584">
        <f t="shared" si="187"/>
        <v>0</v>
      </c>
      <c r="AI621" s="584">
        <f t="shared" si="188"/>
        <v>0</v>
      </c>
      <c r="AJ621" s="582"/>
      <c r="AK621" s="585"/>
      <c r="AL621" s="583">
        <f t="shared" si="171"/>
        <v>0</v>
      </c>
      <c r="AM621" s="584">
        <f t="shared" si="172"/>
        <v>0</v>
      </c>
      <c r="AN621" s="582"/>
      <c r="AO621" s="585"/>
      <c r="AP621" s="582">
        <v>1279</v>
      </c>
      <c r="AQ621" s="585">
        <v>1052</v>
      </c>
      <c r="AR621" s="582">
        <v>611</v>
      </c>
      <c r="AS621" s="585">
        <v>487</v>
      </c>
      <c r="AT621" s="582">
        <v>1132</v>
      </c>
      <c r="AU621" s="585">
        <v>1052</v>
      </c>
      <c r="AV621" s="583">
        <f t="shared" si="173"/>
        <v>3022</v>
      </c>
      <c r="AW621" s="583">
        <f t="shared" si="174"/>
        <v>125.91666666666667</v>
      </c>
      <c r="AX621" s="584">
        <f t="shared" si="175"/>
        <v>2591</v>
      </c>
      <c r="AY621" s="584">
        <f t="shared" si="176"/>
        <v>107.95833333333333</v>
      </c>
      <c r="AZ621" s="583">
        <f t="shared" si="177"/>
        <v>4847.6833333333334</v>
      </c>
      <c r="BA621" s="584">
        <f t="shared" si="178"/>
        <v>4771.6583333333328</v>
      </c>
    </row>
    <row r="622" spans="1:53" ht="14.5">
      <c r="A622" s="5" t="s">
        <v>674</v>
      </c>
      <c r="B622" s="4" t="s">
        <v>688</v>
      </c>
      <c r="C622" s="539"/>
      <c r="D622" s="2">
        <v>233897</v>
      </c>
      <c r="E622" s="425">
        <v>6</v>
      </c>
      <c r="F622" s="582"/>
      <c r="G622" s="585"/>
      <c r="H622" s="582"/>
      <c r="I622" s="585"/>
      <c r="J622" s="582">
        <v>20214</v>
      </c>
      <c r="K622" s="585">
        <v>19984</v>
      </c>
      <c r="L622" s="582">
        <v>5297</v>
      </c>
      <c r="M622" s="585">
        <v>5739</v>
      </c>
      <c r="N622" s="582">
        <v>20826</v>
      </c>
      <c r="O622" s="585">
        <v>20107</v>
      </c>
      <c r="P622" s="583">
        <f t="shared" si="180"/>
        <v>46337</v>
      </c>
      <c r="Q622" s="583">
        <f t="shared" si="181"/>
        <v>1544.5666666666666</v>
      </c>
      <c r="R622" s="584">
        <f t="shared" si="182"/>
        <v>45830</v>
      </c>
      <c r="S622" s="584">
        <f t="shared" si="183"/>
        <v>1527.6666666666667</v>
      </c>
      <c r="T622" s="582">
        <v>541</v>
      </c>
      <c r="U622" s="585">
        <v>210</v>
      </c>
      <c r="V622" s="583">
        <f t="shared" si="184"/>
        <v>46337</v>
      </c>
      <c r="W622" s="584">
        <f t="shared" si="179"/>
        <v>45830</v>
      </c>
      <c r="X622" s="582"/>
      <c r="Y622" s="585"/>
      <c r="Z622" s="582"/>
      <c r="AA622" s="585"/>
      <c r="AB622" s="582"/>
      <c r="AC622" s="585"/>
      <c r="AD622" s="582"/>
      <c r="AE622" s="585"/>
      <c r="AF622" s="583">
        <f t="shared" si="185"/>
        <v>0</v>
      </c>
      <c r="AG622" s="583">
        <f t="shared" si="186"/>
        <v>0</v>
      </c>
      <c r="AH622" s="584">
        <f t="shared" si="187"/>
        <v>0</v>
      </c>
      <c r="AI622" s="584">
        <f t="shared" si="188"/>
        <v>0</v>
      </c>
      <c r="AJ622" s="582"/>
      <c r="AK622" s="585"/>
      <c r="AL622" s="583">
        <f t="shared" si="171"/>
        <v>0</v>
      </c>
      <c r="AM622" s="584">
        <f t="shared" si="172"/>
        <v>0</v>
      </c>
      <c r="AN622" s="582"/>
      <c r="AO622" s="585"/>
      <c r="AP622" s="582"/>
      <c r="AQ622" s="585"/>
      <c r="AR622" s="582"/>
      <c r="AS622" s="585"/>
      <c r="AT622" s="582"/>
      <c r="AU622" s="585"/>
      <c r="AV622" s="583">
        <f t="shared" si="173"/>
        <v>0</v>
      </c>
      <c r="AW622" s="583">
        <f t="shared" si="174"/>
        <v>0</v>
      </c>
      <c r="AX622" s="584">
        <f t="shared" si="175"/>
        <v>0</v>
      </c>
      <c r="AY622" s="584">
        <f t="shared" si="176"/>
        <v>0</v>
      </c>
      <c r="AZ622" s="583">
        <f t="shared" si="177"/>
        <v>1544.5666666666666</v>
      </c>
      <c r="BA622" s="584">
        <f t="shared" si="178"/>
        <v>1527.6666666666667</v>
      </c>
    </row>
    <row r="623" spans="1:53" ht="14.5">
      <c r="A623" s="5" t="s">
        <v>674</v>
      </c>
      <c r="B623" s="4" t="s">
        <v>689</v>
      </c>
      <c r="C623" s="539"/>
      <c r="D623" s="2">
        <v>232414</v>
      </c>
      <c r="E623" s="425">
        <v>8</v>
      </c>
      <c r="F623" s="582"/>
      <c r="G623" s="585"/>
      <c r="H623" s="582"/>
      <c r="I623" s="585"/>
      <c r="J623" s="582">
        <v>69598</v>
      </c>
      <c r="K623" s="585">
        <v>65842</v>
      </c>
      <c r="L623" s="582">
        <v>26295</v>
      </c>
      <c r="M623" s="585">
        <v>24828</v>
      </c>
      <c r="N623" s="582">
        <v>72889</v>
      </c>
      <c r="O623" s="585">
        <v>73376</v>
      </c>
      <c r="P623" s="583">
        <f t="shared" si="180"/>
        <v>168782</v>
      </c>
      <c r="Q623" s="583">
        <f t="shared" si="181"/>
        <v>5626.0666666666666</v>
      </c>
      <c r="R623" s="584">
        <f t="shared" si="182"/>
        <v>164046</v>
      </c>
      <c r="S623" s="584">
        <f t="shared" si="183"/>
        <v>5468.2</v>
      </c>
      <c r="T623" s="582">
        <v>35488</v>
      </c>
      <c r="U623" s="585">
        <v>37438</v>
      </c>
      <c r="V623" s="583">
        <f t="shared" si="184"/>
        <v>168782</v>
      </c>
      <c r="W623" s="584">
        <f t="shared" si="179"/>
        <v>164046</v>
      </c>
      <c r="X623" s="582"/>
      <c r="Y623" s="585"/>
      <c r="Z623" s="582"/>
      <c r="AA623" s="585"/>
      <c r="AB623" s="582"/>
      <c r="AC623" s="585"/>
      <c r="AD623" s="582"/>
      <c r="AE623" s="585"/>
      <c r="AF623" s="583">
        <f t="shared" si="185"/>
        <v>0</v>
      </c>
      <c r="AG623" s="583">
        <f t="shared" si="186"/>
        <v>0</v>
      </c>
      <c r="AH623" s="584">
        <f t="shared" si="187"/>
        <v>0</v>
      </c>
      <c r="AI623" s="584">
        <f t="shared" si="188"/>
        <v>0</v>
      </c>
      <c r="AJ623" s="582"/>
      <c r="AK623" s="585"/>
      <c r="AL623" s="583">
        <f t="shared" si="171"/>
        <v>0</v>
      </c>
      <c r="AM623" s="584">
        <f t="shared" si="172"/>
        <v>0</v>
      </c>
      <c r="AN623" s="582"/>
      <c r="AO623" s="585"/>
      <c r="AP623" s="582"/>
      <c r="AQ623" s="585"/>
      <c r="AR623" s="582"/>
      <c r="AS623" s="585"/>
      <c r="AT623" s="582"/>
      <c r="AU623" s="585"/>
      <c r="AV623" s="583">
        <f t="shared" si="173"/>
        <v>0</v>
      </c>
      <c r="AW623" s="583">
        <f t="shared" si="174"/>
        <v>0</v>
      </c>
      <c r="AX623" s="584">
        <f t="shared" si="175"/>
        <v>0</v>
      </c>
      <c r="AY623" s="584">
        <f t="shared" si="176"/>
        <v>0</v>
      </c>
      <c r="AZ623" s="583">
        <f t="shared" si="177"/>
        <v>5626.0666666666666</v>
      </c>
      <c r="BA623" s="584">
        <f t="shared" si="178"/>
        <v>5468.2</v>
      </c>
    </row>
    <row r="624" spans="1:53" ht="14.5">
      <c r="A624" s="5" t="s">
        <v>674</v>
      </c>
      <c r="B624" s="4" t="s">
        <v>690</v>
      </c>
      <c r="C624" s="539"/>
      <c r="D624" s="2">
        <v>232450</v>
      </c>
      <c r="E624" s="425">
        <v>8</v>
      </c>
      <c r="F624" s="582"/>
      <c r="G624" s="585"/>
      <c r="H624" s="582"/>
      <c r="I624" s="585"/>
      <c r="J624" s="582">
        <v>70376</v>
      </c>
      <c r="K624" s="585">
        <v>67858</v>
      </c>
      <c r="L624" s="582">
        <v>18277</v>
      </c>
      <c r="M624" s="585">
        <v>19524</v>
      </c>
      <c r="N624" s="582">
        <v>75500</v>
      </c>
      <c r="O624" s="585">
        <v>77954</v>
      </c>
      <c r="P624" s="583">
        <f t="shared" si="180"/>
        <v>164153</v>
      </c>
      <c r="Q624" s="583">
        <f t="shared" si="181"/>
        <v>5471.7666666666664</v>
      </c>
      <c r="R624" s="584">
        <f t="shared" si="182"/>
        <v>165336</v>
      </c>
      <c r="S624" s="584">
        <f t="shared" si="183"/>
        <v>5511.2</v>
      </c>
      <c r="T624" s="582">
        <v>57749</v>
      </c>
      <c r="U624" s="585">
        <v>56531</v>
      </c>
      <c r="V624" s="583">
        <f t="shared" si="184"/>
        <v>164153</v>
      </c>
      <c r="W624" s="584">
        <f t="shared" si="179"/>
        <v>165336</v>
      </c>
      <c r="X624" s="582"/>
      <c r="Y624" s="585"/>
      <c r="Z624" s="582"/>
      <c r="AA624" s="585"/>
      <c r="AB624" s="582"/>
      <c r="AC624" s="585"/>
      <c r="AD624" s="582"/>
      <c r="AE624" s="585"/>
      <c r="AF624" s="583">
        <f t="shared" si="185"/>
        <v>0</v>
      </c>
      <c r="AG624" s="583">
        <f t="shared" si="186"/>
        <v>0</v>
      </c>
      <c r="AH624" s="584">
        <f t="shared" si="187"/>
        <v>0</v>
      </c>
      <c r="AI624" s="584">
        <f t="shared" si="188"/>
        <v>0</v>
      </c>
      <c r="AJ624" s="582"/>
      <c r="AK624" s="585"/>
      <c r="AL624" s="583">
        <f t="shared" si="171"/>
        <v>0</v>
      </c>
      <c r="AM624" s="584">
        <f t="shared" si="172"/>
        <v>0</v>
      </c>
      <c r="AN624" s="582"/>
      <c r="AO624" s="585"/>
      <c r="AP624" s="582"/>
      <c r="AQ624" s="585"/>
      <c r="AR624" s="582"/>
      <c r="AS624" s="585"/>
      <c r="AT624" s="582"/>
      <c r="AU624" s="585"/>
      <c r="AV624" s="583">
        <f t="shared" si="173"/>
        <v>0</v>
      </c>
      <c r="AW624" s="583">
        <f t="shared" si="174"/>
        <v>0</v>
      </c>
      <c r="AX624" s="584">
        <f t="shared" si="175"/>
        <v>0</v>
      </c>
      <c r="AY624" s="584">
        <f t="shared" si="176"/>
        <v>0</v>
      </c>
      <c r="AZ624" s="583">
        <f t="shared" si="177"/>
        <v>5471.7666666666664</v>
      </c>
      <c r="BA624" s="584">
        <f t="shared" si="178"/>
        <v>5511.2</v>
      </c>
    </row>
    <row r="625" spans="1:53" ht="14.5">
      <c r="A625" s="5" t="s">
        <v>674</v>
      </c>
      <c r="B625" s="4" t="s">
        <v>691</v>
      </c>
      <c r="C625" s="539"/>
      <c r="D625" s="2">
        <v>232946</v>
      </c>
      <c r="E625" s="425">
        <v>8</v>
      </c>
      <c r="F625" s="582"/>
      <c r="G625" s="585"/>
      <c r="H625" s="582"/>
      <c r="I625" s="585"/>
      <c r="J625" s="582">
        <v>398953</v>
      </c>
      <c r="K625" s="585">
        <v>396630</v>
      </c>
      <c r="L625" s="582">
        <v>126222</v>
      </c>
      <c r="M625" s="585">
        <v>128474</v>
      </c>
      <c r="N625" s="582">
        <v>426084</v>
      </c>
      <c r="O625" s="585">
        <v>417201</v>
      </c>
      <c r="P625" s="583">
        <f t="shared" si="180"/>
        <v>951259</v>
      </c>
      <c r="Q625" s="583">
        <f t="shared" si="181"/>
        <v>31708.633333333335</v>
      </c>
      <c r="R625" s="584">
        <f t="shared" si="182"/>
        <v>942305</v>
      </c>
      <c r="S625" s="584">
        <f t="shared" si="183"/>
        <v>31410.166666666668</v>
      </c>
      <c r="T625" s="582">
        <v>144816</v>
      </c>
      <c r="U625" s="585">
        <v>169234</v>
      </c>
      <c r="V625" s="583">
        <f t="shared" si="184"/>
        <v>951259</v>
      </c>
      <c r="W625" s="584">
        <f t="shared" si="179"/>
        <v>942305</v>
      </c>
      <c r="X625" s="582"/>
      <c r="Y625" s="585"/>
      <c r="Z625" s="582"/>
      <c r="AA625" s="585"/>
      <c r="AB625" s="582"/>
      <c r="AC625" s="585"/>
      <c r="AD625" s="582"/>
      <c r="AE625" s="585"/>
      <c r="AF625" s="583">
        <f t="shared" si="185"/>
        <v>0</v>
      </c>
      <c r="AG625" s="583">
        <f t="shared" si="186"/>
        <v>0</v>
      </c>
      <c r="AH625" s="584">
        <f t="shared" si="187"/>
        <v>0</v>
      </c>
      <c r="AI625" s="584">
        <f t="shared" si="188"/>
        <v>0</v>
      </c>
      <c r="AJ625" s="582"/>
      <c r="AK625" s="585"/>
      <c r="AL625" s="583">
        <f t="shared" si="171"/>
        <v>0</v>
      </c>
      <c r="AM625" s="584">
        <f t="shared" si="172"/>
        <v>0</v>
      </c>
      <c r="AN625" s="582"/>
      <c r="AO625" s="585"/>
      <c r="AP625" s="582"/>
      <c r="AQ625" s="585"/>
      <c r="AR625" s="582"/>
      <c r="AS625" s="585"/>
      <c r="AT625" s="582"/>
      <c r="AU625" s="585"/>
      <c r="AV625" s="583">
        <f t="shared" si="173"/>
        <v>0</v>
      </c>
      <c r="AW625" s="583">
        <f t="shared" si="174"/>
        <v>0</v>
      </c>
      <c r="AX625" s="584">
        <f t="shared" si="175"/>
        <v>0</v>
      </c>
      <c r="AY625" s="584">
        <f t="shared" si="176"/>
        <v>0</v>
      </c>
      <c r="AZ625" s="583">
        <f t="shared" si="177"/>
        <v>31708.633333333335</v>
      </c>
      <c r="BA625" s="584">
        <f t="shared" si="178"/>
        <v>31410.166666666668</v>
      </c>
    </row>
    <row r="626" spans="1:53" ht="14.5">
      <c r="A626" s="5" t="s">
        <v>674</v>
      </c>
      <c r="B626" s="4" t="s">
        <v>692</v>
      </c>
      <c r="C626" s="539" t="s">
        <v>940</v>
      </c>
      <c r="D626" s="2">
        <v>233754</v>
      </c>
      <c r="E626" s="425">
        <v>8</v>
      </c>
      <c r="F626" s="582"/>
      <c r="G626" s="585"/>
      <c r="H626" s="582"/>
      <c r="I626" s="585"/>
      <c r="J626" s="582">
        <v>66078</v>
      </c>
      <c r="K626" s="585">
        <v>63001</v>
      </c>
      <c r="L626" s="582">
        <v>18698</v>
      </c>
      <c r="M626" s="585">
        <v>19816</v>
      </c>
      <c r="N626" s="582">
        <v>66038</v>
      </c>
      <c r="O626" s="585">
        <v>62124</v>
      </c>
      <c r="P626" s="583">
        <f t="shared" si="180"/>
        <v>150814</v>
      </c>
      <c r="Q626" s="583">
        <f t="shared" si="181"/>
        <v>5027.1333333333332</v>
      </c>
      <c r="R626" s="584">
        <f t="shared" si="182"/>
        <v>144941</v>
      </c>
      <c r="S626" s="584">
        <f t="shared" si="183"/>
        <v>4831.3666666666668</v>
      </c>
      <c r="T626" s="582">
        <v>32269</v>
      </c>
      <c r="U626" s="585">
        <v>34797</v>
      </c>
      <c r="V626" s="583">
        <f t="shared" si="184"/>
        <v>150814</v>
      </c>
      <c r="W626" s="584">
        <f t="shared" si="179"/>
        <v>144941</v>
      </c>
      <c r="X626" s="582"/>
      <c r="Y626" s="585"/>
      <c r="Z626" s="582"/>
      <c r="AA626" s="585"/>
      <c r="AB626" s="582"/>
      <c r="AC626" s="585"/>
      <c r="AD626" s="582"/>
      <c r="AE626" s="585"/>
      <c r="AF626" s="583">
        <f t="shared" si="185"/>
        <v>0</v>
      </c>
      <c r="AG626" s="583">
        <f t="shared" si="186"/>
        <v>0</v>
      </c>
      <c r="AH626" s="584">
        <f t="shared" si="187"/>
        <v>0</v>
      </c>
      <c r="AI626" s="584">
        <f t="shared" si="188"/>
        <v>0</v>
      </c>
      <c r="AJ626" s="582"/>
      <c r="AK626" s="585"/>
      <c r="AL626" s="583">
        <f t="shared" si="171"/>
        <v>0</v>
      </c>
      <c r="AM626" s="584">
        <f t="shared" si="172"/>
        <v>0</v>
      </c>
      <c r="AN626" s="582"/>
      <c r="AO626" s="585"/>
      <c r="AP626" s="582"/>
      <c r="AQ626" s="585"/>
      <c r="AR626" s="582"/>
      <c r="AS626" s="585"/>
      <c r="AT626" s="582"/>
      <c r="AU626" s="585"/>
      <c r="AV626" s="583">
        <f t="shared" si="173"/>
        <v>0</v>
      </c>
      <c r="AW626" s="583">
        <f t="shared" si="174"/>
        <v>0</v>
      </c>
      <c r="AX626" s="584">
        <f t="shared" si="175"/>
        <v>0</v>
      </c>
      <c r="AY626" s="584">
        <f t="shared" si="176"/>
        <v>0</v>
      </c>
      <c r="AZ626" s="583">
        <f t="shared" si="177"/>
        <v>5027.1333333333332</v>
      </c>
      <c r="BA626" s="584">
        <f t="shared" si="178"/>
        <v>4831.3666666666668</v>
      </c>
    </row>
    <row r="627" spans="1:53" ht="14.5">
      <c r="A627" s="5" t="s">
        <v>674</v>
      </c>
      <c r="B627" s="4" t="s">
        <v>693</v>
      </c>
      <c r="C627" s="539"/>
      <c r="D627" s="2">
        <v>233772</v>
      </c>
      <c r="E627" s="425">
        <v>8</v>
      </c>
      <c r="F627" s="582"/>
      <c r="G627" s="585"/>
      <c r="H627" s="582"/>
      <c r="I627" s="585"/>
      <c r="J627" s="582">
        <v>182023</v>
      </c>
      <c r="K627" s="585">
        <v>168901</v>
      </c>
      <c r="L627" s="582">
        <v>65586</v>
      </c>
      <c r="M627" s="585">
        <v>67336</v>
      </c>
      <c r="N627" s="582">
        <v>183173</v>
      </c>
      <c r="O627" s="585">
        <v>167084</v>
      </c>
      <c r="P627" s="583">
        <f t="shared" si="180"/>
        <v>430782</v>
      </c>
      <c r="Q627" s="583">
        <f t="shared" si="181"/>
        <v>14359.4</v>
      </c>
      <c r="R627" s="584">
        <f t="shared" si="182"/>
        <v>403321</v>
      </c>
      <c r="S627" s="584">
        <f t="shared" si="183"/>
        <v>13444.033333333333</v>
      </c>
      <c r="T627" s="582">
        <v>36824</v>
      </c>
      <c r="U627" s="585">
        <v>39929</v>
      </c>
      <c r="V627" s="583">
        <f t="shared" si="184"/>
        <v>430782</v>
      </c>
      <c r="W627" s="584">
        <f t="shared" si="179"/>
        <v>403321</v>
      </c>
      <c r="X627" s="582"/>
      <c r="Y627" s="585"/>
      <c r="Z627" s="582"/>
      <c r="AA627" s="585"/>
      <c r="AB627" s="582"/>
      <c r="AC627" s="585"/>
      <c r="AD627" s="582"/>
      <c r="AE627" s="585"/>
      <c r="AF627" s="583">
        <f t="shared" si="185"/>
        <v>0</v>
      </c>
      <c r="AG627" s="583">
        <f t="shared" si="186"/>
        <v>0</v>
      </c>
      <c r="AH627" s="584">
        <f t="shared" si="187"/>
        <v>0</v>
      </c>
      <c r="AI627" s="584">
        <f t="shared" si="188"/>
        <v>0</v>
      </c>
      <c r="AJ627" s="582"/>
      <c r="AK627" s="585"/>
      <c r="AL627" s="583">
        <f t="shared" si="171"/>
        <v>0</v>
      </c>
      <c r="AM627" s="584">
        <f t="shared" si="172"/>
        <v>0</v>
      </c>
      <c r="AN627" s="582"/>
      <c r="AO627" s="585"/>
      <c r="AP627" s="582"/>
      <c r="AQ627" s="585"/>
      <c r="AR627" s="582"/>
      <c r="AS627" s="585"/>
      <c r="AT627" s="582"/>
      <c r="AU627" s="585"/>
      <c r="AV627" s="583">
        <f t="shared" si="173"/>
        <v>0</v>
      </c>
      <c r="AW627" s="583">
        <f t="shared" si="174"/>
        <v>0</v>
      </c>
      <c r="AX627" s="584">
        <f t="shared" si="175"/>
        <v>0</v>
      </c>
      <c r="AY627" s="584">
        <f t="shared" si="176"/>
        <v>0</v>
      </c>
      <c r="AZ627" s="583">
        <f t="shared" si="177"/>
        <v>14359.4</v>
      </c>
      <c r="BA627" s="584">
        <f t="shared" si="178"/>
        <v>13444.033333333333</v>
      </c>
    </row>
    <row r="628" spans="1:53" ht="14.5">
      <c r="A628" s="5" t="s">
        <v>674</v>
      </c>
      <c r="B628" s="4" t="s">
        <v>694</v>
      </c>
      <c r="C628" s="539"/>
      <c r="D628" s="2">
        <v>231536</v>
      </c>
      <c r="E628" s="425">
        <v>9</v>
      </c>
      <c r="F628" s="582"/>
      <c r="G628" s="585"/>
      <c r="H628" s="582"/>
      <c r="I628" s="585"/>
      <c r="J628" s="582">
        <v>29972</v>
      </c>
      <c r="K628" s="585">
        <v>28432</v>
      </c>
      <c r="L628" s="582">
        <v>7754</v>
      </c>
      <c r="M628" s="585">
        <v>8066</v>
      </c>
      <c r="N628" s="582">
        <v>34112</v>
      </c>
      <c r="O628" s="585">
        <v>32435</v>
      </c>
      <c r="P628" s="583">
        <f t="shared" si="180"/>
        <v>71838</v>
      </c>
      <c r="Q628" s="583">
        <f t="shared" si="181"/>
        <v>2394.6</v>
      </c>
      <c r="R628" s="584">
        <f t="shared" si="182"/>
        <v>68933</v>
      </c>
      <c r="S628" s="584">
        <f t="shared" si="183"/>
        <v>2297.7666666666669</v>
      </c>
      <c r="T628" s="582">
        <v>18819</v>
      </c>
      <c r="U628" s="585">
        <v>18672</v>
      </c>
      <c r="V628" s="583">
        <f t="shared" si="184"/>
        <v>71838</v>
      </c>
      <c r="W628" s="584">
        <f t="shared" si="179"/>
        <v>68933</v>
      </c>
      <c r="X628" s="582"/>
      <c r="Y628" s="585"/>
      <c r="Z628" s="582"/>
      <c r="AA628" s="585"/>
      <c r="AB628" s="582"/>
      <c r="AC628" s="585"/>
      <c r="AD628" s="582"/>
      <c r="AE628" s="585"/>
      <c r="AF628" s="583">
        <f t="shared" si="185"/>
        <v>0</v>
      </c>
      <c r="AG628" s="583">
        <f t="shared" si="186"/>
        <v>0</v>
      </c>
      <c r="AH628" s="584">
        <f t="shared" si="187"/>
        <v>0</v>
      </c>
      <c r="AI628" s="584">
        <f t="shared" si="188"/>
        <v>0</v>
      </c>
      <c r="AJ628" s="582"/>
      <c r="AK628" s="585"/>
      <c r="AL628" s="583">
        <f t="shared" si="171"/>
        <v>0</v>
      </c>
      <c r="AM628" s="584">
        <f t="shared" si="172"/>
        <v>0</v>
      </c>
      <c r="AN628" s="582"/>
      <c r="AO628" s="585"/>
      <c r="AP628" s="582"/>
      <c r="AQ628" s="585"/>
      <c r="AR628" s="582"/>
      <c r="AS628" s="585"/>
      <c r="AT628" s="582"/>
      <c r="AU628" s="585"/>
      <c r="AV628" s="583">
        <f t="shared" si="173"/>
        <v>0</v>
      </c>
      <c r="AW628" s="583">
        <f t="shared" si="174"/>
        <v>0</v>
      </c>
      <c r="AX628" s="584">
        <f t="shared" si="175"/>
        <v>0</v>
      </c>
      <c r="AY628" s="584">
        <f t="shared" si="176"/>
        <v>0</v>
      </c>
      <c r="AZ628" s="583">
        <f t="shared" si="177"/>
        <v>2394.6</v>
      </c>
      <c r="BA628" s="584">
        <f t="shared" si="178"/>
        <v>2297.7666666666669</v>
      </c>
    </row>
    <row r="629" spans="1:53" ht="14.5">
      <c r="A629" s="5" t="s">
        <v>674</v>
      </c>
      <c r="B629" s="4" t="s">
        <v>695</v>
      </c>
      <c r="C629" s="539"/>
      <c r="D629" s="2">
        <v>231697</v>
      </c>
      <c r="E629" s="425">
        <v>9</v>
      </c>
      <c r="F629" s="582"/>
      <c r="G629" s="585"/>
      <c r="H629" s="582"/>
      <c r="I629" s="585"/>
      <c r="J629" s="582">
        <v>30922</v>
      </c>
      <c r="K629" s="585">
        <v>29471</v>
      </c>
      <c r="L629" s="582">
        <v>7351</v>
      </c>
      <c r="M629" s="585">
        <v>7445</v>
      </c>
      <c r="N629" s="582">
        <v>33917</v>
      </c>
      <c r="O629" s="585">
        <v>32368</v>
      </c>
      <c r="P629" s="583">
        <f t="shared" si="180"/>
        <v>72190</v>
      </c>
      <c r="Q629" s="583">
        <f t="shared" si="181"/>
        <v>2406.3333333333335</v>
      </c>
      <c r="R629" s="584">
        <f t="shared" si="182"/>
        <v>69284</v>
      </c>
      <c r="S629" s="584">
        <f t="shared" si="183"/>
        <v>2309.4666666666667</v>
      </c>
      <c r="T629" s="582">
        <v>40769</v>
      </c>
      <c r="U629" s="585">
        <v>41942</v>
      </c>
      <c r="V629" s="583">
        <f t="shared" si="184"/>
        <v>72190</v>
      </c>
      <c r="W629" s="584">
        <f t="shared" si="179"/>
        <v>69284</v>
      </c>
      <c r="X629" s="582"/>
      <c r="Y629" s="585"/>
      <c r="Z629" s="582"/>
      <c r="AA629" s="585"/>
      <c r="AB629" s="582"/>
      <c r="AC629" s="585"/>
      <c r="AD629" s="582"/>
      <c r="AE629" s="585"/>
      <c r="AF629" s="583">
        <f t="shared" si="185"/>
        <v>0</v>
      </c>
      <c r="AG629" s="583">
        <f t="shared" si="186"/>
        <v>0</v>
      </c>
      <c r="AH629" s="584">
        <f t="shared" si="187"/>
        <v>0</v>
      </c>
      <c r="AI629" s="584">
        <f t="shared" si="188"/>
        <v>0</v>
      </c>
      <c r="AJ629" s="582"/>
      <c r="AK629" s="585"/>
      <c r="AL629" s="583">
        <f t="shared" si="171"/>
        <v>0</v>
      </c>
      <c r="AM629" s="584">
        <f t="shared" si="172"/>
        <v>0</v>
      </c>
      <c r="AN629" s="582"/>
      <c r="AO629" s="585"/>
      <c r="AP629" s="582"/>
      <c r="AQ629" s="585"/>
      <c r="AR629" s="582"/>
      <c r="AS629" s="585"/>
      <c r="AT629" s="582"/>
      <c r="AU629" s="585"/>
      <c r="AV629" s="583">
        <f t="shared" si="173"/>
        <v>0</v>
      </c>
      <c r="AW629" s="583">
        <f t="shared" si="174"/>
        <v>0</v>
      </c>
      <c r="AX629" s="584">
        <f t="shared" si="175"/>
        <v>0</v>
      </c>
      <c r="AY629" s="584">
        <f t="shared" si="176"/>
        <v>0</v>
      </c>
      <c r="AZ629" s="583">
        <f t="shared" si="177"/>
        <v>2406.3333333333335</v>
      </c>
      <c r="BA629" s="584">
        <f t="shared" si="178"/>
        <v>2309.4666666666667</v>
      </c>
    </row>
    <row r="630" spans="1:53" ht="14.5">
      <c r="A630" s="5" t="s">
        <v>674</v>
      </c>
      <c r="B630" s="4" t="s">
        <v>697</v>
      </c>
      <c r="C630" s="539"/>
      <c r="D630" s="2">
        <v>232195</v>
      </c>
      <c r="E630" s="425">
        <v>9</v>
      </c>
      <c r="F630" s="582"/>
      <c r="G630" s="585"/>
      <c r="H630" s="582"/>
      <c r="I630" s="585"/>
      <c r="J630" s="582">
        <v>51222</v>
      </c>
      <c r="K630" s="585">
        <v>54169</v>
      </c>
      <c r="L630" s="582">
        <v>15287</v>
      </c>
      <c r="M630" s="585">
        <v>16690</v>
      </c>
      <c r="N630" s="582">
        <v>59442</v>
      </c>
      <c r="O630" s="585">
        <v>60281</v>
      </c>
      <c r="P630" s="583">
        <f t="shared" si="180"/>
        <v>125951</v>
      </c>
      <c r="Q630" s="583">
        <f t="shared" si="181"/>
        <v>4198.3666666666668</v>
      </c>
      <c r="R630" s="584">
        <f t="shared" si="182"/>
        <v>131140</v>
      </c>
      <c r="S630" s="584">
        <f t="shared" si="183"/>
        <v>4371.333333333333</v>
      </c>
      <c r="T630" s="582">
        <v>28057</v>
      </c>
      <c r="U630" s="585">
        <v>30489</v>
      </c>
      <c r="V630" s="583">
        <f t="shared" si="184"/>
        <v>125951</v>
      </c>
      <c r="W630" s="584">
        <f t="shared" si="179"/>
        <v>131140</v>
      </c>
      <c r="X630" s="582"/>
      <c r="Y630" s="585"/>
      <c r="Z630" s="582"/>
      <c r="AA630" s="585"/>
      <c r="AB630" s="582"/>
      <c r="AC630" s="585"/>
      <c r="AD630" s="582"/>
      <c r="AE630" s="585"/>
      <c r="AF630" s="583">
        <f t="shared" si="185"/>
        <v>0</v>
      </c>
      <c r="AG630" s="583">
        <f t="shared" si="186"/>
        <v>0</v>
      </c>
      <c r="AH630" s="584">
        <f t="shared" si="187"/>
        <v>0</v>
      </c>
      <c r="AI630" s="584">
        <f t="shared" si="188"/>
        <v>0</v>
      </c>
      <c r="AJ630" s="582"/>
      <c r="AK630" s="585"/>
      <c r="AL630" s="583">
        <f t="shared" si="171"/>
        <v>0</v>
      </c>
      <c r="AM630" s="584">
        <f t="shared" si="172"/>
        <v>0</v>
      </c>
      <c r="AN630" s="582"/>
      <c r="AO630" s="585"/>
      <c r="AP630" s="582"/>
      <c r="AQ630" s="585"/>
      <c r="AR630" s="582"/>
      <c r="AS630" s="585"/>
      <c r="AT630" s="582"/>
      <c r="AU630" s="585"/>
      <c r="AV630" s="583">
        <f t="shared" si="173"/>
        <v>0</v>
      </c>
      <c r="AW630" s="583">
        <f t="shared" si="174"/>
        <v>0</v>
      </c>
      <c r="AX630" s="584">
        <f t="shared" si="175"/>
        <v>0</v>
      </c>
      <c r="AY630" s="584">
        <f t="shared" si="176"/>
        <v>0</v>
      </c>
      <c r="AZ630" s="583">
        <f t="shared" si="177"/>
        <v>4198.3666666666668</v>
      </c>
      <c r="BA630" s="584">
        <f t="shared" si="178"/>
        <v>4371.333333333333</v>
      </c>
    </row>
    <row r="631" spans="1:53" ht="14.5">
      <c r="A631" s="5" t="s">
        <v>674</v>
      </c>
      <c r="B631" s="4" t="s">
        <v>698</v>
      </c>
      <c r="C631" s="539"/>
      <c r="D631" s="2">
        <v>232575</v>
      </c>
      <c r="E631" s="425">
        <v>9</v>
      </c>
      <c r="F631" s="582"/>
      <c r="G631" s="585"/>
      <c r="H631" s="582"/>
      <c r="I631" s="585"/>
      <c r="J631" s="582">
        <v>50307</v>
      </c>
      <c r="K631" s="585">
        <v>49530</v>
      </c>
      <c r="L631" s="582">
        <v>11576</v>
      </c>
      <c r="M631" s="585">
        <v>11344</v>
      </c>
      <c r="N631" s="582">
        <v>57801</v>
      </c>
      <c r="O631" s="585">
        <v>57466</v>
      </c>
      <c r="P631" s="583">
        <f t="shared" si="180"/>
        <v>119684</v>
      </c>
      <c r="Q631" s="583">
        <f t="shared" si="181"/>
        <v>3989.4666666666667</v>
      </c>
      <c r="R631" s="584">
        <f t="shared" si="182"/>
        <v>118340</v>
      </c>
      <c r="S631" s="584">
        <f t="shared" si="183"/>
        <v>3944.6666666666665</v>
      </c>
      <c r="T631" s="582">
        <v>71786</v>
      </c>
      <c r="U631" s="585">
        <v>72475</v>
      </c>
      <c r="V631" s="583">
        <f t="shared" si="184"/>
        <v>119684</v>
      </c>
      <c r="W631" s="584">
        <f t="shared" si="179"/>
        <v>118340</v>
      </c>
      <c r="X631" s="582"/>
      <c r="Y631" s="585"/>
      <c r="Z631" s="582"/>
      <c r="AA631" s="585"/>
      <c r="AB631" s="582"/>
      <c r="AC631" s="585"/>
      <c r="AD631" s="582"/>
      <c r="AE631" s="585"/>
      <c r="AF631" s="583">
        <f t="shared" si="185"/>
        <v>0</v>
      </c>
      <c r="AG631" s="583">
        <f t="shared" si="186"/>
        <v>0</v>
      </c>
      <c r="AH631" s="584">
        <f t="shared" si="187"/>
        <v>0</v>
      </c>
      <c r="AI631" s="584">
        <f t="shared" si="188"/>
        <v>0</v>
      </c>
      <c r="AJ631" s="582"/>
      <c r="AK631" s="585"/>
      <c r="AL631" s="583">
        <f t="shared" si="171"/>
        <v>0</v>
      </c>
      <c r="AM631" s="584">
        <f t="shared" si="172"/>
        <v>0</v>
      </c>
      <c r="AN631" s="582"/>
      <c r="AO631" s="585"/>
      <c r="AP631" s="582"/>
      <c r="AQ631" s="585"/>
      <c r="AR631" s="582"/>
      <c r="AS631" s="585"/>
      <c r="AT631" s="582"/>
      <c r="AU631" s="585"/>
      <c r="AV631" s="583">
        <f t="shared" si="173"/>
        <v>0</v>
      </c>
      <c r="AW631" s="583">
        <f t="shared" si="174"/>
        <v>0</v>
      </c>
      <c r="AX631" s="584">
        <f t="shared" si="175"/>
        <v>0</v>
      </c>
      <c r="AY631" s="584">
        <f t="shared" si="176"/>
        <v>0</v>
      </c>
      <c r="AZ631" s="583">
        <f t="shared" si="177"/>
        <v>3989.4666666666667</v>
      </c>
      <c r="BA631" s="584">
        <f t="shared" si="178"/>
        <v>3944.6666666666665</v>
      </c>
    </row>
    <row r="632" spans="1:53" ht="14.5">
      <c r="A632" s="5" t="s">
        <v>674</v>
      </c>
      <c r="B632" s="4" t="s">
        <v>699</v>
      </c>
      <c r="C632" s="539"/>
      <c r="D632" s="2">
        <v>232867</v>
      </c>
      <c r="E632" s="425">
        <v>9</v>
      </c>
      <c r="F632" s="582"/>
      <c r="G632" s="585"/>
      <c r="H632" s="582"/>
      <c r="I632" s="585"/>
      <c r="J632" s="582">
        <v>35915</v>
      </c>
      <c r="K632" s="585">
        <v>32807</v>
      </c>
      <c r="L632" s="582">
        <v>6412</v>
      </c>
      <c r="M632" s="585">
        <v>6985</v>
      </c>
      <c r="N632" s="582">
        <v>40127</v>
      </c>
      <c r="O632" s="585">
        <v>39084</v>
      </c>
      <c r="P632" s="583">
        <f t="shared" si="180"/>
        <v>82454</v>
      </c>
      <c r="Q632" s="583">
        <f t="shared" si="181"/>
        <v>2748.4666666666667</v>
      </c>
      <c r="R632" s="584">
        <f t="shared" si="182"/>
        <v>78876</v>
      </c>
      <c r="S632" s="584">
        <f t="shared" si="183"/>
        <v>2629.2</v>
      </c>
      <c r="T632" s="582">
        <v>41196</v>
      </c>
      <c r="U632" s="585">
        <v>39008</v>
      </c>
      <c r="V632" s="583">
        <f t="shared" si="184"/>
        <v>82454</v>
      </c>
      <c r="W632" s="584">
        <f t="shared" si="179"/>
        <v>78876</v>
      </c>
      <c r="X632" s="582"/>
      <c r="Y632" s="585"/>
      <c r="Z632" s="582"/>
      <c r="AA632" s="585"/>
      <c r="AB632" s="582"/>
      <c r="AC632" s="585"/>
      <c r="AD632" s="582"/>
      <c r="AE632" s="585"/>
      <c r="AF632" s="583">
        <f t="shared" si="185"/>
        <v>0</v>
      </c>
      <c r="AG632" s="583">
        <f t="shared" si="186"/>
        <v>0</v>
      </c>
      <c r="AH632" s="584">
        <f t="shared" si="187"/>
        <v>0</v>
      </c>
      <c r="AI632" s="584">
        <f t="shared" si="188"/>
        <v>0</v>
      </c>
      <c r="AJ632" s="582"/>
      <c r="AK632" s="585"/>
      <c r="AL632" s="583">
        <f t="shared" si="171"/>
        <v>0</v>
      </c>
      <c r="AM632" s="584">
        <f t="shared" si="172"/>
        <v>0</v>
      </c>
      <c r="AN632" s="582"/>
      <c r="AO632" s="585"/>
      <c r="AP632" s="582"/>
      <c r="AQ632" s="585"/>
      <c r="AR632" s="582"/>
      <c r="AS632" s="585"/>
      <c r="AT632" s="582"/>
      <c r="AU632" s="585"/>
      <c r="AV632" s="583">
        <f t="shared" si="173"/>
        <v>0</v>
      </c>
      <c r="AW632" s="583">
        <f t="shared" si="174"/>
        <v>0</v>
      </c>
      <c r="AX632" s="584">
        <f t="shared" si="175"/>
        <v>0</v>
      </c>
      <c r="AY632" s="584">
        <f t="shared" si="176"/>
        <v>0</v>
      </c>
      <c r="AZ632" s="583">
        <f t="shared" si="177"/>
        <v>2748.4666666666667</v>
      </c>
      <c r="BA632" s="584">
        <f t="shared" si="178"/>
        <v>2629.2</v>
      </c>
    </row>
    <row r="633" spans="1:53" ht="14.5">
      <c r="A633" s="5" t="s">
        <v>674</v>
      </c>
      <c r="B633" s="4" t="s">
        <v>701</v>
      </c>
      <c r="C633" s="539"/>
      <c r="D633" s="2">
        <v>233116</v>
      </c>
      <c r="E633" s="425">
        <v>9</v>
      </c>
      <c r="F633" s="582"/>
      <c r="G633" s="585"/>
      <c r="H633" s="582"/>
      <c r="I633" s="585"/>
      <c r="J633" s="582">
        <v>36696</v>
      </c>
      <c r="K633" s="585">
        <v>33778</v>
      </c>
      <c r="L633" s="582">
        <v>9617</v>
      </c>
      <c r="M633" s="585">
        <v>9201</v>
      </c>
      <c r="N633" s="582">
        <v>40917</v>
      </c>
      <c r="O633" s="585">
        <v>40488</v>
      </c>
      <c r="P633" s="583">
        <f t="shared" si="180"/>
        <v>87230</v>
      </c>
      <c r="Q633" s="583">
        <f t="shared" si="181"/>
        <v>2907.6666666666665</v>
      </c>
      <c r="R633" s="584">
        <f t="shared" si="182"/>
        <v>83467</v>
      </c>
      <c r="S633" s="584">
        <f t="shared" si="183"/>
        <v>2782.2333333333331</v>
      </c>
      <c r="T633" s="582">
        <v>38851</v>
      </c>
      <c r="U633" s="585">
        <v>38908</v>
      </c>
      <c r="V633" s="583">
        <f t="shared" si="184"/>
        <v>87230</v>
      </c>
      <c r="W633" s="584">
        <f t="shared" si="179"/>
        <v>83467</v>
      </c>
      <c r="X633" s="582"/>
      <c r="Y633" s="585"/>
      <c r="Z633" s="582"/>
      <c r="AA633" s="585"/>
      <c r="AB633" s="582"/>
      <c r="AC633" s="585"/>
      <c r="AD633" s="582"/>
      <c r="AE633" s="585"/>
      <c r="AF633" s="583">
        <f t="shared" si="185"/>
        <v>0</v>
      </c>
      <c r="AG633" s="583">
        <f t="shared" si="186"/>
        <v>0</v>
      </c>
      <c r="AH633" s="584">
        <f t="shared" si="187"/>
        <v>0</v>
      </c>
      <c r="AI633" s="584">
        <f t="shared" si="188"/>
        <v>0</v>
      </c>
      <c r="AJ633" s="582"/>
      <c r="AK633" s="585"/>
      <c r="AL633" s="583">
        <f t="shared" si="171"/>
        <v>0</v>
      </c>
      <c r="AM633" s="584">
        <f t="shared" si="172"/>
        <v>0</v>
      </c>
      <c r="AN633" s="582"/>
      <c r="AO633" s="585"/>
      <c r="AP633" s="582"/>
      <c r="AQ633" s="585"/>
      <c r="AR633" s="582"/>
      <c r="AS633" s="585"/>
      <c r="AT633" s="582"/>
      <c r="AU633" s="585"/>
      <c r="AV633" s="583">
        <f t="shared" si="173"/>
        <v>0</v>
      </c>
      <c r="AW633" s="583">
        <f t="shared" si="174"/>
        <v>0</v>
      </c>
      <c r="AX633" s="584">
        <f t="shared" si="175"/>
        <v>0</v>
      </c>
      <c r="AY633" s="584">
        <f t="shared" si="176"/>
        <v>0</v>
      </c>
      <c r="AZ633" s="583">
        <f t="shared" si="177"/>
        <v>2907.6666666666665</v>
      </c>
      <c r="BA633" s="584">
        <f t="shared" si="178"/>
        <v>2782.2333333333331</v>
      </c>
    </row>
    <row r="634" spans="1:53" ht="14.5">
      <c r="A634" s="5" t="s">
        <v>674</v>
      </c>
      <c r="B634" s="4" t="s">
        <v>702</v>
      </c>
      <c r="C634" s="539" t="s">
        <v>933</v>
      </c>
      <c r="D634" s="2">
        <v>233639</v>
      </c>
      <c r="E634" s="425">
        <v>9</v>
      </c>
      <c r="F634" s="582"/>
      <c r="G634" s="585"/>
      <c r="H634" s="582"/>
      <c r="I634" s="585"/>
      <c r="J634" s="582">
        <v>27740</v>
      </c>
      <c r="K634" s="585">
        <v>25964</v>
      </c>
      <c r="L634" s="582">
        <v>4657</v>
      </c>
      <c r="M634" s="585">
        <v>4636</v>
      </c>
      <c r="N634" s="582">
        <v>30377</v>
      </c>
      <c r="O634" s="585">
        <v>28741</v>
      </c>
      <c r="P634" s="583">
        <f t="shared" si="180"/>
        <v>62774</v>
      </c>
      <c r="Q634" s="583">
        <f t="shared" si="181"/>
        <v>2092.4666666666667</v>
      </c>
      <c r="R634" s="584">
        <f t="shared" si="182"/>
        <v>59341</v>
      </c>
      <c r="S634" s="584">
        <f t="shared" si="183"/>
        <v>1978.0333333333333</v>
      </c>
      <c r="T634" s="582">
        <v>56880</v>
      </c>
      <c r="U634" s="585">
        <v>52695</v>
      </c>
      <c r="V634" s="583">
        <f t="shared" si="184"/>
        <v>62774</v>
      </c>
      <c r="W634" s="584">
        <f t="shared" si="179"/>
        <v>59341</v>
      </c>
      <c r="X634" s="582"/>
      <c r="Y634" s="585"/>
      <c r="Z634" s="582"/>
      <c r="AA634" s="585"/>
      <c r="AB634" s="582"/>
      <c r="AC634" s="585"/>
      <c r="AD634" s="582"/>
      <c r="AE634" s="585"/>
      <c r="AF634" s="583">
        <f t="shared" si="185"/>
        <v>0</v>
      </c>
      <c r="AG634" s="583">
        <f t="shared" si="186"/>
        <v>0</v>
      </c>
      <c r="AH634" s="584">
        <f t="shared" si="187"/>
        <v>0</v>
      </c>
      <c r="AI634" s="584">
        <f t="shared" si="188"/>
        <v>0</v>
      </c>
      <c r="AJ634" s="582"/>
      <c r="AK634" s="585"/>
      <c r="AL634" s="583">
        <f t="shared" si="171"/>
        <v>0</v>
      </c>
      <c r="AM634" s="584">
        <f t="shared" si="172"/>
        <v>0</v>
      </c>
      <c r="AN634" s="582"/>
      <c r="AO634" s="585"/>
      <c r="AP634" s="582"/>
      <c r="AQ634" s="585"/>
      <c r="AR634" s="582"/>
      <c r="AS634" s="585"/>
      <c r="AT634" s="582"/>
      <c r="AU634" s="585"/>
      <c r="AV634" s="583">
        <f t="shared" si="173"/>
        <v>0</v>
      </c>
      <c r="AW634" s="583">
        <f t="shared" si="174"/>
        <v>0</v>
      </c>
      <c r="AX634" s="584">
        <f t="shared" si="175"/>
        <v>0</v>
      </c>
      <c r="AY634" s="584">
        <f t="shared" si="176"/>
        <v>0</v>
      </c>
      <c r="AZ634" s="583">
        <f t="shared" si="177"/>
        <v>2092.4666666666667</v>
      </c>
      <c r="BA634" s="584">
        <f t="shared" si="178"/>
        <v>1978.0333333333333</v>
      </c>
    </row>
    <row r="635" spans="1:53" ht="14.5">
      <c r="A635" s="5" t="s">
        <v>674</v>
      </c>
      <c r="B635" s="4" t="s">
        <v>703</v>
      </c>
      <c r="C635" s="539"/>
      <c r="D635" s="2">
        <v>233949</v>
      </c>
      <c r="E635" s="425">
        <v>9</v>
      </c>
      <c r="F635" s="582"/>
      <c r="G635" s="585"/>
      <c r="H635" s="582"/>
      <c r="I635" s="585"/>
      <c r="J635" s="582">
        <v>48451</v>
      </c>
      <c r="K635" s="585">
        <v>45483</v>
      </c>
      <c r="L635" s="582">
        <v>12107</v>
      </c>
      <c r="M635" s="585">
        <v>11786</v>
      </c>
      <c r="N635" s="582">
        <v>54059</v>
      </c>
      <c r="O635" s="585">
        <v>51394</v>
      </c>
      <c r="P635" s="583">
        <f t="shared" si="180"/>
        <v>114617</v>
      </c>
      <c r="Q635" s="583">
        <f t="shared" si="181"/>
        <v>3820.5666666666666</v>
      </c>
      <c r="R635" s="584">
        <f t="shared" si="182"/>
        <v>108663</v>
      </c>
      <c r="S635" s="584">
        <f t="shared" si="183"/>
        <v>3622.1</v>
      </c>
      <c r="T635" s="582">
        <v>47228</v>
      </c>
      <c r="U635" s="585">
        <v>42365</v>
      </c>
      <c r="V635" s="583">
        <f t="shared" si="184"/>
        <v>114617</v>
      </c>
      <c r="W635" s="584">
        <f t="shared" si="179"/>
        <v>108663</v>
      </c>
      <c r="X635" s="582"/>
      <c r="Y635" s="585"/>
      <c r="Z635" s="582"/>
      <c r="AA635" s="585"/>
      <c r="AB635" s="582"/>
      <c r="AC635" s="585"/>
      <c r="AD635" s="582"/>
      <c r="AE635" s="585"/>
      <c r="AF635" s="583">
        <f t="shared" si="185"/>
        <v>0</v>
      </c>
      <c r="AG635" s="583">
        <f t="shared" si="186"/>
        <v>0</v>
      </c>
      <c r="AH635" s="584">
        <f t="shared" si="187"/>
        <v>0</v>
      </c>
      <c r="AI635" s="584">
        <f t="shared" si="188"/>
        <v>0</v>
      </c>
      <c r="AJ635" s="582"/>
      <c r="AK635" s="585"/>
      <c r="AL635" s="583">
        <f t="shared" si="171"/>
        <v>0</v>
      </c>
      <c r="AM635" s="584">
        <f t="shared" si="172"/>
        <v>0</v>
      </c>
      <c r="AN635" s="582"/>
      <c r="AO635" s="585"/>
      <c r="AP635" s="582"/>
      <c r="AQ635" s="585"/>
      <c r="AR635" s="582"/>
      <c r="AS635" s="585"/>
      <c r="AT635" s="582"/>
      <c r="AU635" s="585"/>
      <c r="AV635" s="583">
        <f t="shared" si="173"/>
        <v>0</v>
      </c>
      <c r="AW635" s="583">
        <f t="shared" si="174"/>
        <v>0</v>
      </c>
      <c r="AX635" s="584">
        <f t="shared" si="175"/>
        <v>0</v>
      </c>
      <c r="AY635" s="584">
        <f t="shared" si="176"/>
        <v>0</v>
      </c>
      <c r="AZ635" s="583">
        <f t="shared" si="177"/>
        <v>3820.5666666666666</v>
      </c>
      <c r="BA635" s="584">
        <f t="shared" si="178"/>
        <v>3622.1</v>
      </c>
    </row>
    <row r="636" spans="1:53">
      <c r="A636" s="5" t="s">
        <v>674</v>
      </c>
      <c r="B636" s="4" t="s">
        <v>705</v>
      </c>
      <c r="C636" s="3"/>
      <c r="D636" s="2">
        <v>231873</v>
      </c>
      <c r="E636" s="425">
        <v>10</v>
      </c>
      <c r="F636" s="582"/>
      <c r="G636" s="585"/>
      <c r="H636" s="582"/>
      <c r="I636" s="585"/>
      <c r="J636" s="582">
        <v>8514</v>
      </c>
      <c r="K636" s="585">
        <v>7634</v>
      </c>
      <c r="L636" s="582">
        <v>1709</v>
      </c>
      <c r="M636" s="585">
        <v>1364</v>
      </c>
      <c r="N636" s="582">
        <v>9076</v>
      </c>
      <c r="O636" s="585">
        <v>8844</v>
      </c>
      <c r="P636" s="583">
        <f t="shared" si="180"/>
        <v>19299</v>
      </c>
      <c r="Q636" s="583">
        <f t="shared" si="181"/>
        <v>643.29999999999995</v>
      </c>
      <c r="R636" s="584">
        <f t="shared" si="182"/>
        <v>17842</v>
      </c>
      <c r="S636" s="584">
        <f t="shared" si="183"/>
        <v>594.73333333333335</v>
      </c>
      <c r="T636" s="582">
        <v>9405</v>
      </c>
      <c r="U636" s="585">
        <v>9159</v>
      </c>
      <c r="V636" s="583">
        <f t="shared" si="184"/>
        <v>19299</v>
      </c>
      <c r="W636" s="584">
        <f t="shared" si="179"/>
        <v>17842</v>
      </c>
      <c r="X636" s="582"/>
      <c r="Y636" s="585"/>
      <c r="Z636" s="582"/>
      <c r="AA636" s="585"/>
      <c r="AB636" s="582"/>
      <c r="AC636" s="585"/>
      <c r="AD636" s="582"/>
      <c r="AE636" s="585"/>
      <c r="AF636" s="583">
        <f t="shared" si="185"/>
        <v>0</v>
      </c>
      <c r="AG636" s="583">
        <f t="shared" si="186"/>
        <v>0</v>
      </c>
      <c r="AH636" s="584">
        <f t="shared" si="187"/>
        <v>0</v>
      </c>
      <c r="AI636" s="584">
        <f t="shared" si="188"/>
        <v>0</v>
      </c>
      <c r="AJ636" s="582"/>
      <c r="AK636" s="585"/>
      <c r="AL636" s="583">
        <f t="shared" si="171"/>
        <v>0</v>
      </c>
      <c r="AM636" s="584">
        <f t="shared" si="172"/>
        <v>0</v>
      </c>
      <c r="AN636" s="582"/>
      <c r="AO636" s="585"/>
      <c r="AP636" s="582"/>
      <c r="AQ636" s="585"/>
      <c r="AR636" s="582"/>
      <c r="AS636" s="585"/>
      <c r="AT636" s="582"/>
      <c r="AU636" s="585"/>
      <c r="AV636" s="583">
        <f t="shared" si="173"/>
        <v>0</v>
      </c>
      <c r="AW636" s="583">
        <f t="shared" si="174"/>
        <v>0</v>
      </c>
      <c r="AX636" s="584">
        <f t="shared" si="175"/>
        <v>0</v>
      </c>
      <c r="AY636" s="584">
        <f t="shared" si="176"/>
        <v>0</v>
      </c>
      <c r="AZ636" s="583">
        <f t="shared" si="177"/>
        <v>643.29999999999995</v>
      </c>
      <c r="BA636" s="584">
        <f t="shared" si="178"/>
        <v>594.73333333333335</v>
      </c>
    </row>
    <row r="637" spans="1:53" ht="14.5">
      <c r="A637" s="5" t="s">
        <v>674</v>
      </c>
      <c r="B637" s="4" t="s">
        <v>696</v>
      </c>
      <c r="C637" s="540"/>
      <c r="D637" s="2">
        <v>231882</v>
      </c>
      <c r="E637" s="425">
        <v>10</v>
      </c>
      <c r="F637" s="582"/>
      <c r="G637" s="585"/>
      <c r="H637" s="582"/>
      <c r="I637" s="585"/>
      <c r="J637" s="582">
        <v>23036</v>
      </c>
      <c r="K637" s="585">
        <v>22528</v>
      </c>
      <c r="L637" s="582">
        <v>5343</v>
      </c>
      <c r="M637" s="585">
        <v>5711</v>
      </c>
      <c r="N637" s="582">
        <v>24465</v>
      </c>
      <c r="O637" s="585">
        <v>25680</v>
      </c>
      <c r="P637" s="583">
        <f t="shared" si="180"/>
        <v>52844</v>
      </c>
      <c r="Q637" s="583">
        <f t="shared" si="181"/>
        <v>1761.4666666666667</v>
      </c>
      <c r="R637" s="584">
        <f t="shared" si="182"/>
        <v>53919</v>
      </c>
      <c r="S637" s="584">
        <f t="shared" si="183"/>
        <v>1797.3</v>
      </c>
      <c r="T637" s="582">
        <v>27884</v>
      </c>
      <c r="U637" s="585">
        <v>26334</v>
      </c>
      <c r="V637" s="583">
        <f t="shared" si="184"/>
        <v>52844</v>
      </c>
      <c r="W637" s="584">
        <f t="shared" si="179"/>
        <v>53919</v>
      </c>
      <c r="X637" s="582"/>
      <c r="Y637" s="585"/>
      <c r="Z637" s="582"/>
      <c r="AA637" s="585"/>
      <c r="AB637" s="582"/>
      <c r="AC637" s="585"/>
      <c r="AD637" s="582"/>
      <c r="AE637" s="585"/>
      <c r="AF637" s="583">
        <f t="shared" si="185"/>
        <v>0</v>
      </c>
      <c r="AG637" s="583">
        <f t="shared" si="186"/>
        <v>0</v>
      </c>
      <c r="AH637" s="584">
        <f t="shared" si="187"/>
        <v>0</v>
      </c>
      <c r="AI637" s="584">
        <f t="shared" si="188"/>
        <v>0</v>
      </c>
      <c r="AJ637" s="582"/>
      <c r="AK637" s="585"/>
      <c r="AL637" s="583">
        <f t="shared" si="171"/>
        <v>0</v>
      </c>
      <c r="AM637" s="584">
        <f t="shared" si="172"/>
        <v>0</v>
      </c>
      <c r="AN637" s="582"/>
      <c r="AO637" s="585"/>
      <c r="AP637" s="582"/>
      <c r="AQ637" s="585"/>
      <c r="AR637" s="582"/>
      <c r="AS637" s="585"/>
      <c r="AT637" s="582"/>
      <c r="AU637" s="585"/>
      <c r="AV637" s="583">
        <f t="shared" si="173"/>
        <v>0</v>
      </c>
      <c r="AW637" s="583">
        <f t="shared" si="174"/>
        <v>0</v>
      </c>
      <c r="AX637" s="584">
        <f t="shared" si="175"/>
        <v>0</v>
      </c>
      <c r="AY637" s="584">
        <f t="shared" si="176"/>
        <v>0</v>
      </c>
      <c r="AZ637" s="583">
        <f t="shared" si="177"/>
        <v>1761.4666666666667</v>
      </c>
      <c r="BA637" s="584">
        <f t="shared" si="178"/>
        <v>1797.3</v>
      </c>
    </row>
    <row r="638" spans="1:53">
      <c r="A638" s="5" t="s">
        <v>674</v>
      </c>
      <c r="B638" s="4" t="s">
        <v>706</v>
      </c>
      <c r="C638" s="3"/>
      <c r="D638" s="2">
        <v>232052</v>
      </c>
      <c r="E638" s="425">
        <v>10</v>
      </c>
      <c r="F638" s="582"/>
      <c r="G638" s="585"/>
      <c r="H638" s="582"/>
      <c r="I638" s="585"/>
      <c r="J638" s="582">
        <v>4980</v>
      </c>
      <c r="K638" s="585">
        <v>4613</v>
      </c>
      <c r="L638" s="582">
        <v>707</v>
      </c>
      <c r="M638" s="585">
        <v>814</v>
      </c>
      <c r="N638" s="582">
        <v>5181</v>
      </c>
      <c r="O638" s="585">
        <v>4972</v>
      </c>
      <c r="P638" s="583">
        <f t="shared" si="180"/>
        <v>10868</v>
      </c>
      <c r="Q638" s="583">
        <f t="shared" si="181"/>
        <v>362.26666666666665</v>
      </c>
      <c r="R638" s="584">
        <f t="shared" si="182"/>
        <v>10399</v>
      </c>
      <c r="S638" s="584">
        <f t="shared" si="183"/>
        <v>346.63333333333333</v>
      </c>
      <c r="T638" s="582">
        <v>5820</v>
      </c>
      <c r="U638" s="585">
        <v>6051</v>
      </c>
      <c r="V638" s="583">
        <f t="shared" si="184"/>
        <v>10868</v>
      </c>
      <c r="W638" s="584">
        <f t="shared" si="179"/>
        <v>10399</v>
      </c>
      <c r="X638" s="582"/>
      <c r="Y638" s="585"/>
      <c r="Z638" s="582"/>
      <c r="AA638" s="585"/>
      <c r="AB638" s="582"/>
      <c r="AC638" s="585"/>
      <c r="AD638" s="582"/>
      <c r="AE638" s="585"/>
      <c r="AF638" s="583">
        <f t="shared" si="185"/>
        <v>0</v>
      </c>
      <c r="AG638" s="583">
        <f t="shared" si="186"/>
        <v>0</v>
      </c>
      <c r="AH638" s="584">
        <f t="shared" si="187"/>
        <v>0</v>
      </c>
      <c r="AI638" s="584">
        <f t="shared" si="188"/>
        <v>0</v>
      </c>
      <c r="AJ638" s="582"/>
      <c r="AK638" s="585"/>
      <c r="AL638" s="583">
        <f t="shared" si="171"/>
        <v>0</v>
      </c>
      <c r="AM638" s="584">
        <f t="shared" si="172"/>
        <v>0</v>
      </c>
      <c r="AN638" s="582"/>
      <c r="AO638" s="585"/>
      <c r="AP638" s="582"/>
      <c r="AQ638" s="585"/>
      <c r="AR638" s="582"/>
      <c r="AS638" s="585"/>
      <c r="AT638" s="582"/>
      <c r="AU638" s="585"/>
      <c r="AV638" s="583">
        <f t="shared" si="173"/>
        <v>0</v>
      </c>
      <c r="AW638" s="583">
        <f t="shared" si="174"/>
        <v>0</v>
      </c>
      <c r="AX638" s="584">
        <f t="shared" si="175"/>
        <v>0</v>
      </c>
      <c r="AY638" s="584">
        <f t="shared" si="176"/>
        <v>0</v>
      </c>
      <c r="AZ638" s="583">
        <f t="shared" si="177"/>
        <v>362.26666666666665</v>
      </c>
      <c r="BA638" s="584">
        <f t="shared" si="178"/>
        <v>346.63333333333333</v>
      </c>
    </row>
    <row r="639" spans="1:53">
      <c r="A639" s="5" t="s">
        <v>674</v>
      </c>
      <c r="B639" s="4" t="s">
        <v>707</v>
      </c>
      <c r="C639" s="1"/>
      <c r="D639" s="2">
        <v>232788</v>
      </c>
      <c r="E639" s="425">
        <v>10</v>
      </c>
      <c r="F639" s="582"/>
      <c r="G639" s="585"/>
      <c r="H639" s="582"/>
      <c r="I639" s="585"/>
      <c r="J639" s="582">
        <v>19795</v>
      </c>
      <c r="K639" s="585">
        <v>19771</v>
      </c>
      <c r="L639" s="582">
        <v>4956</v>
      </c>
      <c r="M639" s="585">
        <v>5223</v>
      </c>
      <c r="N639" s="582">
        <v>21901</v>
      </c>
      <c r="O639" s="585">
        <v>21954</v>
      </c>
      <c r="P639" s="583">
        <f t="shared" si="180"/>
        <v>46652</v>
      </c>
      <c r="Q639" s="583">
        <f t="shared" si="181"/>
        <v>1555.0666666666666</v>
      </c>
      <c r="R639" s="584">
        <f t="shared" si="182"/>
        <v>46948</v>
      </c>
      <c r="S639" s="584">
        <f t="shared" si="183"/>
        <v>1564.9333333333334</v>
      </c>
      <c r="T639" s="582">
        <v>26078</v>
      </c>
      <c r="U639" s="585">
        <v>25482</v>
      </c>
      <c r="V639" s="583">
        <f t="shared" si="184"/>
        <v>46652</v>
      </c>
      <c r="W639" s="584">
        <f t="shared" si="179"/>
        <v>46948</v>
      </c>
      <c r="X639" s="582"/>
      <c r="Y639" s="585"/>
      <c r="Z639" s="582"/>
      <c r="AA639" s="585"/>
      <c r="AB639" s="582"/>
      <c r="AC639" s="585"/>
      <c r="AD639" s="582"/>
      <c r="AE639" s="585"/>
      <c r="AF639" s="583">
        <f t="shared" si="185"/>
        <v>0</v>
      </c>
      <c r="AG639" s="583">
        <f t="shared" si="186"/>
        <v>0</v>
      </c>
      <c r="AH639" s="584">
        <f t="shared" si="187"/>
        <v>0</v>
      </c>
      <c r="AI639" s="584">
        <f t="shared" si="188"/>
        <v>0</v>
      </c>
      <c r="AJ639" s="582"/>
      <c r="AK639" s="585"/>
      <c r="AL639" s="583">
        <f t="shared" si="171"/>
        <v>0</v>
      </c>
      <c r="AM639" s="584">
        <f t="shared" si="172"/>
        <v>0</v>
      </c>
      <c r="AN639" s="582"/>
      <c r="AO639" s="585"/>
      <c r="AP639" s="582"/>
      <c r="AQ639" s="585"/>
      <c r="AR639" s="582"/>
      <c r="AS639" s="585"/>
      <c r="AT639" s="582"/>
      <c r="AU639" s="585"/>
      <c r="AV639" s="583">
        <f t="shared" si="173"/>
        <v>0</v>
      </c>
      <c r="AW639" s="583">
        <f t="shared" si="174"/>
        <v>0</v>
      </c>
      <c r="AX639" s="584">
        <f t="shared" si="175"/>
        <v>0</v>
      </c>
      <c r="AY639" s="584">
        <f t="shared" si="176"/>
        <v>0</v>
      </c>
      <c r="AZ639" s="583">
        <f t="shared" si="177"/>
        <v>1555.0666666666666</v>
      </c>
      <c r="BA639" s="584">
        <f t="shared" si="178"/>
        <v>1564.9333333333334</v>
      </c>
    </row>
    <row r="640" spans="1:53" ht="14.5">
      <c r="A640" s="5" t="s">
        <v>674</v>
      </c>
      <c r="B640" s="541" t="s">
        <v>700</v>
      </c>
      <c r="C640" s="540"/>
      <c r="D640" s="2">
        <v>233019</v>
      </c>
      <c r="E640" s="425">
        <v>10</v>
      </c>
      <c r="F640" s="582"/>
      <c r="G640" s="585"/>
      <c r="H640" s="582"/>
      <c r="I640" s="585"/>
      <c r="J640" s="582">
        <v>21047</v>
      </c>
      <c r="K640" s="585">
        <v>21431</v>
      </c>
      <c r="L640" s="582">
        <v>3705</v>
      </c>
      <c r="M640" s="585">
        <v>4562</v>
      </c>
      <c r="N640" s="582">
        <v>25031</v>
      </c>
      <c r="O640" s="585">
        <v>24493</v>
      </c>
      <c r="P640" s="583">
        <f t="shared" si="180"/>
        <v>49783</v>
      </c>
      <c r="Q640" s="583">
        <f t="shared" si="181"/>
        <v>1659.4333333333334</v>
      </c>
      <c r="R640" s="584">
        <f t="shared" si="182"/>
        <v>50486</v>
      </c>
      <c r="S640" s="584">
        <f t="shared" si="183"/>
        <v>1682.8666666666666</v>
      </c>
      <c r="T640" s="582">
        <v>27940</v>
      </c>
      <c r="U640" s="585">
        <v>26448</v>
      </c>
      <c r="V640" s="583">
        <f t="shared" si="184"/>
        <v>49783</v>
      </c>
      <c r="W640" s="584">
        <f t="shared" si="179"/>
        <v>50486</v>
      </c>
      <c r="X640" s="582"/>
      <c r="Y640" s="585"/>
      <c r="Z640" s="582"/>
      <c r="AA640" s="585"/>
      <c r="AB640" s="582"/>
      <c r="AC640" s="585"/>
      <c r="AD640" s="582"/>
      <c r="AE640" s="585"/>
      <c r="AF640" s="583">
        <f t="shared" si="185"/>
        <v>0</v>
      </c>
      <c r="AG640" s="583">
        <f t="shared" si="186"/>
        <v>0</v>
      </c>
      <c r="AH640" s="584">
        <f t="shared" si="187"/>
        <v>0</v>
      </c>
      <c r="AI640" s="584">
        <f t="shared" si="188"/>
        <v>0</v>
      </c>
      <c r="AJ640" s="582"/>
      <c r="AK640" s="585"/>
      <c r="AL640" s="583">
        <f t="shared" si="171"/>
        <v>0</v>
      </c>
      <c r="AM640" s="584">
        <f t="shared" si="172"/>
        <v>0</v>
      </c>
      <c r="AN640" s="582"/>
      <c r="AO640" s="585"/>
      <c r="AP640" s="582"/>
      <c r="AQ640" s="585"/>
      <c r="AR640" s="582"/>
      <c r="AS640" s="585"/>
      <c r="AT640" s="582"/>
      <c r="AU640" s="585"/>
      <c r="AV640" s="583">
        <f t="shared" si="173"/>
        <v>0</v>
      </c>
      <c r="AW640" s="583">
        <f t="shared" si="174"/>
        <v>0</v>
      </c>
      <c r="AX640" s="584">
        <f t="shared" si="175"/>
        <v>0</v>
      </c>
      <c r="AY640" s="584">
        <f t="shared" si="176"/>
        <v>0</v>
      </c>
      <c r="AZ640" s="583">
        <f t="shared" si="177"/>
        <v>1659.4333333333334</v>
      </c>
      <c r="BA640" s="584">
        <f t="shared" si="178"/>
        <v>1682.8666666666666</v>
      </c>
    </row>
    <row r="641" spans="1:53">
      <c r="A641" s="5" t="s">
        <v>674</v>
      </c>
      <c r="B641" s="4" t="s">
        <v>708</v>
      </c>
      <c r="C641" s="3"/>
      <c r="D641" s="2">
        <v>233037</v>
      </c>
      <c r="E641" s="425">
        <v>10</v>
      </c>
      <c r="F641" s="582"/>
      <c r="G641" s="585"/>
      <c r="H641" s="582"/>
      <c r="I641" s="585"/>
      <c r="J641" s="582">
        <v>9696</v>
      </c>
      <c r="K641" s="585">
        <v>9888</v>
      </c>
      <c r="L641" s="582">
        <v>2844</v>
      </c>
      <c r="M641" s="585">
        <v>3168</v>
      </c>
      <c r="N641" s="582">
        <v>10880</v>
      </c>
      <c r="O641" s="585">
        <v>10347</v>
      </c>
      <c r="P641" s="583">
        <f t="shared" si="180"/>
        <v>23420</v>
      </c>
      <c r="Q641" s="583">
        <f t="shared" si="181"/>
        <v>780.66666666666663</v>
      </c>
      <c r="R641" s="584">
        <f t="shared" si="182"/>
        <v>23403</v>
      </c>
      <c r="S641" s="584">
        <f t="shared" si="183"/>
        <v>780.1</v>
      </c>
      <c r="T641" s="582">
        <v>15053</v>
      </c>
      <c r="U641" s="585">
        <v>15017</v>
      </c>
      <c r="V641" s="583">
        <f t="shared" si="184"/>
        <v>23420</v>
      </c>
      <c r="W641" s="584">
        <f t="shared" si="179"/>
        <v>23403</v>
      </c>
      <c r="X641" s="582"/>
      <c r="Y641" s="585"/>
      <c r="Z641" s="582"/>
      <c r="AA641" s="585"/>
      <c r="AB641" s="582"/>
      <c r="AC641" s="585"/>
      <c r="AD641" s="582"/>
      <c r="AE641" s="585"/>
      <c r="AF641" s="583">
        <f t="shared" si="185"/>
        <v>0</v>
      </c>
      <c r="AG641" s="583">
        <f t="shared" si="186"/>
        <v>0</v>
      </c>
      <c r="AH641" s="584">
        <f t="shared" si="187"/>
        <v>0</v>
      </c>
      <c r="AI641" s="584">
        <f t="shared" si="188"/>
        <v>0</v>
      </c>
      <c r="AJ641" s="582"/>
      <c r="AK641" s="585"/>
      <c r="AL641" s="583">
        <f t="shared" si="171"/>
        <v>0</v>
      </c>
      <c r="AM641" s="584">
        <f t="shared" si="172"/>
        <v>0</v>
      </c>
      <c r="AN641" s="582"/>
      <c r="AO641" s="585"/>
      <c r="AP641" s="582"/>
      <c r="AQ641" s="585"/>
      <c r="AR641" s="582"/>
      <c r="AS641" s="585"/>
      <c r="AT641" s="582"/>
      <c r="AU641" s="585"/>
      <c r="AV641" s="583">
        <f t="shared" si="173"/>
        <v>0</v>
      </c>
      <c r="AW641" s="583">
        <f t="shared" si="174"/>
        <v>0</v>
      </c>
      <c r="AX641" s="584">
        <f t="shared" si="175"/>
        <v>0</v>
      </c>
      <c r="AY641" s="584">
        <f t="shared" si="176"/>
        <v>0</v>
      </c>
      <c r="AZ641" s="583">
        <f t="shared" si="177"/>
        <v>780.66666666666663</v>
      </c>
      <c r="BA641" s="584">
        <f t="shared" si="178"/>
        <v>780.1</v>
      </c>
    </row>
    <row r="642" spans="1:53">
      <c r="A642" s="5" t="s">
        <v>674</v>
      </c>
      <c r="B642" s="4" t="s">
        <v>709</v>
      </c>
      <c r="C642" s="3"/>
      <c r="D642" s="2">
        <v>233310</v>
      </c>
      <c r="E642" s="425">
        <v>10</v>
      </c>
      <c r="F642" s="582"/>
      <c r="G642" s="585"/>
      <c r="H642" s="582"/>
      <c r="I642" s="585"/>
      <c r="J642" s="582">
        <v>22862</v>
      </c>
      <c r="K642" s="585">
        <v>20918</v>
      </c>
      <c r="L642" s="582">
        <v>5797</v>
      </c>
      <c r="M642" s="585">
        <v>5806</v>
      </c>
      <c r="N642" s="582">
        <v>25180</v>
      </c>
      <c r="O642" s="585">
        <v>24082</v>
      </c>
      <c r="P642" s="583">
        <f t="shared" si="180"/>
        <v>53839</v>
      </c>
      <c r="Q642" s="583">
        <f t="shared" si="181"/>
        <v>1794.6333333333334</v>
      </c>
      <c r="R642" s="584">
        <f t="shared" si="182"/>
        <v>50806</v>
      </c>
      <c r="S642" s="584">
        <f t="shared" si="183"/>
        <v>1693.5333333333333</v>
      </c>
      <c r="T642" s="582">
        <v>44315</v>
      </c>
      <c r="U642" s="585">
        <v>40765</v>
      </c>
      <c r="V642" s="583">
        <f t="shared" si="184"/>
        <v>53839</v>
      </c>
      <c r="W642" s="584">
        <f t="shared" si="179"/>
        <v>50806</v>
      </c>
      <c r="X642" s="582"/>
      <c r="Y642" s="585"/>
      <c r="Z642" s="582"/>
      <c r="AA642" s="585"/>
      <c r="AB642" s="582"/>
      <c r="AC642" s="585"/>
      <c r="AD642" s="582"/>
      <c r="AE642" s="585"/>
      <c r="AF642" s="583">
        <f t="shared" si="185"/>
        <v>0</v>
      </c>
      <c r="AG642" s="583">
        <f t="shared" si="186"/>
        <v>0</v>
      </c>
      <c r="AH642" s="584">
        <f t="shared" si="187"/>
        <v>0</v>
      </c>
      <c r="AI642" s="584">
        <f t="shared" si="188"/>
        <v>0</v>
      </c>
      <c r="AJ642" s="582"/>
      <c r="AK642" s="585"/>
      <c r="AL642" s="583">
        <f t="shared" si="171"/>
        <v>0</v>
      </c>
      <c r="AM642" s="584">
        <f t="shared" si="172"/>
        <v>0</v>
      </c>
      <c r="AN642" s="582"/>
      <c r="AO642" s="585"/>
      <c r="AP642" s="582"/>
      <c r="AQ642" s="585"/>
      <c r="AR642" s="582"/>
      <c r="AS642" s="585"/>
      <c r="AT642" s="582"/>
      <c r="AU642" s="585"/>
      <c r="AV642" s="583">
        <f t="shared" si="173"/>
        <v>0</v>
      </c>
      <c r="AW642" s="583">
        <f t="shared" si="174"/>
        <v>0</v>
      </c>
      <c r="AX642" s="584">
        <f t="shared" si="175"/>
        <v>0</v>
      </c>
      <c r="AY642" s="584">
        <f t="shared" si="176"/>
        <v>0</v>
      </c>
      <c r="AZ642" s="583">
        <f t="shared" si="177"/>
        <v>1794.6333333333334</v>
      </c>
      <c r="BA642" s="584">
        <f t="shared" si="178"/>
        <v>1693.5333333333333</v>
      </c>
    </row>
    <row r="643" spans="1:53">
      <c r="A643" s="5" t="s">
        <v>674</v>
      </c>
      <c r="B643" s="447" t="s">
        <v>710</v>
      </c>
      <c r="C643" s="3"/>
      <c r="D643" s="2">
        <v>233338</v>
      </c>
      <c r="E643" s="425">
        <v>10</v>
      </c>
      <c r="F643" s="582"/>
      <c r="G643" s="585"/>
      <c r="H643" s="582"/>
      <c r="I643" s="585"/>
      <c r="J643" s="582">
        <v>16772</v>
      </c>
      <c r="K643" s="585">
        <v>16910</v>
      </c>
      <c r="L643" s="582">
        <v>1166</v>
      </c>
      <c r="M643" s="585">
        <v>1586</v>
      </c>
      <c r="N643" s="582">
        <v>20013</v>
      </c>
      <c r="O643" s="585">
        <v>19383</v>
      </c>
      <c r="P643" s="583">
        <f t="shared" si="180"/>
        <v>37951</v>
      </c>
      <c r="Q643" s="583">
        <f t="shared" si="181"/>
        <v>1265.0333333333333</v>
      </c>
      <c r="R643" s="584">
        <f t="shared" si="182"/>
        <v>37879</v>
      </c>
      <c r="S643" s="584">
        <f t="shared" si="183"/>
        <v>1262.6333333333334</v>
      </c>
      <c r="T643" s="582">
        <v>27380</v>
      </c>
      <c r="U643" s="585">
        <v>27079</v>
      </c>
      <c r="V643" s="583">
        <f t="shared" si="184"/>
        <v>37951</v>
      </c>
      <c r="W643" s="584">
        <f t="shared" si="179"/>
        <v>37879</v>
      </c>
      <c r="X643" s="582"/>
      <c r="Y643" s="585"/>
      <c r="Z643" s="582"/>
      <c r="AA643" s="585"/>
      <c r="AB643" s="582"/>
      <c r="AC643" s="585"/>
      <c r="AD643" s="582"/>
      <c r="AE643" s="585"/>
      <c r="AF643" s="583">
        <f t="shared" si="185"/>
        <v>0</v>
      </c>
      <c r="AG643" s="583">
        <f t="shared" si="186"/>
        <v>0</v>
      </c>
      <c r="AH643" s="584">
        <f t="shared" si="187"/>
        <v>0</v>
      </c>
      <c r="AI643" s="584">
        <f t="shared" si="188"/>
        <v>0</v>
      </c>
      <c r="AJ643" s="582"/>
      <c r="AK643" s="585"/>
      <c r="AL643" s="583">
        <f t="shared" si="171"/>
        <v>0</v>
      </c>
      <c r="AM643" s="584">
        <f t="shared" si="172"/>
        <v>0</v>
      </c>
      <c r="AN643" s="582"/>
      <c r="AO643" s="585"/>
      <c r="AP643" s="582"/>
      <c r="AQ643" s="585"/>
      <c r="AR643" s="582"/>
      <c r="AS643" s="585"/>
      <c r="AT643" s="582"/>
      <c r="AU643" s="585"/>
      <c r="AV643" s="583">
        <f t="shared" si="173"/>
        <v>0</v>
      </c>
      <c r="AW643" s="583">
        <f t="shared" si="174"/>
        <v>0</v>
      </c>
      <c r="AX643" s="584">
        <f t="shared" si="175"/>
        <v>0</v>
      </c>
      <c r="AY643" s="584">
        <f t="shared" si="176"/>
        <v>0</v>
      </c>
      <c r="AZ643" s="583">
        <f t="shared" si="177"/>
        <v>1265.0333333333333</v>
      </c>
      <c r="BA643" s="584">
        <f t="shared" si="178"/>
        <v>1262.6333333333334</v>
      </c>
    </row>
    <row r="644" spans="1:53">
      <c r="A644" s="5" t="s">
        <v>674</v>
      </c>
      <c r="B644" s="4" t="s">
        <v>711</v>
      </c>
      <c r="C644" s="1"/>
      <c r="D644" s="2">
        <v>233648</v>
      </c>
      <c r="E644" s="425">
        <v>10</v>
      </c>
      <c r="F644" s="582"/>
      <c r="G644" s="585"/>
      <c r="H644" s="582"/>
      <c r="I644" s="585"/>
      <c r="J644" s="582">
        <v>18881</v>
      </c>
      <c r="K644" s="585">
        <v>19005</v>
      </c>
      <c r="L644" s="582">
        <v>6772</v>
      </c>
      <c r="M644" s="585">
        <v>5520</v>
      </c>
      <c r="N644" s="582">
        <v>22714</v>
      </c>
      <c r="O644" s="585">
        <v>23028</v>
      </c>
      <c r="P644" s="583">
        <f t="shared" si="180"/>
        <v>48367</v>
      </c>
      <c r="Q644" s="583">
        <f t="shared" si="181"/>
        <v>1612.2333333333333</v>
      </c>
      <c r="R644" s="584">
        <f t="shared" si="182"/>
        <v>47553</v>
      </c>
      <c r="S644" s="584">
        <f t="shared" si="183"/>
        <v>1585.1</v>
      </c>
      <c r="T644" s="582">
        <v>17095</v>
      </c>
      <c r="U644" s="585">
        <v>17717</v>
      </c>
      <c r="V644" s="583">
        <f t="shared" si="184"/>
        <v>48367</v>
      </c>
      <c r="W644" s="584">
        <f t="shared" si="179"/>
        <v>47553</v>
      </c>
      <c r="X644" s="582"/>
      <c r="Y644" s="585"/>
      <c r="Z644" s="582"/>
      <c r="AA644" s="585"/>
      <c r="AB644" s="582"/>
      <c r="AC644" s="585"/>
      <c r="AD644" s="582"/>
      <c r="AE644" s="585"/>
      <c r="AF644" s="583">
        <f t="shared" si="185"/>
        <v>0</v>
      </c>
      <c r="AG644" s="583">
        <f t="shared" si="186"/>
        <v>0</v>
      </c>
      <c r="AH644" s="584">
        <f t="shared" si="187"/>
        <v>0</v>
      </c>
      <c r="AI644" s="584">
        <f t="shared" si="188"/>
        <v>0</v>
      </c>
      <c r="AJ644" s="582"/>
      <c r="AK644" s="585"/>
      <c r="AL644" s="583">
        <f t="shared" si="171"/>
        <v>0</v>
      </c>
      <c r="AM644" s="584">
        <f t="shared" si="172"/>
        <v>0</v>
      </c>
      <c r="AN644" s="582"/>
      <c r="AO644" s="585"/>
      <c r="AP644" s="582"/>
      <c r="AQ644" s="585"/>
      <c r="AR644" s="582"/>
      <c r="AS644" s="585"/>
      <c r="AT644" s="582"/>
      <c r="AU644" s="585"/>
      <c r="AV644" s="583">
        <f t="shared" si="173"/>
        <v>0</v>
      </c>
      <c r="AW644" s="583">
        <f t="shared" si="174"/>
        <v>0</v>
      </c>
      <c r="AX644" s="584">
        <f t="shared" si="175"/>
        <v>0</v>
      </c>
      <c r="AY644" s="584">
        <f t="shared" si="176"/>
        <v>0</v>
      </c>
      <c r="AZ644" s="583">
        <f t="shared" si="177"/>
        <v>1612.2333333333333</v>
      </c>
      <c r="BA644" s="584">
        <f t="shared" si="178"/>
        <v>1585.1</v>
      </c>
    </row>
    <row r="645" spans="1:53">
      <c r="A645" s="5" t="s">
        <v>674</v>
      </c>
      <c r="B645" s="4" t="s">
        <v>712</v>
      </c>
      <c r="C645" s="3"/>
      <c r="D645" s="2">
        <v>233903</v>
      </c>
      <c r="E645" s="425">
        <v>10</v>
      </c>
      <c r="F645" s="582"/>
      <c r="G645" s="585"/>
      <c r="H645" s="582"/>
      <c r="I645" s="585"/>
      <c r="J645" s="582">
        <v>18616</v>
      </c>
      <c r="K645" s="585">
        <v>18809</v>
      </c>
      <c r="L645" s="582">
        <v>3667</v>
      </c>
      <c r="M645" s="585">
        <v>3759</v>
      </c>
      <c r="N645" s="582">
        <v>21502</v>
      </c>
      <c r="O645" s="585">
        <v>21325</v>
      </c>
      <c r="P645" s="583">
        <f t="shared" si="180"/>
        <v>43785</v>
      </c>
      <c r="Q645" s="583">
        <f t="shared" si="181"/>
        <v>1459.5</v>
      </c>
      <c r="R645" s="584">
        <f t="shared" si="182"/>
        <v>43893</v>
      </c>
      <c r="S645" s="584">
        <f t="shared" si="183"/>
        <v>1463.1</v>
      </c>
      <c r="T645" s="582">
        <v>21131</v>
      </c>
      <c r="U645" s="585">
        <v>20603</v>
      </c>
      <c r="V645" s="583">
        <f t="shared" si="184"/>
        <v>43785</v>
      </c>
      <c r="W645" s="584">
        <f t="shared" si="179"/>
        <v>43893</v>
      </c>
      <c r="X645" s="582"/>
      <c r="Y645" s="585"/>
      <c r="Z645" s="582"/>
      <c r="AA645" s="585"/>
      <c r="AB645" s="582"/>
      <c r="AC645" s="585"/>
      <c r="AD645" s="582"/>
      <c r="AE645" s="585"/>
      <c r="AF645" s="583">
        <f t="shared" si="185"/>
        <v>0</v>
      </c>
      <c r="AG645" s="583">
        <f t="shared" si="186"/>
        <v>0</v>
      </c>
      <c r="AH645" s="584">
        <f t="shared" si="187"/>
        <v>0</v>
      </c>
      <c r="AI645" s="584">
        <f t="shared" si="188"/>
        <v>0</v>
      </c>
      <c r="AJ645" s="582"/>
      <c r="AK645" s="585"/>
      <c r="AL645" s="583">
        <f t="shared" si="171"/>
        <v>0</v>
      </c>
      <c r="AM645" s="584">
        <f t="shared" si="172"/>
        <v>0</v>
      </c>
      <c r="AN645" s="582"/>
      <c r="AO645" s="585"/>
      <c r="AP645" s="582"/>
      <c r="AQ645" s="585"/>
      <c r="AR645" s="582"/>
      <c r="AS645" s="585"/>
      <c r="AT645" s="582"/>
      <c r="AU645" s="585"/>
      <c r="AV645" s="583">
        <f t="shared" si="173"/>
        <v>0</v>
      </c>
      <c r="AW645" s="583">
        <f t="shared" si="174"/>
        <v>0</v>
      </c>
      <c r="AX645" s="584">
        <f t="shared" si="175"/>
        <v>0</v>
      </c>
      <c r="AY645" s="584">
        <f t="shared" si="176"/>
        <v>0</v>
      </c>
      <c r="AZ645" s="583">
        <f t="shared" si="177"/>
        <v>1459.5</v>
      </c>
      <c r="BA645" s="584">
        <f t="shared" si="178"/>
        <v>1463.1</v>
      </c>
    </row>
    <row r="646" spans="1:53" ht="14.5">
      <c r="A646" s="5" t="s">
        <v>674</v>
      </c>
      <c r="B646" s="4" t="s">
        <v>704</v>
      </c>
      <c r="C646" s="540"/>
      <c r="D646" s="2">
        <v>234377</v>
      </c>
      <c r="E646" s="425">
        <v>10</v>
      </c>
      <c r="F646" s="582"/>
      <c r="G646" s="585"/>
      <c r="H646" s="582"/>
      <c r="I646" s="585"/>
      <c r="J646" s="582">
        <v>21216</v>
      </c>
      <c r="K646" s="585">
        <v>20070</v>
      </c>
      <c r="L646" s="582">
        <v>4911</v>
      </c>
      <c r="M646" s="585">
        <v>4658</v>
      </c>
      <c r="N646" s="582">
        <v>22057</v>
      </c>
      <c r="O646" s="585">
        <v>21986</v>
      </c>
      <c r="P646" s="583">
        <f t="shared" si="180"/>
        <v>48184</v>
      </c>
      <c r="Q646" s="583">
        <f t="shared" si="181"/>
        <v>1606.1333333333334</v>
      </c>
      <c r="R646" s="584">
        <f t="shared" si="182"/>
        <v>46714</v>
      </c>
      <c r="S646" s="584">
        <f t="shared" si="183"/>
        <v>1557.1333333333334</v>
      </c>
      <c r="T646" s="582">
        <v>29655</v>
      </c>
      <c r="U646" s="585">
        <v>27982</v>
      </c>
      <c r="V646" s="583">
        <f t="shared" si="184"/>
        <v>48184</v>
      </c>
      <c r="W646" s="584">
        <f t="shared" si="179"/>
        <v>46714</v>
      </c>
      <c r="X646" s="582"/>
      <c r="Y646" s="585"/>
      <c r="Z646" s="582"/>
      <c r="AA646" s="585"/>
      <c r="AB646" s="582"/>
      <c r="AC646" s="585"/>
      <c r="AD646" s="582"/>
      <c r="AE646" s="585"/>
      <c r="AF646" s="583">
        <f t="shared" si="185"/>
        <v>0</v>
      </c>
      <c r="AG646" s="583">
        <f t="shared" si="186"/>
        <v>0</v>
      </c>
      <c r="AH646" s="584">
        <f t="shared" si="187"/>
        <v>0</v>
      </c>
      <c r="AI646" s="584">
        <f t="shared" si="188"/>
        <v>0</v>
      </c>
      <c r="AJ646" s="582"/>
      <c r="AK646" s="585"/>
      <c r="AL646" s="583">
        <f t="shared" si="171"/>
        <v>0</v>
      </c>
      <c r="AM646" s="584">
        <f t="shared" si="172"/>
        <v>0</v>
      </c>
      <c r="AN646" s="582"/>
      <c r="AO646" s="585"/>
      <c r="AP646" s="582"/>
      <c r="AQ646" s="585"/>
      <c r="AR646" s="582"/>
      <c r="AS646" s="585"/>
      <c r="AT646" s="582"/>
      <c r="AU646" s="585"/>
      <c r="AV646" s="583">
        <f t="shared" si="173"/>
        <v>0</v>
      </c>
      <c r="AW646" s="583">
        <f t="shared" si="174"/>
        <v>0</v>
      </c>
      <c r="AX646" s="584">
        <f t="shared" si="175"/>
        <v>0</v>
      </c>
      <c r="AY646" s="584">
        <f t="shared" si="176"/>
        <v>0</v>
      </c>
      <c r="AZ646" s="583">
        <f t="shared" si="177"/>
        <v>1606.1333333333334</v>
      </c>
      <c r="BA646" s="584">
        <f t="shared" si="178"/>
        <v>1557.1333333333334</v>
      </c>
    </row>
    <row r="647" spans="1:53" ht="12.5">
      <c r="A647" s="5" t="s">
        <v>674</v>
      </c>
      <c r="B647" s="448" t="s">
        <v>713</v>
      </c>
      <c r="C647" s="449"/>
      <c r="D647" s="5" t="s">
        <v>714</v>
      </c>
      <c r="E647" s="40">
        <v>11</v>
      </c>
      <c r="F647" s="582"/>
      <c r="G647" s="585"/>
      <c r="H647" s="582"/>
      <c r="I647" s="585"/>
      <c r="J647" s="582">
        <v>1245680</v>
      </c>
      <c r="K647" s="585">
        <f>SUM(K623:K646)-K643</f>
        <v>1226533</v>
      </c>
      <c r="L647" s="582">
        <v>365339</v>
      </c>
      <c r="M647" s="585">
        <f>SUM(M623:M646)-M643</f>
        <v>376716</v>
      </c>
      <c r="N647" s="582">
        <v>1340366</v>
      </c>
      <c r="O647" s="585">
        <f>SUM(O623:O646)-O643</f>
        <v>1326707</v>
      </c>
      <c r="P647" s="583">
        <f t="shared" si="180"/>
        <v>2951385</v>
      </c>
      <c r="Q647" s="583">
        <f t="shared" si="181"/>
        <v>98379.5</v>
      </c>
      <c r="R647" s="584">
        <f t="shared" si="182"/>
        <v>2929956</v>
      </c>
      <c r="S647" s="584">
        <f t="shared" si="183"/>
        <v>97665.2</v>
      </c>
      <c r="T647" s="582">
        <v>845453</v>
      </c>
      <c r="U647" s="585">
        <f>SUM(U623:U646)-U643</f>
        <v>890041</v>
      </c>
      <c r="V647" s="583">
        <f t="shared" si="184"/>
        <v>2951385</v>
      </c>
      <c r="W647" s="584">
        <f t="shared" si="179"/>
        <v>2929956</v>
      </c>
      <c r="X647" s="582"/>
      <c r="Y647" s="585"/>
      <c r="Z647" s="582"/>
      <c r="AA647" s="585"/>
      <c r="AB647" s="582"/>
      <c r="AC647" s="585"/>
      <c r="AD647" s="582"/>
      <c r="AE647" s="585"/>
      <c r="AF647" s="583">
        <f t="shared" si="185"/>
        <v>0</v>
      </c>
      <c r="AG647" s="583">
        <f t="shared" si="186"/>
        <v>0</v>
      </c>
      <c r="AH647" s="584">
        <f t="shared" si="187"/>
        <v>0</v>
      </c>
      <c r="AI647" s="584">
        <f t="shared" si="188"/>
        <v>0</v>
      </c>
      <c r="AJ647" s="582"/>
      <c r="AK647" s="585"/>
      <c r="AL647" s="583">
        <f t="shared" ref="AL647:AL671" si="189">IF(ISBLANK(AJ647),0,AF647)</f>
        <v>0</v>
      </c>
      <c r="AM647" s="584">
        <f t="shared" ref="AM647:AM671" si="190">IF(ISBLANK(AK647),0,AH647)</f>
        <v>0</v>
      </c>
      <c r="AN647" s="582"/>
      <c r="AO647" s="585"/>
      <c r="AP647" s="582"/>
      <c r="AQ647" s="585"/>
      <c r="AR647" s="582"/>
      <c r="AS647" s="585"/>
      <c r="AT647" s="582"/>
      <c r="AU647" s="585"/>
      <c r="AV647" s="583">
        <f t="shared" ref="AV647:AV672" si="191">SUM(AN647,AP647,AR647,AT647)</f>
        <v>0</v>
      </c>
      <c r="AW647" s="583">
        <f t="shared" ref="AW647:AW672" si="192">+AV647/24</f>
        <v>0</v>
      </c>
      <c r="AX647" s="584">
        <f t="shared" ref="AX647:AX672" si="193">SUM(AO647,AQ647,AS647,AU647)</f>
        <v>0</v>
      </c>
      <c r="AY647" s="584">
        <f t="shared" ref="AY647:AY672" si="194">+AX647/24</f>
        <v>0</v>
      </c>
      <c r="AZ647" s="583">
        <f t="shared" ref="AZ647:AZ672" si="195">SUM(Q647,AG647,AW647)</f>
        <v>98379.5</v>
      </c>
      <c r="BA647" s="584">
        <f t="shared" ref="BA647:BA672" si="196">SUM(S647,AI647,AY647)</f>
        <v>97665.2</v>
      </c>
    </row>
    <row r="648" spans="1:53" ht="12.5">
      <c r="A648" s="5" t="s">
        <v>674</v>
      </c>
      <c r="B648" s="450"/>
      <c r="C648" s="451" t="s">
        <v>715</v>
      </c>
      <c r="D648" s="5"/>
      <c r="E648" s="40" t="s">
        <v>669</v>
      </c>
      <c r="F648" s="582"/>
      <c r="G648" s="585"/>
      <c r="H648" s="582"/>
      <c r="I648" s="585"/>
      <c r="J648" s="582">
        <v>787028</v>
      </c>
      <c r="K648" s="585">
        <f>SUM(K623:K627)</f>
        <v>762232</v>
      </c>
      <c r="L648" s="582">
        <v>255078</v>
      </c>
      <c r="M648" s="585">
        <f>SUM(M623:M627)</f>
        <v>259978</v>
      </c>
      <c r="N648" s="582">
        <v>823684</v>
      </c>
      <c r="O648" s="585">
        <f>SUM(O623:O627)</f>
        <v>797739</v>
      </c>
      <c r="P648" s="583">
        <f t="shared" si="180"/>
        <v>1865790</v>
      </c>
      <c r="Q648" s="583">
        <f t="shared" si="181"/>
        <v>62193</v>
      </c>
      <c r="R648" s="584">
        <f t="shared" si="182"/>
        <v>1819949</v>
      </c>
      <c r="S648" s="584">
        <f t="shared" si="183"/>
        <v>60664.966666666667</v>
      </c>
      <c r="T648" s="582">
        <v>307146</v>
      </c>
      <c r="U648" s="585">
        <f>SUM(U623:U627)</f>
        <v>337929</v>
      </c>
      <c r="V648" s="583">
        <f t="shared" si="184"/>
        <v>1865790</v>
      </c>
      <c r="W648" s="584">
        <f t="shared" si="179"/>
        <v>1819949</v>
      </c>
      <c r="X648" s="582"/>
      <c r="Y648" s="585"/>
      <c r="Z648" s="582"/>
      <c r="AA648" s="585"/>
      <c r="AB648" s="582"/>
      <c r="AC648" s="585"/>
      <c r="AD648" s="582"/>
      <c r="AE648" s="585"/>
      <c r="AF648" s="583">
        <f t="shared" si="185"/>
        <v>0</v>
      </c>
      <c r="AG648" s="583">
        <f t="shared" si="186"/>
        <v>0</v>
      </c>
      <c r="AH648" s="584">
        <f t="shared" si="187"/>
        <v>0</v>
      </c>
      <c r="AI648" s="584">
        <f t="shared" si="188"/>
        <v>0</v>
      </c>
      <c r="AJ648" s="582"/>
      <c r="AK648" s="585"/>
      <c r="AL648" s="583">
        <f t="shared" si="189"/>
        <v>0</v>
      </c>
      <c r="AM648" s="584">
        <f t="shared" si="190"/>
        <v>0</v>
      </c>
      <c r="AN648" s="582"/>
      <c r="AO648" s="585"/>
      <c r="AP648" s="582"/>
      <c r="AQ648" s="585"/>
      <c r="AR648" s="582"/>
      <c r="AS648" s="585"/>
      <c r="AT648" s="582"/>
      <c r="AU648" s="585"/>
      <c r="AV648" s="583">
        <f t="shared" si="191"/>
        <v>0</v>
      </c>
      <c r="AW648" s="583">
        <f t="shared" si="192"/>
        <v>0</v>
      </c>
      <c r="AX648" s="584">
        <f t="shared" si="193"/>
        <v>0</v>
      </c>
      <c r="AY648" s="584">
        <f t="shared" si="194"/>
        <v>0</v>
      </c>
      <c r="AZ648" s="583">
        <f t="shared" si="195"/>
        <v>62193</v>
      </c>
      <c r="BA648" s="584">
        <f t="shared" si="196"/>
        <v>60664.966666666667</v>
      </c>
    </row>
    <row r="649" spans="1:53" ht="12.5">
      <c r="A649" s="5" t="s">
        <v>674</v>
      </c>
      <c r="B649" s="452"/>
      <c r="C649" s="453" t="s">
        <v>716</v>
      </c>
      <c r="D649" s="5"/>
      <c r="E649" s="40" t="s">
        <v>670</v>
      </c>
      <c r="F649" s="582"/>
      <c r="G649" s="585"/>
      <c r="H649" s="582"/>
      <c r="I649" s="585"/>
      <c r="J649" s="582">
        <v>334261</v>
      </c>
      <c r="K649" s="585">
        <f>SUM(K628:K635)</f>
        <v>299634</v>
      </c>
      <c r="L649" s="582">
        <v>80104</v>
      </c>
      <c r="M649" s="585">
        <f>SUM(M628:M635)</f>
        <v>76153</v>
      </c>
      <c r="N649" s="582">
        <v>375217</v>
      </c>
      <c r="O649" s="585">
        <f>SUM(O628:O635)</f>
        <v>342257</v>
      </c>
      <c r="P649" s="583">
        <f t="shared" si="180"/>
        <v>789582</v>
      </c>
      <c r="Q649" s="583">
        <f t="shared" si="181"/>
        <v>26319.4</v>
      </c>
      <c r="R649" s="584">
        <f t="shared" si="182"/>
        <v>718044</v>
      </c>
      <c r="S649" s="584">
        <f t="shared" si="183"/>
        <v>23934.799999999999</v>
      </c>
      <c r="T649" s="582">
        <v>371470</v>
      </c>
      <c r="U649" s="585">
        <f>SUM(U628:U635)</f>
        <v>336554</v>
      </c>
      <c r="V649" s="583">
        <f t="shared" si="184"/>
        <v>789582</v>
      </c>
      <c r="W649" s="584">
        <f t="shared" si="179"/>
        <v>718044</v>
      </c>
      <c r="X649" s="582"/>
      <c r="Y649" s="585"/>
      <c r="Z649" s="582"/>
      <c r="AA649" s="585"/>
      <c r="AB649" s="582"/>
      <c r="AC649" s="585"/>
      <c r="AD649" s="582"/>
      <c r="AE649" s="585"/>
      <c r="AF649" s="583">
        <f t="shared" si="185"/>
        <v>0</v>
      </c>
      <c r="AG649" s="583">
        <f t="shared" si="186"/>
        <v>0</v>
      </c>
      <c r="AH649" s="584">
        <f t="shared" si="187"/>
        <v>0</v>
      </c>
      <c r="AI649" s="584">
        <f t="shared" si="188"/>
        <v>0</v>
      </c>
      <c r="AJ649" s="582"/>
      <c r="AK649" s="585"/>
      <c r="AL649" s="583">
        <f t="shared" si="189"/>
        <v>0</v>
      </c>
      <c r="AM649" s="584">
        <f t="shared" si="190"/>
        <v>0</v>
      </c>
      <c r="AN649" s="582"/>
      <c r="AO649" s="585"/>
      <c r="AP649" s="582"/>
      <c r="AQ649" s="585"/>
      <c r="AR649" s="582"/>
      <c r="AS649" s="585"/>
      <c r="AT649" s="582"/>
      <c r="AU649" s="585"/>
      <c r="AV649" s="583">
        <f t="shared" si="191"/>
        <v>0</v>
      </c>
      <c r="AW649" s="583">
        <f t="shared" si="192"/>
        <v>0</v>
      </c>
      <c r="AX649" s="584">
        <f t="shared" si="193"/>
        <v>0</v>
      </c>
      <c r="AY649" s="584">
        <f t="shared" si="194"/>
        <v>0</v>
      </c>
      <c r="AZ649" s="583">
        <f t="shared" si="195"/>
        <v>26319.4</v>
      </c>
      <c r="BA649" s="584">
        <f t="shared" si="196"/>
        <v>23934.799999999999</v>
      </c>
    </row>
    <row r="650" spans="1:53" ht="12.5">
      <c r="A650" s="5" t="s">
        <v>674</v>
      </c>
      <c r="B650" s="448" t="s">
        <v>717</v>
      </c>
      <c r="C650" s="447"/>
      <c r="D650" s="5" t="s">
        <v>876</v>
      </c>
      <c r="E650" s="40" t="s">
        <v>671</v>
      </c>
      <c r="F650" s="582"/>
      <c r="G650" s="585"/>
      <c r="H650" s="582"/>
      <c r="I650" s="585"/>
      <c r="J650" s="582">
        <v>16772</v>
      </c>
      <c r="K650" s="585">
        <f>K643</f>
        <v>16910</v>
      </c>
      <c r="L650" s="582">
        <v>1166</v>
      </c>
      <c r="M650" s="585">
        <f>M643</f>
        <v>1586</v>
      </c>
      <c r="N650" s="582">
        <v>20013</v>
      </c>
      <c r="O650" s="585">
        <f>O643</f>
        <v>19383</v>
      </c>
      <c r="P650" s="583">
        <f t="shared" si="180"/>
        <v>37951</v>
      </c>
      <c r="Q650" s="583">
        <f t="shared" si="181"/>
        <v>1265.0333333333333</v>
      </c>
      <c r="R650" s="584">
        <f t="shared" si="182"/>
        <v>37879</v>
      </c>
      <c r="S650" s="584">
        <f t="shared" si="183"/>
        <v>1262.6333333333334</v>
      </c>
      <c r="T650" s="582">
        <v>27380</v>
      </c>
      <c r="U650" s="585">
        <f>U643</f>
        <v>27079</v>
      </c>
      <c r="V650" s="583">
        <f t="shared" si="184"/>
        <v>37951</v>
      </c>
      <c r="W650" s="584">
        <f t="shared" si="179"/>
        <v>37879</v>
      </c>
      <c r="X650" s="582"/>
      <c r="Y650" s="585"/>
      <c r="Z650" s="582"/>
      <c r="AA650" s="585"/>
      <c r="AB650" s="582"/>
      <c r="AC650" s="585"/>
      <c r="AD650" s="582"/>
      <c r="AE650" s="585"/>
      <c r="AF650" s="583">
        <f t="shared" si="185"/>
        <v>0</v>
      </c>
      <c r="AG650" s="583">
        <f t="shared" si="186"/>
        <v>0</v>
      </c>
      <c r="AH650" s="584">
        <f t="shared" si="187"/>
        <v>0</v>
      </c>
      <c r="AI650" s="584">
        <f t="shared" si="188"/>
        <v>0</v>
      </c>
      <c r="AJ650" s="582"/>
      <c r="AK650" s="585"/>
      <c r="AL650" s="583">
        <f t="shared" si="189"/>
        <v>0</v>
      </c>
      <c r="AM650" s="584">
        <f t="shared" si="190"/>
        <v>0</v>
      </c>
      <c r="AN650" s="582"/>
      <c r="AO650" s="585"/>
      <c r="AP650" s="582"/>
      <c r="AQ650" s="585"/>
      <c r="AR650" s="582"/>
      <c r="AS650" s="585"/>
      <c r="AT650" s="582"/>
      <c r="AU650" s="585"/>
      <c r="AV650" s="583">
        <f t="shared" si="191"/>
        <v>0</v>
      </c>
      <c r="AW650" s="583">
        <f t="shared" si="192"/>
        <v>0</v>
      </c>
      <c r="AX650" s="584">
        <f t="shared" si="193"/>
        <v>0</v>
      </c>
      <c r="AY650" s="584">
        <f t="shared" si="194"/>
        <v>0</v>
      </c>
      <c r="AZ650" s="583">
        <f t="shared" si="195"/>
        <v>1265.0333333333333</v>
      </c>
      <c r="BA650" s="584">
        <f t="shared" si="196"/>
        <v>1262.6333333333334</v>
      </c>
    </row>
    <row r="651" spans="1:53" ht="12.5">
      <c r="A651" s="5" t="s">
        <v>674</v>
      </c>
      <c r="B651" s="454"/>
      <c r="C651" s="455" t="s">
        <v>718</v>
      </c>
      <c r="D651" s="5"/>
      <c r="E651" s="40" t="s">
        <v>671</v>
      </c>
      <c r="F651" s="582"/>
      <c r="G651" s="585"/>
      <c r="H651" s="582"/>
      <c r="I651" s="585"/>
      <c r="J651" s="582">
        <v>145607</v>
      </c>
      <c r="K651" s="585">
        <f>SUM(K636:K646)-K643</f>
        <v>164667</v>
      </c>
      <c r="L651" s="582">
        <v>35068</v>
      </c>
      <c r="M651" s="585">
        <f>SUM(M636:M646)-M643</f>
        <v>40585</v>
      </c>
      <c r="N651" s="582">
        <v>163522</v>
      </c>
      <c r="O651" s="585">
        <f>SUM(O636:O646)-O643</f>
        <v>186711</v>
      </c>
      <c r="P651" s="583">
        <f t="shared" si="180"/>
        <v>344197</v>
      </c>
      <c r="Q651" s="583">
        <f t="shared" si="181"/>
        <v>11473.233333333334</v>
      </c>
      <c r="R651" s="584">
        <f t="shared" si="182"/>
        <v>391963</v>
      </c>
      <c r="S651" s="584">
        <f t="shared" si="183"/>
        <v>13065.433333333332</v>
      </c>
      <c r="T651" s="582">
        <v>196492</v>
      </c>
      <c r="U651" s="585">
        <f>SUM(U636:U646)-U643</f>
        <v>215558</v>
      </c>
      <c r="V651" s="583">
        <f t="shared" si="184"/>
        <v>344197</v>
      </c>
      <c r="W651" s="584">
        <f t="shared" si="179"/>
        <v>391963</v>
      </c>
      <c r="X651" s="582"/>
      <c r="Y651" s="585"/>
      <c r="Z651" s="582"/>
      <c r="AA651" s="585"/>
      <c r="AB651" s="582"/>
      <c r="AC651" s="585"/>
      <c r="AD651" s="582"/>
      <c r="AE651" s="585"/>
      <c r="AF651" s="583">
        <f t="shared" si="185"/>
        <v>0</v>
      </c>
      <c r="AG651" s="583">
        <f t="shared" si="186"/>
        <v>0</v>
      </c>
      <c r="AH651" s="584">
        <f t="shared" si="187"/>
        <v>0</v>
      </c>
      <c r="AI651" s="584">
        <f t="shared" si="188"/>
        <v>0</v>
      </c>
      <c r="AJ651" s="582"/>
      <c r="AK651" s="585"/>
      <c r="AL651" s="583">
        <f t="shared" si="189"/>
        <v>0</v>
      </c>
      <c r="AM651" s="584">
        <f t="shared" si="190"/>
        <v>0</v>
      </c>
      <c r="AN651" s="582"/>
      <c r="AO651" s="585"/>
      <c r="AP651" s="582"/>
      <c r="AQ651" s="585"/>
      <c r="AR651" s="582"/>
      <c r="AS651" s="585"/>
      <c r="AT651" s="582"/>
      <c r="AU651" s="585"/>
      <c r="AV651" s="583">
        <f t="shared" si="191"/>
        <v>0</v>
      </c>
      <c r="AW651" s="583">
        <f t="shared" si="192"/>
        <v>0</v>
      </c>
      <c r="AX651" s="584">
        <f t="shared" si="193"/>
        <v>0</v>
      </c>
      <c r="AY651" s="584">
        <f t="shared" si="194"/>
        <v>0</v>
      </c>
      <c r="AZ651" s="583">
        <f t="shared" si="195"/>
        <v>11473.233333333334</v>
      </c>
      <c r="BA651" s="584">
        <f t="shared" si="196"/>
        <v>13065.433333333332</v>
      </c>
    </row>
    <row r="652" spans="1:53">
      <c r="A652" s="34" t="s">
        <v>456</v>
      </c>
      <c r="B652" s="34" t="s">
        <v>457</v>
      </c>
      <c r="C652" s="35"/>
      <c r="D652" s="36">
        <v>238032</v>
      </c>
      <c r="E652" s="36">
        <v>1</v>
      </c>
      <c r="F652" s="582" t="s">
        <v>74</v>
      </c>
      <c r="G652" s="585" t="s">
        <v>74</v>
      </c>
      <c r="H652" s="587"/>
      <c r="I652" s="585"/>
      <c r="J652" s="587">
        <v>283827</v>
      </c>
      <c r="K652" s="585">
        <v>272304</v>
      </c>
      <c r="L652" s="587">
        <v>45005</v>
      </c>
      <c r="M652" s="585">
        <v>39413</v>
      </c>
      <c r="N652" s="587">
        <v>293368</v>
      </c>
      <c r="O652" s="585">
        <v>295898.5</v>
      </c>
      <c r="P652" s="583">
        <f t="shared" si="180"/>
        <v>622200</v>
      </c>
      <c r="Q652" s="583">
        <f t="shared" si="181"/>
        <v>20740</v>
      </c>
      <c r="R652" s="584">
        <f t="shared" si="182"/>
        <v>607615.5</v>
      </c>
      <c r="S652" s="584">
        <f t="shared" si="183"/>
        <v>20253.849999999999</v>
      </c>
      <c r="T652" s="587">
        <v>4945</v>
      </c>
      <c r="U652" s="585">
        <v>5494</v>
      </c>
      <c r="V652" s="583">
        <f t="shared" si="184"/>
        <v>622200</v>
      </c>
      <c r="W652" s="584">
        <f t="shared" si="179"/>
        <v>607615.5</v>
      </c>
      <c r="X652" s="587"/>
      <c r="Y652" s="585"/>
      <c r="Z652" s="587"/>
      <c r="AA652" s="585"/>
      <c r="AB652" s="587"/>
      <c r="AC652" s="585"/>
      <c r="AD652" s="587"/>
      <c r="AE652" s="585"/>
      <c r="AF652" s="583">
        <f t="shared" si="185"/>
        <v>0</v>
      </c>
      <c r="AG652" s="583">
        <f t="shared" si="186"/>
        <v>0</v>
      </c>
      <c r="AH652" s="584">
        <f t="shared" si="187"/>
        <v>0</v>
      </c>
      <c r="AI652" s="584">
        <f t="shared" si="188"/>
        <v>0</v>
      </c>
      <c r="AJ652" s="587"/>
      <c r="AK652" s="585"/>
      <c r="AL652" s="583">
        <f t="shared" si="189"/>
        <v>0</v>
      </c>
      <c r="AM652" s="584">
        <f t="shared" si="190"/>
        <v>0</v>
      </c>
      <c r="AN652" s="587"/>
      <c r="AO652" s="585"/>
      <c r="AP652" s="587">
        <v>39093</v>
      </c>
      <c r="AQ652" s="585">
        <v>38457</v>
      </c>
      <c r="AR652" s="587">
        <v>11221</v>
      </c>
      <c r="AS652" s="585">
        <v>10844</v>
      </c>
      <c r="AT652" s="587">
        <v>39421</v>
      </c>
      <c r="AU652" s="585">
        <v>39707</v>
      </c>
      <c r="AV652" s="583">
        <f t="shared" si="191"/>
        <v>89735</v>
      </c>
      <c r="AW652" s="583">
        <f t="shared" si="192"/>
        <v>3738.9583333333335</v>
      </c>
      <c r="AX652" s="584">
        <f t="shared" si="193"/>
        <v>89008</v>
      </c>
      <c r="AY652" s="584">
        <f t="shared" si="194"/>
        <v>3708.6666666666665</v>
      </c>
      <c r="AZ652" s="583">
        <f t="shared" si="195"/>
        <v>24478.958333333332</v>
      </c>
      <c r="BA652" s="584">
        <f t="shared" si="196"/>
        <v>23962.516666666666</v>
      </c>
    </row>
    <row r="653" spans="1:53">
      <c r="A653" s="34" t="s">
        <v>456</v>
      </c>
      <c r="B653" s="34" t="s">
        <v>458</v>
      </c>
      <c r="C653" s="35"/>
      <c r="D653" s="36">
        <v>237525</v>
      </c>
      <c r="E653" s="36">
        <v>3</v>
      </c>
      <c r="F653" s="582" t="s">
        <v>74</v>
      </c>
      <c r="G653" s="585" t="s">
        <v>74</v>
      </c>
      <c r="H653" s="587"/>
      <c r="I653" s="585"/>
      <c r="J653" s="587">
        <v>117767</v>
      </c>
      <c r="K653" s="585">
        <v>112777</v>
      </c>
      <c r="L653" s="587">
        <v>11542</v>
      </c>
      <c r="M653" s="585">
        <v>10949</v>
      </c>
      <c r="N653" s="587">
        <v>125285</v>
      </c>
      <c r="O653" s="585">
        <v>120831</v>
      </c>
      <c r="P653" s="583">
        <f t="shared" si="180"/>
        <v>254594</v>
      </c>
      <c r="Q653" s="583">
        <f t="shared" si="181"/>
        <v>8486.4666666666672</v>
      </c>
      <c r="R653" s="584">
        <f t="shared" si="182"/>
        <v>244557</v>
      </c>
      <c r="S653" s="584">
        <f t="shared" si="183"/>
        <v>8151.9</v>
      </c>
      <c r="T653" s="587">
        <v>13374</v>
      </c>
      <c r="U653" s="585">
        <v>15505</v>
      </c>
      <c r="V653" s="583">
        <f t="shared" si="184"/>
        <v>254594</v>
      </c>
      <c r="W653" s="584">
        <f t="shared" si="179"/>
        <v>244557</v>
      </c>
      <c r="X653" s="587"/>
      <c r="Y653" s="585"/>
      <c r="Z653" s="587"/>
      <c r="AA653" s="585"/>
      <c r="AB653" s="587"/>
      <c r="AC653" s="585"/>
      <c r="AD653" s="587"/>
      <c r="AE653" s="585"/>
      <c r="AF653" s="583">
        <f t="shared" si="185"/>
        <v>0</v>
      </c>
      <c r="AG653" s="583">
        <f t="shared" si="186"/>
        <v>0</v>
      </c>
      <c r="AH653" s="584">
        <f t="shared" si="187"/>
        <v>0</v>
      </c>
      <c r="AI653" s="584">
        <f t="shared" si="188"/>
        <v>0</v>
      </c>
      <c r="AJ653" s="587"/>
      <c r="AK653" s="585"/>
      <c r="AL653" s="583">
        <f t="shared" si="189"/>
        <v>0</v>
      </c>
      <c r="AM653" s="584">
        <f t="shared" si="190"/>
        <v>0</v>
      </c>
      <c r="AN653" s="587"/>
      <c r="AO653" s="585"/>
      <c r="AP653" s="587">
        <v>29578</v>
      </c>
      <c r="AQ653" s="585">
        <v>28006</v>
      </c>
      <c r="AR653" s="587">
        <v>11837</v>
      </c>
      <c r="AS653" s="585">
        <v>11733</v>
      </c>
      <c r="AT653" s="587">
        <v>28340</v>
      </c>
      <c r="AU653" s="585">
        <v>26699</v>
      </c>
      <c r="AV653" s="583">
        <f t="shared" si="191"/>
        <v>69755</v>
      </c>
      <c r="AW653" s="583">
        <f t="shared" si="192"/>
        <v>2906.4583333333335</v>
      </c>
      <c r="AX653" s="584">
        <f t="shared" si="193"/>
        <v>66438</v>
      </c>
      <c r="AY653" s="584">
        <f t="shared" si="194"/>
        <v>2768.25</v>
      </c>
      <c r="AZ653" s="583">
        <f t="shared" si="195"/>
        <v>11392.925000000001</v>
      </c>
      <c r="BA653" s="584">
        <f t="shared" si="196"/>
        <v>10920.15</v>
      </c>
    </row>
    <row r="654" spans="1:53" ht="14.5">
      <c r="A654" s="34" t="s">
        <v>456</v>
      </c>
      <c r="B654" s="34" t="s">
        <v>462</v>
      </c>
      <c r="C654" s="543"/>
      <c r="D654" s="36">
        <v>237330</v>
      </c>
      <c r="E654" s="36">
        <v>5</v>
      </c>
      <c r="F654" s="582" t="s">
        <v>74</v>
      </c>
      <c r="G654" s="585" t="s">
        <v>74</v>
      </c>
      <c r="H654" s="587"/>
      <c r="I654" s="585"/>
      <c r="J654" s="587">
        <v>23734</v>
      </c>
      <c r="K654" s="585">
        <v>21786</v>
      </c>
      <c r="L654" s="587">
        <v>2553</v>
      </c>
      <c r="M654" s="585">
        <v>1814</v>
      </c>
      <c r="N654" s="587">
        <v>24911</v>
      </c>
      <c r="O654" s="585">
        <v>22807</v>
      </c>
      <c r="P654" s="583">
        <f t="shared" si="180"/>
        <v>51198</v>
      </c>
      <c r="Q654" s="583">
        <f t="shared" si="181"/>
        <v>1706.6</v>
      </c>
      <c r="R654" s="584">
        <f t="shared" si="182"/>
        <v>46407</v>
      </c>
      <c r="S654" s="584">
        <f t="shared" si="183"/>
        <v>1546.9</v>
      </c>
      <c r="T654" s="587">
        <v>585</v>
      </c>
      <c r="U654" s="585">
        <v>419</v>
      </c>
      <c r="V654" s="583">
        <f t="shared" si="184"/>
        <v>51198</v>
      </c>
      <c r="W654" s="584">
        <f t="shared" si="179"/>
        <v>46407</v>
      </c>
      <c r="X654" s="587"/>
      <c r="Y654" s="585"/>
      <c r="Z654" s="587"/>
      <c r="AA654" s="585"/>
      <c r="AB654" s="587"/>
      <c r="AC654" s="585"/>
      <c r="AD654" s="587"/>
      <c r="AE654" s="585"/>
      <c r="AF654" s="583">
        <f t="shared" si="185"/>
        <v>0</v>
      </c>
      <c r="AG654" s="583">
        <f t="shared" si="186"/>
        <v>0</v>
      </c>
      <c r="AH654" s="584">
        <f t="shared" si="187"/>
        <v>0</v>
      </c>
      <c r="AI654" s="584">
        <f t="shared" si="188"/>
        <v>0</v>
      </c>
      <c r="AJ654" s="587"/>
      <c r="AK654" s="585"/>
      <c r="AL654" s="583">
        <f t="shared" si="189"/>
        <v>0</v>
      </c>
      <c r="AM654" s="584">
        <f t="shared" si="190"/>
        <v>0</v>
      </c>
      <c r="AN654" s="587"/>
      <c r="AO654" s="585"/>
      <c r="AP654" s="587">
        <v>2211</v>
      </c>
      <c r="AQ654" s="585">
        <v>2373</v>
      </c>
      <c r="AR654" s="587">
        <v>1914</v>
      </c>
      <c r="AS654" s="585">
        <v>2100</v>
      </c>
      <c r="AT654" s="587">
        <v>2001</v>
      </c>
      <c r="AU654" s="585">
        <v>2135</v>
      </c>
      <c r="AV654" s="583">
        <f t="shared" si="191"/>
        <v>6126</v>
      </c>
      <c r="AW654" s="583">
        <f t="shared" si="192"/>
        <v>255.25</v>
      </c>
      <c r="AX654" s="584">
        <f t="shared" si="193"/>
        <v>6608</v>
      </c>
      <c r="AY654" s="584">
        <f t="shared" si="194"/>
        <v>275.33333333333331</v>
      </c>
      <c r="AZ654" s="583">
        <f t="shared" si="195"/>
        <v>1961.85</v>
      </c>
      <c r="BA654" s="584">
        <f t="shared" si="196"/>
        <v>1822.2333333333333</v>
      </c>
    </row>
    <row r="655" spans="1:53">
      <c r="A655" s="34" t="s">
        <v>456</v>
      </c>
      <c r="B655" s="34" t="s">
        <v>459</v>
      </c>
      <c r="C655" s="35"/>
      <c r="D655" s="36">
        <v>237367</v>
      </c>
      <c r="E655" s="36">
        <v>5</v>
      </c>
      <c r="F655" s="582" t="s">
        <v>74</v>
      </c>
      <c r="G655" s="585" t="s">
        <v>74</v>
      </c>
      <c r="H655" s="587"/>
      <c r="I655" s="585"/>
      <c r="J655" s="587">
        <v>45385</v>
      </c>
      <c r="K655" s="585">
        <v>44948</v>
      </c>
      <c r="L655" s="587">
        <v>4210</v>
      </c>
      <c r="M655" s="585">
        <v>3862</v>
      </c>
      <c r="N655" s="587">
        <v>50233</v>
      </c>
      <c r="O655" s="585">
        <v>47863</v>
      </c>
      <c r="P655" s="583">
        <f t="shared" si="180"/>
        <v>99828</v>
      </c>
      <c r="Q655" s="583">
        <f t="shared" si="181"/>
        <v>3327.6</v>
      </c>
      <c r="R655" s="584">
        <f t="shared" si="182"/>
        <v>96673</v>
      </c>
      <c r="S655" s="584">
        <f t="shared" si="183"/>
        <v>3222.4333333333334</v>
      </c>
      <c r="T655" s="587">
        <v>582</v>
      </c>
      <c r="U655" s="585">
        <v>1138</v>
      </c>
      <c r="V655" s="583">
        <f t="shared" si="184"/>
        <v>99828</v>
      </c>
      <c r="W655" s="584">
        <f t="shared" si="179"/>
        <v>96673</v>
      </c>
      <c r="X655" s="587"/>
      <c r="Y655" s="585"/>
      <c r="Z655" s="587"/>
      <c r="AA655" s="585"/>
      <c r="AB655" s="587"/>
      <c r="AC655" s="585"/>
      <c r="AD655" s="587"/>
      <c r="AE655" s="585"/>
      <c r="AF655" s="583">
        <f t="shared" si="185"/>
        <v>0</v>
      </c>
      <c r="AG655" s="583">
        <f t="shared" si="186"/>
        <v>0</v>
      </c>
      <c r="AH655" s="584">
        <f t="shared" si="187"/>
        <v>0</v>
      </c>
      <c r="AI655" s="584">
        <f t="shared" si="188"/>
        <v>0</v>
      </c>
      <c r="AJ655" s="587"/>
      <c r="AK655" s="585"/>
      <c r="AL655" s="583">
        <f t="shared" si="189"/>
        <v>0</v>
      </c>
      <c r="AM655" s="584">
        <f t="shared" si="190"/>
        <v>0</v>
      </c>
      <c r="AN655" s="587"/>
      <c r="AO655" s="585"/>
      <c r="AP655" s="587">
        <v>1649</v>
      </c>
      <c r="AQ655" s="585">
        <v>1436</v>
      </c>
      <c r="AR655" s="587">
        <v>823</v>
      </c>
      <c r="AS655" s="585">
        <v>664</v>
      </c>
      <c r="AT655" s="587">
        <v>1828</v>
      </c>
      <c r="AU655" s="585">
        <v>1664</v>
      </c>
      <c r="AV655" s="583">
        <f t="shared" si="191"/>
        <v>4300</v>
      </c>
      <c r="AW655" s="583">
        <f t="shared" si="192"/>
        <v>179.16666666666666</v>
      </c>
      <c r="AX655" s="584">
        <f t="shared" si="193"/>
        <v>3764</v>
      </c>
      <c r="AY655" s="584">
        <f t="shared" si="194"/>
        <v>156.83333333333334</v>
      </c>
      <c r="AZ655" s="583">
        <f t="shared" si="195"/>
        <v>3506.7666666666664</v>
      </c>
      <c r="BA655" s="584">
        <f t="shared" si="196"/>
        <v>3379.2666666666669</v>
      </c>
    </row>
    <row r="656" spans="1:53">
      <c r="A656" s="34" t="s">
        <v>456</v>
      </c>
      <c r="B656" s="34" t="s">
        <v>460</v>
      </c>
      <c r="C656" s="35"/>
      <c r="D656" s="36">
        <v>237792</v>
      </c>
      <c r="E656" s="597">
        <v>5</v>
      </c>
      <c r="F656" s="582" t="s">
        <v>74</v>
      </c>
      <c r="G656" s="585" t="s">
        <v>74</v>
      </c>
      <c r="H656" s="587"/>
      <c r="I656" s="585"/>
      <c r="J656" s="587">
        <v>38718.5</v>
      </c>
      <c r="K656" s="585">
        <v>37523</v>
      </c>
      <c r="L656" s="587">
        <v>3222</v>
      </c>
      <c r="M656" s="585">
        <v>3764</v>
      </c>
      <c r="N656" s="587">
        <v>42229</v>
      </c>
      <c r="O656" s="585">
        <v>39624.5</v>
      </c>
      <c r="P656" s="583">
        <f t="shared" si="180"/>
        <v>84169.5</v>
      </c>
      <c r="Q656" s="583">
        <f t="shared" si="181"/>
        <v>2805.65</v>
      </c>
      <c r="R656" s="584">
        <f t="shared" si="182"/>
        <v>80911.5</v>
      </c>
      <c r="S656" s="584">
        <f t="shared" si="183"/>
        <v>2697.05</v>
      </c>
      <c r="T656" s="587">
        <v>629.5</v>
      </c>
      <c r="U656" s="585">
        <v>1256</v>
      </c>
      <c r="V656" s="583">
        <f t="shared" si="184"/>
        <v>84169.5</v>
      </c>
      <c r="W656" s="584">
        <f t="shared" si="179"/>
        <v>80911.5</v>
      </c>
      <c r="X656" s="587"/>
      <c r="Y656" s="585"/>
      <c r="Z656" s="587"/>
      <c r="AA656" s="585"/>
      <c r="AB656" s="587"/>
      <c r="AC656" s="585"/>
      <c r="AD656" s="587"/>
      <c r="AE656" s="585"/>
      <c r="AF656" s="583">
        <f t="shared" si="185"/>
        <v>0</v>
      </c>
      <c r="AG656" s="583">
        <f t="shared" si="186"/>
        <v>0</v>
      </c>
      <c r="AH656" s="584">
        <f t="shared" si="187"/>
        <v>0</v>
      </c>
      <c r="AI656" s="584">
        <f t="shared" si="188"/>
        <v>0</v>
      </c>
      <c r="AJ656" s="587"/>
      <c r="AK656" s="585"/>
      <c r="AL656" s="583">
        <f t="shared" si="189"/>
        <v>0</v>
      </c>
      <c r="AM656" s="584">
        <f t="shared" si="190"/>
        <v>0</v>
      </c>
      <c r="AN656" s="587"/>
      <c r="AO656" s="585"/>
      <c r="AP656" s="587">
        <v>2259</v>
      </c>
      <c r="AQ656" s="585">
        <v>2188</v>
      </c>
      <c r="AR656" s="587">
        <v>2068</v>
      </c>
      <c r="AS656" s="585">
        <v>1829</v>
      </c>
      <c r="AT656" s="587">
        <v>1892</v>
      </c>
      <c r="AU656" s="585">
        <v>2707</v>
      </c>
      <c r="AV656" s="583">
        <f t="shared" si="191"/>
        <v>6219</v>
      </c>
      <c r="AW656" s="583">
        <f t="shared" si="192"/>
        <v>259.125</v>
      </c>
      <c r="AX656" s="584">
        <f t="shared" si="193"/>
        <v>6724</v>
      </c>
      <c r="AY656" s="584">
        <f t="shared" si="194"/>
        <v>280.16666666666669</v>
      </c>
      <c r="AZ656" s="583">
        <f t="shared" si="195"/>
        <v>3064.7750000000001</v>
      </c>
      <c r="BA656" s="584">
        <f t="shared" si="196"/>
        <v>2977.2166666666667</v>
      </c>
    </row>
    <row r="657" spans="1:53">
      <c r="A657" s="34" t="s">
        <v>456</v>
      </c>
      <c r="B657" s="34" t="s">
        <v>464</v>
      </c>
      <c r="C657" s="35" t="s">
        <v>938</v>
      </c>
      <c r="D657" s="36">
        <v>237932</v>
      </c>
      <c r="E657" s="36">
        <v>5</v>
      </c>
      <c r="F657" s="582" t="s">
        <v>74</v>
      </c>
      <c r="G657" s="585" t="s">
        <v>74</v>
      </c>
      <c r="H657" s="587"/>
      <c r="I657" s="585"/>
      <c r="J657" s="587">
        <v>28467</v>
      </c>
      <c r="K657" s="585">
        <v>28073</v>
      </c>
      <c r="L657" s="587">
        <v>1340</v>
      </c>
      <c r="M657" s="585">
        <v>1959</v>
      </c>
      <c r="N657" s="587">
        <v>32011</v>
      </c>
      <c r="O657" s="585">
        <v>31312</v>
      </c>
      <c r="P657" s="583">
        <f t="shared" si="180"/>
        <v>61818</v>
      </c>
      <c r="Q657" s="583">
        <f t="shared" si="181"/>
        <v>2060.6</v>
      </c>
      <c r="R657" s="584">
        <f t="shared" si="182"/>
        <v>61344</v>
      </c>
      <c r="S657" s="584">
        <f t="shared" si="183"/>
        <v>2044.8</v>
      </c>
      <c r="T657" s="587">
        <v>1593</v>
      </c>
      <c r="U657" s="585">
        <v>1637</v>
      </c>
      <c r="V657" s="583">
        <f t="shared" si="184"/>
        <v>61818</v>
      </c>
      <c r="W657" s="584">
        <f t="shared" si="179"/>
        <v>61344</v>
      </c>
      <c r="X657" s="587"/>
      <c r="Y657" s="585"/>
      <c r="Z657" s="587"/>
      <c r="AA657" s="585"/>
      <c r="AB657" s="587"/>
      <c r="AC657" s="585"/>
      <c r="AD657" s="587"/>
      <c r="AE657" s="585"/>
      <c r="AF657" s="583">
        <f t="shared" si="185"/>
        <v>0</v>
      </c>
      <c r="AG657" s="583">
        <f t="shared" si="186"/>
        <v>0</v>
      </c>
      <c r="AH657" s="584">
        <f t="shared" si="187"/>
        <v>0</v>
      </c>
      <c r="AI657" s="584">
        <f t="shared" si="188"/>
        <v>0</v>
      </c>
      <c r="AJ657" s="587"/>
      <c r="AK657" s="585"/>
      <c r="AL657" s="583">
        <f t="shared" si="189"/>
        <v>0</v>
      </c>
      <c r="AM657" s="584">
        <f t="shared" si="190"/>
        <v>0</v>
      </c>
      <c r="AN657" s="587"/>
      <c r="AO657" s="585"/>
      <c r="AP657" s="587">
        <v>2215</v>
      </c>
      <c r="AQ657" s="585">
        <v>2338</v>
      </c>
      <c r="AR657" s="587">
        <v>1230</v>
      </c>
      <c r="AS657" s="585">
        <v>1301</v>
      </c>
      <c r="AT657" s="587">
        <v>2342</v>
      </c>
      <c r="AU657" s="585">
        <v>2494</v>
      </c>
      <c r="AV657" s="583">
        <f t="shared" si="191"/>
        <v>5787</v>
      </c>
      <c r="AW657" s="583">
        <f t="shared" si="192"/>
        <v>241.125</v>
      </c>
      <c r="AX657" s="584">
        <f t="shared" si="193"/>
        <v>6133</v>
      </c>
      <c r="AY657" s="584">
        <f t="shared" si="194"/>
        <v>255.54166666666666</v>
      </c>
      <c r="AZ657" s="583">
        <f t="shared" si="195"/>
        <v>2301.7249999999999</v>
      </c>
      <c r="BA657" s="584">
        <f t="shared" si="196"/>
        <v>2300.3416666666667</v>
      </c>
    </row>
    <row r="658" spans="1:53">
      <c r="A658" s="34" t="s">
        <v>456</v>
      </c>
      <c r="B658" s="34" t="s">
        <v>461</v>
      </c>
      <c r="C658" s="35"/>
      <c r="D658" s="36">
        <v>237215</v>
      </c>
      <c r="E658" s="36">
        <v>6</v>
      </c>
      <c r="F658" s="582" t="s">
        <v>74</v>
      </c>
      <c r="G658" s="585" t="s">
        <v>74</v>
      </c>
      <c r="H658" s="587"/>
      <c r="I658" s="585"/>
      <c r="J658" s="587">
        <v>16431</v>
      </c>
      <c r="K658" s="585">
        <v>15388</v>
      </c>
      <c r="L658" s="587">
        <v>1443</v>
      </c>
      <c r="M658" s="585">
        <v>1266</v>
      </c>
      <c r="N658" s="587">
        <v>16441</v>
      </c>
      <c r="O658" s="585">
        <v>16030</v>
      </c>
      <c r="P658" s="583">
        <f t="shared" si="180"/>
        <v>34315</v>
      </c>
      <c r="Q658" s="583">
        <f t="shared" si="181"/>
        <v>1143.8333333333333</v>
      </c>
      <c r="R658" s="584">
        <f t="shared" si="182"/>
        <v>32684</v>
      </c>
      <c r="S658" s="584">
        <f t="shared" si="183"/>
        <v>1089.4666666666667</v>
      </c>
      <c r="T658" s="587">
        <v>329</v>
      </c>
      <c r="U658" s="585">
        <v>569</v>
      </c>
      <c r="V658" s="583">
        <f t="shared" si="184"/>
        <v>34315</v>
      </c>
      <c r="W658" s="584">
        <f t="shared" si="179"/>
        <v>32684</v>
      </c>
      <c r="X658" s="587"/>
      <c r="Y658" s="585"/>
      <c r="Z658" s="587"/>
      <c r="AA658" s="585"/>
      <c r="AB658" s="587"/>
      <c r="AC658" s="585"/>
      <c r="AD658" s="587"/>
      <c r="AE658" s="585"/>
      <c r="AF658" s="583">
        <f t="shared" si="185"/>
        <v>0</v>
      </c>
      <c r="AG658" s="583">
        <f t="shared" si="186"/>
        <v>0</v>
      </c>
      <c r="AH658" s="584">
        <f t="shared" si="187"/>
        <v>0</v>
      </c>
      <c r="AI658" s="584">
        <f t="shared" si="188"/>
        <v>0</v>
      </c>
      <c r="AJ658" s="587"/>
      <c r="AK658" s="585"/>
      <c r="AL658" s="583">
        <f t="shared" si="189"/>
        <v>0</v>
      </c>
      <c r="AM658" s="584">
        <f t="shared" si="190"/>
        <v>0</v>
      </c>
      <c r="AN658" s="587"/>
      <c r="AO658" s="585"/>
      <c r="AP658" s="587"/>
      <c r="AQ658" s="585"/>
      <c r="AR658" s="587"/>
      <c r="AS658" s="585"/>
      <c r="AT658" s="587"/>
      <c r="AU658" s="585"/>
      <c r="AV658" s="583">
        <f t="shared" si="191"/>
        <v>0</v>
      </c>
      <c r="AW658" s="583">
        <f t="shared" si="192"/>
        <v>0</v>
      </c>
      <c r="AX658" s="584">
        <f t="shared" si="193"/>
        <v>0</v>
      </c>
      <c r="AY658" s="584">
        <f t="shared" si="194"/>
        <v>0</v>
      </c>
      <c r="AZ658" s="583">
        <f t="shared" si="195"/>
        <v>1143.8333333333333</v>
      </c>
      <c r="BA658" s="584">
        <f t="shared" si="196"/>
        <v>1089.4666666666667</v>
      </c>
    </row>
    <row r="659" spans="1:53" ht="14.5">
      <c r="A659" s="34" t="s">
        <v>456</v>
      </c>
      <c r="B659" s="34" t="s">
        <v>463</v>
      </c>
      <c r="C659" s="544"/>
      <c r="D659" s="36">
        <v>237385</v>
      </c>
      <c r="E659" s="36">
        <v>6</v>
      </c>
      <c r="F659" s="582" t="s">
        <v>74</v>
      </c>
      <c r="G659" s="585" t="s">
        <v>74</v>
      </c>
      <c r="H659" s="587"/>
      <c r="I659" s="585"/>
      <c r="J659" s="587">
        <v>15719.5</v>
      </c>
      <c r="K659" s="585">
        <v>14895</v>
      </c>
      <c r="L659" s="587">
        <v>1533.6</v>
      </c>
      <c r="M659" s="585">
        <v>1887</v>
      </c>
      <c r="N659" s="587">
        <v>17621</v>
      </c>
      <c r="O659" s="585">
        <v>18286</v>
      </c>
      <c r="P659" s="583">
        <f t="shared" si="180"/>
        <v>34874.1</v>
      </c>
      <c r="Q659" s="583">
        <f t="shared" si="181"/>
        <v>1162.47</v>
      </c>
      <c r="R659" s="584">
        <f t="shared" si="182"/>
        <v>35068</v>
      </c>
      <c r="S659" s="584">
        <f t="shared" si="183"/>
        <v>1168.9333333333334</v>
      </c>
      <c r="T659" s="587">
        <v>2033</v>
      </c>
      <c r="U659" s="585">
        <v>3467</v>
      </c>
      <c r="V659" s="583">
        <f t="shared" si="184"/>
        <v>34874.1</v>
      </c>
      <c r="W659" s="584">
        <f t="shared" si="179"/>
        <v>35068</v>
      </c>
      <c r="X659" s="587"/>
      <c r="Y659" s="585"/>
      <c r="Z659" s="587"/>
      <c r="AA659" s="585"/>
      <c r="AB659" s="587"/>
      <c r="AC659" s="585"/>
      <c r="AD659" s="587"/>
      <c r="AE659" s="585"/>
      <c r="AF659" s="583">
        <f t="shared" si="185"/>
        <v>0</v>
      </c>
      <c r="AG659" s="583">
        <f t="shared" si="186"/>
        <v>0</v>
      </c>
      <c r="AH659" s="584">
        <f t="shared" si="187"/>
        <v>0</v>
      </c>
      <c r="AI659" s="584">
        <f t="shared" si="188"/>
        <v>0</v>
      </c>
      <c r="AJ659" s="587"/>
      <c r="AK659" s="585"/>
      <c r="AL659" s="583">
        <f t="shared" si="189"/>
        <v>0</v>
      </c>
      <c r="AM659" s="584">
        <f t="shared" si="190"/>
        <v>0</v>
      </c>
      <c r="AN659" s="587"/>
      <c r="AO659" s="585"/>
      <c r="AP659" s="587"/>
      <c r="AQ659" s="585"/>
      <c r="AR659" s="587"/>
      <c r="AS659" s="585"/>
      <c r="AT659" s="587"/>
      <c r="AU659" s="585"/>
      <c r="AV659" s="583">
        <f t="shared" si="191"/>
        <v>0</v>
      </c>
      <c r="AW659" s="583">
        <f t="shared" si="192"/>
        <v>0</v>
      </c>
      <c r="AX659" s="584">
        <f t="shared" si="193"/>
        <v>0</v>
      </c>
      <c r="AY659" s="584">
        <f t="shared" si="194"/>
        <v>0</v>
      </c>
      <c r="AZ659" s="583">
        <f t="shared" si="195"/>
        <v>1162.47</v>
      </c>
      <c r="BA659" s="584">
        <f t="shared" si="196"/>
        <v>1168.9333333333334</v>
      </c>
    </row>
    <row r="660" spans="1:53">
      <c r="A660" s="34" t="s">
        <v>456</v>
      </c>
      <c r="B660" s="34" t="s">
        <v>465</v>
      </c>
      <c r="C660" s="35" t="s">
        <v>938</v>
      </c>
      <c r="D660" s="36">
        <v>237899</v>
      </c>
      <c r="E660" s="36">
        <v>6</v>
      </c>
      <c r="F660" s="582" t="s">
        <v>74</v>
      </c>
      <c r="G660" s="585" t="s">
        <v>74</v>
      </c>
      <c r="H660" s="587"/>
      <c r="I660" s="585"/>
      <c r="J660" s="587">
        <v>31779</v>
      </c>
      <c r="K660" s="585">
        <v>30661</v>
      </c>
      <c r="L660" s="587">
        <v>1874</v>
      </c>
      <c r="M660" s="585">
        <v>1940</v>
      </c>
      <c r="N660" s="587">
        <v>35137</v>
      </c>
      <c r="O660" s="585">
        <v>36943</v>
      </c>
      <c r="P660" s="583">
        <f t="shared" si="180"/>
        <v>68790</v>
      </c>
      <c r="Q660" s="583">
        <f t="shared" si="181"/>
        <v>2293</v>
      </c>
      <c r="R660" s="584">
        <f t="shared" si="182"/>
        <v>69544</v>
      </c>
      <c r="S660" s="584">
        <f t="shared" si="183"/>
        <v>2318.1333333333332</v>
      </c>
      <c r="T660" s="587">
        <v>16011</v>
      </c>
      <c r="U660" s="585">
        <v>18900</v>
      </c>
      <c r="V660" s="583">
        <f t="shared" si="184"/>
        <v>68790</v>
      </c>
      <c r="W660" s="584">
        <f t="shared" si="179"/>
        <v>69544</v>
      </c>
      <c r="X660" s="587"/>
      <c r="Y660" s="585"/>
      <c r="Z660" s="587"/>
      <c r="AA660" s="585"/>
      <c r="AB660" s="587"/>
      <c r="AC660" s="585"/>
      <c r="AD660" s="587"/>
      <c r="AE660" s="585"/>
      <c r="AF660" s="583">
        <f t="shared" si="185"/>
        <v>0</v>
      </c>
      <c r="AG660" s="583">
        <f t="shared" si="186"/>
        <v>0</v>
      </c>
      <c r="AH660" s="584">
        <f t="shared" si="187"/>
        <v>0</v>
      </c>
      <c r="AI660" s="584">
        <f t="shared" si="188"/>
        <v>0</v>
      </c>
      <c r="AJ660" s="587"/>
      <c r="AK660" s="585"/>
      <c r="AL660" s="583">
        <f t="shared" si="189"/>
        <v>0</v>
      </c>
      <c r="AM660" s="584">
        <f t="shared" si="190"/>
        <v>0</v>
      </c>
      <c r="AN660" s="587"/>
      <c r="AO660" s="585"/>
      <c r="AP660" s="587">
        <v>919</v>
      </c>
      <c r="AQ660" s="585">
        <v>1001</v>
      </c>
      <c r="AR660" s="587">
        <v>480</v>
      </c>
      <c r="AS660" s="585">
        <v>585</v>
      </c>
      <c r="AT660" s="587">
        <v>929</v>
      </c>
      <c r="AU660" s="585">
        <v>851</v>
      </c>
      <c r="AV660" s="583">
        <f t="shared" si="191"/>
        <v>2328</v>
      </c>
      <c r="AW660" s="583">
        <f t="shared" si="192"/>
        <v>97</v>
      </c>
      <c r="AX660" s="584">
        <f t="shared" si="193"/>
        <v>2437</v>
      </c>
      <c r="AY660" s="584">
        <f t="shared" si="194"/>
        <v>101.54166666666667</v>
      </c>
      <c r="AZ660" s="583">
        <f t="shared" si="195"/>
        <v>2390</v>
      </c>
      <c r="BA660" s="584">
        <f t="shared" si="196"/>
        <v>2419.6749999999997</v>
      </c>
    </row>
    <row r="661" spans="1:53">
      <c r="A661" s="34" t="s">
        <v>456</v>
      </c>
      <c r="B661" s="34" t="s">
        <v>467</v>
      </c>
      <c r="C661" s="35"/>
      <c r="D661" s="36">
        <v>237950</v>
      </c>
      <c r="E661" s="456">
        <v>6</v>
      </c>
      <c r="F661" s="582" t="s">
        <v>74</v>
      </c>
      <c r="G661" s="585" t="s">
        <v>74</v>
      </c>
      <c r="H661" s="587"/>
      <c r="I661" s="585"/>
      <c r="J661" s="587">
        <v>17847</v>
      </c>
      <c r="K661" s="585">
        <v>19102</v>
      </c>
      <c r="L661" s="587">
        <v>1201</v>
      </c>
      <c r="M661" s="585">
        <v>1112</v>
      </c>
      <c r="N661" s="587">
        <v>20443</v>
      </c>
      <c r="O661" s="585">
        <v>20198</v>
      </c>
      <c r="P661" s="583">
        <f t="shared" si="180"/>
        <v>39491</v>
      </c>
      <c r="Q661" s="583">
        <f t="shared" si="181"/>
        <v>1316.3666666666666</v>
      </c>
      <c r="R661" s="584">
        <f t="shared" si="182"/>
        <v>40412</v>
      </c>
      <c r="S661" s="584">
        <f t="shared" si="183"/>
        <v>1347.0666666666666</v>
      </c>
      <c r="T661" s="587">
        <v>3190</v>
      </c>
      <c r="U661" s="585">
        <v>3842</v>
      </c>
      <c r="V661" s="583">
        <f t="shared" si="184"/>
        <v>39491</v>
      </c>
      <c r="W661" s="584">
        <f t="shared" si="179"/>
        <v>40412</v>
      </c>
      <c r="X661" s="587"/>
      <c r="Y661" s="585"/>
      <c r="Z661" s="587"/>
      <c r="AA661" s="585"/>
      <c r="AB661" s="587"/>
      <c r="AC661" s="585"/>
      <c r="AD661" s="587"/>
      <c r="AE661" s="585"/>
      <c r="AF661" s="583">
        <f t="shared" si="185"/>
        <v>0</v>
      </c>
      <c r="AG661" s="583">
        <f t="shared" si="186"/>
        <v>0</v>
      </c>
      <c r="AH661" s="584">
        <f t="shared" si="187"/>
        <v>0</v>
      </c>
      <c r="AI661" s="584">
        <f t="shared" si="188"/>
        <v>0</v>
      </c>
      <c r="AJ661" s="587"/>
      <c r="AK661" s="585"/>
      <c r="AL661" s="583">
        <f t="shared" si="189"/>
        <v>0</v>
      </c>
      <c r="AM661" s="584">
        <f t="shared" si="190"/>
        <v>0</v>
      </c>
      <c r="AN661" s="587"/>
      <c r="AO661" s="585"/>
      <c r="AP661" s="587"/>
      <c r="AQ661" s="585"/>
      <c r="AR661" s="587"/>
      <c r="AS661" s="585"/>
      <c r="AT661" s="587"/>
      <c r="AU661" s="585"/>
      <c r="AV661" s="583">
        <f t="shared" si="191"/>
        <v>0</v>
      </c>
      <c r="AW661" s="583">
        <f t="shared" si="192"/>
        <v>0</v>
      </c>
      <c r="AX661" s="584">
        <f t="shared" si="193"/>
        <v>0</v>
      </c>
      <c r="AY661" s="584">
        <f t="shared" si="194"/>
        <v>0</v>
      </c>
      <c r="AZ661" s="583">
        <f t="shared" si="195"/>
        <v>1316.3666666666666</v>
      </c>
      <c r="BA661" s="584">
        <f t="shared" si="196"/>
        <v>1347.0666666666666</v>
      </c>
    </row>
    <row r="662" spans="1:53">
      <c r="A662" s="34" t="s">
        <v>456</v>
      </c>
      <c r="B662" s="545" t="s">
        <v>468</v>
      </c>
      <c r="C662" s="546"/>
      <c r="D662" s="36">
        <v>237701</v>
      </c>
      <c r="E662" s="456">
        <v>7</v>
      </c>
      <c r="F662" s="582" t="s">
        <v>74</v>
      </c>
      <c r="G662" s="585" t="s">
        <v>74</v>
      </c>
      <c r="H662" s="587"/>
      <c r="I662" s="585"/>
      <c r="J662" s="587">
        <v>15052</v>
      </c>
      <c r="K662" s="585">
        <v>15097</v>
      </c>
      <c r="L662" s="587">
        <v>1123</v>
      </c>
      <c r="M662" s="585">
        <v>955</v>
      </c>
      <c r="N662" s="587">
        <v>17119</v>
      </c>
      <c r="O662" s="585">
        <v>16496</v>
      </c>
      <c r="P662" s="583">
        <f t="shared" si="180"/>
        <v>33294</v>
      </c>
      <c r="Q662" s="583">
        <f t="shared" si="181"/>
        <v>1109.8</v>
      </c>
      <c r="R662" s="584">
        <f t="shared" si="182"/>
        <v>32548</v>
      </c>
      <c r="S662" s="584">
        <f t="shared" si="183"/>
        <v>1084.9333333333334</v>
      </c>
      <c r="T662" s="587">
        <v>2321</v>
      </c>
      <c r="U662" s="585">
        <v>2437</v>
      </c>
      <c r="V662" s="583">
        <f t="shared" si="184"/>
        <v>33294</v>
      </c>
      <c r="W662" s="584">
        <f t="shared" si="179"/>
        <v>32548</v>
      </c>
      <c r="X662" s="587"/>
      <c r="Y662" s="585"/>
      <c r="Z662" s="587"/>
      <c r="AA662" s="585"/>
      <c r="AB662" s="587"/>
      <c r="AC662" s="585"/>
      <c r="AD662" s="587"/>
      <c r="AE662" s="585"/>
      <c r="AF662" s="583">
        <f t="shared" si="185"/>
        <v>0</v>
      </c>
      <c r="AG662" s="583">
        <f t="shared" si="186"/>
        <v>0</v>
      </c>
      <c r="AH662" s="584">
        <f t="shared" si="187"/>
        <v>0</v>
      </c>
      <c r="AI662" s="584">
        <f t="shared" si="188"/>
        <v>0</v>
      </c>
      <c r="AJ662" s="587"/>
      <c r="AK662" s="585"/>
      <c r="AL662" s="583">
        <f t="shared" si="189"/>
        <v>0</v>
      </c>
      <c r="AM662" s="584">
        <f t="shared" si="190"/>
        <v>0</v>
      </c>
      <c r="AN662" s="587"/>
      <c r="AO662" s="585"/>
      <c r="AP662" s="587"/>
      <c r="AQ662" s="585"/>
      <c r="AR662" s="587"/>
      <c r="AS662" s="585"/>
      <c r="AT662" s="587"/>
      <c r="AU662" s="585"/>
      <c r="AV662" s="583">
        <f t="shared" si="191"/>
        <v>0</v>
      </c>
      <c r="AW662" s="583">
        <f t="shared" si="192"/>
        <v>0</v>
      </c>
      <c r="AX662" s="584">
        <f t="shared" si="193"/>
        <v>0</v>
      </c>
      <c r="AY662" s="584">
        <f t="shared" si="194"/>
        <v>0</v>
      </c>
      <c r="AZ662" s="583">
        <f t="shared" si="195"/>
        <v>1109.8</v>
      </c>
      <c r="BA662" s="584">
        <f t="shared" si="196"/>
        <v>1084.9333333333334</v>
      </c>
    </row>
    <row r="663" spans="1:53">
      <c r="A663" s="34" t="s">
        <v>456</v>
      </c>
      <c r="B663" s="34" t="s">
        <v>466</v>
      </c>
      <c r="C663" s="546"/>
      <c r="D663" s="36">
        <v>237686</v>
      </c>
      <c r="E663" s="456">
        <v>7</v>
      </c>
      <c r="F663" s="582" t="s">
        <v>74</v>
      </c>
      <c r="G663" s="585" t="s">
        <v>74</v>
      </c>
      <c r="H663" s="587"/>
      <c r="I663" s="585"/>
      <c r="J663" s="587">
        <v>24030</v>
      </c>
      <c r="K663" s="585">
        <v>23587</v>
      </c>
      <c r="L663" s="587">
        <v>4215</v>
      </c>
      <c r="M663" s="585">
        <v>3804</v>
      </c>
      <c r="N663" s="587">
        <v>25597</v>
      </c>
      <c r="O663" s="585">
        <v>26533</v>
      </c>
      <c r="P663" s="583">
        <f t="shared" si="180"/>
        <v>53842</v>
      </c>
      <c r="Q663" s="583">
        <f t="shared" si="181"/>
        <v>1794.7333333333333</v>
      </c>
      <c r="R663" s="584">
        <f t="shared" si="182"/>
        <v>53924</v>
      </c>
      <c r="S663" s="584">
        <f t="shared" si="183"/>
        <v>1797.4666666666667</v>
      </c>
      <c r="T663" s="587">
        <v>3721</v>
      </c>
      <c r="U663" s="585">
        <v>7898</v>
      </c>
      <c r="V663" s="583">
        <f t="shared" si="184"/>
        <v>53842</v>
      </c>
      <c r="W663" s="584">
        <f t="shared" si="179"/>
        <v>53924</v>
      </c>
      <c r="X663" s="587"/>
      <c r="Y663" s="585"/>
      <c r="Z663" s="587"/>
      <c r="AA663" s="585"/>
      <c r="AB663" s="587"/>
      <c r="AC663" s="585"/>
      <c r="AD663" s="587"/>
      <c r="AE663" s="585"/>
      <c r="AF663" s="583">
        <f t="shared" si="185"/>
        <v>0</v>
      </c>
      <c r="AG663" s="583">
        <f t="shared" si="186"/>
        <v>0</v>
      </c>
      <c r="AH663" s="584">
        <f t="shared" si="187"/>
        <v>0</v>
      </c>
      <c r="AI663" s="584">
        <f t="shared" si="188"/>
        <v>0</v>
      </c>
      <c r="AJ663" s="587"/>
      <c r="AK663" s="585"/>
      <c r="AL663" s="583">
        <f t="shared" si="189"/>
        <v>0</v>
      </c>
      <c r="AM663" s="584">
        <f t="shared" si="190"/>
        <v>0</v>
      </c>
      <c r="AN663" s="587"/>
      <c r="AO663" s="585"/>
      <c r="AP663" s="587"/>
      <c r="AQ663" s="585"/>
      <c r="AR663" s="587"/>
      <c r="AS663" s="585"/>
      <c r="AT663" s="587"/>
      <c r="AU663" s="585"/>
      <c r="AV663" s="583">
        <f t="shared" si="191"/>
        <v>0</v>
      </c>
      <c r="AW663" s="583">
        <f t="shared" si="192"/>
        <v>0</v>
      </c>
      <c r="AX663" s="584">
        <f t="shared" si="193"/>
        <v>0</v>
      </c>
      <c r="AY663" s="584">
        <f t="shared" si="194"/>
        <v>0</v>
      </c>
      <c r="AZ663" s="583">
        <f t="shared" si="195"/>
        <v>1794.7333333333333</v>
      </c>
      <c r="BA663" s="584">
        <f t="shared" si="196"/>
        <v>1797.4666666666667</v>
      </c>
    </row>
    <row r="664" spans="1:53">
      <c r="A664" s="34" t="s">
        <v>456</v>
      </c>
      <c r="B664" s="34" t="s">
        <v>471</v>
      </c>
      <c r="C664" s="37" t="s">
        <v>947</v>
      </c>
      <c r="D664" s="36">
        <v>446774</v>
      </c>
      <c r="E664" s="598">
        <v>9</v>
      </c>
      <c r="F664" s="582" t="s">
        <v>74</v>
      </c>
      <c r="G664" s="585" t="s">
        <v>74</v>
      </c>
      <c r="H664" s="587"/>
      <c r="I664" s="585"/>
      <c r="J664" s="587">
        <v>27320.3</v>
      </c>
      <c r="K664" s="585">
        <v>28981</v>
      </c>
      <c r="L664" s="587">
        <v>3266</v>
      </c>
      <c r="M664" s="585">
        <v>2760</v>
      </c>
      <c r="N664" s="587">
        <v>34937.800000000003</v>
      </c>
      <c r="O664" s="585">
        <v>33613.699999999997</v>
      </c>
      <c r="P664" s="583">
        <f t="shared" si="180"/>
        <v>65524.100000000006</v>
      </c>
      <c r="Q664" s="583">
        <f t="shared" si="181"/>
        <v>2184.1366666666668</v>
      </c>
      <c r="R664" s="584">
        <f t="shared" si="182"/>
        <v>65354.7</v>
      </c>
      <c r="S664" s="584">
        <f t="shared" si="183"/>
        <v>2178.4899999999998</v>
      </c>
      <c r="T664" s="587">
        <v>7318</v>
      </c>
      <c r="U664" s="585">
        <v>8314</v>
      </c>
      <c r="V664" s="583">
        <f t="shared" si="184"/>
        <v>65524.100000000006</v>
      </c>
      <c r="W664" s="584">
        <f t="shared" si="179"/>
        <v>65354.7</v>
      </c>
      <c r="X664" s="587"/>
      <c r="Y664" s="585"/>
      <c r="Z664" s="587"/>
      <c r="AA664" s="585"/>
      <c r="AB664" s="587"/>
      <c r="AC664" s="585"/>
      <c r="AD664" s="587"/>
      <c r="AE664" s="585"/>
      <c r="AF664" s="583">
        <f t="shared" si="185"/>
        <v>0</v>
      </c>
      <c r="AG664" s="583">
        <f t="shared" si="186"/>
        <v>0</v>
      </c>
      <c r="AH664" s="584">
        <f t="shared" si="187"/>
        <v>0</v>
      </c>
      <c r="AI664" s="584">
        <f t="shared" si="188"/>
        <v>0</v>
      </c>
      <c r="AJ664" s="587"/>
      <c r="AK664" s="585"/>
      <c r="AL664" s="583">
        <f t="shared" si="189"/>
        <v>0</v>
      </c>
      <c r="AM664" s="584">
        <f t="shared" si="190"/>
        <v>0</v>
      </c>
      <c r="AN664" s="587"/>
      <c r="AO664" s="585"/>
      <c r="AP664" s="587"/>
      <c r="AQ664" s="585"/>
      <c r="AR664" s="587"/>
      <c r="AS664" s="585"/>
      <c r="AT664" s="587"/>
      <c r="AU664" s="585"/>
      <c r="AV664" s="583">
        <f t="shared" si="191"/>
        <v>0</v>
      </c>
      <c r="AW664" s="583">
        <f t="shared" si="192"/>
        <v>0</v>
      </c>
      <c r="AX664" s="584">
        <f t="shared" si="193"/>
        <v>0</v>
      </c>
      <c r="AY664" s="584">
        <f t="shared" si="194"/>
        <v>0</v>
      </c>
      <c r="AZ664" s="583">
        <f t="shared" si="195"/>
        <v>2184.1366666666668</v>
      </c>
      <c r="BA664" s="584">
        <f t="shared" si="196"/>
        <v>2178.4899999999998</v>
      </c>
    </row>
    <row r="665" spans="1:53">
      <c r="A665" s="34" t="s">
        <v>456</v>
      </c>
      <c r="B665" s="48" t="s">
        <v>472</v>
      </c>
      <c r="C665" s="35"/>
      <c r="D665" s="49">
        <v>484932</v>
      </c>
      <c r="E665" s="456">
        <v>10</v>
      </c>
      <c r="F665" s="582" t="s">
        <v>74</v>
      </c>
      <c r="G665" s="585" t="s">
        <v>74</v>
      </c>
      <c r="H665" s="587"/>
      <c r="I665" s="585"/>
      <c r="J665" s="587">
        <v>17736</v>
      </c>
      <c r="K665" s="585">
        <v>16609</v>
      </c>
      <c r="L665" s="587">
        <v>1810</v>
      </c>
      <c r="M665" s="585">
        <v>1302</v>
      </c>
      <c r="N665" s="587">
        <v>18833</v>
      </c>
      <c r="O665" s="585">
        <v>19840</v>
      </c>
      <c r="P665" s="583">
        <f t="shared" si="180"/>
        <v>38379</v>
      </c>
      <c r="Q665" s="583">
        <f t="shared" si="181"/>
        <v>1279.3</v>
      </c>
      <c r="R665" s="584">
        <f t="shared" si="182"/>
        <v>37751</v>
      </c>
      <c r="S665" s="584">
        <f t="shared" si="183"/>
        <v>1258.3666666666666</v>
      </c>
      <c r="T665" s="587">
        <v>284</v>
      </c>
      <c r="U665" s="585">
        <v>58</v>
      </c>
      <c r="V665" s="583">
        <f t="shared" si="184"/>
        <v>38379</v>
      </c>
      <c r="W665" s="584">
        <f t="shared" si="179"/>
        <v>37751</v>
      </c>
      <c r="X665" s="587"/>
      <c r="Y665" s="585"/>
      <c r="Z665" s="587"/>
      <c r="AA665" s="585"/>
      <c r="AB665" s="587"/>
      <c r="AC665" s="585"/>
      <c r="AD665" s="587"/>
      <c r="AE665" s="585"/>
      <c r="AF665" s="583">
        <f t="shared" si="185"/>
        <v>0</v>
      </c>
      <c r="AG665" s="583">
        <f t="shared" si="186"/>
        <v>0</v>
      </c>
      <c r="AH665" s="584">
        <f t="shared" si="187"/>
        <v>0</v>
      </c>
      <c r="AI665" s="584">
        <f t="shared" si="188"/>
        <v>0</v>
      </c>
      <c r="AJ665" s="587"/>
      <c r="AK665" s="585"/>
      <c r="AL665" s="583">
        <f t="shared" si="189"/>
        <v>0</v>
      </c>
      <c r="AM665" s="584">
        <f t="shared" si="190"/>
        <v>0</v>
      </c>
      <c r="AN665" s="587"/>
      <c r="AO665" s="585"/>
      <c r="AP665" s="587"/>
      <c r="AQ665" s="585"/>
      <c r="AR665" s="587"/>
      <c r="AS665" s="585"/>
      <c r="AT665" s="587"/>
      <c r="AU665" s="585"/>
      <c r="AV665" s="583">
        <f t="shared" si="191"/>
        <v>0</v>
      </c>
      <c r="AW665" s="583">
        <f t="shared" si="192"/>
        <v>0</v>
      </c>
      <c r="AX665" s="584">
        <f t="shared" si="193"/>
        <v>0</v>
      </c>
      <c r="AY665" s="584">
        <f t="shared" si="194"/>
        <v>0</v>
      </c>
      <c r="AZ665" s="583">
        <f t="shared" si="195"/>
        <v>1279.3</v>
      </c>
      <c r="BA665" s="584">
        <f t="shared" si="196"/>
        <v>1258.3666666666666</v>
      </c>
    </row>
    <row r="666" spans="1:53">
      <c r="A666" s="34" t="s">
        <v>456</v>
      </c>
      <c r="B666" s="34" t="s">
        <v>473</v>
      </c>
      <c r="C666" s="35"/>
      <c r="D666" s="36">
        <v>438708</v>
      </c>
      <c r="E666" s="456">
        <v>10</v>
      </c>
      <c r="F666" s="582" t="s">
        <v>74</v>
      </c>
      <c r="G666" s="585" t="s">
        <v>74</v>
      </c>
      <c r="H666" s="587"/>
      <c r="I666" s="585"/>
      <c r="J666" s="587">
        <v>3703</v>
      </c>
      <c r="K666" s="585">
        <v>3217</v>
      </c>
      <c r="L666" s="587">
        <v>477</v>
      </c>
      <c r="M666" s="585">
        <v>330</v>
      </c>
      <c r="N666" s="587">
        <v>3678</v>
      </c>
      <c r="O666" s="585">
        <v>4060</v>
      </c>
      <c r="P666" s="583">
        <f t="shared" si="180"/>
        <v>7858</v>
      </c>
      <c r="Q666" s="583">
        <f t="shared" si="181"/>
        <v>261.93333333333334</v>
      </c>
      <c r="R666" s="584">
        <f t="shared" si="182"/>
        <v>7607</v>
      </c>
      <c r="S666" s="584">
        <f t="shared" si="183"/>
        <v>253.56666666666666</v>
      </c>
      <c r="T666" s="587">
        <v>1560</v>
      </c>
      <c r="U666" s="585">
        <v>1478</v>
      </c>
      <c r="V666" s="583">
        <f t="shared" si="184"/>
        <v>7858</v>
      </c>
      <c r="W666" s="584">
        <f t="shared" si="179"/>
        <v>7607</v>
      </c>
      <c r="X666" s="587"/>
      <c r="Y666" s="585"/>
      <c r="Z666" s="587"/>
      <c r="AA666" s="585"/>
      <c r="AB666" s="587"/>
      <c r="AC666" s="585"/>
      <c r="AD666" s="587"/>
      <c r="AE666" s="585"/>
      <c r="AF666" s="583">
        <f t="shared" si="185"/>
        <v>0</v>
      </c>
      <c r="AG666" s="583">
        <f t="shared" si="186"/>
        <v>0</v>
      </c>
      <c r="AH666" s="584">
        <f t="shared" si="187"/>
        <v>0</v>
      </c>
      <c r="AI666" s="584">
        <f t="shared" si="188"/>
        <v>0</v>
      </c>
      <c r="AJ666" s="587"/>
      <c r="AK666" s="585"/>
      <c r="AL666" s="583">
        <f t="shared" si="189"/>
        <v>0</v>
      </c>
      <c r="AM666" s="584">
        <f t="shared" si="190"/>
        <v>0</v>
      </c>
      <c r="AN666" s="587"/>
      <c r="AO666" s="585"/>
      <c r="AP666" s="587"/>
      <c r="AQ666" s="585"/>
      <c r="AR666" s="587"/>
      <c r="AS666" s="585"/>
      <c r="AT666" s="587"/>
      <c r="AU666" s="585"/>
      <c r="AV666" s="583">
        <f t="shared" si="191"/>
        <v>0</v>
      </c>
      <c r="AW666" s="583">
        <f t="shared" si="192"/>
        <v>0</v>
      </c>
      <c r="AX666" s="584">
        <f t="shared" si="193"/>
        <v>0</v>
      </c>
      <c r="AY666" s="584">
        <f t="shared" si="194"/>
        <v>0</v>
      </c>
      <c r="AZ666" s="583">
        <f t="shared" si="195"/>
        <v>261.93333333333334</v>
      </c>
      <c r="BA666" s="584">
        <f t="shared" si="196"/>
        <v>253.56666666666666</v>
      </c>
    </row>
    <row r="667" spans="1:53">
      <c r="A667" s="34" t="s">
        <v>456</v>
      </c>
      <c r="B667" s="34" t="s">
        <v>474</v>
      </c>
      <c r="C667" s="35"/>
      <c r="D667" s="36">
        <v>444954</v>
      </c>
      <c r="E667" s="456">
        <v>10</v>
      </c>
      <c r="F667" s="582" t="s">
        <v>74</v>
      </c>
      <c r="G667" s="585" t="s">
        <v>74</v>
      </c>
      <c r="H667" s="587"/>
      <c r="I667" s="585"/>
      <c r="J667" s="587">
        <v>17422</v>
      </c>
      <c r="K667" s="585">
        <v>17701</v>
      </c>
      <c r="L667" s="587">
        <v>3572</v>
      </c>
      <c r="M667" s="585">
        <v>4217</v>
      </c>
      <c r="N667" s="587">
        <v>19384</v>
      </c>
      <c r="O667" s="585">
        <v>19143</v>
      </c>
      <c r="P667" s="583">
        <f t="shared" si="180"/>
        <v>40378</v>
      </c>
      <c r="Q667" s="583">
        <f t="shared" si="181"/>
        <v>1345.9333333333334</v>
      </c>
      <c r="R667" s="584">
        <f t="shared" si="182"/>
        <v>41061</v>
      </c>
      <c r="S667" s="584">
        <f t="shared" si="183"/>
        <v>1368.7</v>
      </c>
      <c r="T667" s="587">
        <v>2378</v>
      </c>
      <c r="U667" s="585">
        <v>3136</v>
      </c>
      <c r="V667" s="583">
        <f t="shared" si="184"/>
        <v>40378</v>
      </c>
      <c r="W667" s="584">
        <f t="shared" si="179"/>
        <v>41061</v>
      </c>
      <c r="X667" s="587"/>
      <c r="Y667" s="585"/>
      <c r="Z667" s="587"/>
      <c r="AA667" s="585"/>
      <c r="AB667" s="587"/>
      <c r="AC667" s="585"/>
      <c r="AD667" s="587"/>
      <c r="AE667" s="585"/>
      <c r="AF667" s="583">
        <f t="shared" si="185"/>
        <v>0</v>
      </c>
      <c r="AG667" s="583">
        <f t="shared" si="186"/>
        <v>0</v>
      </c>
      <c r="AH667" s="584">
        <f t="shared" si="187"/>
        <v>0</v>
      </c>
      <c r="AI667" s="584">
        <f t="shared" si="188"/>
        <v>0</v>
      </c>
      <c r="AJ667" s="587"/>
      <c r="AK667" s="585"/>
      <c r="AL667" s="583">
        <f t="shared" si="189"/>
        <v>0</v>
      </c>
      <c r="AM667" s="584">
        <f t="shared" si="190"/>
        <v>0</v>
      </c>
      <c r="AN667" s="587"/>
      <c r="AO667" s="585"/>
      <c r="AP667" s="587"/>
      <c r="AQ667" s="585"/>
      <c r="AR667" s="587"/>
      <c r="AS667" s="585"/>
      <c r="AT667" s="587"/>
      <c r="AU667" s="585"/>
      <c r="AV667" s="583">
        <f t="shared" si="191"/>
        <v>0</v>
      </c>
      <c r="AW667" s="583">
        <f t="shared" si="192"/>
        <v>0</v>
      </c>
      <c r="AX667" s="584">
        <f t="shared" si="193"/>
        <v>0</v>
      </c>
      <c r="AY667" s="584">
        <f t="shared" si="194"/>
        <v>0</v>
      </c>
      <c r="AZ667" s="583">
        <f t="shared" si="195"/>
        <v>1345.9333333333334</v>
      </c>
      <c r="BA667" s="584">
        <f t="shared" si="196"/>
        <v>1368.7</v>
      </c>
    </row>
    <row r="668" spans="1:53" ht="14.5">
      <c r="A668" s="34" t="s">
        <v>456</v>
      </c>
      <c r="B668" s="34" t="s">
        <v>469</v>
      </c>
      <c r="C668" s="543"/>
      <c r="D668" s="36">
        <v>447582</v>
      </c>
      <c r="E668" s="456">
        <v>10</v>
      </c>
      <c r="F668" s="582" t="s">
        <v>74</v>
      </c>
      <c r="G668" s="585" t="s">
        <v>74</v>
      </c>
      <c r="H668" s="587"/>
      <c r="I668" s="585"/>
      <c r="J668" s="587">
        <v>11545</v>
      </c>
      <c r="K668" s="585">
        <v>10659</v>
      </c>
      <c r="L668" s="587">
        <v>2492</v>
      </c>
      <c r="M668" s="585">
        <v>2595</v>
      </c>
      <c r="N668" s="587">
        <v>12325</v>
      </c>
      <c r="O668" s="585">
        <v>12437</v>
      </c>
      <c r="P668" s="583">
        <f t="shared" si="180"/>
        <v>26362</v>
      </c>
      <c r="Q668" s="583">
        <f t="shared" si="181"/>
        <v>878.73333333333335</v>
      </c>
      <c r="R668" s="584">
        <f t="shared" si="182"/>
        <v>25691</v>
      </c>
      <c r="S668" s="584">
        <f t="shared" si="183"/>
        <v>856.36666666666667</v>
      </c>
      <c r="T668" s="587">
        <v>1874</v>
      </c>
      <c r="U668" s="585">
        <v>2447</v>
      </c>
      <c r="V668" s="583">
        <f t="shared" si="184"/>
        <v>26362</v>
      </c>
      <c r="W668" s="584">
        <f t="shared" si="179"/>
        <v>25691</v>
      </c>
      <c r="X668" s="587"/>
      <c r="Y668" s="585"/>
      <c r="Z668" s="587"/>
      <c r="AA668" s="585"/>
      <c r="AB668" s="587"/>
      <c r="AC668" s="585"/>
      <c r="AD668" s="587"/>
      <c r="AE668" s="585"/>
      <c r="AF668" s="583">
        <f t="shared" si="185"/>
        <v>0</v>
      </c>
      <c r="AG668" s="583">
        <f t="shared" si="186"/>
        <v>0</v>
      </c>
      <c r="AH668" s="584">
        <f t="shared" si="187"/>
        <v>0</v>
      </c>
      <c r="AI668" s="584">
        <f t="shared" si="188"/>
        <v>0</v>
      </c>
      <c r="AJ668" s="587"/>
      <c r="AK668" s="585"/>
      <c r="AL668" s="583">
        <f t="shared" si="189"/>
        <v>0</v>
      </c>
      <c r="AM668" s="584">
        <f t="shared" si="190"/>
        <v>0</v>
      </c>
      <c r="AN668" s="587"/>
      <c r="AO668" s="585"/>
      <c r="AP668" s="587"/>
      <c r="AQ668" s="585"/>
      <c r="AR668" s="587"/>
      <c r="AS668" s="585"/>
      <c r="AT668" s="587"/>
      <c r="AU668" s="585"/>
      <c r="AV668" s="583">
        <f t="shared" si="191"/>
        <v>0</v>
      </c>
      <c r="AW668" s="583">
        <f t="shared" si="192"/>
        <v>0</v>
      </c>
      <c r="AX668" s="584">
        <f t="shared" si="193"/>
        <v>0</v>
      </c>
      <c r="AY668" s="584">
        <f t="shared" si="194"/>
        <v>0</v>
      </c>
      <c r="AZ668" s="583">
        <f t="shared" si="195"/>
        <v>878.73333333333335</v>
      </c>
      <c r="BA668" s="584">
        <f t="shared" si="196"/>
        <v>856.36666666666667</v>
      </c>
    </row>
    <row r="669" spans="1:53" ht="14.5">
      <c r="A669" s="34" t="s">
        <v>456</v>
      </c>
      <c r="B669" s="545" t="s">
        <v>470</v>
      </c>
      <c r="C669" s="543"/>
      <c r="D669" s="36">
        <v>443492</v>
      </c>
      <c r="E669" s="456">
        <v>10</v>
      </c>
      <c r="F669" s="582" t="s">
        <v>74</v>
      </c>
      <c r="G669" s="585" t="s">
        <v>74</v>
      </c>
      <c r="H669" s="587"/>
      <c r="I669" s="585"/>
      <c r="J669" s="587">
        <v>16601</v>
      </c>
      <c r="K669" s="585">
        <v>16003</v>
      </c>
      <c r="L669" s="587">
        <v>1519</v>
      </c>
      <c r="M669" s="585">
        <v>1807</v>
      </c>
      <c r="N669" s="587">
        <v>19418</v>
      </c>
      <c r="O669" s="585">
        <v>20230</v>
      </c>
      <c r="P669" s="583">
        <f t="shared" si="180"/>
        <v>37538</v>
      </c>
      <c r="Q669" s="583">
        <f t="shared" si="181"/>
        <v>1251.2666666666667</v>
      </c>
      <c r="R669" s="584">
        <f t="shared" si="182"/>
        <v>38040</v>
      </c>
      <c r="S669" s="584">
        <f t="shared" si="183"/>
        <v>1268</v>
      </c>
      <c r="T669" s="587">
        <v>4462</v>
      </c>
      <c r="U669" s="585">
        <v>4262</v>
      </c>
      <c r="V669" s="583">
        <f t="shared" si="184"/>
        <v>37538</v>
      </c>
      <c r="W669" s="584">
        <f t="shared" si="179"/>
        <v>38040</v>
      </c>
      <c r="X669" s="587"/>
      <c r="Y669" s="585"/>
      <c r="Z669" s="587"/>
      <c r="AA669" s="585"/>
      <c r="AB669" s="587"/>
      <c r="AC669" s="585"/>
      <c r="AD669" s="587"/>
      <c r="AE669" s="585"/>
      <c r="AF669" s="583">
        <f t="shared" si="185"/>
        <v>0</v>
      </c>
      <c r="AG669" s="583">
        <f t="shared" si="186"/>
        <v>0</v>
      </c>
      <c r="AH669" s="584">
        <f t="shared" si="187"/>
        <v>0</v>
      </c>
      <c r="AI669" s="584">
        <f t="shared" si="188"/>
        <v>0</v>
      </c>
      <c r="AJ669" s="587"/>
      <c r="AK669" s="585"/>
      <c r="AL669" s="583">
        <f t="shared" si="189"/>
        <v>0</v>
      </c>
      <c r="AM669" s="584">
        <f t="shared" si="190"/>
        <v>0</v>
      </c>
      <c r="AN669" s="587"/>
      <c r="AO669" s="585"/>
      <c r="AP669" s="587"/>
      <c r="AQ669" s="585"/>
      <c r="AR669" s="587"/>
      <c r="AS669" s="585"/>
      <c r="AT669" s="587"/>
      <c r="AU669" s="585"/>
      <c r="AV669" s="583">
        <f t="shared" si="191"/>
        <v>0</v>
      </c>
      <c r="AW669" s="583">
        <f t="shared" si="192"/>
        <v>0</v>
      </c>
      <c r="AX669" s="584">
        <f t="shared" si="193"/>
        <v>0</v>
      </c>
      <c r="AY669" s="584">
        <f t="shared" si="194"/>
        <v>0</v>
      </c>
      <c r="AZ669" s="583">
        <f t="shared" si="195"/>
        <v>1251.2666666666667</v>
      </c>
      <c r="BA669" s="584">
        <f t="shared" si="196"/>
        <v>1268</v>
      </c>
    </row>
    <row r="670" spans="1:53">
      <c r="A670" s="34" t="s">
        <v>456</v>
      </c>
      <c r="B670" s="34" t="s">
        <v>475</v>
      </c>
      <c r="C670" s="35"/>
      <c r="D670" s="36">
        <v>237817</v>
      </c>
      <c r="E670" s="456">
        <v>10</v>
      </c>
      <c r="F670" s="582" t="s">
        <v>74</v>
      </c>
      <c r="G670" s="585" t="s">
        <v>74</v>
      </c>
      <c r="H670" s="587"/>
      <c r="I670" s="585"/>
      <c r="J670" s="587">
        <v>16446</v>
      </c>
      <c r="K670" s="585">
        <v>14689</v>
      </c>
      <c r="L670" s="587">
        <v>965</v>
      </c>
      <c r="M670" s="585">
        <v>1047</v>
      </c>
      <c r="N670" s="587">
        <v>16865</v>
      </c>
      <c r="O670" s="585">
        <v>16756</v>
      </c>
      <c r="P670" s="583">
        <f t="shared" si="180"/>
        <v>34276</v>
      </c>
      <c r="Q670" s="583">
        <f t="shared" si="181"/>
        <v>1142.5333333333333</v>
      </c>
      <c r="R670" s="584">
        <f t="shared" si="182"/>
        <v>32492</v>
      </c>
      <c r="S670" s="584">
        <f t="shared" si="183"/>
        <v>1083.0666666666666</v>
      </c>
      <c r="T670" s="587">
        <v>865</v>
      </c>
      <c r="U670" s="585">
        <v>1232</v>
      </c>
      <c r="V670" s="583">
        <f t="shared" si="184"/>
        <v>34276</v>
      </c>
      <c r="W670" s="584">
        <f t="shared" si="179"/>
        <v>32492</v>
      </c>
      <c r="X670" s="587"/>
      <c r="Y670" s="585"/>
      <c r="Z670" s="587"/>
      <c r="AA670" s="585"/>
      <c r="AB670" s="587"/>
      <c r="AC670" s="585"/>
      <c r="AD670" s="587"/>
      <c r="AE670" s="585"/>
      <c r="AF670" s="583">
        <f t="shared" si="185"/>
        <v>0</v>
      </c>
      <c r="AG670" s="583">
        <f t="shared" si="186"/>
        <v>0</v>
      </c>
      <c r="AH670" s="584">
        <f t="shared" si="187"/>
        <v>0</v>
      </c>
      <c r="AI670" s="584">
        <f t="shared" si="188"/>
        <v>0</v>
      </c>
      <c r="AJ670" s="587"/>
      <c r="AK670" s="585"/>
      <c r="AL670" s="583">
        <f t="shared" si="189"/>
        <v>0</v>
      </c>
      <c r="AM670" s="584">
        <f t="shared" si="190"/>
        <v>0</v>
      </c>
      <c r="AN670" s="587"/>
      <c r="AO670" s="585"/>
      <c r="AP670" s="587"/>
      <c r="AQ670" s="585"/>
      <c r="AR670" s="587"/>
      <c r="AS670" s="585"/>
      <c r="AT670" s="587"/>
      <c r="AU670" s="585"/>
      <c r="AV670" s="583">
        <f t="shared" si="191"/>
        <v>0</v>
      </c>
      <c r="AW670" s="583">
        <f t="shared" si="192"/>
        <v>0</v>
      </c>
      <c r="AX670" s="584">
        <f t="shared" si="193"/>
        <v>0</v>
      </c>
      <c r="AY670" s="584">
        <f t="shared" si="194"/>
        <v>0</v>
      </c>
      <c r="AZ670" s="583">
        <f t="shared" si="195"/>
        <v>1142.5333333333333</v>
      </c>
      <c r="BA670" s="584">
        <f t="shared" si="196"/>
        <v>1083.0666666666666</v>
      </c>
    </row>
    <row r="671" spans="1:53">
      <c r="A671" s="34" t="s">
        <v>456</v>
      </c>
      <c r="B671" s="34" t="s">
        <v>476</v>
      </c>
      <c r="C671" s="37"/>
      <c r="D671" s="36">
        <v>238014</v>
      </c>
      <c r="E671" s="456">
        <v>10</v>
      </c>
      <c r="F671" s="582" t="s">
        <v>74</v>
      </c>
      <c r="G671" s="585" t="s">
        <v>74</v>
      </c>
      <c r="H671" s="587"/>
      <c r="I671" s="585"/>
      <c r="J671" s="587">
        <v>14000.6</v>
      </c>
      <c r="K671" s="585">
        <v>13346.4</v>
      </c>
      <c r="L671" s="587">
        <v>3405</v>
      </c>
      <c r="M671" s="585">
        <v>2648</v>
      </c>
      <c r="N671" s="587">
        <v>14740</v>
      </c>
      <c r="O671" s="585">
        <v>14318.2</v>
      </c>
      <c r="P671" s="583">
        <f t="shared" si="180"/>
        <v>32145.599999999999</v>
      </c>
      <c r="Q671" s="583">
        <f t="shared" si="181"/>
        <v>1071.52</v>
      </c>
      <c r="R671" s="584">
        <f t="shared" si="182"/>
        <v>30312.6</v>
      </c>
      <c r="S671" s="584">
        <f t="shared" si="183"/>
        <v>1010.42</v>
      </c>
      <c r="T671" s="587">
        <v>4545</v>
      </c>
      <c r="U671" s="585">
        <v>4139</v>
      </c>
      <c r="V671" s="583">
        <f t="shared" si="184"/>
        <v>32145.599999999999</v>
      </c>
      <c r="W671" s="584">
        <f t="shared" si="179"/>
        <v>30312.6</v>
      </c>
      <c r="X671" s="587"/>
      <c r="Y671" s="585"/>
      <c r="Z671" s="587"/>
      <c r="AA671" s="585"/>
      <c r="AB671" s="587"/>
      <c r="AC671" s="585"/>
      <c r="AD671" s="587"/>
      <c r="AE671" s="585"/>
      <c r="AF671" s="583">
        <f t="shared" si="185"/>
        <v>0</v>
      </c>
      <c r="AG671" s="583">
        <f t="shared" si="186"/>
        <v>0</v>
      </c>
      <c r="AH671" s="584">
        <f t="shared" si="187"/>
        <v>0</v>
      </c>
      <c r="AI671" s="584">
        <f t="shared" si="188"/>
        <v>0</v>
      </c>
      <c r="AJ671" s="587"/>
      <c r="AK671" s="585"/>
      <c r="AL671" s="583">
        <f t="shared" si="189"/>
        <v>0</v>
      </c>
      <c r="AM671" s="584">
        <f t="shared" si="190"/>
        <v>0</v>
      </c>
      <c r="AN671" s="587"/>
      <c r="AO671" s="585"/>
      <c r="AP671" s="587"/>
      <c r="AQ671" s="585"/>
      <c r="AR671" s="587"/>
      <c r="AS671" s="585"/>
      <c r="AT671" s="587"/>
      <c r="AU671" s="585"/>
      <c r="AV671" s="583">
        <f t="shared" si="191"/>
        <v>0</v>
      </c>
      <c r="AW671" s="583">
        <f t="shared" si="192"/>
        <v>0</v>
      </c>
      <c r="AX671" s="584">
        <f t="shared" si="193"/>
        <v>0</v>
      </c>
      <c r="AY671" s="584">
        <f t="shared" si="194"/>
        <v>0</v>
      </c>
      <c r="AZ671" s="583">
        <f t="shared" si="195"/>
        <v>1071.52</v>
      </c>
      <c r="BA671" s="584">
        <f t="shared" si="196"/>
        <v>1010.42</v>
      </c>
    </row>
    <row r="672" spans="1:53">
      <c r="A672" s="26" t="s">
        <v>456</v>
      </c>
      <c r="B672" s="520"/>
      <c r="C672" s="520"/>
      <c r="D672" s="599"/>
      <c r="E672" s="25"/>
      <c r="AV672" s="583">
        <f t="shared" si="191"/>
        <v>0</v>
      </c>
      <c r="AW672" s="583">
        <f t="shared" si="192"/>
        <v>0</v>
      </c>
      <c r="AX672" s="584">
        <f t="shared" si="193"/>
        <v>0</v>
      </c>
      <c r="AY672" s="584">
        <f t="shared" si="194"/>
        <v>0</v>
      </c>
      <c r="AZ672" s="583">
        <f t="shared" si="195"/>
        <v>0</v>
      </c>
      <c r="BA672" s="584">
        <f t="shared" si="196"/>
        <v>0</v>
      </c>
    </row>
    <row r="673" customFormat="1" ht="10"/>
    <row r="674" customFormat="1" ht="10"/>
    <row r="675" customFormat="1" ht="10"/>
  </sheetData>
  <sortState xmlns:xlrd2="http://schemas.microsoft.com/office/spreadsheetml/2017/richdata2" ref="A7:BA45">
    <sortCondition ref="A7:A45"/>
    <sortCondition ref="E7:E45"/>
    <sortCondition ref="B7:B45"/>
  </sortState>
  <mergeCells count="1">
    <mergeCell ref="AZ3:BA3"/>
  </mergeCells>
  <phoneticPr fontId="0" type="noConversion"/>
  <conditionalFormatting sqref="M157:M168 U157:U168 Y157:Y168 K157:K168 AC157:AC168 I157:I168 AA157:AA168 AE157:AE168 AK157:AK168 AO157:AO168 AQ157:AQ168 AS157:AS168 AU157:AU168 AU170:AU171 AS170:AS171 AQ170:AQ171 AO170:AO171 AK170:AK171 AE170:AE171 AA170:AA171 I170:I171 AC170:AC171 K170:K171 Y170:Y171 U170:U171 M170:M171 AC84 Y84 AA84 I84 AE84 AK84 AO84 K255:K259 K275:K289 AC81:AC82 AA81:AA82 I81:I82 Y81:Y82 AE81:AE82 AK81:AK82 AO81:AO82 O61:O79 M61:M79 AC61:AC79 AA61:AA79 K61:K79 I61:I79 U61:U79 Y61:Y79 AE61:AE79 AK61:AK79 AO61:AO79 AQ61:AQ79 AS61:AS79 AU61:AU79 AO524:AO531 I524:I531 K524:K531 M524:M531 O524:O531 U524:U531 Y524:Y531 AA524:AA531 AC524:AC531 AE524:AE531 AK524:AK531 AQ524:AQ531 AS524:AS531 AU524:AU531">
    <cfRule type="expression" dxfId="1912" priority="1693">
      <formula>AND(H61=0,(I61&gt;0))</formula>
    </cfRule>
    <cfRule type="expression" dxfId="1911" priority="1694">
      <formula>((I61-H61)/H61)&gt;0.05</formula>
    </cfRule>
  </conditionalFormatting>
  <conditionalFormatting sqref="AQ1 AO1 AE1 I1 AA1 Y1 AC1 K1 O1 M1 AU1 AS1">
    <cfRule type="expression" dxfId="1910" priority="1687" stopIfTrue="1">
      <formula>I1&lt;(H1-(H1*0.1))</formula>
    </cfRule>
    <cfRule type="expression" dxfId="1909" priority="1688" stopIfTrue="1">
      <formula>I1&gt;(H1+(H1*0.1))</formula>
    </cfRule>
  </conditionalFormatting>
  <conditionalFormatting sqref="AQ1 AO1 O1 AE1 M1 K1 I1 U1 AA1 AC1 AK1 Y1 AS1 AU1">
    <cfRule type="cellIs" dxfId="1908" priority="1685" stopIfTrue="1" operator="greaterThan">
      <formula>H1+(H1*0.1)</formula>
    </cfRule>
    <cfRule type="cellIs" dxfId="1907" priority="1686" stopIfTrue="1" operator="lessThan">
      <formula>H1-(H1*0.1)</formula>
    </cfRule>
  </conditionalFormatting>
  <conditionalFormatting sqref="AS1">
    <cfRule type="cellIs" dxfId="1906" priority="1683" stopIfTrue="1" operator="greaterThan">
      <formula>AR1+(AR1*0.1)</formula>
    </cfRule>
    <cfRule type="cellIs" dxfId="1905" priority="1684" stopIfTrue="1" operator="lessThan">
      <formula>AR1-(AR1*0.1)</formula>
    </cfRule>
  </conditionalFormatting>
  <conditionalFormatting sqref="AU1">
    <cfRule type="cellIs" dxfId="1904" priority="1681" stopIfTrue="1" operator="greaterThan">
      <formula>AT1+(AT1*0.1)</formula>
    </cfRule>
    <cfRule type="cellIs" dxfId="1903" priority="1682" stopIfTrue="1" operator="lessThan">
      <formula>AT1-(AT1*0.1)</formula>
    </cfRule>
  </conditionalFormatting>
  <conditionalFormatting sqref="AJ1">
    <cfRule type="expression" dxfId="1902" priority="1689" stopIfTrue="1">
      <formula>AJ1&lt;(AF1-(AF1*0.1))</formula>
    </cfRule>
    <cfRule type="expression" dxfId="1901" priority="1690" stopIfTrue="1">
      <formula>AJ1&gt;(AF1+(AF1*0.1))</formula>
    </cfRule>
  </conditionalFormatting>
  <conditionalFormatting sqref="AK1">
    <cfRule type="expression" dxfId="1900" priority="1691" stopIfTrue="1">
      <formula>AK1&lt;(AH1-(AH1*0.1))</formula>
    </cfRule>
    <cfRule type="expression" dxfId="1899" priority="1692" stopIfTrue="1">
      <formula>AK1&gt;(AH1+(AH1*0.1))</formula>
    </cfRule>
  </conditionalFormatting>
  <conditionalFormatting sqref="AQ1 AO1 M1 Y1 AA1 AC1 AE1 AK1 I1 K1 U1 O1 AS1 AU1">
    <cfRule type="expression" dxfId="1898" priority="1679">
      <formula>I1&gt;(H1+(H1*0.1))</formula>
    </cfRule>
    <cfRule type="expression" dxfId="1897" priority="1680">
      <formula>I1&lt;(H1-(H1*0.1))</formula>
    </cfRule>
  </conditionalFormatting>
  <conditionalFormatting sqref="U1">
    <cfRule type="expression" dxfId="1896" priority="1677">
      <formula>U1&gt;(T1+(T1*0.1))</formula>
    </cfRule>
    <cfRule type="expression" dxfId="1895" priority="1678">
      <formula>U1&lt;(T1-(T1*0.1))</formula>
    </cfRule>
  </conditionalFormatting>
  <conditionalFormatting sqref="O1">
    <cfRule type="expression" dxfId="1894" priority="1675">
      <formula>O1&gt;(N1+(N1*0.1))</formula>
    </cfRule>
    <cfRule type="expression" dxfId="1893" priority="1676">
      <formula>O1&lt;(N1-(N1*0.1))</formula>
    </cfRule>
  </conditionalFormatting>
  <conditionalFormatting sqref="AQ1 AS1 AU1">
    <cfRule type="expression" dxfId="1892" priority="1673">
      <formula>AQ1&gt;(AP1+(AP1*0.1))</formula>
    </cfRule>
    <cfRule type="expression" dxfId="1891" priority="1674">
      <formula>AQ1&lt;(AP1-(AP1*0.1))</formula>
    </cfRule>
  </conditionalFormatting>
  <conditionalFormatting sqref="AN1:AU1">
    <cfRule type="expression" dxfId="1890" priority="1671" stopIfTrue="1">
      <formula>AN1&lt;(AJ1-(AJ1*0.1))</formula>
    </cfRule>
    <cfRule type="expression" dxfId="1889" priority="1672" stopIfTrue="1">
      <formula>AN1&gt;(AJ1+(AJ1*0.1))</formula>
    </cfRule>
  </conditionalFormatting>
  <conditionalFormatting sqref="AO1">
    <cfRule type="expression" dxfId="1888" priority="1669" stopIfTrue="1">
      <formula>AO1&lt;(AL1-(AL1*0.1))</formula>
    </cfRule>
    <cfRule type="expression" dxfId="1887" priority="1670" stopIfTrue="1">
      <formula>AO1&gt;(AL1+(AL1*0.1))</formula>
    </cfRule>
  </conditionalFormatting>
  <conditionalFormatting sqref="AP1">
    <cfRule type="expression" dxfId="1886" priority="1667" stopIfTrue="1">
      <formula>AP1&lt;(AO1-(AO1*0.1))</formula>
    </cfRule>
    <cfRule type="expression" dxfId="1885" priority="1668" stopIfTrue="1">
      <formula>AP1&gt;(AO1+(AO1*0.1))</formula>
    </cfRule>
  </conditionalFormatting>
  <conditionalFormatting sqref="AP1">
    <cfRule type="cellIs" dxfId="1884" priority="1665" stopIfTrue="1" operator="greaterThan">
      <formula>AO1+(AO1*0.1)</formula>
    </cfRule>
    <cfRule type="cellIs" dxfId="1883" priority="1666" stopIfTrue="1" operator="lessThan">
      <formula>AO1-(AO1*0.1)</formula>
    </cfRule>
  </conditionalFormatting>
  <conditionalFormatting sqref="AP1">
    <cfRule type="expression" dxfId="1882" priority="1663">
      <formula>AP1&gt;(AO1+(AO1*0.1))</formula>
    </cfRule>
    <cfRule type="expression" dxfId="1881" priority="1664">
      <formula>AP1&lt;(AO1-(AO1*0.1))</formula>
    </cfRule>
  </conditionalFormatting>
  <conditionalFormatting sqref="AP1">
    <cfRule type="expression" dxfId="1880" priority="1661" stopIfTrue="1">
      <formula>AP1&lt;(AM1-(AM1*0.1))</formula>
    </cfRule>
    <cfRule type="expression" dxfId="1879" priority="1662" stopIfTrue="1">
      <formula>AP1&gt;(AM1+(AM1*0.1))</formula>
    </cfRule>
  </conditionalFormatting>
  <conditionalFormatting sqref="O150:O153 O157:O168">
    <cfRule type="expression" dxfId="1878" priority="1657">
      <formula>AND(N150=0,(O150&gt;0))</formula>
    </cfRule>
    <cfRule type="expression" dxfId="1877" priority="1658">
      <formula>((O150-N150)/N150)&gt;0.05</formula>
    </cfRule>
  </conditionalFormatting>
  <conditionalFormatting sqref="O156">
    <cfRule type="expression" dxfId="1876" priority="1655">
      <formula>AND(N156=0,(O156&gt;0))</formula>
    </cfRule>
    <cfRule type="expression" dxfId="1875" priority="1656">
      <formula>((O156-N156)/N156)&gt;0.05</formula>
    </cfRule>
  </conditionalFormatting>
  <conditionalFormatting sqref="O155">
    <cfRule type="expression" dxfId="1874" priority="1653">
      <formula>AND(N155=0,(O155&gt;0))</formula>
    </cfRule>
    <cfRule type="expression" dxfId="1873" priority="1654">
      <formula>((O155-N155)/N155)&gt;0.05</formula>
    </cfRule>
  </conditionalFormatting>
  <conditionalFormatting sqref="M150:M153">
    <cfRule type="expression" dxfId="1872" priority="1651">
      <formula>AND(L150=0,(M150&gt;0))</formula>
    </cfRule>
    <cfRule type="expression" dxfId="1871" priority="1652">
      <formula>((M150-L150)/L150)&gt;0.05</formula>
    </cfRule>
  </conditionalFormatting>
  <conditionalFormatting sqref="O154">
    <cfRule type="expression" dxfId="1870" priority="1649">
      <formula>AND(N154=0,(O154&gt;0))</formula>
    </cfRule>
    <cfRule type="expression" dxfId="1869" priority="1650">
      <formula>((O154-N154)/N154)&gt;0.05</formula>
    </cfRule>
  </conditionalFormatting>
  <conditionalFormatting sqref="M156">
    <cfRule type="expression" dxfId="1868" priority="1647">
      <formula>AND(L156=0,(M156&gt;0))</formula>
    </cfRule>
    <cfRule type="expression" dxfId="1867" priority="1648">
      <formula>((M156-L156)/L156)&gt;0.05</formula>
    </cfRule>
  </conditionalFormatting>
  <conditionalFormatting sqref="U150:U153">
    <cfRule type="expression" dxfId="1866" priority="1645">
      <formula>AND(T150=0,(U150&gt;0))</formula>
    </cfRule>
    <cfRule type="expression" dxfId="1865" priority="1646">
      <formula>((U150-T150)/T150)&gt;0.05</formula>
    </cfRule>
  </conditionalFormatting>
  <conditionalFormatting sqref="Y150:Y153">
    <cfRule type="expression" dxfId="1864" priority="1643">
      <formula>AND(X150=0,(Y150&gt;0))</formula>
    </cfRule>
    <cfRule type="expression" dxfId="1863" priority="1644">
      <formula>((Y150-X150)/X150)&gt;0.05</formula>
    </cfRule>
  </conditionalFormatting>
  <conditionalFormatting sqref="K155">
    <cfRule type="expression" dxfId="1862" priority="1641">
      <formula>AND(J155=0,(K155&gt;0))</formula>
    </cfRule>
    <cfRule type="expression" dxfId="1861" priority="1642">
      <formula>((K155-J155)/J155)&gt;0.05</formula>
    </cfRule>
  </conditionalFormatting>
  <conditionalFormatting sqref="K154">
    <cfRule type="expression" dxfId="1860" priority="1639">
      <formula>AND(J154=0,(K154&gt;0))</formula>
    </cfRule>
    <cfRule type="expression" dxfId="1859" priority="1640">
      <formula>((K154-J154)/J154)&gt;0.05</formula>
    </cfRule>
  </conditionalFormatting>
  <conditionalFormatting sqref="K150:K153">
    <cfRule type="expression" dxfId="1858" priority="1637">
      <formula>AND(J150=0,(K150&gt;0))</formula>
    </cfRule>
    <cfRule type="expression" dxfId="1857" priority="1638">
      <formula>((K150-J150)/J150)&gt;0.05</formula>
    </cfRule>
  </conditionalFormatting>
  <conditionalFormatting sqref="M154">
    <cfRule type="expression" dxfId="1856" priority="1635">
      <formula>AND(L154=0,(M154&gt;0))</formula>
    </cfRule>
    <cfRule type="expression" dxfId="1855" priority="1636">
      <formula>((M154-L154)/L154)&gt;0.05</formula>
    </cfRule>
  </conditionalFormatting>
  <conditionalFormatting sqref="AC154">
    <cfRule type="expression" dxfId="1854" priority="1633">
      <formula>AND(AB154=0,(AC154&gt;0))</formula>
    </cfRule>
    <cfRule type="expression" dxfId="1853" priority="1634">
      <formula>((AC154-AB154)/AB154)&gt;0.05</formula>
    </cfRule>
  </conditionalFormatting>
  <conditionalFormatting sqref="AC155">
    <cfRule type="expression" dxfId="1852" priority="1631">
      <formula>AND(AB155=0,(AC155&gt;0))</formula>
    </cfRule>
    <cfRule type="expression" dxfId="1851" priority="1632">
      <formula>((AC155-AB155)/AB155)&gt;0.05</formula>
    </cfRule>
  </conditionalFormatting>
  <conditionalFormatting sqref="AC156">
    <cfRule type="expression" dxfId="1850" priority="1629">
      <formula>AND(AB156=0,(AC156&gt;0))</formula>
    </cfRule>
    <cfRule type="expression" dxfId="1849" priority="1630">
      <formula>((AC156-AB156)/AB156)&gt;0.05</formula>
    </cfRule>
  </conditionalFormatting>
  <conditionalFormatting sqref="AC150:AC153">
    <cfRule type="expression" dxfId="1848" priority="1627">
      <formula>AND(AB150=0,(AC150&gt;0))</formula>
    </cfRule>
    <cfRule type="expression" dxfId="1847" priority="1628">
      <formula>((AC150-AB150)/AB150)&gt;0.05</formula>
    </cfRule>
  </conditionalFormatting>
  <conditionalFormatting sqref="Y154">
    <cfRule type="expression" dxfId="1846" priority="1625">
      <formula>AND(X154=0,(Y154&gt;0))</formula>
    </cfRule>
    <cfRule type="expression" dxfId="1845" priority="1626">
      <formula>((Y154-X154)/X154)&gt;0.05</formula>
    </cfRule>
  </conditionalFormatting>
  <conditionalFormatting sqref="Y156">
    <cfRule type="expression" dxfId="1844" priority="1623">
      <formula>AND(X156=0,(Y156&gt;0))</formula>
    </cfRule>
    <cfRule type="expression" dxfId="1843" priority="1624">
      <formula>((Y156-X156)/X156)&gt;0.05</formula>
    </cfRule>
  </conditionalFormatting>
  <conditionalFormatting sqref="Y155">
    <cfRule type="expression" dxfId="1842" priority="1621">
      <formula>AND(X155=0,(Y155&gt;0))</formula>
    </cfRule>
    <cfRule type="expression" dxfId="1841" priority="1622">
      <formula>((Y155-X155)/X155)&gt;0.05</formula>
    </cfRule>
  </conditionalFormatting>
  <conditionalFormatting sqref="M155">
    <cfRule type="expression" dxfId="1840" priority="1619">
      <formula>AND(L155=0,(M155&gt;0))</formula>
    </cfRule>
    <cfRule type="expression" dxfId="1839" priority="1620">
      <formula>((M155-L155)/L155)&gt;0.05</formula>
    </cfRule>
  </conditionalFormatting>
  <conditionalFormatting sqref="U154">
    <cfRule type="expression" dxfId="1838" priority="1617">
      <formula>AND(T154=0,(U154&gt;0))</formula>
    </cfRule>
    <cfRule type="expression" dxfId="1837" priority="1618">
      <formula>((U154-T154)/T154)&gt;0.05</formula>
    </cfRule>
  </conditionalFormatting>
  <conditionalFormatting sqref="I150:I153">
    <cfRule type="expression" dxfId="1836" priority="1615">
      <formula>AND(H150=0,(I150&gt;0))</formula>
    </cfRule>
    <cfRule type="expression" dxfId="1835" priority="1616">
      <formula>((I150-H150)/H150)&gt;0.05</formula>
    </cfRule>
  </conditionalFormatting>
  <conditionalFormatting sqref="AE154">
    <cfRule type="expression" dxfId="1834" priority="1613">
      <formula>AND(AD154=0,(AE154&gt;0))</formula>
    </cfRule>
    <cfRule type="expression" dxfId="1833" priority="1614">
      <formula>((AE154-AD154)/AD154)&gt;0.05</formula>
    </cfRule>
  </conditionalFormatting>
  <conditionalFormatting sqref="U155">
    <cfRule type="expression" dxfId="1832" priority="1611">
      <formula>AND(T155=0,(U155&gt;0))</formula>
    </cfRule>
    <cfRule type="expression" dxfId="1831" priority="1612">
      <formula>((U155-T155)/T155)&gt;0.05</formula>
    </cfRule>
  </conditionalFormatting>
  <conditionalFormatting sqref="AA154">
    <cfRule type="expression" dxfId="1830" priority="1609">
      <formula>AND(Z154=0,(AA154&gt;0))</formula>
    </cfRule>
    <cfRule type="expression" dxfId="1829" priority="1610">
      <formula>((AA154-Z154)/Z154)&gt;0.05</formula>
    </cfRule>
  </conditionalFormatting>
  <conditionalFormatting sqref="U156">
    <cfRule type="expression" dxfId="1828" priority="1607">
      <formula>AND(T156=0,(U156&gt;0))</formula>
    </cfRule>
    <cfRule type="expression" dxfId="1827" priority="1608">
      <formula>((U156-T156)/T156)&gt;0.05</formula>
    </cfRule>
  </conditionalFormatting>
  <conditionalFormatting sqref="K156">
    <cfRule type="expression" dxfId="1826" priority="1605">
      <formula>AND(J156=0,(K156&gt;0))</formula>
    </cfRule>
    <cfRule type="expression" dxfId="1825" priority="1606">
      <formula>((K156-J156)/J156)&gt;0.05</formula>
    </cfRule>
  </conditionalFormatting>
  <conditionalFormatting sqref="I154">
    <cfRule type="expression" dxfId="1824" priority="1603">
      <formula>AND(H154=0,(I154&gt;0))</formula>
    </cfRule>
    <cfRule type="expression" dxfId="1823" priority="1604">
      <formula>((I154-H154)/H154)&gt;0.05</formula>
    </cfRule>
  </conditionalFormatting>
  <conditionalFormatting sqref="I155">
    <cfRule type="expression" dxfId="1822" priority="1601">
      <formula>AND(H155=0,(I155&gt;0))</formula>
    </cfRule>
    <cfRule type="expression" dxfId="1821" priority="1602">
      <formula>((I155-H155)/H155)&gt;0.05</formula>
    </cfRule>
  </conditionalFormatting>
  <conditionalFormatting sqref="I156">
    <cfRule type="expression" dxfId="1820" priority="1599">
      <formula>AND(H156=0,(I156&gt;0))</formula>
    </cfRule>
    <cfRule type="expression" dxfId="1819" priority="1600">
      <formula>((I156-H156)/H156)&gt;0.05</formula>
    </cfRule>
  </conditionalFormatting>
  <conditionalFormatting sqref="AA150:AA153">
    <cfRule type="expression" dxfId="1818" priority="1597">
      <formula>AND(Z150=0,(AA150&gt;0))</formula>
    </cfRule>
    <cfRule type="expression" dxfId="1817" priority="1598">
      <formula>((AA150-Z150)/Z150)&gt;0.05</formula>
    </cfRule>
  </conditionalFormatting>
  <conditionalFormatting sqref="AA155">
    <cfRule type="expression" dxfId="1816" priority="1595">
      <formula>AND(Z155=0,(AA155&gt;0))</formula>
    </cfRule>
    <cfRule type="expression" dxfId="1815" priority="1596">
      <formula>((AA155-Z155)/Z155)&gt;0.05</formula>
    </cfRule>
  </conditionalFormatting>
  <conditionalFormatting sqref="AA156">
    <cfRule type="expression" dxfId="1814" priority="1593">
      <formula>AND(Z156=0,(AA156&gt;0))</formula>
    </cfRule>
    <cfRule type="expression" dxfId="1813" priority="1594">
      <formula>((AA156-Z156)/Z156)&gt;0.05</formula>
    </cfRule>
  </conditionalFormatting>
  <conditionalFormatting sqref="AE150:AE153">
    <cfRule type="expression" dxfId="1812" priority="1591">
      <formula>AND(AD150=0,(AE150&gt;0))</formula>
    </cfRule>
    <cfRule type="expression" dxfId="1811" priority="1592">
      <formula>((AE150-AD150)/AD150)&gt;0.05</formula>
    </cfRule>
  </conditionalFormatting>
  <conditionalFormatting sqref="AE155">
    <cfRule type="expression" dxfId="1810" priority="1589">
      <formula>AND(AD155=0,(AE155&gt;0))</formula>
    </cfRule>
    <cfRule type="expression" dxfId="1809" priority="1590">
      <formula>((AE155-AD155)/AD155)&gt;0.05</formula>
    </cfRule>
  </conditionalFormatting>
  <conditionalFormatting sqref="AE156">
    <cfRule type="expression" dxfId="1808" priority="1587">
      <formula>AND(AD156=0,(AE156&gt;0))</formula>
    </cfRule>
    <cfRule type="expression" dxfId="1807" priority="1588">
      <formula>((AE156-AD156)/AD156)&gt;0.05</formula>
    </cfRule>
  </conditionalFormatting>
  <conditionalFormatting sqref="AK150:AK153">
    <cfRule type="expression" dxfId="1806" priority="1585">
      <formula>AND(AJ150=0,(AK150&gt;0))</formula>
    </cfRule>
    <cfRule type="expression" dxfId="1805" priority="1586">
      <formula>((AK150-AJ150)/AJ150)&gt;0.05</formula>
    </cfRule>
  </conditionalFormatting>
  <conditionalFormatting sqref="AK154">
    <cfRule type="expression" dxfId="1804" priority="1583">
      <formula>AND(AJ154=0,(AK154&gt;0))</formula>
    </cfRule>
    <cfRule type="expression" dxfId="1803" priority="1584">
      <formula>((AK154-AJ154)/AJ154)&gt;0.05</formula>
    </cfRule>
  </conditionalFormatting>
  <conditionalFormatting sqref="AK155">
    <cfRule type="expression" dxfId="1802" priority="1581">
      <formula>AND(AJ155=0,(AK155&gt;0))</formula>
    </cfRule>
    <cfRule type="expression" dxfId="1801" priority="1582">
      <formula>((AK155-AJ155)/AJ155)&gt;0.05</formula>
    </cfRule>
  </conditionalFormatting>
  <conditionalFormatting sqref="AK156">
    <cfRule type="expression" dxfId="1800" priority="1579">
      <formula>AND(AJ156=0,(AK156&gt;0))</formula>
    </cfRule>
    <cfRule type="expression" dxfId="1799" priority="1580">
      <formula>((AK156-AJ156)/AJ156)&gt;0.05</formula>
    </cfRule>
  </conditionalFormatting>
  <conditionalFormatting sqref="AO150:AO153">
    <cfRule type="expression" dxfId="1798" priority="1577">
      <formula>AND(AN150=0,(AO150&gt;0))</formula>
    </cfRule>
    <cfRule type="expression" dxfId="1797" priority="1578">
      <formula>((AO150-AN150)/AN150)&gt;0.05</formula>
    </cfRule>
  </conditionalFormatting>
  <conditionalFormatting sqref="AO154">
    <cfRule type="expression" dxfId="1796" priority="1575">
      <formula>AND(AN154=0,(AO154&gt;0))</formula>
    </cfRule>
    <cfRule type="expression" dxfId="1795" priority="1576">
      <formula>((AO154-AN154)/AN154)&gt;0.05</formula>
    </cfRule>
  </conditionalFormatting>
  <conditionalFormatting sqref="AO155">
    <cfRule type="expression" dxfId="1794" priority="1573">
      <formula>AND(AN155=0,(AO155&gt;0))</formula>
    </cfRule>
    <cfRule type="expression" dxfId="1793" priority="1574">
      <formula>((AO155-AN155)/AN155)&gt;0.05</formula>
    </cfRule>
  </conditionalFormatting>
  <conditionalFormatting sqref="AO156">
    <cfRule type="expression" dxfId="1792" priority="1571">
      <formula>AND(AN156=0,(AO156&gt;0))</formula>
    </cfRule>
    <cfRule type="expression" dxfId="1791" priority="1572">
      <formula>((AO156-AN156)/AN156)&gt;0.05</formula>
    </cfRule>
  </conditionalFormatting>
  <conditionalFormatting sqref="AQ150:AQ153">
    <cfRule type="expression" dxfId="1790" priority="1569">
      <formula>AND(AP150=0,(AQ150&gt;0))</formula>
    </cfRule>
    <cfRule type="expression" dxfId="1789" priority="1570">
      <formula>((AQ150-AP150)/AP150)&gt;0.05</formula>
    </cfRule>
  </conditionalFormatting>
  <conditionalFormatting sqref="AQ154">
    <cfRule type="expression" dxfId="1788" priority="1567">
      <formula>AND(AP154=0,(AQ154&gt;0))</formula>
    </cfRule>
    <cfRule type="expression" dxfId="1787" priority="1568">
      <formula>((AQ154-AP154)/AP154)&gt;0.05</formula>
    </cfRule>
  </conditionalFormatting>
  <conditionalFormatting sqref="AQ155">
    <cfRule type="expression" dxfId="1786" priority="1565">
      <formula>AND(AP155=0,(AQ155&gt;0))</formula>
    </cfRule>
    <cfRule type="expression" dxfId="1785" priority="1566">
      <formula>((AQ155-AP155)/AP155)&gt;0.05</formula>
    </cfRule>
  </conditionalFormatting>
  <conditionalFormatting sqref="AQ156">
    <cfRule type="expression" dxfId="1784" priority="1563">
      <formula>AND(AP156=0,(AQ156&gt;0))</formula>
    </cfRule>
    <cfRule type="expression" dxfId="1783" priority="1564">
      <formula>((AQ156-AP156)/AP156)&gt;0.05</formula>
    </cfRule>
  </conditionalFormatting>
  <conditionalFormatting sqref="AS150:AS153">
    <cfRule type="expression" dxfId="1782" priority="1561">
      <formula>AND(AR150=0,(AS150&gt;0))</formula>
    </cfRule>
    <cfRule type="expression" dxfId="1781" priority="1562">
      <formula>((AS150-AR150)/AR150)&gt;0.05</formula>
    </cfRule>
  </conditionalFormatting>
  <conditionalFormatting sqref="AS154">
    <cfRule type="expression" dxfId="1780" priority="1559">
      <formula>AND(AR154=0,(AS154&gt;0))</formula>
    </cfRule>
    <cfRule type="expression" dxfId="1779" priority="1560">
      <formula>((AS154-AR154)/AR154)&gt;0.05</formula>
    </cfRule>
  </conditionalFormatting>
  <conditionalFormatting sqref="AS155">
    <cfRule type="expression" dxfId="1778" priority="1557">
      <formula>AND(AR155=0,(AS155&gt;0))</formula>
    </cfRule>
    <cfRule type="expression" dxfId="1777" priority="1558">
      <formula>((AS155-AR155)/AR155)&gt;0.05</formula>
    </cfRule>
  </conditionalFormatting>
  <conditionalFormatting sqref="AS156">
    <cfRule type="expression" dxfId="1776" priority="1555">
      <formula>AND(AR156=0,(AS156&gt;0))</formula>
    </cfRule>
    <cfRule type="expression" dxfId="1775" priority="1556">
      <formula>((AS156-AR156)/AR156)&gt;0.05</formula>
    </cfRule>
  </conditionalFormatting>
  <conditionalFormatting sqref="AU150:AU153">
    <cfRule type="expression" dxfId="1774" priority="1553">
      <formula>AND(AT150=0,(AU150&gt;0))</formula>
    </cfRule>
    <cfRule type="expression" dxfId="1773" priority="1554">
      <formula>((AU150-AT150)/AT150)&gt;0.05</formula>
    </cfRule>
  </conditionalFormatting>
  <conditionalFormatting sqref="AU154">
    <cfRule type="expression" dxfId="1772" priority="1551">
      <formula>AND(AT154=0,(AU154&gt;0))</formula>
    </cfRule>
    <cfRule type="expression" dxfId="1771" priority="1552">
      <formula>((AU154-AT154)/AT154)&gt;0.05</formula>
    </cfRule>
  </conditionalFormatting>
  <conditionalFormatting sqref="AU155">
    <cfRule type="expression" dxfId="1770" priority="1549">
      <formula>AND(AT155=0,(AU155&gt;0))</formula>
    </cfRule>
    <cfRule type="expression" dxfId="1769" priority="1550">
      <formula>((AU155-AT155)/AT155)&gt;0.05</formula>
    </cfRule>
  </conditionalFormatting>
  <conditionalFormatting sqref="AU156">
    <cfRule type="expression" dxfId="1768" priority="1547">
      <formula>AND(AT156=0,(AU156&gt;0))</formula>
    </cfRule>
    <cfRule type="expression" dxfId="1767" priority="1548">
      <formula>((AU156-AT156)/AT156)&gt;0.05</formula>
    </cfRule>
  </conditionalFormatting>
  <conditionalFormatting sqref="O170">
    <cfRule type="expression" dxfId="1766" priority="1659">
      <formula>AND(N171=0,(O170&gt;0))</formula>
    </cfRule>
    <cfRule type="expression" dxfId="1765" priority="1660">
      <formula>((O170-N171)/N171)&gt;0.05</formula>
    </cfRule>
  </conditionalFormatting>
  <conditionalFormatting sqref="U169 Y169 K169 AC169 I169 AA169 AE169 AK169 AO169 AQ169 AS169 AU169">
    <cfRule type="expression" dxfId="1764" priority="1543">
      <formula>AND(H169=0,(I169&gt;0))</formula>
    </cfRule>
    <cfRule type="expression" dxfId="1763" priority="1544">
      <formula>((I169-H169)/H169)&gt;0.05</formula>
    </cfRule>
  </conditionalFormatting>
  <conditionalFormatting sqref="O169">
    <cfRule type="expression" dxfId="1762" priority="1545">
      <formula>AND(N171=0,(O169&gt;0))</formula>
    </cfRule>
    <cfRule type="expression" dxfId="1761" priority="1546">
      <formula>((O169-N171)/N171)&gt;0.05</formula>
    </cfRule>
  </conditionalFormatting>
  <conditionalFormatting sqref="M169">
    <cfRule type="expression" dxfId="1760" priority="1541">
      <formula>AND(L169=0,(M169&gt;0))</formula>
    </cfRule>
    <cfRule type="expression" dxfId="1759" priority="1542">
      <formula>((M169-L169)/L169)&gt;0.05</formula>
    </cfRule>
  </conditionalFormatting>
  <conditionalFormatting sqref="O146">
    <cfRule type="expression" dxfId="1758" priority="1535">
      <formula>AND(N146=0,(O146&gt;0))</formula>
    </cfRule>
    <cfRule type="expression" dxfId="1757" priority="1536">
      <formula>((O146-N146)/N146)&gt;0.05</formula>
    </cfRule>
  </conditionalFormatting>
  <conditionalFormatting sqref="O147">
    <cfRule type="expression" dxfId="1756" priority="1533">
      <formula>AND(N147=0,(O147&gt;0))</formula>
    </cfRule>
    <cfRule type="expression" dxfId="1755" priority="1534">
      <formula>((O147-N147)/N147)&gt;0.05</formula>
    </cfRule>
  </conditionalFormatting>
  <conditionalFormatting sqref="O148">
    <cfRule type="expression" dxfId="1754" priority="1531">
      <formula>AND(N148=0,(O148&gt;0))</formula>
    </cfRule>
    <cfRule type="expression" dxfId="1753" priority="1532">
      <formula>((O148-N148)/N148)&gt;0.05</formula>
    </cfRule>
  </conditionalFormatting>
  <conditionalFormatting sqref="O149">
    <cfRule type="expression" dxfId="1752" priority="1529">
      <formula>AND(N149=0,(O149&gt;0))</formula>
    </cfRule>
    <cfRule type="expression" dxfId="1751" priority="1530">
      <formula>((O149-N149)/N149)&gt;0.05</formula>
    </cfRule>
  </conditionalFormatting>
  <conditionalFormatting sqref="O121:O123 O125:O145">
    <cfRule type="expression" dxfId="1750" priority="1539">
      <formula>AND(N121=0,(O121&gt;0))</formula>
    </cfRule>
    <cfRule type="expression" dxfId="1749" priority="1540">
      <formula>((O121-N121)/N121)&gt;0.05</formula>
    </cfRule>
  </conditionalFormatting>
  <conditionalFormatting sqref="O120">
    <cfRule type="expression" dxfId="1748" priority="1537">
      <formula>AND(N120=0,(O120&gt;0))</formula>
    </cfRule>
    <cfRule type="expression" dxfId="1747" priority="1538">
      <formula>((O120-N120)/N120)&gt;0.05</formula>
    </cfRule>
  </conditionalFormatting>
  <conditionalFormatting sqref="M121:M123 M125:M145">
    <cfRule type="expression" dxfId="1746" priority="1527">
      <formula>AND(L121=0,(M121&gt;0))</formula>
    </cfRule>
    <cfRule type="expression" dxfId="1745" priority="1528">
      <formula>((M121-L121)/L121)&gt;0.05</formula>
    </cfRule>
  </conditionalFormatting>
  <conditionalFormatting sqref="M147">
    <cfRule type="expression" dxfId="1744" priority="1521">
      <formula>AND(L147=0,(M147&gt;0))</formula>
    </cfRule>
    <cfRule type="expression" dxfId="1743" priority="1522">
      <formula>((M147-L147)/L147)&gt;0.05</formula>
    </cfRule>
  </conditionalFormatting>
  <conditionalFormatting sqref="Y121:Y123 Y125:Y145">
    <cfRule type="expression" dxfId="1742" priority="1481">
      <formula>AND(X121=0,(Y121&gt;0))</formula>
    </cfRule>
    <cfRule type="expression" dxfId="1741" priority="1482">
      <formula>((Y121-X121)/X121)&gt;0.05</formula>
    </cfRule>
  </conditionalFormatting>
  <conditionalFormatting sqref="K148">
    <cfRule type="expression" dxfId="1740" priority="1507">
      <formula>AND(J148=0,(K148&gt;0))</formula>
    </cfRule>
    <cfRule type="expression" dxfId="1739" priority="1508">
      <formula>((K148-J148)/J148)&gt;0.05</formula>
    </cfRule>
  </conditionalFormatting>
  <conditionalFormatting sqref="K147">
    <cfRule type="expression" dxfId="1738" priority="1509">
      <formula>AND(J147=0,(K147&gt;0))</formula>
    </cfRule>
    <cfRule type="expression" dxfId="1737" priority="1510">
      <formula>((K147-J147)/J147)&gt;0.05</formula>
    </cfRule>
  </conditionalFormatting>
  <conditionalFormatting sqref="M149">
    <cfRule type="expression" dxfId="1736" priority="1517">
      <formula>AND(L149=0,(M149&gt;0))</formula>
    </cfRule>
    <cfRule type="expression" dxfId="1735" priority="1518">
      <formula>((M149-L149)/L149)&gt;0.05</formula>
    </cfRule>
  </conditionalFormatting>
  <conditionalFormatting sqref="M146">
    <cfRule type="expression" dxfId="1734" priority="1523">
      <formula>AND(L146=0,(M146&gt;0))</formula>
    </cfRule>
    <cfRule type="expression" dxfId="1733" priority="1524">
      <formula>((M146-L146)/L146)&gt;0.05</formula>
    </cfRule>
  </conditionalFormatting>
  <conditionalFormatting sqref="I121:I123 I125:I145">
    <cfRule type="expression" dxfId="1732" priority="1503">
      <formula>AND(H121=0,(I121&gt;0))</formula>
    </cfRule>
    <cfRule type="expression" dxfId="1731" priority="1504">
      <formula>((I121-H121)/H121)&gt;0.05</formula>
    </cfRule>
  </conditionalFormatting>
  <conditionalFormatting sqref="K120">
    <cfRule type="expression" dxfId="1730" priority="1513">
      <formula>AND(J120=0,(K120&gt;0))</formula>
    </cfRule>
    <cfRule type="expression" dxfId="1729" priority="1514">
      <formula>((K120-J120)/J120)&gt;0.05</formula>
    </cfRule>
  </conditionalFormatting>
  <conditionalFormatting sqref="Y147">
    <cfRule type="expression" dxfId="1728" priority="1475">
      <formula>AND(X147=0,(Y147&gt;0))</formula>
    </cfRule>
    <cfRule type="expression" dxfId="1727" priority="1476">
      <formula>((Y147-X147)/X147)&gt;0.05</formula>
    </cfRule>
  </conditionalFormatting>
  <conditionalFormatting sqref="Y148">
    <cfRule type="expression" dxfId="1726" priority="1473">
      <formula>AND(X148=0,(Y148&gt;0))</formula>
    </cfRule>
    <cfRule type="expression" dxfId="1725" priority="1474">
      <formula>((Y148-X148)/X148)&gt;0.05</formula>
    </cfRule>
  </conditionalFormatting>
  <conditionalFormatting sqref="AA149">
    <cfRule type="expression" dxfId="1724" priority="1459">
      <formula>AND(Z149=0,(AA149&gt;0))</formula>
    </cfRule>
    <cfRule type="expression" dxfId="1723" priority="1460">
      <formula>((AA149-Z149)/Z149)&gt;0.05</formula>
    </cfRule>
  </conditionalFormatting>
  <conditionalFormatting sqref="M120">
    <cfRule type="expression" dxfId="1722" priority="1525">
      <formula>AND(L120=0,(M120&gt;0))</formula>
    </cfRule>
    <cfRule type="expression" dxfId="1721" priority="1526">
      <formula>((M120-L120)/L120)&gt;0.05</formula>
    </cfRule>
  </conditionalFormatting>
  <conditionalFormatting sqref="AC121:AC123 AC125:AC145">
    <cfRule type="expression" dxfId="1720" priority="1457">
      <formula>AND(AB121=0,(AC121&gt;0))</formula>
    </cfRule>
    <cfRule type="expression" dxfId="1719" priority="1458">
      <formula>((AC121-AB121)/AB121)&gt;0.05</formula>
    </cfRule>
  </conditionalFormatting>
  <conditionalFormatting sqref="AC120">
    <cfRule type="expression" dxfId="1718" priority="1455">
      <formula>AND(AB120=0,(AC120&gt;0))</formula>
    </cfRule>
    <cfRule type="expression" dxfId="1717" priority="1456">
      <formula>((AC120-AB120)/AB120)&gt;0.05</formula>
    </cfRule>
  </conditionalFormatting>
  <conditionalFormatting sqref="AC146">
    <cfRule type="expression" dxfId="1716" priority="1453">
      <formula>AND(AB146=0,(AC146&gt;0))</formula>
    </cfRule>
    <cfRule type="expression" dxfId="1715" priority="1454">
      <formula>((AC146-AB146)/AB146)&gt;0.05</formula>
    </cfRule>
  </conditionalFormatting>
  <conditionalFormatting sqref="AC147">
    <cfRule type="expression" dxfId="1714" priority="1451">
      <formula>AND(AB147=0,(AC147&gt;0))</formula>
    </cfRule>
    <cfRule type="expression" dxfId="1713" priority="1452">
      <formula>((AC147-AB147)/AB147)&gt;0.05</formula>
    </cfRule>
  </conditionalFormatting>
  <conditionalFormatting sqref="AC148">
    <cfRule type="expression" dxfId="1712" priority="1449">
      <formula>AND(AB148=0,(AC148&gt;0))</formula>
    </cfRule>
    <cfRule type="expression" dxfId="1711" priority="1450">
      <formula>((AC148-AB148)/AB148)&gt;0.05</formula>
    </cfRule>
  </conditionalFormatting>
  <conditionalFormatting sqref="U121:U123 U125:U145">
    <cfRule type="expression" dxfId="1710" priority="1491">
      <formula>AND(T121=0,(U121&gt;0))</formula>
    </cfRule>
    <cfRule type="expression" dxfId="1709" priority="1492">
      <formula>((U121-T121)/T121)&gt;0.05</formula>
    </cfRule>
  </conditionalFormatting>
  <conditionalFormatting sqref="K146">
    <cfRule type="expression" dxfId="1708" priority="1511">
      <formula>AND(J146=0,(K146&gt;0))</formula>
    </cfRule>
    <cfRule type="expression" dxfId="1707" priority="1512">
      <formula>((K146-J146)/J146)&gt;0.05</formula>
    </cfRule>
  </conditionalFormatting>
  <conditionalFormatting sqref="K121:K123 K125:K145">
    <cfRule type="expression" dxfId="1706" priority="1515">
      <formula>AND(J121=0,(K121&gt;0))</formula>
    </cfRule>
    <cfRule type="expression" dxfId="1705" priority="1516">
      <formula>((K121-J121)/J121)&gt;0.05</formula>
    </cfRule>
  </conditionalFormatting>
  <conditionalFormatting sqref="I120">
    <cfRule type="expression" dxfId="1704" priority="1501">
      <formula>AND(H120=0,(I120&gt;0))</formula>
    </cfRule>
    <cfRule type="expression" dxfId="1703" priority="1502">
      <formula>((I120-H120)/H120)&gt;0.05</formula>
    </cfRule>
  </conditionalFormatting>
  <conditionalFormatting sqref="I146">
    <cfRule type="expression" dxfId="1702" priority="1499">
      <formula>AND(H146=0,(I146&gt;0))</formula>
    </cfRule>
    <cfRule type="expression" dxfId="1701" priority="1500">
      <formula>((I146-H146)/H146)&gt;0.05</formula>
    </cfRule>
  </conditionalFormatting>
  <conditionalFormatting sqref="K149">
    <cfRule type="expression" dxfId="1700" priority="1505">
      <formula>AND(J149=0,(K149&gt;0))</formula>
    </cfRule>
    <cfRule type="expression" dxfId="1699" priority="1506">
      <formula>((K149-J149)/J149)&gt;0.05</formula>
    </cfRule>
  </conditionalFormatting>
  <conditionalFormatting sqref="M148">
    <cfRule type="expression" dxfId="1698" priority="1519">
      <formula>AND(L148=0,(M148&gt;0))</formula>
    </cfRule>
    <cfRule type="expression" dxfId="1697" priority="1520">
      <formula>((M148-L148)/L148)&gt;0.05</formula>
    </cfRule>
  </conditionalFormatting>
  <conditionalFormatting sqref="I147">
    <cfRule type="expression" dxfId="1696" priority="1497">
      <formula>AND(H147=0,(I147&gt;0))</formula>
    </cfRule>
    <cfRule type="expression" dxfId="1695" priority="1498">
      <formula>((I147-H147)/H147)&gt;0.05</formula>
    </cfRule>
  </conditionalFormatting>
  <conditionalFormatting sqref="I148">
    <cfRule type="expression" dxfId="1694" priority="1495">
      <formula>AND(H148=0,(I148&gt;0))</formula>
    </cfRule>
    <cfRule type="expression" dxfId="1693" priority="1496">
      <formula>((I148-H148)/H148)&gt;0.05</formula>
    </cfRule>
  </conditionalFormatting>
  <conditionalFormatting sqref="I149">
    <cfRule type="expression" dxfId="1692" priority="1493">
      <formula>AND(H149=0,(I149&gt;0))</formula>
    </cfRule>
    <cfRule type="expression" dxfId="1691" priority="1494">
      <formula>((I149-H149)/H149)&gt;0.05</formula>
    </cfRule>
  </conditionalFormatting>
  <conditionalFormatting sqref="U146">
    <cfRule type="expression" dxfId="1690" priority="1489">
      <formula>AND(T146=0,(U146&gt;0))</formula>
    </cfRule>
    <cfRule type="expression" dxfId="1689" priority="1490">
      <formula>((U146-T146)/T146)&gt;0.05</formula>
    </cfRule>
  </conditionalFormatting>
  <conditionalFormatting sqref="U147">
    <cfRule type="expression" dxfId="1688" priority="1487">
      <formula>AND(T147=0,(U147&gt;0))</formula>
    </cfRule>
    <cfRule type="expression" dxfId="1687" priority="1488">
      <formula>((U147-T147)/T147)&gt;0.05</formula>
    </cfRule>
  </conditionalFormatting>
  <conditionalFormatting sqref="U148">
    <cfRule type="expression" dxfId="1686" priority="1485">
      <formula>AND(T148=0,(U148&gt;0))</formula>
    </cfRule>
    <cfRule type="expression" dxfId="1685" priority="1486">
      <formula>((U148-T148)/T148)&gt;0.05</formula>
    </cfRule>
  </conditionalFormatting>
  <conditionalFormatting sqref="U149">
    <cfRule type="expression" dxfId="1684" priority="1483">
      <formula>AND(T149=0,(U149&gt;0))</formula>
    </cfRule>
    <cfRule type="expression" dxfId="1683" priority="1484">
      <formula>((U149-T149)/T149)&gt;0.05</formula>
    </cfRule>
  </conditionalFormatting>
  <conditionalFormatting sqref="Y120">
    <cfRule type="expression" dxfId="1682" priority="1479">
      <formula>AND(X120=0,(Y120&gt;0))</formula>
    </cfRule>
    <cfRule type="expression" dxfId="1681" priority="1480">
      <formula>((Y120-X120)/X120)&gt;0.05</formula>
    </cfRule>
  </conditionalFormatting>
  <conditionalFormatting sqref="Y146">
    <cfRule type="expression" dxfId="1680" priority="1477">
      <formula>AND(X146=0,(Y146&gt;0))</formula>
    </cfRule>
    <cfRule type="expression" dxfId="1679" priority="1478">
      <formula>((Y146-X146)/X146)&gt;0.05</formula>
    </cfRule>
  </conditionalFormatting>
  <conditionalFormatting sqref="Y149">
    <cfRule type="expression" dxfId="1678" priority="1471">
      <formula>AND(X149=0,(Y149&gt;0))</formula>
    </cfRule>
    <cfRule type="expression" dxfId="1677" priority="1472">
      <formula>((Y149-X149)/X149)&gt;0.05</formula>
    </cfRule>
  </conditionalFormatting>
  <conditionalFormatting sqref="AA146">
    <cfRule type="expression" dxfId="1676" priority="1465">
      <formula>AND(Z146=0,(AA146&gt;0))</formula>
    </cfRule>
    <cfRule type="expression" dxfId="1675" priority="1466">
      <formula>((AA146-Z146)/Z146)&gt;0.05</formula>
    </cfRule>
  </conditionalFormatting>
  <conditionalFormatting sqref="AA147">
    <cfRule type="expression" dxfId="1674" priority="1463">
      <formula>AND(Z147=0,(AA147&gt;0))</formula>
    </cfRule>
    <cfRule type="expression" dxfId="1673" priority="1464">
      <formula>((AA147-Z147)/Z147)&gt;0.05</formula>
    </cfRule>
  </conditionalFormatting>
  <conditionalFormatting sqref="AA148">
    <cfRule type="expression" dxfId="1672" priority="1461">
      <formula>AND(Z148=0,(AA148&gt;0))</formula>
    </cfRule>
    <cfRule type="expression" dxfId="1671" priority="1462">
      <formula>((AA148-Z148)/Z148)&gt;0.05</formula>
    </cfRule>
  </conditionalFormatting>
  <conditionalFormatting sqref="AA121:AA123 AA125:AA145">
    <cfRule type="expression" dxfId="1670" priority="1469">
      <formula>AND(Z121=0,(AA121&gt;0))</formula>
    </cfRule>
    <cfRule type="expression" dxfId="1669" priority="1470">
      <formula>((AA121-Z121)/Z121)&gt;0.05</formula>
    </cfRule>
  </conditionalFormatting>
  <conditionalFormatting sqref="AA120">
    <cfRule type="expression" dxfId="1668" priority="1467">
      <formula>AND(Z120=0,(AA120&gt;0))</formula>
    </cfRule>
    <cfRule type="expression" dxfId="1667" priority="1468">
      <formula>((AA120-Z120)/Z120)&gt;0.05</formula>
    </cfRule>
  </conditionalFormatting>
  <conditionalFormatting sqref="AC149">
    <cfRule type="expression" dxfId="1666" priority="1447">
      <formula>AND(AB149=0,(AC149&gt;0))</formula>
    </cfRule>
    <cfRule type="expression" dxfId="1665" priority="1448">
      <formula>((AC149-AB149)/AB149)&gt;0.05</formula>
    </cfRule>
  </conditionalFormatting>
  <conditionalFormatting sqref="AE121:AE123 AE125:AE145">
    <cfRule type="expression" dxfId="1664" priority="1445">
      <formula>AND(AD121=0,(AE121&gt;0))</formula>
    </cfRule>
    <cfRule type="expression" dxfId="1663" priority="1446">
      <formula>((AE121-AD121)/AD121)&gt;0.05</formula>
    </cfRule>
  </conditionalFormatting>
  <conditionalFormatting sqref="AE120">
    <cfRule type="expression" dxfId="1662" priority="1443">
      <formula>AND(AD120=0,(AE120&gt;0))</formula>
    </cfRule>
    <cfRule type="expression" dxfId="1661" priority="1444">
      <formula>((AE120-AD120)/AD120)&gt;0.05</formula>
    </cfRule>
  </conditionalFormatting>
  <conditionalFormatting sqref="AE146">
    <cfRule type="expression" dxfId="1660" priority="1441">
      <formula>AND(AD146=0,(AE146&gt;0))</formula>
    </cfRule>
    <cfRule type="expression" dxfId="1659" priority="1442">
      <formula>((AE146-AD146)/AD146)&gt;0.05</formula>
    </cfRule>
  </conditionalFormatting>
  <conditionalFormatting sqref="AE148">
    <cfRule type="expression" dxfId="1658" priority="1437">
      <formula>AND(AD148=0,(AE148&gt;0))</formula>
    </cfRule>
    <cfRule type="expression" dxfId="1657" priority="1438">
      <formula>((AE148-AD148)/AD148)&gt;0.05</formula>
    </cfRule>
  </conditionalFormatting>
  <conditionalFormatting sqref="AE147">
    <cfRule type="expression" dxfId="1656" priority="1439">
      <formula>AND(AD147=0,(AE147&gt;0))</formula>
    </cfRule>
    <cfRule type="expression" dxfId="1655" priority="1440">
      <formula>((AE147-AD147)/AD147)&gt;0.05</formula>
    </cfRule>
  </conditionalFormatting>
  <conditionalFormatting sqref="AE149">
    <cfRule type="expression" dxfId="1654" priority="1435">
      <formula>AND(AD149=0,(AE149&gt;0))</formula>
    </cfRule>
    <cfRule type="expression" dxfId="1653" priority="1436">
      <formula>((AE149-AD149)/AD149)&gt;0.05</formula>
    </cfRule>
  </conditionalFormatting>
  <conditionalFormatting sqref="AK147">
    <cfRule type="expression" dxfId="1652" priority="1427">
      <formula>AND(AJ147=0,(AK147&gt;0))</formula>
    </cfRule>
    <cfRule type="expression" dxfId="1651" priority="1428">
      <formula>((AK147-AJ147)/AJ147)&gt;0.05</formula>
    </cfRule>
  </conditionalFormatting>
  <conditionalFormatting sqref="AK148">
    <cfRule type="expression" dxfId="1650" priority="1425">
      <formula>AND(AJ148=0,(AK148&gt;0))</formula>
    </cfRule>
    <cfRule type="expression" dxfId="1649" priority="1426">
      <formula>((AK148-AJ148)/AJ148)&gt;0.05</formula>
    </cfRule>
  </conditionalFormatting>
  <conditionalFormatting sqref="AK149">
    <cfRule type="expression" dxfId="1648" priority="1423">
      <formula>AND(AJ149=0,(AK149&gt;0))</formula>
    </cfRule>
    <cfRule type="expression" dxfId="1647" priority="1424">
      <formula>((AK149-AJ149)/AJ149)&gt;0.05</formula>
    </cfRule>
  </conditionalFormatting>
  <conditionalFormatting sqref="AK146">
    <cfRule type="expression" dxfId="1646" priority="1429">
      <formula>AND(AJ146=0,(AK146&gt;0))</formula>
    </cfRule>
    <cfRule type="expression" dxfId="1645" priority="1430">
      <formula>((AK146-AJ146)/AJ146)&gt;0.05</formula>
    </cfRule>
  </conditionalFormatting>
  <conditionalFormatting sqref="AK121:AK123 AK125:AK145">
    <cfRule type="expression" dxfId="1644" priority="1433">
      <formula>AND(AJ121=0,(AK121&gt;0))</formula>
    </cfRule>
    <cfRule type="expression" dxfId="1643" priority="1434">
      <formula>((AK121-AJ121)/AJ121)&gt;0.05</formula>
    </cfRule>
  </conditionalFormatting>
  <conditionalFormatting sqref="AK120">
    <cfRule type="expression" dxfId="1642" priority="1431">
      <formula>AND(AJ120=0,(AK120&gt;0))</formula>
    </cfRule>
    <cfRule type="expression" dxfId="1641" priority="1432">
      <formula>((AK120-AJ120)/AJ120)&gt;0.05</formula>
    </cfRule>
  </conditionalFormatting>
  <conditionalFormatting sqref="AO121:AO123 AO125:AO145">
    <cfRule type="expression" dxfId="1640" priority="1421">
      <formula>AND(AN121=0,(AO121&gt;0))</formula>
    </cfRule>
    <cfRule type="expression" dxfId="1639" priority="1422">
      <formula>((AO121-AN121)/AN121)&gt;0.05</formula>
    </cfRule>
  </conditionalFormatting>
  <conditionalFormatting sqref="AO120">
    <cfRule type="expression" dxfId="1638" priority="1419">
      <formula>AND(AN120=0,(AO120&gt;0))</formula>
    </cfRule>
    <cfRule type="expression" dxfId="1637" priority="1420">
      <formula>((AO120-AN120)/AN120)&gt;0.05</formula>
    </cfRule>
  </conditionalFormatting>
  <conditionalFormatting sqref="AO146">
    <cfRule type="expression" dxfId="1636" priority="1417">
      <formula>AND(AN146=0,(AO146&gt;0))</formula>
    </cfRule>
    <cfRule type="expression" dxfId="1635" priority="1418">
      <formula>((AO146-AN146)/AN146)&gt;0.05</formula>
    </cfRule>
  </conditionalFormatting>
  <conditionalFormatting sqref="AO148">
    <cfRule type="expression" dxfId="1634" priority="1413">
      <formula>AND(AN148=0,(AO148&gt;0))</formula>
    </cfRule>
    <cfRule type="expression" dxfId="1633" priority="1414">
      <formula>((AO148-AN148)/AN148)&gt;0.05</formula>
    </cfRule>
  </conditionalFormatting>
  <conditionalFormatting sqref="AO149">
    <cfRule type="expression" dxfId="1632" priority="1411">
      <formula>AND(AN149=0,(AO149&gt;0))</formula>
    </cfRule>
    <cfRule type="expression" dxfId="1631" priority="1412">
      <formula>((AO149-AN149)/AN149)&gt;0.05</formula>
    </cfRule>
  </conditionalFormatting>
  <conditionalFormatting sqref="AO147">
    <cfRule type="expression" dxfId="1630" priority="1415">
      <formula>AND(AN147=0,(AO147&gt;0))</formula>
    </cfRule>
    <cfRule type="expression" dxfId="1629" priority="1416">
      <formula>((AO147-AN147)/AN147)&gt;0.05</formula>
    </cfRule>
  </conditionalFormatting>
  <conditionalFormatting sqref="AQ120">
    <cfRule type="expression" dxfId="1628" priority="1407">
      <formula>AND(AP120=0,(AQ120&gt;0))</formula>
    </cfRule>
    <cfRule type="expression" dxfId="1627" priority="1408">
      <formula>((AQ120-AP120)/AP120)&gt;0.05</formula>
    </cfRule>
  </conditionalFormatting>
  <conditionalFormatting sqref="AQ146">
    <cfRule type="expression" dxfId="1626" priority="1405">
      <formula>AND(AP146=0,(AQ146&gt;0))</formula>
    </cfRule>
    <cfRule type="expression" dxfId="1625" priority="1406">
      <formula>((AQ146-AP146)/AP146)&gt;0.05</formula>
    </cfRule>
  </conditionalFormatting>
  <conditionalFormatting sqref="AQ147">
    <cfRule type="expression" dxfId="1624" priority="1403">
      <formula>AND(AP147=0,(AQ147&gt;0))</formula>
    </cfRule>
    <cfRule type="expression" dxfId="1623" priority="1404">
      <formula>((AQ147-AP147)/AP147)&gt;0.05</formula>
    </cfRule>
  </conditionalFormatting>
  <conditionalFormatting sqref="AQ148">
    <cfRule type="expression" dxfId="1622" priority="1401">
      <formula>AND(AP148=0,(AQ148&gt;0))</formula>
    </cfRule>
    <cfRule type="expression" dxfId="1621" priority="1402">
      <formula>((AQ148-AP148)/AP148)&gt;0.05</formula>
    </cfRule>
  </conditionalFormatting>
  <conditionalFormatting sqref="AQ149">
    <cfRule type="expression" dxfId="1620" priority="1399">
      <formula>AND(AP149=0,(AQ149&gt;0))</formula>
    </cfRule>
    <cfRule type="expression" dxfId="1619" priority="1400">
      <formula>((AQ149-AP149)/AP149)&gt;0.05</formula>
    </cfRule>
  </conditionalFormatting>
  <conditionalFormatting sqref="AQ121:AQ123 AQ125:AQ145">
    <cfRule type="expression" dxfId="1618" priority="1409">
      <formula>AND(AP121=0,(AQ121&gt;0))</formula>
    </cfRule>
    <cfRule type="expression" dxfId="1617" priority="1410">
      <formula>((AQ121-AP121)/AP121)&gt;0.05</formula>
    </cfRule>
  </conditionalFormatting>
  <conditionalFormatting sqref="AS121:AS123 AS125:AS145">
    <cfRule type="expression" dxfId="1616" priority="1397">
      <formula>AND(AR121=0,(AS121&gt;0))</formula>
    </cfRule>
    <cfRule type="expression" dxfId="1615" priority="1398">
      <formula>((AS121-AR121)/AR121)&gt;0.05</formula>
    </cfRule>
  </conditionalFormatting>
  <conditionalFormatting sqref="AS120">
    <cfRule type="expression" dxfId="1614" priority="1395">
      <formula>AND(AR120=0,(AS120&gt;0))</formula>
    </cfRule>
    <cfRule type="expression" dxfId="1613" priority="1396">
      <formula>((AS120-AR120)/AR120)&gt;0.05</formula>
    </cfRule>
  </conditionalFormatting>
  <conditionalFormatting sqref="AS146">
    <cfRule type="expression" dxfId="1612" priority="1393">
      <formula>AND(AR146=0,(AS146&gt;0))</formula>
    </cfRule>
    <cfRule type="expression" dxfId="1611" priority="1394">
      <formula>((AS146-AR146)/AR146)&gt;0.05</formula>
    </cfRule>
  </conditionalFormatting>
  <conditionalFormatting sqref="AS147">
    <cfRule type="expression" dxfId="1610" priority="1391">
      <formula>AND(AR147=0,(AS147&gt;0))</formula>
    </cfRule>
    <cfRule type="expression" dxfId="1609" priority="1392">
      <formula>((AS147-AR147)/AR147)&gt;0.05</formula>
    </cfRule>
  </conditionalFormatting>
  <conditionalFormatting sqref="AS148">
    <cfRule type="expression" dxfId="1608" priority="1389">
      <formula>AND(AR148=0,(AS148&gt;0))</formula>
    </cfRule>
    <cfRule type="expression" dxfId="1607" priority="1390">
      <formula>((AS148-AR148)/AR148)&gt;0.05</formula>
    </cfRule>
  </conditionalFormatting>
  <conditionalFormatting sqref="AS149">
    <cfRule type="expression" dxfId="1606" priority="1387">
      <formula>AND(AR149=0,(AS149&gt;0))</formula>
    </cfRule>
    <cfRule type="expression" dxfId="1605" priority="1388">
      <formula>((AS149-AR149)/AR149)&gt;0.05</formula>
    </cfRule>
  </conditionalFormatting>
  <conditionalFormatting sqref="AU121:AU123 AU125:AU145">
    <cfRule type="expression" dxfId="1604" priority="1385">
      <formula>AND(AT121=0,(AU121&gt;0))</formula>
    </cfRule>
    <cfRule type="expression" dxfId="1603" priority="1386">
      <formula>((AU121-AT121)/AT121)&gt;0.05</formula>
    </cfRule>
  </conditionalFormatting>
  <conditionalFormatting sqref="AU120">
    <cfRule type="expression" dxfId="1602" priority="1383">
      <formula>AND(AT120=0,(AU120&gt;0))</formula>
    </cfRule>
    <cfRule type="expression" dxfId="1601" priority="1384">
      <formula>((AU120-AT120)/AT120)&gt;0.05</formula>
    </cfRule>
  </conditionalFormatting>
  <conditionalFormatting sqref="AU146">
    <cfRule type="expression" dxfId="1600" priority="1381">
      <formula>AND(AT146=0,(AU146&gt;0))</formula>
    </cfRule>
    <cfRule type="expression" dxfId="1599" priority="1382">
      <formula>((AU146-AT146)/AT146)&gt;0.05</formula>
    </cfRule>
  </conditionalFormatting>
  <conditionalFormatting sqref="AU147">
    <cfRule type="expression" dxfId="1598" priority="1379">
      <formula>AND(AT147=0,(AU147&gt;0))</formula>
    </cfRule>
    <cfRule type="expression" dxfId="1597" priority="1380">
      <formula>((AU147-AT147)/AT147)&gt;0.05</formula>
    </cfRule>
  </conditionalFormatting>
  <conditionalFormatting sqref="AU148">
    <cfRule type="expression" dxfId="1596" priority="1377">
      <formula>AND(AT148=0,(AU148&gt;0))</formula>
    </cfRule>
    <cfRule type="expression" dxfId="1595" priority="1378">
      <formula>((AU148-AT148)/AT148)&gt;0.05</formula>
    </cfRule>
  </conditionalFormatting>
  <conditionalFormatting sqref="AU149">
    <cfRule type="expression" dxfId="1594" priority="1375">
      <formula>AND(AT149=0,(AU149&gt;0))</formula>
    </cfRule>
    <cfRule type="expression" dxfId="1593" priority="1376">
      <formula>((AU149-AT149)/AT149)&gt;0.05</formula>
    </cfRule>
  </conditionalFormatting>
  <conditionalFormatting sqref="O124">
    <cfRule type="expression" dxfId="1592" priority="1373">
      <formula>AND(N124=0,(O124&gt;0))</formula>
    </cfRule>
    <cfRule type="expression" dxfId="1591" priority="1374">
      <formula>((O124-N124)/N124)&gt;0.05</formula>
    </cfRule>
  </conditionalFormatting>
  <conditionalFormatting sqref="M124">
    <cfRule type="expression" dxfId="1590" priority="1371">
      <formula>AND(L124=0,(M124&gt;0))</formula>
    </cfRule>
    <cfRule type="expression" dxfId="1589" priority="1372">
      <formula>((M124-L124)/L124)&gt;0.05</formula>
    </cfRule>
  </conditionalFormatting>
  <conditionalFormatting sqref="AA124">
    <cfRule type="expression" dxfId="1588" priority="1361">
      <formula>AND(Z124=0,(AA124&gt;0))</formula>
    </cfRule>
    <cfRule type="expression" dxfId="1587" priority="1362">
      <formula>((AA124-Z124)/Z124)&gt;0.05</formula>
    </cfRule>
  </conditionalFormatting>
  <conditionalFormatting sqref="K124">
    <cfRule type="expression" dxfId="1586" priority="1369">
      <formula>AND(J124=0,(K124&gt;0))</formula>
    </cfRule>
    <cfRule type="expression" dxfId="1585" priority="1370">
      <formula>((K124-J124)/J124)&gt;0.05</formula>
    </cfRule>
  </conditionalFormatting>
  <conditionalFormatting sqref="I124">
    <cfRule type="expression" dxfId="1584" priority="1367">
      <formula>AND(H124=0,(I124&gt;0))</formula>
    </cfRule>
    <cfRule type="expression" dxfId="1583" priority="1368">
      <formula>((I124-H124)/H124)&gt;0.05</formula>
    </cfRule>
  </conditionalFormatting>
  <conditionalFormatting sqref="U124">
    <cfRule type="expression" dxfId="1582" priority="1365">
      <formula>AND(T124=0,(U124&gt;0))</formula>
    </cfRule>
    <cfRule type="expression" dxfId="1581" priority="1366">
      <formula>((U124-T124)/T124)&gt;0.05</formula>
    </cfRule>
  </conditionalFormatting>
  <conditionalFormatting sqref="Y124">
    <cfRule type="expression" dxfId="1580" priority="1363">
      <formula>AND(X124=0,(Y124&gt;0))</formula>
    </cfRule>
    <cfRule type="expression" dxfId="1579" priority="1364">
      <formula>((Y124-X124)/X124)&gt;0.05</formula>
    </cfRule>
  </conditionalFormatting>
  <conditionalFormatting sqref="AC124">
    <cfRule type="expression" dxfId="1578" priority="1359">
      <formula>AND(AB124=0,(AC124&gt;0))</formula>
    </cfRule>
    <cfRule type="expression" dxfId="1577" priority="1360">
      <formula>((AC124-AB124)/AB124)&gt;0.05</formula>
    </cfRule>
  </conditionalFormatting>
  <conditionalFormatting sqref="AE124">
    <cfRule type="expression" dxfId="1576" priority="1357">
      <formula>AND(AD124=0,(AE124&gt;0))</formula>
    </cfRule>
    <cfRule type="expression" dxfId="1575" priority="1358">
      <formula>((AE124-AD124)/AD124)&gt;0.05</formula>
    </cfRule>
  </conditionalFormatting>
  <conditionalFormatting sqref="AK124">
    <cfRule type="expression" dxfId="1574" priority="1355">
      <formula>AND(AJ124=0,(AK124&gt;0))</formula>
    </cfRule>
    <cfRule type="expression" dxfId="1573" priority="1356">
      <formula>((AK124-AJ124)/AJ124)&gt;0.05</formula>
    </cfRule>
  </conditionalFormatting>
  <conditionalFormatting sqref="AO124">
    <cfRule type="expression" dxfId="1572" priority="1353">
      <formula>AND(AN124=0,(AO124&gt;0))</formula>
    </cfRule>
    <cfRule type="expression" dxfId="1571" priority="1354">
      <formula>((AO124-AN124)/AN124)&gt;0.05</formula>
    </cfRule>
  </conditionalFormatting>
  <conditionalFormatting sqref="AQ124">
    <cfRule type="expression" dxfId="1570" priority="1351">
      <formula>AND(AP124=0,(AQ124&gt;0))</formula>
    </cfRule>
    <cfRule type="expression" dxfId="1569" priority="1352">
      <formula>((AQ124-AP124)/AP124)&gt;0.05</formula>
    </cfRule>
  </conditionalFormatting>
  <conditionalFormatting sqref="AS124">
    <cfRule type="expression" dxfId="1568" priority="1349">
      <formula>AND(AR124=0,(AS124&gt;0))</formula>
    </cfRule>
    <cfRule type="expression" dxfId="1567" priority="1350">
      <formula>((AS124-AR124)/AR124)&gt;0.05</formula>
    </cfRule>
  </conditionalFormatting>
  <conditionalFormatting sqref="AU124">
    <cfRule type="expression" dxfId="1566" priority="1347">
      <formula>AND(AT124=0,(AU124&gt;0))</formula>
    </cfRule>
    <cfRule type="expression" dxfId="1565" priority="1348">
      <formula>((AU124-AT124)/AT124)&gt;0.05</formula>
    </cfRule>
  </conditionalFormatting>
  <conditionalFormatting sqref="AQ92:AQ119">
    <cfRule type="expression" dxfId="1564" priority="1343">
      <formula>AND(AP92=0,(AQ92&gt;0))</formula>
    </cfRule>
    <cfRule type="expression" dxfId="1563" priority="1344">
      <formula>((AQ92-AP92)/AP92)&gt;0.05</formula>
    </cfRule>
  </conditionalFormatting>
  <conditionalFormatting sqref="AU92:AU119">
    <cfRule type="expression" dxfId="1562" priority="1339">
      <formula>AND(AT92=0,(AU92&gt;0))</formula>
    </cfRule>
    <cfRule type="expression" dxfId="1561" priority="1340">
      <formula>((AU92-AT92)/AT92)&gt;0.05</formula>
    </cfRule>
  </conditionalFormatting>
  <conditionalFormatting sqref="AO92:AO119">
    <cfRule type="expression" dxfId="1560" priority="1345">
      <formula>AND(AN92=0,(AO92&gt;0))</formula>
    </cfRule>
    <cfRule type="expression" dxfId="1559" priority="1346">
      <formula>((AO92-AN92)/AN92)&gt;0.05</formula>
    </cfRule>
  </conditionalFormatting>
  <conditionalFormatting sqref="AS92:AS119">
    <cfRule type="expression" dxfId="1558" priority="1341">
      <formula>AND(AR92=0,(AS92&gt;0))</formula>
    </cfRule>
    <cfRule type="expression" dxfId="1557" priority="1342">
      <formula>((AS92-AR92)/AR92)&gt;0.05</formula>
    </cfRule>
  </conditionalFormatting>
  <conditionalFormatting sqref="O92:O119 I92:I119 M92:M119 K92:K119">
    <cfRule type="expression" dxfId="1556" priority="1337">
      <formula>AND(H92=0,(I92&gt;0))</formula>
    </cfRule>
    <cfRule type="expression" dxfId="1555" priority="1338">
      <formula>((I92-H92)/H92)&gt;0.05</formula>
    </cfRule>
  </conditionalFormatting>
  <conditionalFormatting sqref="U92:U120">
    <cfRule type="expression" dxfId="1554" priority="1335">
      <formula>AND(T92=0,(U92&gt;0))</formula>
    </cfRule>
    <cfRule type="expression" dxfId="1553" priority="1336">
      <formula>((U92-T92)/T92)&gt;0.05</formula>
    </cfRule>
  </conditionalFormatting>
  <conditionalFormatting sqref="Y92:Y119 AA92:AA119 AC92:AC119 AE92:AE119">
    <cfRule type="expression" dxfId="1552" priority="1333">
      <formula>AND(X92=0,(Y92&gt;0))</formula>
    </cfRule>
    <cfRule type="expression" dxfId="1551" priority="1334">
      <formula>((Y92-X92)/X92)&gt;0.05</formula>
    </cfRule>
  </conditionalFormatting>
  <conditionalFormatting sqref="AK92:AK119">
    <cfRule type="expression" dxfId="1550" priority="1331">
      <formula>AND(AJ92=0,(AK92&gt;0))</formula>
    </cfRule>
    <cfRule type="expression" dxfId="1549" priority="1332">
      <formula>((AK92-AJ92)/AJ92)&gt;0.05</formula>
    </cfRule>
  </conditionalFormatting>
  <conditionalFormatting sqref="O375:O423">
    <cfRule type="expression" dxfId="1548" priority="1329">
      <formula>AND(N375=0,(O375&gt;0))</formula>
    </cfRule>
    <cfRule type="expression" dxfId="1547" priority="1330">
      <formula>((O375-N375)/N375)&gt;0.05</formula>
    </cfRule>
  </conditionalFormatting>
  <conditionalFormatting sqref="AE375:AE423">
    <cfRule type="expression" dxfId="1546" priority="1313">
      <formula>AND(AD375=0,(AE375&gt;0))</formula>
    </cfRule>
    <cfRule type="expression" dxfId="1545" priority="1314">
      <formula>((AE375-AD375)/AD375)&gt;0.05</formula>
    </cfRule>
  </conditionalFormatting>
  <conditionalFormatting sqref="Y375:Y423">
    <cfRule type="expression" dxfId="1544" priority="1319">
      <formula>AND(X375=0,(Y375&gt;0))</formula>
    </cfRule>
    <cfRule type="expression" dxfId="1543" priority="1320">
      <formula>((Y375-X375)/X375)&gt;0.05</formula>
    </cfRule>
  </conditionalFormatting>
  <conditionalFormatting sqref="AK375:AK423">
    <cfRule type="expression" dxfId="1542" priority="1311">
      <formula>AND(AJ375=0,(AK375&gt;0))</formula>
    </cfRule>
    <cfRule type="expression" dxfId="1541" priority="1312">
      <formula>((AK375-AJ375)/AJ375)&gt;0.05</formula>
    </cfRule>
  </conditionalFormatting>
  <conditionalFormatting sqref="K375:K423">
    <cfRule type="expression" dxfId="1540" priority="1325">
      <formula>AND(J375=0,(K375&gt;0))</formula>
    </cfRule>
    <cfRule type="expression" dxfId="1539" priority="1326">
      <formula>((K375-J375)/J375)&gt;0.05</formula>
    </cfRule>
  </conditionalFormatting>
  <conditionalFormatting sqref="AQ375:AQ423">
    <cfRule type="expression" dxfId="1538" priority="1307">
      <formula>AND(AP375=0,(AQ375&gt;0))</formula>
    </cfRule>
    <cfRule type="expression" dxfId="1537" priority="1308">
      <formula>((AQ375-AP375)/AP375)&gt;0.05</formula>
    </cfRule>
  </conditionalFormatting>
  <conditionalFormatting sqref="M375:M423">
    <cfRule type="expression" dxfId="1536" priority="1327">
      <formula>AND(L375=0,(M375&gt;0))</formula>
    </cfRule>
    <cfRule type="expression" dxfId="1535" priority="1328">
      <formula>((M375-L375)/L375)&gt;0.05</formula>
    </cfRule>
  </conditionalFormatting>
  <conditionalFormatting sqref="I375:I423">
    <cfRule type="expression" dxfId="1534" priority="1323">
      <formula>AND(H375=0,(I375&gt;0))</formula>
    </cfRule>
    <cfRule type="expression" dxfId="1533" priority="1324">
      <formula>((I375-H375)/H375)&gt;0.05</formula>
    </cfRule>
  </conditionalFormatting>
  <conditionalFormatting sqref="U375:U423">
    <cfRule type="expression" dxfId="1532" priority="1321">
      <formula>AND(T375=0,(U375&gt;0))</formula>
    </cfRule>
    <cfRule type="expression" dxfId="1531" priority="1322">
      <formula>((U375-T375)/T375)&gt;0.05</formula>
    </cfRule>
  </conditionalFormatting>
  <conditionalFormatting sqref="AA375:AA423">
    <cfRule type="expression" dxfId="1530" priority="1317">
      <formula>AND(Z375=0,(AA375&gt;0))</formula>
    </cfRule>
    <cfRule type="expression" dxfId="1529" priority="1318">
      <formula>((AA375-Z375)/Z375)&gt;0.05</formula>
    </cfRule>
  </conditionalFormatting>
  <conditionalFormatting sqref="AC375:AC423">
    <cfRule type="expression" dxfId="1528" priority="1315">
      <formula>AND(AB375=0,(AC375&gt;0))</formula>
    </cfRule>
    <cfRule type="expression" dxfId="1527" priority="1316">
      <formula>((AC375-AB375)/AB375)&gt;0.05</formula>
    </cfRule>
  </conditionalFormatting>
  <conditionalFormatting sqref="AO375:AO423">
    <cfRule type="expression" dxfId="1526" priority="1309">
      <formula>AND(AN375=0,(AO375&gt;0))</formula>
    </cfRule>
    <cfRule type="expression" dxfId="1525" priority="1310">
      <formula>((AO375-AN375)/AN375)&gt;0.05</formula>
    </cfRule>
  </conditionalFormatting>
  <conditionalFormatting sqref="AS375:AS423">
    <cfRule type="expression" dxfId="1524" priority="1305">
      <formula>AND(AR375=0,(AS375&gt;0))</formula>
    </cfRule>
    <cfRule type="expression" dxfId="1523" priority="1306">
      <formula>((AS375-AR375)/AR375)&gt;0.05</formula>
    </cfRule>
  </conditionalFormatting>
  <conditionalFormatting sqref="AU375:AU423">
    <cfRule type="expression" dxfId="1522" priority="1303">
      <formula>AND(AT375=0,(AU375&gt;0))</formula>
    </cfRule>
    <cfRule type="expression" dxfId="1521" priority="1304">
      <formula>((AU375-AT375)/AT375)&gt;0.05</formula>
    </cfRule>
  </conditionalFormatting>
  <conditionalFormatting sqref="I252:I259">
    <cfRule type="expression" dxfId="1520" priority="1301">
      <formula>AND(H252=0,(I252&gt;0))</formula>
    </cfRule>
    <cfRule type="expression" dxfId="1519" priority="1302">
      <formula>((I252-H252)/H252)&gt;0.05</formula>
    </cfRule>
  </conditionalFormatting>
  <conditionalFormatting sqref="Y252:Y259">
    <cfRule type="expression" dxfId="1518" priority="1299">
      <formula>AND(X252=0,(Y252&gt;0))</formula>
    </cfRule>
    <cfRule type="expression" dxfId="1517" priority="1300">
      <formula>((Y252-X252)/X252)&gt;0.05</formula>
    </cfRule>
  </conditionalFormatting>
  <conditionalFormatting sqref="AA252:AA259">
    <cfRule type="expression" dxfId="1516" priority="1297">
      <formula>AND(Z252=0,(AA252&gt;0))</formula>
    </cfRule>
    <cfRule type="expression" dxfId="1515" priority="1298">
      <formula>((AA252-Z252)/Z252)&gt;0.05</formula>
    </cfRule>
  </conditionalFormatting>
  <conditionalFormatting sqref="O252:O259">
    <cfRule type="expression" dxfId="1514" priority="1295">
      <formula>AND(N252=0,(O252&gt;0))</formula>
    </cfRule>
    <cfRule type="expression" dxfId="1513" priority="1296">
      <formula>((O252-N252)/N252)&gt;0.05</formula>
    </cfRule>
  </conditionalFormatting>
  <conditionalFormatting sqref="M252:M259">
    <cfRule type="expression" dxfId="1512" priority="1293">
      <formula>AND(L252=0,(M252&gt;0))</formula>
    </cfRule>
    <cfRule type="expression" dxfId="1511" priority="1294">
      <formula>((M252-L252)/L252)&gt;0.05</formula>
    </cfRule>
  </conditionalFormatting>
  <conditionalFormatting sqref="U252:U259">
    <cfRule type="expression" dxfId="1510" priority="1291">
      <formula>AND(T252=0,(U252&gt;0))</formula>
    </cfRule>
    <cfRule type="expression" dxfId="1509" priority="1292">
      <formula>((U252-T252)/T252)&gt;0.05</formula>
    </cfRule>
  </conditionalFormatting>
  <conditionalFormatting sqref="AC252:AC259">
    <cfRule type="expression" dxfId="1508" priority="1289">
      <formula>AND(AB252=0,(AC252&gt;0))</formula>
    </cfRule>
    <cfRule type="expression" dxfId="1507" priority="1290">
      <formula>((AC252-AB252)/AB252)&gt;0.05</formula>
    </cfRule>
  </conditionalFormatting>
  <conditionalFormatting sqref="AE252:AE259">
    <cfRule type="expression" dxfId="1506" priority="1287">
      <formula>AND(AD252=0,(AE252&gt;0))</formula>
    </cfRule>
    <cfRule type="expression" dxfId="1505" priority="1288">
      <formula>((AE252-AD252)/AD252)&gt;0.05</formula>
    </cfRule>
  </conditionalFormatting>
  <conditionalFormatting sqref="AK252:AK259">
    <cfRule type="expression" dxfId="1504" priority="1285">
      <formula>AND(AJ252=0,(AK252&gt;0))</formula>
    </cfRule>
    <cfRule type="expression" dxfId="1503" priority="1286">
      <formula>((AK252-AJ252)/AJ252)&gt;0.05</formula>
    </cfRule>
  </conditionalFormatting>
  <conditionalFormatting sqref="AO252:AO259">
    <cfRule type="expression" dxfId="1502" priority="1283">
      <formula>AND(AN252=0,(AO252&gt;0))</formula>
    </cfRule>
    <cfRule type="expression" dxfId="1501" priority="1284">
      <formula>((AO252-AN252)/AN252)&gt;0.05</formula>
    </cfRule>
  </conditionalFormatting>
  <conditionalFormatting sqref="AQ252:AQ259">
    <cfRule type="expression" dxfId="1500" priority="1281">
      <formula>AND(AP252=0,(AQ252&gt;0))</formula>
    </cfRule>
    <cfRule type="expression" dxfId="1499" priority="1282">
      <formula>((AQ252-AP252)/AP252)&gt;0.05</formula>
    </cfRule>
  </conditionalFormatting>
  <conditionalFormatting sqref="AS252:AS259">
    <cfRule type="expression" dxfId="1498" priority="1279">
      <formula>AND(AR252=0,(AS252&gt;0))</formula>
    </cfRule>
    <cfRule type="expression" dxfId="1497" priority="1280">
      <formula>((AS252-AR252)/AR252)&gt;0.05</formula>
    </cfRule>
  </conditionalFormatting>
  <conditionalFormatting sqref="AU252:AU259">
    <cfRule type="expression" dxfId="1496" priority="1277">
      <formula>AND(AT252=0,(AU252&gt;0))</formula>
    </cfRule>
    <cfRule type="expression" dxfId="1495" priority="1278">
      <formula>((AU252-AT252)/AT252)&gt;0.05</formula>
    </cfRule>
  </conditionalFormatting>
  <conditionalFormatting sqref="O456 I456 Y456 M456 AA456 K456 U456 AC456 AE456 AK456 AO456 AQ456 AS456 AU456">
    <cfRule type="expression" dxfId="1494" priority="1275">
      <formula>AND(H456=0,(I456&gt;0))</formula>
    </cfRule>
    <cfRule type="expression" dxfId="1493" priority="1276">
      <formula>((I456-H456)/H456)&gt;0.05</formula>
    </cfRule>
  </conditionalFormatting>
  <conditionalFormatting sqref="O457 I457 Y457 M457 AA457 K457 U457 AC457 AE457 AK457 AO457 AQ457 AS457 AU457">
    <cfRule type="expression" dxfId="1492" priority="1273">
      <formula>AND(H457=0,(I457&gt;0))</formula>
    </cfRule>
    <cfRule type="expression" dxfId="1491" priority="1274">
      <formula>((I457-H457)/H457)&gt;0.05</formula>
    </cfRule>
  </conditionalFormatting>
  <conditionalFormatting sqref="O458 I458 Y458 M458 AA458 K458 U458 AC458 AE458 AK458 AO458 AQ458 AS458 AU458">
    <cfRule type="expression" dxfId="1490" priority="1271">
      <formula>AND(H458=0,(I458&gt;0))</formula>
    </cfRule>
    <cfRule type="expression" dxfId="1489" priority="1272">
      <formula>((I458-H458)/H458)&gt;0.05</formula>
    </cfRule>
  </conditionalFormatting>
  <conditionalFormatting sqref="O459 I459 Y459 M459 AA459 K459 U459 AC459 AE459 AK459 AO459 AQ459 AS459 AU459">
    <cfRule type="expression" dxfId="1488" priority="1269">
      <formula>AND(H459=0,(I459&gt;0))</formula>
    </cfRule>
    <cfRule type="expression" dxfId="1487" priority="1270">
      <formula>((I459-H459)/H459)&gt;0.05</formula>
    </cfRule>
  </conditionalFormatting>
  <conditionalFormatting sqref="O460 I460 Y460 M460 AA460 K460 U460 AC460 AE460 AK460 AO460 AQ460 AS460 AU460">
    <cfRule type="expression" dxfId="1486" priority="1267">
      <formula>AND(H460=0,(I460&gt;0))</formula>
    </cfRule>
    <cfRule type="expression" dxfId="1485" priority="1268">
      <formula>((I460-H460)/H460)&gt;0.05</formula>
    </cfRule>
  </conditionalFormatting>
  <conditionalFormatting sqref="O461 I461 Y461 M461 AA461 K461 U461 AC461 AE461 AK461 AO461 AQ461 AS461 AU461">
    <cfRule type="expression" dxfId="1484" priority="1265">
      <formula>AND(H461=0,(I461&gt;0))</formula>
    </cfRule>
    <cfRule type="expression" dxfId="1483" priority="1266">
      <formula>((I461-H461)/H461)&gt;0.05</formula>
    </cfRule>
  </conditionalFormatting>
  <conditionalFormatting sqref="O462 I462 Y462 M462 AA462 K462 U462 AC462 AE462 AK462 AO462 AQ462 AS462 AU462">
    <cfRule type="expression" dxfId="1482" priority="1263">
      <formula>AND(H462=0,(I462&gt;0))</formula>
    </cfRule>
    <cfRule type="expression" dxfId="1481" priority="1264">
      <formula>((I462-H462)/H462)&gt;0.05</formula>
    </cfRule>
  </conditionalFormatting>
  <conditionalFormatting sqref="O463 I463 Y463 M463 AA463 K463 U463 AC463 AE463 AK463 AO463 AQ463 AS463 AU463">
    <cfRule type="expression" dxfId="1480" priority="1261">
      <formula>AND(H463=0,(I463&gt;0))</formula>
    </cfRule>
    <cfRule type="expression" dxfId="1479" priority="1262">
      <formula>((I463-H463)/H463)&gt;0.05</formula>
    </cfRule>
  </conditionalFormatting>
  <conditionalFormatting sqref="O464 I464 Y464 M464 AA464 K464 U464 AC464 AE464 AK464 AO464 AQ464 AS464 AU464">
    <cfRule type="expression" dxfId="1478" priority="1259">
      <formula>AND(H464=0,(I464&gt;0))</formula>
    </cfRule>
    <cfRule type="expression" dxfId="1477" priority="1260">
      <formula>((I464-H464)/H464)&gt;0.05</formula>
    </cfRule>
  </conditionalFormatting>
  <conditionalFormatting sqref="O465 I465 Y465 M465 AA465 K465 U465 AC465 AE465 AK465 AO465 AQ465 AS465 AU465">
    <cfRule type="expression" dxfId="1476" priority="1257">
      <formula>AND(H465=0,(I465&gt;0))</formula>
    </cfRule>
    <cfRule type="expression" dxfId="1475" priority="1258">
      <formula>((I465-H465)/H465)&gt;0.05</formula>
    </cfRule>
  </conditionalFormatting>
  <conditionalFormatting sqref="O466 I466 Y466 M466 AA466 K466 U466 AC466 AE466 AK466 AO466 AQ466 AS466 AU466">
    <cfRule type="expression" dxfId="1474" priority="1255">
      <formula>AND(H466=0,(I466&gt;0))</formula>
    </cfRule>
    <cfRule type="expression" dxfId="1473" priority="1256">
      <formula>((I466-H466)/H466)&gt;0.05</formula>
    </cfRule>
  </conditionalFormatting>
  <conditionalFormatting sqref="O467 I467 Y467 M467 AA467 K467 U467 AC467 AE467 AK467 AO467 AQ467 AS467 AU467">
    <cfRule type="expression" dxfId="1472" priority="1253">
      <formula>AND(H467=0,(I467&gt;0))</formula>
    </cfRule>
    <cfRule type="expression" dxfId="1471" priority="1254">
      <formula>((I467-H467)/H467)&gt;0.05</formula>
    </cfRule>
  </conditionalFormatting>
  <conditionalFormatting sqref="O468 I468 Y468 M468 AA468 K468 U468 AC468 AE468 AK468 AO468 AQ468 AS468 AU468">
    <cfRule type="expression" dxfId="1470" priority="1251">
      <formula>AND(H468=0,(I468&gt;0))</formula>
    </cfRule>
    <cfRule type="expression" dxfId="1469" priority="1252">
      <formula>((I468-H468)/H468)&gt;0.05</formula>
    </cfRule>
  </conditionalFormatting>
  <conditionalFormatting sqref="O469 I469 Y469 M469 AA469 K469 U469 AC469 AE469 AK469 AO469 AQ469 AS469 AU469">
    <cfRule type="expression" dxfId="1468" priority="1249">
      <formula>AND(H469=0,(I469&gt;0))</formula>
    </cfRule>
    <cfRule type="expression" dxfId="1467" priority="1250">
      <formula>((I469-H469)/H469)&gt;0.05</formula>
    </cfRule>
  </conditionalFormatting>
  <conditionalFormatting sqref="O470 I470 Y470 M470 AA470 K470 U470 AC470 AE470 AK470 AO470 AQ470 AS470 AU470">
    <cfRule type="expression" dxfId="1466" priority="1247">
      <formula>AND(H470=0,(I470&gt;0))</formula>
    </cfRule>
    <cfRule type="expression" dxfId="1465" priority="1248">
      <formula>((I470-H470)/H470)&gt;0.05</formula>
    </cfRule>
  </conditionalFormatting>
  <conditionalFormatting sqref="O471 I471 Y471 M471 AA471 K471 U471 AC471 AE471 AK471 AO471 AQ471 AS471 AU471">
    <cfRule type="expression" dxfId="1464" priority="1245">
      <formula>AND(H471=0,(I471&gt;0))</formula>
    </cfRule>
    <cfRule type="expression" dxfId="1463" priority="1246">
      <formula>((I471-H471)/H471)&gt;0.05</formula>
    </cfRule>
  </conditionalFormatting>
  <conditionalFormatting sqref="O472 I472 Y472 M472 AA472 K472 U472 AC472 AE472 AK472 AO472 AQ472 AS472 AU472">
    <cfRule type="expression" dxfId="1462" priority="1243">
      <formula>AND(H472=0,(I472&gt;0))</formula>
    </cfRule>
    <cfRule type="expression" dxfId="1461" priority="1244">
      <formula>((I472-H472)/H472)&gt;0.05</formula>
    </cfRule>
  </conditionalFormatting>
  <conditionalFormatting sqref="O473 I473 Y473 M473 AA473 K473 U473 AC473 AE473 AK473 AO473 AQ473 AS473 AU473">
    <cfRule type="expression" dxfId="1460" priority="1241">
      <formula>AND(H473=0,(I473&gt;0))</formula>
    </cfRule>
    <cfRule type="expression" dxfId="1459" priority="1242">
      <formula>((I473-H473)/H473)&gt;0.05</formula>
    </cfRule>
  </conditionalFormatting>
  <conditionalFormatting sqref="O474 I474 Y474 M474 AA474 K474 U474 AC474 AE474 AK474 AO474 AQ474 AS474 AU474">
    <cfRule type="expression" dxfId="1458" priority="1239">
      <formula>AND(H474=0,(I474&gt;0))</formula>
    </cfRule>
    <cfRule type="expression" dxfId="1457" priority="1240">
      <formula>((I474-H474)/H474)&gt;0.05</formula>
    </cfRule>
  </conditionalFormatting>
  <conditionalFormatting sqref="O475 I475 Y475 M475 AA475 K475 U475 AC475 AE475 AK475 AO475 AQ475 AS475 AU475">
    <cfRule type="expression" dxfId="1456" priority="1237">
      <formula>AND(H475=0,(I475&gt;0))</formula>
    </cfRule>
    <cfRule type="expression" dxfId="1455" priority="1238">
      <formula>((I475-H475)/H475)&gt;0.05</formula>
    </cfRule>
  </conditionalFormatting>
  <conditionalFormatting sqref="O476 I476 Y476 M476 AA476 K476 U476 AC476 AE476 AK476 AO476 AQ476 AS476 AU476">
    <cfRule type="expression" dxfId="1454" priority="1235">
      <formula>AND(H476=0,(I476&gt;0))</formula>
    </cfRule>
    <cfRule type="expression" dxfId="1453" priority="1236">
      <formula>((I476-H476)/H476)&gt;0.05</formula>
    </cfRule>
  </conditionalFormatting>
  <conditionalFormatting sqref="O477 I477 Y477 M477 AA477 K477 U477 AC477 AE477 AK477 AO477 AQ477 AS477 AU477">
    <cfRule type="expression" dxfId="1452" priority="1233">
      <formula>AND(H477=0,(I477&gt;0))</formula>
    </cfRule>
    <cfRule type="expression" dxfId="1451" priority="1234">
      <formula>((I477-H477)/H477)&gt;0.05</formula>
    </cfRule>
  </conditionalFormatting>
  <conditionalFormatting sqref="O478 I478 Y478 M478 AA478 K478 U478 AC478 AE478 AK478 AO478 AQ478 AS478 AU478">
    <cfRule type="expression" dxfId="1450" priority="1231">
      <formula>AND(H478=0,(I478&gt;0))</formula>
    </cfRule>
    <cfRule type="expression" dxfId="1449" priority="1232">
      <formula>((I478-H478)/H478)&gt;0.05</formula>
    </cfRule>
  </conditionalFormatting>
  <conditionalFormatting sqref="O479 I479 Y479 M479 AA479 K479 U479 AC479 AE479 AK479 AO479 AQ479 AS479 AU479">
    <cfRule type="expression" dxfId="1448" priority="1229">
      <formula>AND(H479=0,(I479&gt;0))</formula>
    </cfRule>
    <cfRule type="expression" dxfId="1447" priority="1230">
      <formula>((I479-H479)/H479)&gt;0.05</formula>
    </cfRule>
  </conditionalFormatting>
  <conditionalFormatting sqref="O480 I480 Y480 M480 AA480 K480 U480 AC480 AE480 AK480 AO480 AQ480 AS480 AU480">
    <cfRule type="expression" dxfId="1446" priority="1227">
      <formula>AND(H480=0,(I480&gt;0))</formula>
    </cfRule>
    <cfRule type="expression" dxfId="1445" priority="1228">
      <formula>((I480-H480)/H480)&gt;0.05</formula>
    </cfRule>
  </conditionalFormatting>
  <conditionalFormatting sqref="O481 I481 Y481 M481 AA481 K481 U481 AC481 AE481 AK481 AO481 AQ481 AS481 AU481">
    <cfRule type="expression" dxfId="1444" priority="1225">
      <formula>AND(H481=0,(I481&gt;0))</formula>
    </cfRule>
    <cfRule type="expression" dxfId="1443" priority="1226">
      <formula>((I481-H481)/H481)&gt;0.05</formula>
    </cfRule>
  </conditionalFormatting>
  <conditionalFormatting sqref="O482 I482 Y482 M482 AA482 K482 U482 AC482 AE482 AK482 AO482 AQ482 AS482 AU482">
    <cfRule type="expression" dxfId="1442" priority="1223">
      <formula>AND(H482=0,(I482&gt;0))</formula>
    </cfRule>
    <cfRule type="expression" dxfId="1441" priority="1224">
      <formula>((I482-H482)/H482)&gt;0.05</formula>
    </cfRule>
  </conditionalFormatting>
  <conditionalFormatting sqref="O483 I483 Y483 M483 AA483 K483 U483 AC483 AE483 AK483 AO483 AQ483 AS483 AU483">
    <cfRule type="expression" dxfId="1440" priority="1221">
      <formula>AND(H483=0,(I483&gt;0))</formula>
    </cfRule>
    <cfRule type="expression" dxfId="1439" priority="1222">
      <formula>((I483-H483)/H483)&gt;0.05</formula>
    </cfRule>
  </conditionalFormatting>
  <conditionalFormatting sqref="O484 I484 Y484 M484 AA484 K484 U484 AC484 AE484 AK484 AO484 AQ484 AS484 AU484">
    <cfRule type="expression" dxfId="1438" priority="1219">
      <formula>AND(H484=0,(I484&gt;0))</formula>
    </cfRule>
    <cfRule type="expression" dxfId="1437" priority="1220">
      <formula>((I484-H484)/H484)&gt;0.05</formula>
    </cfRule>
  </conditionalFormatting>
  <conditionalFormatting sqref="O485 I485 Y485 M485 AA485 K485 U485 AC485 AE485 AK485 AO485 AQ485 AS485 AU485">
    <cfRule type="expression" dxfId="1436" priority="1217">
      <formula>AND(H485=0,(I485&gt;0))</formula>
    </cfRule>
    <cfRule type="expression" dxfId="1435" priority="1218">
      <formula>((I485-H485)/H485)&gt;0.05</formula>
    </cfRule>
  </conditionalFormatting>
  <conditionalFormatting sqref="O486 I486 Y486 M486 AA486 K486 U486 AC486 AE486 AK486 AO486 AQ486 AS486 AU486">
    <cfRule type="expression" dxfId="1434" priority="1215">
      <formula>AND(H486=0,(I486&gt;0))</formula>
    </cfRule>
    <cfRule type="expression" dxfId="1433" priority="1216">
      <formula>((I486-H486)/H486)&gt;0.05</formula>
    </cfRule>
  </conditionalFormatting>
  <conditionalFormatting sqref="O487 I487 Y487 M487 AA487 K487 U487 AC487 AE487 AK487 AO487 AQ487 AS487 AU487">
    <cfRule type="expression" dxfId="1432" priority="1213">
      <formula>AND(H487=0,(I487&gt;0))</formula>
    </cfRule>
    <cfRule type="expression" dxfId="1431" priority="1214">
      <formula>((I487-H487)/H487)&gt;0.05</formula>
    </cfRule>
  </conditionalFormatting>
  <conditionalFormatting sqref="O488 I488 Y488 M488 AA488 K488 U488 AC488 AE488 AK488 AO488 AQ488 AS488 AU488">
    <cfRule type="expression" dxfId="1430" priority="1211">
      <formula>AND(H488=0,(I488&gt;0))</formula>
    </cfRule>
    <cfRule type="expression" dxfId="1429" priority="1212">
      <formula>((I488-H488)/H488)&gt;0.05</formula>
    </cfRule>
  </conditionalFormatting>
  <conditionalFormatting sqref="O489 I489 Y489 M489 AA489 K489 U489 AC489 AE489 AK489 AO489 AQ489 AS489 AU489">
    <cfRule type="expression" dxfId="1428" priority="1209">
      <formula>AND(H489=0,(I489&gt;0))</formula>
    </cfRule>
    <cfRule type="expression" dxfId="1427" priority="1210">
      <formula>((I489-H489)/H489)&gt;0.05</formula>
    </cfRule>
  </conditionalFormatting>
  <conditionalFormatting sqref="O490 I490 Y490 M490 AA490 K490 U490 AC490 AE490 AK490 AO490 AQ490 AS490 AU490">
    <cfRule type="expression" dxfId="1426" priority="1207">
      <formula>AND(H490=0,(I490&gt;0))</formula>
    </cfRule>
    <cfRule type="expression" dxfId="1425" priority="1208">
      <formula>((I490-H490)/H490)&gt;0.05</formula>
    </cfRule>
  </conditionalFormatting>
  <conditionalFormatting sqref="O491 I491 Y491 M491 AA491 K491 U491 AC491 AE491 AK491 AO491 AQ491 AS491 AU491">
    <cfRule type="expression" dxfId="1424" priority="1205">
      <formula>AND(H491=0,(I491&gt;0))</formula>
    </cfRule>
    <cfRule type="expression" dxfId="1423" priority="1206">
      <formula>((I491-H491)/H491)&gt;0.05</formula>
    </cfRule>
  </conditionalFormatting>
  <conditionalFormatting sqref="O492 I492 Y492 M492 AA492 K492 U492 AC492 AE492 AK492 AO492 AQ492 AS492 AU492">
    <cfRule type="expression" dxfId="1422" priority="1203">
      <formula>AND(H492=0,(I492&gt;0))</formula>
    </cfRule>
    <cfRule type="expression" dxfId="1421" priority="1204">
      <formula>((I492-H492)/H492)&gt;0.05</formula>
    </cfRule>
  </conditionalFormatting>
  <conditionalFormatting sqref="O493 I493 Y493 M493 AA493 K493 U493 AC493 AE493 AK493 AO493 AQ493 AS493 AU493">
    <cfRule type="expression" dxfId="1420" priority="1201">
      <formula>AND(H493=0,(I493&gt;0))</formula>
    </cfRule>
    <cfRule type="expression" dxfId="1419" priority="1202">
      <formula>((I493-H493)/H493)&gt;0.05</formula>
    </cfRule>
  </conditionalFormatting>
  <conditionalFormatting sqref="O494 I494 Y494 M494 AA494 K494 U494 AC494 AE494 AK494 AO494 AQ494 AS494 AU494">
    <cfRule type="expression" dxfId="1418" priority="1199">
      <formula>AND(H494=0,(I494&gt;0))</formula>
    </cfRule>
    <cfRule type="expression" dxfId="1417" priority="1200">
      <formula>((I494-H494)/H494)&gt;0.05</formula>
    </cfRule>
  </conditionalFormatting>
  <conditionalFormatting sqref="O495 I495 Y495 M495 AA495 K495 U495 AC495 AE495 AK495 AO495 AQ495 AS495 AU495">
    <cfRule type="expression" dxfId="1416" priority="1197">
      <formula>AND(H495=0,(I495&gt;0))</formula>
    </cfRule>
    <cfRule type="expression" dxfId="1415" priority="1198">
      <formula>((I495-H495)/H495)&gt;0.05</formula>
    </cfRule>
  </conditionalFormatting>
  <conditionalFormatting sqref="O496 I496 Y496 M496 AA496 K496 U496 AC496 AE496 AK496 AO496 AQ496 AS496 AU496">
    <cfRule type="expression" dxfId="1414" priority="1195">
      <formula>AND(H496=0,(I496&gt;0))</formula>
    </cfRule>
    <cfRule type="expression" dxfId="1413" priority="1196">
      <formula>((I496-H496)/H496)&gt;0.05</formula>
    </cfRule>
  </conditionalFormatting>
  <conditionalFormatting sqref="O497 I497 Y497 M497 AA497 K497 U497 AC497 AE497 AK497 AO497 AQ497 AS497 AU497">
    <cfRule type="expression" dxfId="1412" priority="1193">
      <formula>AND(H497=0,(I497&gt;0))</formula>
    </cfRule>
    <cfRule type="expression" dxfId="1411" priority="1194">
      <formula>((I497-H497)/H497)&gt;0.05</formula>
    </cfRule>
  </conditionalFormatting>
  <conditionalFormatting sqref="O498 I498 Y498 M498 AA498 K498 U498 AC498 AE498 AK498 AO498 AQ498 AS498 AU498">
    <cfRule type="expression" dxfId="1410" priority="1191">
      <formula>AND(H498=0,(I498&gt;0))</formula>
    </cfRule>
    <cfRule type="expression" dxfId="1409" priority="1192">
      <formula>((I498-H498)/H498)&gt;0.05</formula>
    </cfRule>
  </conditionalFormatting>
  <conditionalFormatting sqref="O499 I499 Y499 M499 AA499 K499 U499 AC499 AE499 AK499 AO499 AQ499 AS499 AU499">
    <cfRule type="expression" dxfId="1408" priority="1189">
      <formula>AND(H499=0,(I499&gt;0))</formula>
    </cfRule>
    <cfRule type="expression" dxfId="1407" priority="1190">
      <formula>((I499-H499)/H499)&gt;0.05</formula>
    </cfRule>
  </conditionalFormatting>
  <conditionalFormatting sqref="O500 I500 Y500 M500 AA500 K500 U500 AC500 AE500 AK500 AO500 AQ500 AS500 AU500">
    <cfRule type="expression" dxfId="1406" priority="1187">
      <formula>AND(H500=0,(I500&gt;0))</formula>
    </cfRule>
    <cfRule type="expression" dxfId="1405" priority="1188">
      <formula>((I500-H500)/H500)&gt;0.05</formula>
    </cfRule>
  </conditionalFormatting>
  <conditionalFormatting sqref="O501 I501 Y501 M501 AA501 K501 U501 AC501 AE501 AK501 AO501 AQ501 AS501 AU501">
    <cfRule type="expression" dxfId="1404" priority="1185">
      <formula>AND(H501=0,(I501&gt;0))</formula>
    </cfRule>
    <cfRule type="expression" dxfId="1403" priority="1186">
      <formula>((I501-H501)/H501)&gt;0.05</formula>
    </cfRule>
  </conditionalFormatting>
  <conditionalFormatting sqref="O502 I502 Y502 M502 AA502 K502 U502 AC502 AE502 AK502 AO502 AQ502 AS502 AU502">
    <cfRule type="expression" dxfId="1402" priority="1183">
      <formula>AND(H502=0,(I502&gt;0))</formula>
    </cfRule>
    <cfRule type="expression" dxfId="1401" priority="1184">
      <formula>((I502-H502)/H502)&gt;0.05</formula>
    </cfRule>
  </conditionalFormatting>
  <conditionalFormatting sqref="O503 I503 Y503 M503 AA503 K503 U503 AC503 AE503 AK503 AO503 AQ503 AS503 AU503">
    <cfRule type="expression" dxfId="1400" priority="1181">
      <formula>AND(H503=0,(I503&gt;0))</formula>
    </cfRule>
    <cfRule type="expression" dxfId="1399" priority="1182">
      <formula>((I503-H503)/H503)&gt;0.05</formula>
    </cfRule>
  </conditionalFormatting>
  <conditionalFormatting sqref="O504 I504 Y504 M504 AA504 K504 U504 AC504 AE504 AK504 AO504 AQ504 AS504 AU504">
    <cfRule type="expression" dxfId="1398" priority="1179">
      <formula>AND(H504=0,(I504&gt;0))</formula>
    </cfRule>
    <cfRule type="expression" dxfId="1397" priority="1180">
      <formula>((I504-H504)/H504)&gt;0.05</formula>
    </cfRule>
  </conditionalFormatting>
  <conditionalFormatting sqref="O275:O282">
    <cfRule type="expression" dxfId="1396" priority="1177">
      <formula>AND(N275=0,(O275&gt;0))</formula>
    </cfRule>
    <cfRule type="expression" dxfId="1395" priority="1178">
      <formula>((O275-N275)/N275)&gt;0.05</formula>
    </cfRule>
  </conditionalFormatting>
  <conditionalFormatting sqref="O283:O289">
    <cfRule type="expression" dxfId="1394" priority="1175">
      <formula>AND(N283=0,(O283&gt;0))</formula>
    </cfRule>
    <cfRule type="expression" dxfId="1393" priority="1176">
      <formula>((O283-N283)/N283)&gt;0.05</formula>
    </cfRule>
  </conditionalFormatting>
  <conditionalFormatting sqref="M283:M289">
    <cfRule type="expression" dxfId="1392" priority="1171">
      <formula>AND(L283=0,(M283&gt;0))</formula>
    </cfRule>
    <cfRule type="expression" dxfId="1391" priority="1172">
      <formula>((M283-L283)/L283)&gt;0.05</formula>
    </cfRule>
  </conditionalFormatting>
  <conditionalFormatting sqref="M275:M282">
    <cfRule type="expression" dxfId="1390" priority="1173">
      <formula>AND(L275=0,(M275&gt;0))</formula>
    </cfRule>
    <cfRule type="expression" dxfId="1389" priority="1174">
      <formula>((M275-L275)/L275)&gt;0.05</formula>
    </cfRule>
  </conditionalFormatting>
  <conditionalFormatting sqref="AA275:AA282">
    <cfRule type="expression" dxfId="1388" priority="1157">
      <formula>AND(Z275=0,(AA275&gt;0))</formula>
    </cfRule>
    <cfRule type="expression" dxfId="1387" priority="1158">
      <formula>((AA275-Z275)/Z275)&gt;0.05</formula>
    </cfRule>
  </conditionalFormatting>
  <conditionalFormatting sqref="AC283:AC289">
    <cfRule type="expression" dxfId="1386" priority="1151">
      <formula>AND(AB283=0,(AC283&gt;0))</formula>
    </cfRule>
    <cfRule type="expression" dxfId="1385" priority="1152">
      <formula>((AC283-AB283)/AB283)&gt;0.05</formula>
    </cfRule>
  </conditionalFormatting>
  <conditionalFormatting sqref="AA283:AA289">
    <cfRule type="expression" dxfId="1384" priority="1155">
      <formula>AND(Z283=0,(AA283&gt;0))</formula>
    </cfRule>
    <cfRule type="expression" dxfId="1383" priority="1156">
      <formula>((AA283-Z283)/Z283)&gt;0.05</formula>
    </cfRule>
  </conditionalFormatting>
  <conditionalFormatting sqref="AQ283:AQ289">
    <cfRule type="expression" dxfId="1382" priority="1135">
      <formula>AND(AP283=0,(AQ283&gt;0))</formula>
    </cfRule>
    <cfRule type="expression" dxfId="1381" priority="1136">
      <formula>((AQ283-AP283)/AP283)&gt;0.05</formula>
    </cfRule>
  </conditionalFormatting>
  <conditionalFormatting sqref="I275:I282">
    <cfRule type="expression" dxfId="1380" priority="1169">
      <formula>AND(H275=0,(I275&gt;0))</formula>
    </cfRule>
    <cfRule type="expression" dxfId="1379" priority="1170">
      <formula>((I275-H275)/H275)&gt;0.05</formula>
    </cfRule>
  </conditionalFormatting>
  <conditionalFormatting sqref="I283:I289">
    <cfRule type="expression" dxfId="1378" priority="1167">
      <formula>AND(H283=0,(I283&gt;0))</formula>
    </cfRule>
    <cfRule type="expression" dxfId="1377" priority="1168">
      <formula>((I283-H283)/H283)&gt;0.05</formula>
    </cfRule>
  </conditionalFormatting>
  <conditionalFormatting sqref="U275:U282">
    <cfRule type="expression" dxfId="1376" priority="1165">
      <formula>AND(T275=0,(U275&gt;0))</formula>
    </cfRule>
    <cfRule type="expression" dxfId="1375" priority="1166">
      <formula>((U275-T275)/T275)&gt;0.05</formula>
    </cfRule>
  </conditionalFormatting>
  <conditionalFormatting sqref="U283:U289">
    <cfRule type="expression" dxfId="1374" priority="1163">
      <formula>AND(T283=0,(U283&gt;0))</formula>
    </cfRule>
    <cfRule type="expression" dxfId="1373" priority="1164">
      <formula>((U283-T283)/T283)&gt;0.05</formula>
    </cfRule>
  </conditionalFormatting>
  <conditionalFormatting sqref="Y275:Y282">
    <cfRule type="expression" dxfId="1372" priority="1161">
      <formula>AND(X275=0,(Y275&gt;0))</formula>
    </cfRule>
    <cfRule type="expression" dxfId="1371" priority="1162">
      <formula>((Y275-X275)/X275)&gt;0.05</formula>
    </cfRule>
  </conditionalFormatting>
  <conditionalFormatting sqref="Y283:Y289">
    <cfRule type="expression" dxfId="1370" priority="1159">
      <formula>AND(X283=0,(Y283&gt;0))</formula>
    </cfRule>
    <cfRule type="expression" dxfId="1369" priority="1160">
      <formula>((Y283-X283)/X283)&gt;0.05</formula>
    </cfRule>
  </conditionalFormatting>
  <conditionalFormatting sqref="AC275:AC282">
    <cfRule type="expression" dxfId="1368" priority="1153">
      <formula>AND(AB275=0,(AC275&gt;0))</formula>
    </cfRule>
    <cfRule type="expression" dxfId="1367" priority="1154">
      <formula>((AC275-AB275)/AB275)&gt;0.05</formula>
    </cfRule>
  </conditionalFormatting>
  <conditionalFormatting sqref="AE275:AE282">
    <cfRule type="expression" dxfId="1366" priority="1149">
      <formula>AND(AD275=0,(AE275&gt;0))</formula>
    </cfRule>
    <cfRule type="expression" dxfId="1365" priority="1150">
      <formula>((AE275-AD275)/AD275)&gt;0.05</formula>
    </cfRule>
  </conditionalFormatting>
  <conditionalFormatting sqref="AE283:AE289">
    <cfRule type="expression" dxfId="1364" priority="1147">
      <formula>AND(AD283=0,(AE283&gt;0))</formula>
    </cfRule>
    <cfRule type="expression" dxfId="1363" priority="1148">
      <formula>((AE283-AD283)/AD283)&gt;0.05</formula>
    </cfRule>
  </conditionalFormatting>
  <conditionalFormatting sqref="AK275:AK282">
    <cfRule type="expression" dxfId="1362" priority="1145">
      <formula>AND(AJ275=0,(AK275&gt;0))</formula>
    </cfRule>
    <cfRule type="expression" dxfId="1361" priority="1146">
      <formula>((AK275-AJ275)/AJ275)&gt;0.05</formula>
    </cfRule>
  </conditionalFormatting>
  <conditionalFormatting sqref="AK283:AK289">
    <cfRule type="expression" dxfId="1360" priority="1143">
      <formula>AND(AJ283=0,(AK283&gt;0))</formula>
    </cfRule>
    <cfRule type="expression" dxfId="1359" priority="1144">
      <formula>((AK283-AJ283)/AJ283)&gt;0.05</formula>
    </cfRule>
  </conditionalFormatting>
  <conditionalFormatting sqref="AO275:AO282">
    <cfRule type="expression" dxfId="1358" priority="1141">
      <formula>AND(AN275=0,(AO275&gt;0))</formula>
    </cfRule>
    <cfRule type="expression" dxfId="1357" priority="1142">
      <formula>((AO275-AN275)/AN275)&gt;0.05</formula>
    </cfRule>
  </conditionalFormatting>
  <conditionalFormatting sqref="AO283:AO289">
    <cfRule type="expression" dxfId="1356" priority="1139">
      <formula>AND(AN283=0,(AO283&gt;0))</formula>
    </cfRule>
    <cfRule type="expression" dxfId="1355" priority="1140">
      <formula>((AO283-AN283)/AN283)&gt;0.05</formula>
    </cfRule>
  </conditionalFormatting>
  <conditionalFormatting sqref="AQ275:AQ282">
    <cfRule type="expression" dxfId="1354" priority="1137">
      <formula>AND(AP275=0,(AQ275&gt;0))</formula>
    </cfRule>
    <cfRule type="expression" dxfId="1353" priority="1138">
      <formula>((AQ275-AP275)/AP275)&gt;0.05</formula>
    </cfRule>
  </conditionalFormatting>
  <conditionalFormatting sqref="AS275:AS282">
    <cfRule type="expression" dxfId="1352" priority="1133">
      <formula>AND(AR275=0,(AS275&gt;0))</formula>
    </cfRule>
    <cfRule type="expression" dxfId="1351" priority="1134">
      <formula>((AS275-AR275)/AR275)&gt;0.05</formula>
    </cfRule>
  </conditionalFormatting>
  <conditionalFormatting sqref="AS283:AS289">
    <cfRule type="expression" dxfId="1350" priority="1131">
      <formula>AND(AR283=0,(AS283&gt;0))</formula>
    </cfRule>
    <cfRule type="expression" dxfId="1349" priority="1132">
      <formula>((AS283-AR283)/AR283)&gt;0.05</formula>
    </cfRule>
  </conditionalFormatting>
  <conditionalFormatting sqref="AU275:AU282">
    <cfRule type="expression" dxfId="1348" priority="1129">
      <formula>AND(AT275=0,(AU275&gt;0))</formula>
    </cfRule>
    <cfRule type="expression" dxfId="1347" priority="1130">
      <formula>((AU275-AT275)/AT275)&gt;0.05</formula>
    </cfRule>
  </conditionalFormatting>
  <conditionalFormatting sqref="AU283:AU289">
    <cfRule type="expression" dxfId="1346" priority="1127">
      <formula>AND(AT283=0,(AU283&gt;0))</formula>
    </cfRule>
    <cfRule type="expression" dxfId="1345" priority="1128">
      <formula>((AU283-AT283)/AT283)&gt;0.05</formula>
    </cfRule>
  </conditionalFormatting>
  <conditionalFormatting sqref="O34:O45">
    <cfRule type="expression" dxfId="1344" priority="1125">
      <formula>AND(N34=0,(O34&gt;0))</formula>
    </cfRule>
    <cfRule type="expression" dxfId="1343" priority="1126">
      <formula>((O34-N34)/N34)&gt;0.05</formula>
    </cfRule>
  </conditionalFormatting>
  <conditionalFormatting sqref="O7:O16 O18:O33">
    <cfRule type="expression" dxfId="1342" priority="1123">
      <formula>AND(N7=0,(O7&gt;0))</formula>
    </cfRule>
    <cfRule type="expression" dxfId="1341" priority="1124">
      <formula>((O7-N7)/N7)&gt;0.05</formula>
    </cfRule>
  </conditionalFormatting>
  <conditionalFormatting sqref="I34:I45">
    <cfRule type="expression" dxfId="1340" priority="1113">
      <formula>AND(H34=0,(I34&gt;0))</formula>
    </cfRule>
    <cfRule type="expression" dxfId="1339" priority="1114">
      <formula>((I34-H34)/H34)&gt;0.05</formula>
    </cfRule>
  </conditionalFormatting>
  <conditionalFormatting sqref="I7:I33">
    <cfRule type="expression" dxfId="1338" priority="1111">
      <formula>AND(H7=0,(I7&gt;0))</formula>
    </cfRule>
    <cfRule type="expression" dxfId="1337" priority="1112">
      <formula>((I7-H7)/H7)&gt;0.05</formula>
    </cfRule>
  </conditionalFormatting>
  <conditionalFormatting sqref="Y7:Y33">
    <cfRule type="expression" dxfId="1336" priority="1103">
      <formula>AND(X7=0,(Y7&gt;0))</formula>
    </cfRule>
    <cfRule type="expression" dxfId="1335" priority="1104">
      <formula>((Y7-X7)/X7)&gt;0.05</formula>
    </cfRule>
  </conditionalFormatting>
  <conditionalFormatting sqref="M7:M33">
    <cfRule type="expression" dxfId="1334" priority="1119">
      <formula>AND(L7=0,(M7&gt;0))</formula>
    </cfRule>
    <cfRule type="expression" dxfId="1333" priority="1120">
      <formula>((M7-L7)/L7)&gt;0.05</formula>
    </cfRule>
  </conditionalFormatting>
  <conditionalFormatting sqref="Y34:Y45">
    <cfRule type="expression" dxfId="1332" priority="1105">
      <formula>AND(X34=0,(Y34&gt;0))</formula>
    </cfRule>
    <cfRule type="expression" dxfId="1331" priority="1106">
      <formula>((Y34-X34)/X34)&gt;0.05</formula>
    </cfRule>
  </conditionalFormatting>
  <conditionalFormatting sqref="AE34:AE45">
    <cfRule type="expression" dxfId="1330" priority="1093">
      <formula>AND(AD34=0,(AE34&gt;0))</formula>
    </cfRule>
    <cfRule type="expression" dxfId="1329" priority="1094">
      <formula>((AE34-AD34)/AD34)&gt;0.05</formula>
    </cfRule>
  </conditionalFormatting>
  <conditionalFormatting sqref="AA7:AA33">
    <cfRule type="expression" dxfId="1328" priority="1099">
      <formula>AND(Z7=0,(AA7&gt;0))</formula>
    </cfRule>
    <cfRule type="expression" dxfId="1327" priority="1100">
      <formula>((AA7-Z7)/Z7)&gt;0.05</formula>
    </cfRule>
  </conditionalFormatting>
  <conditionalFormatting sqref="AO34:AO45">
    <cfRule type="expression" dxfId="1326" priority="1085">
      <formula>AND(AN34=0,(AO34&gt;0))</formula>
    </cfRule>
    <cfRule type="expression" dxfId="1325" priority="1086">
      <formula>((AO34-AN34)/AN34)&gt;0.05</formula>
    </cfRule>
  </conditionalFormatting>
  <conditionalFormatting sqref="K7:K33">
    <cfRule type="expression" dxfId="1324" priority="1115">
      <formula>AND(J7=0,(K7&gt;0))</formula>
    </cfRule>
    <cfRule type="expression" dxfId="1323" priority="1116">
      <formula>((K7-J7)/J7)&gt;0.05</formula>
    </cfRule>
  </conditionalFormatting>
  <conditionalFormatting sqref="U7 U9:U33">
    <cfRule type="expression" dxfId="1322" priority="1107">
      <formula>AND(T7=0,(U7&gt;0))</formula>
    </cfRule>
    <cfRule type="expression" dxfId="1321" priority="1108">
      <formula>((U7-T7)/T7)&gt;0.05</formula>
    </cfRule>
  </conditionalFormatting>
  <conditionalFormatting sqref="AS34:AS45">
    <cfRule type="expression" dxfId="1320" priority="1077">
      <formula>AND(AR34=0,(AS34&gt;0))</formula>
    </cfRule>
    <cfRule type="expression" dxfId="1319" priority="1078">
      <formula>((AS34-AR34)/AR34)&gt;0.05</formula>
    </cfRule>
  </conditionalFormatting>
  <conditionalFormatting sqref="M34:M45">
    <cfRule type="expression" dxfId="1318" priority="1121">
      <formula>AND(L34=0,(M34&gt;0))</formula>
    </cfRule>
    <cfRule type="expression" dxfId="1317" priority="1122">
      <formula>((M34-L34)/L34)&gt;0.05</formula>
    </cfRule>
  </conditionalFormatting>
  <conditionalFormatting sqref="K34:K45">
    <cfRule type="expression" dxfId="1316" priority="1117">
      <formula>AND(J34=0,(K34&gt;0))</formula>
    </cfRule>
    <cfRule type="expression" dxfId="1315" priority="1118">
      <formula>((K34-J34)/J34)&gt;0.05</formula>
    </cfRule>
  </conditionalFormatting>
  <conditionalFormatting sqref="U34:U45">
    <cfRule type="expression" dxfId="1314" priority="1109">
      <formula>AND(T34=0,(U34&gt;0))</formula>
    </cfRule>
    <cfRule type="expression" dxfId="1313" priority="1110">
      <formula>((U34-T34)/T34)&gt;0.05</formula>
    </cfRule>
  </conditionalFormatting>
  <conditionalFormatting sqref="AA34:AA45">
    <cfRule type="expression" dxfId="1312" priority="1101">
      <formula>AND(Z34=0,(AA34&gt;0))</formula>
    </cfRule>
    <cfRule type="expression" dxfId="1311" priority="1102">
      <formula>((AA34-Z34)/Z34)&gt;0.05</formula>
    </cfRule>
  </conditionalFormatting>
  <conditionalFormatting sqref="AC34:AC45">
    <cfRule type="expression" dxfId="1310" priority="1097">
      <formula>AND(AB34=0,(AC34&gt;0))</formula>
    </cfRule>
    <cfRule type="expression" dxfId="1309" priority="1098">
      <formula>((AC34-AB34)/AB34)&gt;0.05</formula>
    </cfRule>
  </conditionalFormatting>
  <conditionalFormatting sqref="AC7:AC33">
    <cfRule type="expression" dxfId="1308" priority="1095">
      <formula>AND(AB7=0,(AC7&gt;0))</formula>
    </cfRule>
    <cfRule type="expression" dxfId="1307" priority="1096">
      <formula>((AC7-AB7)/AB7)&gt;0.05</formula>
    </cfRule>
  </conditionalFormatting>
  <conditionalFormatting sqref="AE7:AE33">
    <cfRule type="expression" dxfId="1306" priority="1091">
      <formula>AND(AD7=0,(AE7&gt;0))</formula>
    </cfRule>
    <cfRule type="expression" dxfId="1305" priority="1092">
      <formula>((AE7-AD7)/AD7)&gt;0.05</formula>
    </cfRule>
  </conditionalFormatting>
  <conditionalFormatting sqref="AK34:AK45">
    <cfRule type="expression" dxfId="1304" priority="1089">
      <formula>AND(AJ34=0,(AK34&gt;0))</formula>
    </cfRule>
    <cfRule type="expression" dxfId="1303" priority="1090">
      <formula>((AK34-AJ34)/AJ34)&gt;0.05</formula>
    </cfRule>
  </conditionalFormatting>
  <conditionalFormatting sqref="AK7:AK33">
    <cfRule type="expression" dxfId="1302" priority="1087">
      <formula>AND(AJ7=0,(AK7&gt;0))</formula>
    </cfRule>
    <cfRule type="expression" dxfId="1301" priority="1088">
      <formula>((AK7-AJ7)/AJ7)&gt;0.05</formula>
    </cfRule>
  </conditionalFormatting>
  <conditionalFormatting sqref="AO7:AO33">
    <cfRule type="expression" dxfId="1300" priority="1083">
      <formula>AND(AN7=0,(AO7&gt;0))</formula>
    </cfRule>
    <cfRule type="expression" dxfId="1299" priority="1084">
      <formula>((AO7-AN7)/AN7)&gt;0.05</formula>
    </cfRule>
  </conditionalFormatting>
  <conditionalFormatting sqref="AQ34:AQ45">
    <cfRule type="expression" dxfId="1298" priority="1081">
      <formula>AND(AP34=0,(AQ34&gt;0))</formula>
    </cfRule>
    <cfRule type="expression" dxfId="1297" priority="1082">
      <formula>((AQ34-AP34)/AP34)&gt;0.05</formula>
    </cfRule>
  </conditionalFormatting>
  <conditionalFormatting sqref="AQ7:AQ33">
    <cfRule type="expression" dxfId="1296" priority="1079">
      <formula>AND(AP7=0,(AQ7&gt;0))</formula>
    </cfRule>
    <cfRule type="expression" dxfId="1295" priority="1080">
      <formula>((AQ7-AP7)/AP7)&gt;0.05</formula>
    </cfRule>
  </conditionalFormatting>
  <conditionalFormatting sqref="AS7:AS33">
    <cfRule type="expression" dxfId="1294" priority="1075">
      <formula>AND(AR7=0,(AS7&gt;0))</formula>
    </cfRule>
    <cfRule type="expression" dxfId="1293" priority="1076">
      <formula>((AS7-AR7)/AR7)&gt;0.05</formula>
    </cfRule>
  </conditionalFormatting>
  <conditionalFormatting sqref="AU34:AU45">
    <cfRule type="expression" dxfId="1292" priority="1073">
      <formula>AND(AT34=0,(AU34&gt;0))</formula>
    </cfRule>
    <cfRule type="expression" dxfId="1291" priority="1074">
      <formula>((AU34-AT34)/AT34)&gt;0.05</formula>
    </cfRule>
  </conditionalFormatting>
  <conditionalFormatting sqref="AU7:AU16 AU18:AU33">
    <cfRule type="expression" dxfId="1290" priority="1071">
      <formula>AND(AT7=0,(AU7&gt;0))</formula>
    </cfRule>
    <cfRule type="expression" dxfId="1289" priority="1072">
      <formula>((AU7-AT7)/AT7)&gt;0.05</formula>
    </cfRule>
  </conditionalFormatting>
  <conditionalFormatting sqref="U8">
    <cfRule type="expression" dxfId="1288" priority="1069">
      <formula>AND(T8=0,(U8&gt;0))</formula>
    </cfRule>
    <cfRule type="expression" dxfId="1287" priority="1070">
      <formula>((U8-T8)/T8)&gt;0.05</formula>
    </cfRule>
  </conditionalFormatting>
  <conditionalFormatting sqref="O17">
    <cfRule type="expression" dxfId="1286" priority="1067">
      <formula>AND(N17=0,(O17&gt;0))</formula>
    </cfRule>
    <cfRule type="expression" dxfId="1285" priority="1068">
      <formula>((O17-N17)/N17)&gt;0.05</formula>
    </cfRule>
  </conditionalFormatting>
  <conditionalFormatting sqref="AU17">
    <cfRule type="expression" dxfId="1284" priority="1065">
      <formula>AND(AT17=0,(AU17&gt;0))</formula>
    </cfRule>
    <cfRule type="expression" dxfId="1283" priority="1066">
      <formula>((AU17-AT17)/AT17)&gt;0.05</formula>
    </cfRule>
  </conditionalFormatting>
  <conditionalFormatting sqref="O172:O194">
    <cfRule type="expression" dxfId="1282" priority="1063">
      <formula>AND(N172=0,(O172&gt;0))</formula>
    </cfRule>
    <cfRule type="expression" dxfId="1281" priority="1064">
      <formula>((O172-N172)/N172)&gt;0.05</formula>
    </cfRule>
  </conditionalFormatting>
  <conditionalFormatting sqref="O195">
    <cfRule type="expression" dxfId="1280" priority="1061">
      <formula>AND(N195=0,(O195&gt;0))</formula>
    </cfRule>
    <cfRule type="expression" dxfId="1279" priority="1062">
      <formula>((O195-N195)/N195)&gt;0.05</formula>
    </cfRule>
  </conditionalFormatting>
  <conditionalFormatting sqref="I195">
    <cfRule type="expression" dxfId="1278" priority="1049">
      <formula>AND(H195=0,(I195&gt;0))</formula>
    </cfRule>
    <cfRule type="expression" dxfId="1277" priority="1050">
      <formula>((I195-H195)/H195)&gt;0.05</formula>
    </cfRule>
  </conditionalFormatting>
  <conditionalFormatting sqref="I172:I194">
    <cfRule type="expression" dxfId="1276" priority="1051">
      <formula>AND(H172=0,(I172&gt;0))</formula>
    </cfRule>
    <cfRule type="expression" dxfId="1275" priority="1052">
      <formula>((I172-H172)/H172)&gt;0.05</formula>
    </cfRule>
  </conditionalFormatting>
  <conditionalFormatting sqref="U195">
    <cfRule type="expression" dxfId="1274" priority="1045">
      <formula>AND(T195=0,(U195&gt;0))</formula>
    </cfRule>
    <cfRule type="expression" dxfId="1273" priority="1046">
      <formula>((U195-T195)/T195)&gt;0.05</formula>
    </cfRule>
  </conditionalFormatting>
  <conditionalFormatting sqref="M172:M194">
    <cfRule type="expression" dxfId="1272" priority="1059">
      <formula>AND(L172=0,(M172&gt;0))</formula>
    </cfRule>
    <cfRule type="expression" dxfId="1271" priority="1060">
      <formula>((M172-L172)/L172)&gt;0.05</formula>
    </cfRule>
  </conditionalFormatting>
  <conditionalFormatting sqref="M195">
    <cfRule type="expression" dxfId="1270" priority="1057">
      <formula>AND(L195=0,(M195&gt;0))</formula>
    </cfRule>
    <cfRule type="expression" dxfId="1269" priority="1058">
      <formula>((M195-L195)/L195)&gt;0.05</formula>
    </cfRule>
  </conditionalFormatting>
  <conditionalFormatting sqref="AC172:AC194">
    <cfRule type="expression" dxfId="1268" priority="1035">
      <formula>AND(AB172=0,(AC172&gt;0))</formula>
    </cfRule>
    <cfRule type="expression" dxfId="1267" priority="1036">
      <formula>((AC172-AB172)/AB172)&gt;0.05</formula>
    </cfRule>
  </conditionalFormatting>
  <conditionalFormatting sqref="AC195">
    <cfRule type="expression" dxfId="1266" priority="1033">
      <formula>AND(AB195=0,(AC195&gt;0))</formula>
    </cfRule>
    <cfRule type="expression" dxfId="1265" priority="1034">
      <formula>((AC195-AB195)/AB195)&gt;0.05</formula>
    </cfRule>
  </conditionalFormatting>
  <conditionalFormatting sqref="AA195">
    <cfRule type="expression" dxfId="1264" priority="1037">
      <formula>AND(Z195=0,(AA195&gt;0))</formula>
    </cfRule>
    <cfRule type="expression" dxfId="1263" priority="1038">
      <formula>((AA195-Z195)/Z195)&gt;0.05</formula>
    </cfRule>
  </conditionalFormatting>
  <conditionalFormatting sqref="AA172:AA194">
    <cfRule type="expression" dxfId="1262" priority="1039">
      <formula>AND(Z172=0,(AA172&gt;0))</formula>
    </cfRule>
    <cfRule type="expression" dxfId="1261" priority="1040">
      <formula>((AA172-Z172)/Z172)&gt;0.05</formula>
    </cfRule>
  </conditionalFormatting>
  <conditionalFormatting sqref="AK172:AK194">
    <cfRule type="expression" dxfId="1260" priority="1027">
      <formula>AND(AJ172=0,(AK172&gt;0))</formula>
    </cfRule>
    <cfRule type="expression" dxfId="1259" priority="1028">
      <formula>((AK172-AJ172)/AJ172)&gt;0.05</formula>
    </cfRule>
  </conditionalFormatting>
  <conditionalFormatting sqref="AK195">
    <cfRule type="expression" dxfId="1258" priority="1025">
      <formula>AND(AJ195=0,(AK195&gt;0))</formula>
    </cfRule>
    <cfRule type="expression" dxfId="1257" priority="1026">
      <formula>((AK195-AJ195)/AJ195)&gt;0.05</formula>
    </cfRule>
  </conditionalFormatting>
  <conditionalFormatting sqref="AE195">
    <cfRule type="expression" dxfId="1256" priority="1029">
      <formula>AND(AD195=0,(AE195&gt;0))</formula>
    </cfRule>
    <cfRule type="expression" dxfId="1255" priority="1030">
      <formula>((AE195-AD195)/AD195)&gt;0.05</formula>
    </cfRule>
  </conditionalFormatting>
  <conditionalFormatting sqref="AQ195">
    <cfRule type="expression" dxfId="1254" priority="1017">
      <formula>AND(AP195=0,(AQ195&gt;0))</formula>
    </cfRule>
    <cfRule type="expression" dxfId="1253" priority="1018">
      <formula>((AQ195-AP195)/AP195)&gt;0.05</formula>
    </cfRule>
  </conditionalFormatting>
  <conditionalFormatting sqref="K172:K194">
    <cfRule type="expression" dxfId="1252" priority="1055">
      <formula>AND(J172=0,(K172&gt;0))</formula>
    </cfRule>
    <cfRule type="expression" dxfId="1251" priority="1056">
      <formula>((K172-J172)/J172)&gt;0.05</formula>
    </cfRule>
  </conditionalFormatting>
  <conditionalFormatting sqref="K195">
    <cfRule type="expression" dxfId="1250" priority="1053">
      <formula>AND(J195=0,(K195&gt;0))</formula>
    </cfRule>
    <cfRule type="expression" dxfId="1249" priority="1054">
      <formula>((K195-J195)/J195)&gt;0.05</formula>
    </cfRule>
  </conditionalFormatting>
  <conditionalFormatting sqref="U172:U194">
    <cfRule type="expression" dxfId="1248" priority="1047">
      <formula>AND(T172=0,(U172&gt;0))</formula>
    </cfRule>
    <cfRule type="expression" dxfId="1247" priority="1048">
      <formula>((U172-T172)/T172)&gt;0.05</formula>
    </cfRule>
  </conditionalFormatting>
  <conditionalFormatting sqref="Y172:Y194">
    <cfRule type="expression" dxfId="1246" priority="1043">
      <formula>AND(X172=0,(Y172&gt;0))</formula>
    </cfRule>
    <cfRule type="expression" dxfId="1245" priority="1044">
      <formula>((Y172-X172)/X172)&gt;0.05</formula>
    </cfRule>
  </conditionalFormatting>
  <conditionalFormatting sqref="Y195">
    <cfRule type="expression" dxfId="1244" priority="1041">
      <formula>AND(X195=0,(Y195&gt;0))</formula>
    </cfRule>
    <cfRule type="expression" dxfId="1243" priority="1042">
      <formula>((Y195-X195)/X195)&gt;0.05</formula>
    </cfRule>
  </conditionalFormatting>
  <conditionalFormatting sqref="AE172:AE194">
    <cfRule type="expression" dxfId="1242" priority="1031">
      <formula>AND(AD172=0,(AE172&gt;0))</formula>
    </cfRule>
    <cfRule type="expression" dxfId="1241" priority="1032">
      <formula>((AE172-AD172)/AD172)&gt;0.05</formula>
    </cfRule>
  </conditionalFormatting>
  <conditionalFormatting sqref="AO172:AO194">
    <cfRule type="expression" dxfId="1240" priority="1023">
      <formula>AND(AN172=0,(AO172&gt;0))</formula>
    </cfRule>
    <cfRule type="expression" dxfId="1239" priority="1024">
      <formula>((AO172-AN172)/AN172)&gt;0.05</formula>
    </cfRule>
  </conditionalFormatting>
  <conditionalFormatting sqref="AO195">
    <cfRule type="expression" dxfId="1238" priority="1021">
      <formula>AND(AN195=0,(AO195&gt;0))</formula>
    </cfRule>
    <cfRule type="expression" dxfId="1237" priority="1022">
      <formula>((AO195-AN195)/AN195)&gt;0.05</formula>
    </cfRule>
  </conditionalFormatting>
  <conditionalFormatting sqref="AQ172:AQ194">
    <cfRule type="expression" dxfId="1236" priority="1019">
      <formula>AND(AP172=0,(AQ172&gt;0))</formula>
    </cfRule>
    <cfRule type="expression" dxfId="1235" priority="1020">
      <formula>((AQ172-AP172)/AP172)&gt;0.05</formula>
    </cfRule>
  </conditionalFormatting>
  <conditionalFormatting sqref="AS172:AS194">
    <cfRule type="expression" dxfId="1234" priority="1015">
      <formula>AND(AR172=0,(AS172&gt;0))</formula>
    </cfRule>
    <cfRule type="expression" dxfId="1233" priority="1016">
      <formula>((AS172-AR172)/AR172)&gt;0.05</formula>
    </cfRule>
  </conditionalFormatting>
  <conditionalFormatting sqref="AS195">
    <cfRule type="expression" dxfId="1232" priority="1013">
      <formula>AND(AR195=0,(AS195&gt;0))</formula>
    </cfRule>
    <cfRule type="expression" dxfId="1231" priority="1014">
      <formula>((AS195-AR195)/AR195)&gt;0.05</formula>
    </cfRule>
  </conditionalFormatting>
  <conditionalFormatting sqref="AU172:AU194">
    <cfRule type="expression" dxfId="1230" priority="1011">
      <formula>AND(AT172=0,(AU172&gt;0))</formula>
    </cfRule>
    <cfRule type="expression" dxfId="1229" priority="1012">
      <formula>((AU172-AT172)/AT172)&gt;0.05</formula>
    </cfRule>
  </conditionalFormatting>
  <conditionalFormatting sqref="AU195">
    <cfRule type="expression" dxfId="1228" priority="1009">
      <formula>AND(AT195=0,(AU195&gt;0))</formula>
    </cfRule>
    <cfRule type="expression" dxfId="1227" priority="1010">
      <formula>((AU195-AT195)/AT195)&gt;0.05</formula>
    </cfRule>
  </conditionalFormatting>
  <conditionalFormatting sqref="O221:O224">
    <cfRule type="expression" dxfId="1226" priority="1007">
      <formula>AND(N221=0,(O221&gt;0))</formula>
    </cfRule>
    <cfRule type="expression" dxfId="1225" priority="1008">
      <formula>((O221-N221)/N221)&gt;0.05</formula>
    </cfRule>
  </conditionalFormatting>
  <conditionalFormatting sqref="O196:O202">
    <cfRule type="expression" dxfId="1224" priority="1005">
      <formula>AND(N196=0,(O196&gt;0))</formula>
    </cfRule>
    <cfRule type="expression" dxfId="1223" priority="1006">
      <formula>((O196-N196)/N196)&gt;0.05</formula>
    </cfRule>
  </conditionalFormatting>
  <conditionalFormatting sqref="I196:I202">
    <cfRule type="expression" dxfId="1222" priority="987">
      <formula>AND(H196=0,(I196&gt;0))</formula>
    </cfRule>
    <cfRule type="expression" dxfId="1221" priority="988">
      <formula>((I196-H196)/H196)&gt;0.05</formula>
    </cfRule>
  </conditionalFormatting>
  <conditionalFormatting sqref="I203:I220">
    <cfRule type="expression" dxfId="1220" priority="985">
      <formula>AND(H203=0,(I203&gt;0))</formula>
    </cfRule>
    <cfRule type="expression" dxfId="1219" priority="986">
      <formula>((I203-H203)/H203)&gt;0.05</formula>
    </cfRule>
  </conditionalFormatting>
  <conditionalFormatting sqref="U221:U224">
    <cfRule type="expression" dxfId="1218" priority="983">
      <formula>AND(T221=0,(U221&gt;0))</formula>
    </cfRule>
    <cfRule type="expression" dxfId="1217" priority="984">
      <formula>((U221-T221)/T221)&gt;0.05</formula>
    </cfRule>
  </conditionalFormatting>
  <conditionalFormatting sqref="O203:O220">
    <cfRule type="expression" dxfId="1216" priority="1003">
      <formula>AND(N203=0,(O203&gt;0))</formula>
    </cfRule>
    <cfRule type="expression" dxfId="1215" priority="1004">
      <formula>((O203-N203)/N203)&gt;0.05</formula>
    </cfRule>
  </conditionalFormatting>
  <conditionalFormatting sqref="U203:U220">
    <cfRule type="expression" dxfId="1214" priority="979">
      <formula>AND(T203=0,(U203&gt;0))</formula>
    </cfRule>
    <cfRule type="expression" dxfId="1213" priority="980">
      <formula>((U203-T203)/T203)&gt;0.05</formula>
    </cfRule>
  </conditionalFormatting>
  <conditionalFormatting sqref="AA221:AA224">
    <cfRule type="expression" dxfId="1212" priority="971">
      <formula>AND(Z221=0,(AA221&gt;0))</formula>
    </cfRule>
    <cfRule type="expression" dxfId="1211" priority="972">
      <formula>((AA221-Z221)/Z221)&gt;0.05</formula>
    </cfRule>
  </conditionalFormatting>
  <conditionalFormatting sqref="AA196:AA202">
    <cfRule type="expression" dxfId="1210" priority="969">
      <formula>AND(Z196=0,(AA196&gt;0))</formula>
    </cfRule>
    <cfRule type="expression" dxfId="1209" priority="970">
      <formula>((AA196-Z196)/Z196)&gt;0.05</formula>
    </cfRule>
  </conditionalFormatting>
  <conditionalFormatting sqref="Y203:Y220">
    <cfRule type="expression" dxfId="1208" priority="973">
      <formula>AND(X203=0,(Y203&gt;0))</formula>
    </cfRule>
    <cfRule type="expression" dxfId="1207" priority="974">
      <formula>((Y203-X203)/X203)&gt;0.05</formula>
    </cfRule>
  </conditionalFormatting>
  <conditionalFormatting sqref="AC196:AC202">
    <cfRule type="expression" dxfId="1206" priority="963">
      <formula>AND(AB196=0,(AC196&gt;0))</formula>
    </cfRule>
    <cfRule type="expression" dxfId="1205" priority="964">
      <formula>((AC196-AB196)/AB196)&gt;0.05</formula>
    </cfRule>
  </conditionalFormatting>
  <conditionalFormatting sqref="AC221:AC224">
    <cfRule type="expression" dxfId="1204" priority="965">
      <formula>AND(AB221=0,(AC221&gt;0))</formula>
    </cfRule>
    <cfRule type="expression" dxfId="1203" priority="966">
      <formula>((AC221-AB221)/AB221)&gt;0.05</formula>
    </cfRule>
  </conditionalFormatting>
  <conditionalFormatting sqref="AE221:AE224">
    <cfRule type="expression" dxfId="1202" priority="959">
      <formula>AND(AD221=0,(AE221&gt;0))</formula>
    </cfRule>
    <cfRule type="expression" dxfId="1201" priority="960">
      <formula>((AE221-AD221)/AD221)&gt;0.05</formula>
    </cfRule>
  </conditionalFormatting>
  <conditionalFormatting sqref="AU221:AU224">
    <cfRule type="expression" dxfId="1200" priority="929">
      <formula>AND(AT221=0,(AU221&gt;0))</formula>
    </cfRule>
    <cfRule type="expression" dxfId="1199" priority="930">
      <formula>((AU221-AT221)/AT221)&gt;0.05</formula>
    </cfRule>
  </conditionalFormatting>
  <conditionalFormatting sqref="M221:M224">
    <cfRule type="expression" dxfId="1198" priority="1001">
      <formula>AND(L221=0,(M221&gt;0))</formula>
    </cfRule>
    <cfRule type="expression" dxfId="1197" priority="1002">
      <formula>((M221-L221)/L221)&gt;0.05</formula>
    </cfRule>
  </conditionalFormatting>
  <conditionalFormatting sqref="M196:M202">
    <cfRule type="expression" dxfId="1196" priority="999">
      <formula>AND(L196=0,(M196&gt;0))</formula>
    </cfRule>
    <cfRule type="expression" dxfId="1195" priority="1000">
      <formula>((M196-L196)/L196)&gt;0.05</formula>
    </cfRule>
  </conditionalFormatting>
  <conditionalFormatting sqref="M203:M220">
    <cfRule type="expression" dxfId="1194" priority="997">
      <formula>AND(L203=0,(M203&gt;0))</formula>
    </cfRule>
    <cfRule type="expression" dxfId="1193" priority="998">
      <formula>((M203-L203)/L203)&gt;0.05</formula>
    </cfRule>
  </conditionalFormatting>
  <conditionalFormatting sqref="K221:K224">
    <cfRule type="expression" dxfId="1192" priority="995">
      <formula>AND(J221=0,(K221&gt;0))</formula>
    </cfRule>
    <cfRule type="expression" dxfId="1191" priority="996">
      <formula>((K221-J221)/J221)&gt;0.05</formula>
    </cfRule>
  </conditionalFormatting>
  <conditionalFormatting sqref="K203:K220">
    <cfRule type="expression" dxfId="1190" priority="991">
      <formula>AND(J203=0,(K203&gt;0))</formula>
    </cfRule>
    <cfRule type="expression" dxfId="1189" priority="992">
      <formula>((K203-J203)/J203)&gt;0.05</formula>
    </cfRule>
  </conditionalFormatting>
  <conditionalFormatting sqref="K196:K202">
    <cfRule type="expression" dxfId="1188" priority="993">
      <formula>AND(J196=0,(K196&gt;0))</formula>
    </cfRule>
    <cfRule type="expression" dxfId="1187" priority="994">
      <formula>((K196-J196)/J196)&gt;0.05</formula>
    </cfRule>
  </conditionalFormatting>
  <conditionalFormatting sqref="I221:I224">
    <cfRule type="expression" dxfId="1186" priority="989">
      <formula>AND(H221=0,(I221&gt;0))</formula>
    </cfRule>
    <cfRule type="expression" dxfId="1185" priority="990">
      <formula>((I221-H221)/H221)&gt;0.05</formula>
    </cfRule>
  </conditionalFormatting>
  <conditionalFormatting sqref="U196:U202">
    <cfRule type="expression" dxfId="1184" priority="981">
      <formula>AND(T196=0,(U196&gt;0))</formula>
    </cfRule>
    <cfRule type="expression" dxfId="1183" priority="982">
      <formula>((U196-T196)/T196)&gt;0.05</formula>
    </cfRule>
  </conditionalFormatting>
  <conditionalFormatting sqref="Y196:Y202">
    <cfRule type="expression" dxfId="1182" priority="975">
      <formula>AND(X196=0,(Y196&gt;0))</formula>
    </cfRule>
    <cfRule type="expression" dxfId="1181" priority="976">
      <formula>((Y196-X196)/X196)&gt;0.05</formula>
    </cfRule>
  </conditionalFormatting>
  <conditionalFormatting sqref="Y221:Y224">
    <cfRule type="expression" dxfId="1180" priority="977">
      <formula>AND(X221=0,(Y221&gt;0))</formula>
    </cfRule>
    <cfRule type="expression" dxfId="1179" priority="978">
      <formula>((Y221-X221)/X221)&gt;0.05</formula>
    </cfRule>
  </conditionalFormatting>
  <conditionalFormatting sqref="AA203:AA220">
    <cfRule type="expression" dxfId="1178" priority="967">
      <formula>AND(Z203=0,(AA203&gt;0))</formula>
    </cfRule>
    <cfRule type="expression" dxfId="1177" priority="968">
      <formula>((AA203-Z203)/Z203)&gt;0.05</formula>
    </cfRule>
  </conditionalFormatting>
  <conditionalFormatting sqref="AC203:AC220">
    <cfRule type="expression" dxfId="1176" priority="961">
      <formula>AND(AB203=0,(AC203&gt;0))</formula>
    </cfRule>
    <cfRule type="expression" dxfId="1175" priority="962">
      <formula>((AC203-AB203)/AB203)&gt;0.05</formula>
    </cfRule>
  </conditionalFormatting>
  <conditionalFormatting sqref="AE196:AE202">
    <cfRule type="expression" dxfId="1174" priority="957">
      <formula>AND(AD196=0,(AE196&gt;0))</formula>
    </cfRule>
    <cfRule type="expression" dxfId="1173" priority="958">
      <formula>((AE196-AD196)/AD196)&gt;0.05</formula>
    </cfRule>
  </conditionalFormatting>
  <conditionalFormatting sqref="AE203:AE220">
    <cfRule type="expression" dxfId="1172" priority="955">
      <formula>AND(AD203=0,(AE203&gt;0))</formula>
    </cfRule>
    <cfRule type="expression" dxfId="1171" priority="956">
      <formula>((AE203-AD203)/AD203)&gt;0.05</formula>
    </cfRule>
  </conditionalFormatting>
  <conditionalFormatting sqref="AK203:AK220">
    <cfRule type="expression" dxfId="1170" priority="949">
      <formula>AND(AJ203=0,(AK203&gt;0))</formula>
    </cfRule>
    <cfRule type="expression" dxfId="1169" priority="950">
      <formula>((AK203-AJ203)/AJ203)&gt;0.05</formula>
    </cfRule>
  </conditionalFormatting>
  <conditionalFormatting sqref="AK221:AK224">
    <cfRule type="expression" dxfId="1168" priority="953">
      <formula>AND(AJ221=0,(AK221&gt;0))</formula>
    </cfRule>
    <cfRule type="expression" dxfId="1167" priority="954">
      <formula>((AK221-AJ221)/AJ221)&gt;0.05</formula>
    </cfRule>
  </conditionalFormatting>
  <conditionalFormatting sqref="AK196:AK202">
    <cfRule type="expression" dxfId="1166" priority="951">
      <formula>AND(AJ196=0,(AK196&gt;0))</formula>
    </cfRule>
    <cfRule type="expression" dxfId="1165" priority="952">
      <formula>((AK196-AJ196)/AJ196)&gt;0.05</formula>
    </cfRule>
  </conditionalFormatting>
  <conditionalFormatting sqref="AO203:AO220">
    <cfRule type="expression" dxfId="1164" priority="943">
      <formula>AND(AN203=0,(AO203&gt;0))</formula>
    </cfRule>
    <cfRule type="expression" dxfId="1163" priority="944">
      <formula>((AO203-AN203)/AN203)&gt;0.05</formula>
    </cfRule>
  </conditionalFormatting>
  <conditionalFormatting sqref="AO221:AO224">
    <cfRule type="expression" dxfId="1162" priority="947">
      <formula>AND(AN221=0,(AO221&gt;0))</formula>
    </cfRule>
    <cfRule type="expression" dxfId="1161" priority="948">
      <formula>((AO221-AN221)/AN221)&gt;0.05</formula>
    </cfRule>
  </conditionalFormatting>
  <conditionalFormatting sqref="AO196:AO202">
    <cfRule type="expression" dxfId="1160" priority="945">
      <formula>AND(AN196=0,(AO196&gt;0))</formula>
    </cfRule>
    <cfRule type="expression" dxfId="1159" priority="946">
      <formula>((AO196-AN196)/AN196)&gt;0.05</formula>
    </cfRule>
  </conditionalFormatting>
  <conditionalFormatting sqref="AQ203:AQ220">
    <cfRule type="expression" dxfId="1158" priority="937">
      <formula>AND(AP203=0,(AQ203&gt;0))</formula>
    </cfRule>
    <cfRule type="expression" dxfId="1157" priority="938">
      <formula>((AQ203-AP203)/AP203)&gt;0.05</formula>
    </cfRule>
  </conditionalFormatting>
  <conditionalFormatting sqref="AQ221:AQ224">
    <cfRule type="expression" dxfId="1156" priority="941">
      <formula>AND(AP221=0,(AQ221&gt;0))</formula>
    </cfRule>
    <cfRule type="expression" dxfId="1155" priority="942">
      <formula>((AQ221-AP221)/AP221)&gt;0.05</formula>
    </cfRule>
  </conditionalFormatting>
  <conditionalFormatting sqref="AQ196:AQ202">
    <cfRule type="expression" dxfId="1154" priority="939">
      <formula>AND(AP196=0,(AQ196&gt;0))</formula>
    </cfRule>
    <cfRule type="expression" dxfId="1153" priority="940">
      <formula>((AQ196-AP196)/AP196)&gt;0.05</formula>
    </cfRule>
  </conditionalFormatting>
  <conditionalFormatting sqref="AS203:AS220">
    <cfRule type="expression" dxfId="1152" priority="931">
      <formula>AND(AR203=0,(AS203&gt;0))</formula>
    </cfRule>
    <cfRule type="expression" dxfId="1151" priority="932">
      <formula>((AS203-AR203)/AR203)&gt;0.05</formula>
    </cfRule>
  </conditionalFormatting>
  <conditionalFormatting sqref="AS221:AS224">
    <cfRule type="expression" dxfId="1150" priority="935">
      <formula>AND(AR221=0,(AS221&gt;0))</formula>
    </cfRule>
    <cfRule type="expression" dxfId="1149" priority="936">
      <formula>((AS221-AR221)/AR221)&gt;0.05</formula>
    </cfRule>
  </conditionalFormatting>
  <conditionalFormatting sqref="AS196:AS202">
    <cfRule type="expression" dxfId="1148" priority="933">
      <formula>AND(AR196=0,(AS196&gt;0))</formula>
    </cfRule>
    <cfRule type="expression" dxfId="1147" priority="934">
      <formula>((AS196-AR196)/AR196)&gt;0.05</formula>
    </cfRule>
  </conditionalFormatting>
  <conditionalFormatting sqref="AU203:AU220">
    <cfRule type="expression" dxfId="1146" priority="925">
      <formula>AND(AT203=0,(AU203&gt;0))</formula>
    </cfRule>
    <cfRule type="expression" dxfId="1145" priority="926">
      <formula>((AU203-AT203)/AT203)&gt;0.05</formula>
    </cfRule>
  </conditionalFormatting>
  <conditionalFormatting sqref="AU196:AU202">
    <cfRule type="expression" dxfId="1144" priority="927">
      <formula>AND(AT196=0,(AU196&gt;0))</formula>
    </cfRule>
    <cfRule type="expression" dxfId="1143" priority="928">
      <formula>((AU196-AT196)/AT196)&gt;0.05</formula>
    </cfRule>
  </conditionalFormatting>
  <conditionalFormatting sqref="I225:I251">
    <cfRule type="expression" dxfId="1142" priority="923">
      <formula>AND(H225=0,(I225&gt;0))</formula>
    </cfRule>
    <cfRule type="expression" dxfId="1141" priority="924">
      <formula>((I225-H225)/H225)&gt;0.05</formula>
    </cfRule>
  </conditionalFormatting>
  <conditionalFormatting sqref="K225:K254">
    <cfRule type="expression" dxfId="1140" priority="921">
      <formula>AND(J225=0,(K225&gt;0))</formula>
    </cfRule>
    <cfRule type="expression" dxfId="1139" priority="922">
      <formula>((K225-J225)/J225)&gt;0.05</formula>
    </cfRule>
  </conditionalFormatting>
  <conditionalFormatting sqref="M290:M309">
    <cfRule type="expression" dxfId="1138" priority="913">
      <formula>AND(L290=0,(M290&gt;0))</formula>
    </cfRule>
    <cfRule type="expression" dxfId="1137" priority="914">
      <formula>((M290-L290)/L290)&gt;0.05</formula>
    </cfRule>
  </conditionalFormatting>
  <conditionalFormatting sqref="M310:M344">
    <cfRule type="expression" dxfId="1136" priority="911">
      <formula>AND(L310=0,(M310&gt;0))</formula>
    </cfRule>
    <cfRule type="expression" dxfId="1135" priority="912">
      <formula>((M310-L310)/L310)&gt;0.05</formula>
    </cfRule>
  </conditionalFormatting>
  <conditionalFormatting sqref="O345:O347">
    <cfRule type="expression" dxfId="1134" priority="915">
      <formula>AND(N345=0,(O345&gt;0))</formula>
    </cfRule>
    <cfRule type="expression" dxfId="1133" priority="916">
      <formula>((O345-N345)/N345)&gt;0.05</formula>
    </cfRule>
  </conditionalFormatting>
  <conditionalFormatting sqref="K345:K347">
    <cfRule type="expression" dxfId="1132" priority="903">
      <formula>AND(J345=0,(K345&gt;0))</formula>
    </cfRule>
    <cfRule type="expression" dxfId="1131" priority="904">
      <formula>((K345-J345)/J345)&gt;0.05</formula>
    </cfRule>
  </conditionalFormatting>
  <conditionalFormatting sqref="O290:O309">
    <cfRule type="expression" dxfId="1130" priority="919">
      <formula>AND(N290=0,(O290&gt;0))</formula>
    </cfRule>
    <cfRule type="expression" dxfId="1129" priority="920">
      <formula>((O290-N290)/N290)&gt;0.05</formula>
    </cfRule>
  </conditionalFormatting>
  <conditionalFormatting sqref="K310:K344">
    <cfRule type="expression" dxfId="1128" priority="905">
      <formula>AND(J310=0,(K310&gt;0))</formula>
    </cfRule>
    <cfRule type="expression" dxfId="1127" priority="906">
      <formula>((K310-J310)/J310)&gt;0.05</formula>
    </cfRule>
  </conditionalFormatting>
  <conditionalFormatting sqref="M345:M347">
    <cfRule type="expression" dxfId="1126" priority="909">
      <formula>AND(L345=0,(M345&gt;0))</formula>
    </cfRule>
    <cfRule type="expression" dxfId="1125" priority="910">
      <formula>((M345-L345)/L345)&gt;0.05</formula>
    </cfRule>
  </conditionalFormatting>
  <conditionalFormatting sqref="O310:O344">
    <cfRule type="expression" dxfId="1124" priority="917">
      <formula>AND(N310=0,(O310&gt;0))</formula>
    </cfRule>
    <cfRule type="expression" dxfId="1123" priority="918">
      <formula>((O310-N310)/N310)&gt;0.05</formula>
    </cfRule>
  </conditionalFormatting>
  <conditionalFormatting sqref="AE290:AE309">
    <cfRule type="expression" dxfId="1122" priority="871">
      <formula>AND(AD290=0,(AE290&gt;0))</formula>
    </cfRule>
    <cfRule type="expression" dxfId="1121" priority="872">
      <formula>((AE290-AD290)/AD290)&gt;0.05</formula>
    </cfRule>
  </conditionalFormatting>
  <conditionalFormatting sqref="AE310:AE344">
    <cfRule type="expression" dxfId="1120" priority="869">
      <formula>AND(AD310=0,(AE310&gt;0))</formula>
    </cfRule>
    <cfRule type="expression" dxfId="1119" priority="870">
      <formula>((AE310-AD310)/AD310)&gt;0.05</formula>
    </cfRule>
  </conditionalFormatting>
  <conditionalFormatting sqref="AE345:AE347">
    <cfRule type="expression" dxfId="1118" priority="867">
      <formula>AND(AD345=0,(AE345&gt;0))</formula>
    </cfRule>
    <cfRule type="expression" dxfId="1117" priority="868">
      <formula>((AE345-AD345)/AD345)&gt;0.05</formula>
    </cfRule>
  </conditionalFormatting>
  <conditionalFormatting sqref="U290:U309">
    <cfRule type="expression" dxfId="1116" priority="895">
      <formula>AND(T290=0,(U290&gt;0))</formula>
    </cfRule>
    <cfRule type="expression" dxfId="1115" priority="896">
      <formula>((U290-T290)/T290)&gt;0.05</formula>
    </cfRule>
  </conditionalFormatting>
  <conditionalFormatting sqref="U310:U344">
    <cfRule type="expression" dxfId="1114" priority="893">
      <formula>AND(T310=0,(U310&gt;0))</formula>
    </cfRule>
    <cfRule type="expression" dxfId="1113" priority="894">
      <formula>((U310-T310)/T310)&gt;0.05</formula>
    </cfRule>
  </conditionalFormatting>
  <conditionalFormatting sqref="U345:U347">
    <cfRule type="expression" dxfId="1112" priority="891">
      <formula>AND(T345=0,(U345&gt;0))</formula>
    </cfRule>
    <cfRule type="expression" dxfId="1111" priority="892">
      <formula>((U345-T345)/T345)&gt;0.05</formula>
    </cfRule>
  </conditionalFormatting>
  <conditionalFormatting sqref="AC290:AC309">
    <cfRule type="expression" dxfId="1110" priority="877">
      <formula>AND(AB290=0,(AC290&gt;0))</formula>
    </cfRule>
    <cfRule type="expression" dxfId="1109" priority="878">
      <formula>((AC290-AB290)/AB290)&gt;0.05</formula>
    </cfRule>
  </conditionalFormatting>
  <conditionalFormatting sqref="AA310:AA344">
    <cfRule type="expression" dxfId="1108" priority="881">
      <formula>AND(Z310=0,(AA310&gt;0))</formula>
    </cfRule>
    <cfRule type="expression" dxfId="1107" priority="882">
      <formula>((AA310-Z310)/Z310)&gt;0.05</formula>
    </cfRule>
  </conditionalFormatting>
  <conditionalFormatting sqref="Y345:Y347">
    <cfRule type="expression" dxfId="1106" priority="885">
      <formula>AND(X345=0,(Y345&gt;0))</formula>
    </cfRule>
    <cfRule type="expression" dxfId="1105" priority="886">
      <formula>((Y345-X345)/X345)&gt;0.05</formula>
    </cfRule>
  </conditionalFormatting>
  <conditionalFormatting sqref="AC345:AC347">
    <cfRule type="expression" dxfId="1104" priority="873">
      <formula>AND(AB345=0,(AC345&gt;0))</formula>
    </cfRule>
    <cfRule type="expression" dxfId="1103" priority="874">
      <formula>((AC345-AB345)/AB345)&gt;0.05</formula>
    </cfRule>
  </conditionalFormatting>
  <conditionalFormatting sqref="AK290:AK309">
    <cfRule type="expression" dxfId="1102" priority="865">
      <formula>AND(AJ290=0,(AK290&gt;0))</formula>
    </cfRule>
    <cfRule type="expression" dxfId="1101" priority="866">
      <formula>((AK290-AJ290)/AJ290)&gt;0.05</formula>
    </cfRule>
  </conditionalFormatting>
  <conditionalFormatting sqref="K290:K309">
    <cfRule type="expression" dxfId="1100" priority="907">
      <formula>AND(J290=0,(K290&gt;0))</formula>
    </cfRule>
    <cfRule type="expression" dxfId="1099" priority="908">
      <formula>((K290-J290)/J290)&gt;0.05</formula>
    </cfRule>
  </conditionalFormatting>
  <conditionalFormatting sqref="I290:I309">
    <cfRule type="expression" dxfId="1098" priority="901">
      <formula>AND(H290=0,(I290&gt;0))</formula>
    </cfRule>
    <cfRule type="expression" dxfId="1097" priority="902">
      <formula>((I290-H290)/H290)&gt;0.05</formula>
    </cfRule>
  </conditionalFormatting>
  <conditionalFormatting sqref="I310:I344">
    <cfRule type="expression" dxfId="1096" priority="899">
      <formula>AND(H310=0,(I310&gt;0))</formula>
    </cfRule>
    <cfRule type="expression" dxfId="1095" priority="900">
      <formula>((I310-H310)/H310)&gt;0.05</formula>
    </cfRule>
  </conditionalFormatting>
  <conditionalFormatting sqref="I345:I347">
    <cfRule type="expression" dxfId="1094" priority="897">
      <formula>AND(H345=0,(I345&gt;0))</formula>
    </cfRule>
    <cfRule type="expression" dxfId="1093" priority="898">
      <formula>((I345-H345)/H345)&gt;0.05</formula>
    </cfRule>
  </conditionalFormatting>
  <conditionalFormatting sqref="Y290:Y309">
    <cfRule type="expression" dxfId="1092" priority="889">
      <formula>AND(X290=0,(Y290&gt;0))</formula>
    </cfRule>
    <cfRule type="expression" dxfId="1091" priority="890">
      <formula>((Y290-X290)/X290)&gt;0.05</formula>
    </cfRule>
  </conditionalFormatting>
  <conditionalFormatting sqref="Y310:Y344">
    <cfRule type="expression" dxfId="1090" priority="887">
      <formula>AND(X310=0,(Y310&gt;0))</formula>
    </cfRule>
    <cfRule type="expression" dxfId="1089" priority="888">
      <formula>((Y310-X310)/X310)&gt;0.05</formula>
    </cfRule>
  </conditionalFormatting>
  <conditionalFormatting sqref="AA290:AA309">
    <cfRule type="expression" dxfId="1088" priority="883">
      <formula>AND(Z290=0,(AA290&gt;0))</formula>
    </cfRule>
    <cfRule type="expression" dxfId="1087" priority="884">
      <formula>((AA290-Z290)/Z290)&gt;0.05</formula>
    </cfRule>
  </conditionalFormatting>
  <conditionalFormatting sqref="AA345:AA347">
    <cfRule type="expression" dxfId="1086" priority="879">
      <formula>AND(Z345=0,(AA345&gt;0))</formula>
    </cfRule>
    <cfRule type="expression" dxfId="1085" priority="880">
      <formula>((AA345-Z345)/Z345)&gt;0.05</formula>
    </cfRule>
  </conditionalFormatting>
  <conditionalFormatting sqref="AC310:AC344">
    <cfRule type="expression" dxfId="1084" priority="875">
      <formula>AND(AB310=0,(AC310&gt;0))</formula>
    </cfRule>
    <cfRule type="expression" dxfId="1083" priority="876">
      <formula>((AC310-AB310)/AB310)&gt;0.05</formula>
    </cfRule>
  </conditionalFormatting>
  <conditionalFormatting sqref="AK310:AK344">
    <cfRule type="expression" dxfId="1082" priority="863">
      <formula>AND(AJ310=0,(AK310&gt;0))</formula>
    </cfRule>
    <cfRule type="expression" dxfId="1081" priority="864">
      <formula>((AK310-AJ310)/AJ310)&gt;0.05</formula>
    </cfRule>
  </conditionalFormatting>
  <conditionalFormatting sqref="AK345:AK347">
    <cfRule type="expression" dxfId="1080" priority="861">
      <formula>AND(AJ345=0,(AK345&gt;0))</formula>
    </cfRule>
    <cfRule type="expression" dxfId="1079" priority="862">
      <formula>((AK345-AJ345)/AJ345)&gt;0.05</formula>
    </cfRule>
  </conditionalFormatting>
  <conditionalFormatting sqref="AO290:AO309">
    <cfRule type="expression" dxfId="1078" priority="859">
      <formula>AND(AN290=0,(AO290&gt;0))</formula>
    </cfRule>
    <cfRule type="expression" dxfId="1077" priority="860">
      <formula>((AO290-AN290)/AN290)&gt;0.05</formula>
    </cfRule>
  </conditionalFormatting>
  <conditionalFormatting sqref="AO310:AO344">
    <cfRule type="expression" dxfId="1076" priority="857">
      <formula>AND(AN310=0,(AO310&gt;0))</formula>
    </cfRule>
    <cfRule type="expression" dxfId="1075" priority="858">
      <formula>((AO310-AN310)/AN310)&gt;0.05</formula>
    </cfRule>
  </conditionalFormatting>
  <conditionalFormatting sqref="AO345:AO347">
    <cfRule type="expression" dxfId="1074" priority="855">
      <formula>AND(AN345=0,(AO345&gt;0))</formula>
    </cfRule>
    <cfRule type="expression" dxfId="1073" priority="856">
      <formula>((AO345-AN345)/AN345)&gt;0.05</formula>
    </cfRule>
  </conditionalFormatting>
  <conditionalFormatting sqref="AQ310:AQ344">
    <cfRule type="expression" dxfId="1072" priority="851">
      <formula>AND(AP310=0,(AQ310&gt;0))</formula>
    </cfRule>
    <cfRule type="expression" dxfId="1071" priority="852">
      <formula>((AQ310-AP310)/AP310)&gt;0.05</formula>
    </cfRule>
  </conditionalFormatting>
  <conditionalFormatting sqref="AQ290:AQ309">
    <cfRule type="expression" dxfId="1070" priority="853">
      <formula>AND(AP290=0,(AQ290&gt;0))</formula>
    </cfRule>
    <cfRule type="expression" dxfId="1069" priority="854">
      <formula>((AQ290-AP290)/AP290)&gt;0.05</formula>
    </cfRule>
  </conditionalFormatting>
  <conditionalFormatting sqref="AQ345:AQ347">
    <cfRule type="expression" dxfId="1068" priority="849">
      <formula>AND(AP345=0,(AQ345&gt;0))</formula>
    </cfRule>
    <cfRule type="expression" dxfId="1067" priority="850">
      <formula>((AQ345-AP345)/AP345)&gt;0.05</formula>
    </cfRule>
  </conditionalFormatting>
  <conditionalFormatting sqref="AS310:AS344">
    <cfRule type="expression" dxfId="1066" priority="845">
      <formula>AND(AR310=0,(AS310&gt;0))</formula>
    </cfRule>
    <cfRule type="expression" dxfId="1065" priority="846">
      <formula>((AS310-AR310)/AR310)&gt;0.05</formula>
    </cfRule>
  </conditionalFormatting>
  <conditionalFormatting sqref="AS345:AS347">
    <cfRule type="expression" dxfId="1064" priority="843">
      <formula>AND(AR345=0,(AS345&gt;0))</formula>
    </cfRule>
    <cfRule type="expression" dxfId="1063" priority="844">
      <formula>((AS345-AR345)/AR345)&gt;0.05</formula>
    </cfRule>
  </conditionalFormatting>
  <conditionalFormatting sqref="AS290:AS309">
    <cfRule type="expression" dxfId="1062" priority="847">
      <formula>AND(AR290=0,(AS290&gt;0))</formula>
    </cfRule>
    <cfRule type="expression" dxfId="1061" priority="848">
      <formula>((AS290-AR290)/AR290)&gt;0.05</formula>
    </cfRule>
  </conditionalFormatting>
  <conditionalFormatting sqref="AU345:AU347">
    <cfRule type="expression" dxfId="1060" priority="837">
      <formula>AND(AT345=0,(AU345&gt;0))</formula>
    </cfRule>
    <cfRule type="expression" dxfId="1059" priority="838">
      <formula>((AU345-AT345)/AT345)&gt;0.05</formula>
    </cfRule>
  </conditionalFormatting>
  <conditionalFormatting sqref="AU290:AU309">
    <cfRule type="expression" dxfId="1058" priority="841">
      <formula>AND(AT290=0,(AU290&gt;0))</formula>
    </cfRule>
    <cfRule type="expression" dxfId="1057" priority="842">
      <formula>((AU290-AT290)/AT290)&gt;0.05</formula>
    </cfRule>
  </conditionalFormatting>
  <conditionalFormatting sqref="AU310:AU344">
    <cfRule type="expression" dxfId="1056" priority="839">
      <formula>AND(AT310=0,(AU310&gt;0))</formula>
    </cfRule>
    <cfRule type="expression" dxfId="1055" priority="840">
      <formula>((AU310-AT310)/AT310)&gt;0.05</formula>
    </cfRule>
  </conditionalFormatting>
  <conditionalFormatting sqref="O663:O672 M663:M672 U663:U672 Y663:Y672 K663:K672 AC663:AC672 I663:I672 AA663:AA672 AE663:AE672 AK663:AK672 AO663:AO672 AQ663:AQ672 AS663:AS672 AU663:AU672">
    <cfRule type="expression" dxfId="1054" priority="835">
      <formula>AND(H663=0,(I663&gt;0))</formula>
    </cfRule>
    <cfRule type="expression" dxfId="1053" priority="836">
      <formula>((I663-H663)/H663)&gt;0.05</formula>
    </cfRule>
  </conditionalFormatting>
  <conditionalFormatting sqref="I83">
    <cfRule type="expression" dxfId="1052" priority="777">
      <formula>AND(H83=0,(I83&gt;0))</formula>
    </cfRule>
    <cfRule type="expression" dxfId="1051" priority="778">
      <formula>((I83-H83)/H83)&gt;0.05</formula>
    </cfRule>
  </conditionalFormatting>
  <conditionalFormatting sqref="AC85:AC91">
    <cfRule type="expression" dxfId="1050" priority="767">
      <formula>AND(AB85=0,(AC85&gt;0))</formula>
    </cfRule>
    <cfRule type="expression" dxfId="1049" priority="768">
      <formula>((AC85-AB85)/AB85)&gt;0.05</formula>
    </cfRule>
  </conditionalFormatting>
  <conditionalFormatting sqref="AE83">
    <cfRule type="expression" dxfId="1048" priority="761">
      <formula>AND(AD83=0,(AE83&gt;0))</formula>
    </cfRule>
    <cfRule type="expression" dxfId="1047" priority="762">
      <formula>((AE83-AD83)/AD83)&gt;0.05</formula>
    </cfRule>
  </conditionalFormatting>
  <conditionalFormatting sqref="AC83">
    <cfRule type="expression" dxfId="1046" priority="765">
      <formula>AND(AB83=0,(AC83&gt;0))</formula>
    </cfRule>
    <cfRule type="expression" dxfId="1045" priority="766">
      <formula>((AC83-AB83)/AB83)&gt;0.05</formula>
    </cfRule>
  </conditionalFormatting>
  <conditionalFormatting sqref="Y85:Y91">
    <cfRule type="expression" dxfId="1044" priority="775">
      <formula>AND(X85=0,(Y85&gt;0))</formula>
    </cfRule>
    <cfRule type="expression" dxfId="1043" priority="776">
      <formula>((Y85-X85)/X85)&gt;0.05</formula>
    </cfRule>
  </conditionalFormatting>
  <conditionalFormatting sqref="Y83">
    <cfRule type="expression" dxfId="1042" priority="773">
      <formula>AND(X83=0,(Y83&gt;0))</formula>
    </cfRule>
    <cfRule type="expression" dxfId="1041" priority="774">
      <formula>((Y83-X83)/X83)&gt;0.05</formula>
    </cfRule>
  </conditionalFormatting>
  <conditionalFormatting sqref="AA85:AA91">
    <cfRule type="expression" dxfId="1040" priority="771">
      <formula>AND(Z85=0,(AA85&gt;0))</formula>
    </cfRule>
    <cfRule type="expression" dxfId="1039" priority="772">
      <formula>((AA85-Z85)/Z85)&gt;0.05</formula>
    </cfRule>
  </conditionalFormatting>
  <conditionalFormatting sqref="I85:I91">
    <cfRule type="expression" dxfId="1038" priority="779">
      <formula>AND(H85=0,(I85&gt;0))</formula>
    </cfRule>
    <cfRule type="expression" dxfId="1037" priority="780">
      <formula>((I85-H85)/H85)&gt;0.05</formula>
    </cfRule>
  </conditionalFormatting>
  <conditionalFormatting sqref="AA83">
    <cfRule type="expression" dxfId="1036" priority="769">
      <formula>AND(Z83=0,(AA83&gt;0))</formula>
    </cfRule>
    <cfRule type="expression" dxfId="1035" priority="770">
      <formula>((AA83-Z83)/Z83)&gt;0.05</formula>
    </cfRule>
  </conditionalFormatting>
  <conditionalFormatting sqref="AE85:AE91">
    <cfRule type="expression" dxfId="1034" priority="763">
      <formula>AND(AD85=0,(AE85&gt;0))</formula>
    </cfRule>
    <cfRule type="expression" dxfId="1033" priority="764">
      <formula>((AE85-AD85)/AD85)&gt;0.05</formula>
    </cfRule>
  </conditionalFormatting>
  <conditionalFormatting sqref="AK83">
    <cfRule type="expression" dxfId="1032" priority="757">
      <formula>AND(AJ83=0,(AK83&gt;0))</formula>
    </cfRule>
    <cfRule type="expression" dxfId="1031" priority="758">
      <formula>((AK83-AJ83)/AJ83)&gt;0.05</formula>
    </cfRule>
  </conditionalFormatting>
  <conditionalFormatting sqref="AK85:AK91">
    <cfRule type="expression" dxfId="1030" priority="759">
      <formula>AND(AJ85=0,(AK85&gt;0))</formula>
    </cfRule>
    <cfRule type="expression" dxfId="1029" priority="760">
      <formula>((AK85-AJ85)/AJ85)&gt;0.05</formula>
    </cfRule>
  </conditionalFormatting>
  <conditionalFormatting sqref="AO83">
    <cfRule type="expression" dxfId="1028" priority="753">
      <formula>AND(AN83=0,(AO83&gt;0))</formula>
    </cfRule>
    <cfRule type="expression" dxfId="1027" priority="754">
      <formula>((AO83-AN83)/AN83)&gt;0.05</formula>
    </cfRule>
  </conditionalFormatting>
  <conditionalFormatting sqref="AO85:AO91">
    <cfRule type="expression" dxfId="1026" priority="755">
      <formula>AND(AN85=0,(AO85&gt;0))</formula>
    </cfRule>
    <cfRule type="expression" dxfId="1025" priority="756">
      <formula>((AO85-AN85)/AN85)&gt;0.05</formula>
    </cfRule>
  </conditionalFormatting>
  <conditionalFormatting sqref="O260:O274">
    <cfRule type="expression" dxfId="1024" priority="751">
      <formula>AND(N260=0,(O260&gt;0))</formula>
    </cfRule>
    <cfRule type="expression" dxfId="1023" priority="752">
      <formula>((O260-N260)/N260)&gt;0.05</formula>
    </cfRule>
  </conditionalFormatting>
  <conditionalFormatting sqref="AE260:AE274">
    <cfRule type="expression" dxfId="1022" priority="737">
      <formula>AND(AD260=0,(AE260&gt;0))</formula>
    </cfRule>
    <cfRule type="expression" dxfId="1021" priority="738">
      <formula>((AE260-AD260)/AD260)&gt;0.05</formula>
    </cfRule>
  </conditionalFormatting>
  <conditionalFormatting sqref="M260:M274">
    <cfRule type="expression" dxfId="1020" priority="749">
      <formula>AND(L260=0,(M260&gt;0))</formula>
    </cfRule>
    <cfRule type="expression" dxfId="1019" priority="750">
      <formula>((M260-L260)/L260)&gt;0.05</formula>
    </cfRule>
  </conditionalFormatting>
  <conditionalFormatting sqref="AA260:AA274">
    <cfRule type="expression" dxfId="1018" priority="741">
      <formula>AND(Z260=0,(AA260&gt;0))</formula>
    </cfRule>
    <cfRule type="expression" dxfId="1017" priority="742">
      <formula>((AA260-Z260)/Z260)&gt;0.05</formula>
    </cfRule>
  </conditionalFormatting>
  <conditionalFormatting sqref="K260:K274">
    <cfRule type="expression" dxfId="1016" priority="747">
      <formula>AND(J260=0,(K260&gt;0))</formula>
    </cfRule>
    <cfRule type="expression" dxfId="1015" priority="748">
      <formula>((K260-J260)/J260)&gt;0.05</formula>
    </cfRule>
  </conditionalFormatting>
  <conditionalFormatting sqref="I260:I274">
    <cfRule type="expression" dxfId="1014" priority="745">
      <formula>AND(H260=0,(I260&gt;0))</formula>
    </cfRule>
    <cfRule type="expression" dxfId="1013" priority="746">
      <formula>((I260-H260)/H260)&gt;0.05</formula>
    </cfRule>
  </conditionalFormatting>
  <conditionalFormatting sqref="Y260:Y274">
    <cfRule type="expression" dxfId="1012" priority="743">
      <formula>AND(X260=0,(Y260&gt;0))</formula>
    </cfRule>
    <cfRule type="expression" dxfId="1011" priority="744">
      <formula>((Y260-X260)/X260)&gt;0.05</formula>
    </cfRule>
  </conditionalFormatting>
  <conditionalFormatting sqref="AC260:AC274">
    <cfRule type="expression" dxfId="1010" priority="739">
      <formula>AND(AB260=0,(AC260&gt;0))</formula>
    </cfRule>
    <cfRule type="expression" dxfId="1009" priority="740">
      <formula>((AC260-AB260)/AB260)&gt;0.05</formula>
    </cfRule>
  </conditionalFormatting>
  <conditionalFormatting sqref="AK260:AK274">
    <cfRule type="expression" dxfId="1008" priority="735">
      <formula>AND(AJ260=0,(AK260&gt;0))</formula>
    </cfRule>
    <cfRule type="expression" dxfId="1007" priority="736">
      <formula>((AK260-AJ260)/AJ260)&gt;0.05</formula>
    </cfRule>
  </conditionalFormatting>
  <conditionalFormatting sqref="AO260:AO274">
    <cfRule type="expression" dxfId="1006" priority="733">
      <formula>AND(AN260=0,(AO260&gt;0))</formula>
    </cfRule>
    <cfRule type="expression" dxfId="1005" priority="734">
      <formula>((AO260-AN260)/AN260)&gt;0.05</formula>
    </cfRule>
  </conditionalFormatting>
  <conditionalFormatting sqref="AQ260:AQ274">
    <cfRule type="expression" dxfId="1004" priority="731">
      <formula>AND(AP260=0,(AQ260&gt;0))</formula>
    </cfRule>
    <cfRule type="expression" dxfId="1003" priority="732">
      <formula>((AQ260-AP260)/AP260)&gt;0.05</formula>
    </cfRule>
  </conditionalFormatting>
  <conditionalFormatting sqref="AS260:AS274">
    <cfRule type="expression" dxfId="1002" priority="729">
      <formula>AND(AR260=0,(AS260&gt;0))</formula>
    </cfRule>
    <cfRule type="expression" dxfId="1001" priority="730">
      <formula>((AS260-AR260)/AR260)&gt;0.05</formula>
    </cfRule>
  </conditionalFormatting>
  <conditionalFormatting sqref="AU260:AU274">
    <cfRule type="expression" dxfId="1000" priority="727">
      <formula>AND(AT260=0,(AU260&gt;0))</formula>
    </cfRule>
    <cfRule type="expression" dxfId="999" priority="728">
      <formula>((AU260-AT260)/AT260)&gt;0.05</formula>
    </cfRule>
  </conditionalFormatting>
  <conditionalFormatting sqref="U260:U274">
    <cfRule type="expression" dxfId="998" priority="725">
      <formula>AND(T260=0,(U260&gt;0))</formula>
    </cfRule>
    <cfRule type="expression" dxfId="997" priority="726">
      <formula>((U260-T260)/T260)&gt;0.05</formula>
    </cfRule>
  </conditionalFormatting>
  <conditionalFormatting sqref="M361 M363:M374">
    <cfRule type="expression" dxfId="996" priority="717">
      <formula>AND(L361=0,(M361&gt;0))</formula>
    </cfRule>
    <cfRule type="expression" dxfId="995" priority="718">
      <formula>((M361-L361)/L361)&gt;0.05</formula>
    </cfRule>
  </conditionalFormatting>
  <conditionalFormatting sqref="O348:O360 O362">
    <cfRule type="expression" dxfId="994" priority="723">
      <formula>AND(N348=0,(O348&gt;0))</formula>
    </cfRule>
    <cfRule type="expression" dxfId="993" priority="724">
      <formula>((O348-N348)/N348)&gt;0.05</formula>
    </cfRule>
  </conditionalFormatting>
  <conditionalFormatting sqref="O361 O363:O374">
    <cfRule type="expression" dxfId="992" priority="721">
      <formula>AND(N361=0,(O361&gt;0))</formula>
    </cfRule>
    <cfRule type="expression" dxfId="991" priority="722">
      <formula>((O361-N361)/N361)&gt;0.05</formula>
    </cfRule>
  </conditionalFormatting>
  <conditionalFormatting sqref="U348:U360 U362">
    <cfRule type="expression" dxfId="990" priority="707">
      <formula>AND(T348=0,(U348&gt;0))</formula>
    </cfRule>
    <cfRule type="expression" dxfId="989" priority="708">
      <formula>((U348-T348)/T348)&gt;0.05</formula>
    </cfRule>
  </conditionalFormatting>
  <conditionalFormatting sqref="Y361 Y363:Y374">
    <cfRule type="expression" dxfId="988" priority="701">
      <formula>AND(X361=0,(Y361&gt;0))</formula>
    </cfRule>
    <cfRule type="expression" dxfId="987" priority="702">
      <formula>((Y361-X361)/X361)&gt;0.05</formula>
    </cfRule>
  </conditionalFormatting>
  <conditionalFormatting sqref="I348:I360 I362">
    <cfRule type="expression" dxfId="986" priority="711">
      <formula>AND(H348=0,(I348&gt;0))</formula>
    </cfRule>
    <cfRule type="expression" dxfId="985" priority="712">
      <formula>((I348-H348)/H348)&gt;0.05</formula>
    </cfRule>
  </conditionalFormatting>
  <conditionalFormatting sqref="K361 K363:K374">
    <cfRule type="expression" dxfId="984" priority="713">
      <formula>AND(J361=0,(K361&gt;0))</formula>
    </cfRule>
    <cfRule type="expression" dxfId="983" priority="714">
      <formula>((K361-J361)/J361)&gt;0.05</formula>
    </cfRule>
  </conditionalFormatting>
  <conditionalFormatting sqref="AE348:AE360 AE362">
    <cfRule type="expression" dxfId="982" priority="691">
      <formula>AND(AD348=0,(AE348&gt;0))</formula>
    </cfRule>
    <cfRule type="expression" dxfId="981" priority="692">
      <formula>((AE348-AD348)/AD348)&gt;0.05</formula>
    </cfRule>
  </conditionalFormatting>
  <conditionalFormatting sqref="AE361 AE363:AE374">
    <cfRule type="expression" dxfId="980" priority="689">
      <formula>AND(AD361=0,(AE361&gt;0))</formula>
    </cfRule>
    <cfRule type="expression" dxfId="979" priority="690">
      <formula>((AE361-AD361)/AD361)&gt;0.05</formula>
    </cfRule>
  </conditionalFormatting>
  <conditionalFormatting sqref="AA348:AA360 AA362">
    <cfRule type="expression" dxfId="978" priority="699">
      <formula>AND(Z348=0,(AA348&gt;0))</formula>
    </cfRule>
    <cfRule type="expression" dxfId="977" priority="700">
      <formula>((AA348-Z348)/Z348)&gt;0.05</formula>
    </cfRule>
  </conditionalFormatting>
  <conditionalFormatting sqref="Y348:Y360 Y362">
    <cfRule type="expression" dxfId="976" priority="703">
      <formula>AND(X348=0,(Y348&gt;0))</formula>
    </cfRule>
    <cfRule type="expression" dxfId="975" priority="704">
      <formula>((Y348-X348)/X348)&gt;0.05</formula>
    </cfRule>
  </conditionalFormatting>
  <conditionalFormatting sqref="U361 U363:U374">
    <cfRule type="expression" dxfId="974" priority="705">
      <formula>AND(T361=0,(U361&gt;0))</formula>
    </cfRule>
    <cfRule type="expression" dxfId="973" priority="706">
      <formula>((U361-T361)/T361)&gt;0.05</formula>
    </cfRule>
  </conditionalFormatting>
  <conditionalFormatting sqref="I361 I363:I374">
    <cfRule type="expression" dxfId="972" priority="709">
      <formula>AND(H361=0,(I361&gt;0))</formula>
    </cfRule>
    <cfRule type="expression" dxfId="971" priority="710">
      <formula>((I361-H361)/H361)&gt;0.05</formula>
    </cfRule>
  </conditionalFormatting>
  <conditionalFormatting sqref="M348:M360 M362">
    <cfRule type="expression" dxfId="970" priority="719">
      <formula>AND(L348=0,(M348&gt;0))</formula>
    </cfRule>
    <cfRule type="expression" dxfId="969" priority="720">
      <formula>((M348-L348)/L348)&gt;0.05</formula>
    </cfRule>
  </conditionalFormatting>
  <conditionalFormatting sqref="AO361 AO363:AO374">
    <cfRule type="expression" dxfId="968" priority="681">
      <formula>AND(AN361=0,(AO361&gt;0))</formula>
    </cfRule>
    <cfRule type="expression" dxfId="967" priority="682">
      <formula>((AO361-AN361)/AN361)&gt;0.05</formula>
    </cfRule>
  </conditionalFormatting>
  <conditionalFormatting sqref="K348:K360 K362">
    <cfRule type="expression" dxfId="966" priority="715">
      <formula>AND(J348=0,(K348&gt;0))</formula>
    </cfRule>
    <cfRule type="expression" dxfId="965" priority="716">
      <formula>((K348-J348)/J348)&gt;0.05</formula>
    </cfRule>
  </conditionalFormatting>
  <conditionalFormatting sqref="AA361 AA363:AA374">
    <cfRule type="expression" dxfId="964" priority="697">
      <formula>AND(Z361=0,(AA361&gt;0))</formula>
    </cfRule>
    <cfRule type="expression" dxfId="963" priority="698">
      <formula>((AA361-Z361)/Z361)&gt;0.05</formula>
    </cfRule>
  </conditionalFormatting>
  <conditionalFormatting sqref="AC361 AC363:AC374">
    <cfRule type="expression" dxfId="962" priority="693">
      <formula>AND(AB361=0,(AC361&gt;0))</formula>
    </cfRule>
    <cfRule type="expression" dxfId="961" priority="694">
      <formula>((AC361-AB361)/AB361)&gt;0.05</formula>
    </cfRule>
  </conditionalFormatting>
  <conditionalFormatting sqref="AC348:AC360 AC362">
    <cfRule type="expression" dxfId="960" priority="695">
      <formula>AND(AB348=0,(AC348&gt;0))</formula>
    </cfRule>
    <cfRule type="expression" dxfId="959" priority="696">
      <formula>((AC348-AB348)/AB348)&gt;0.05</formula>
    </cfRule>
  </conditionalFormatting>
  <conditionalFormatting sqref="AK361 AK363:AK374">
    <cfRule type="expression" dxfId="958" priority="685">
      <formula>AND(AJ361=0,(AK361&gt;0))</formula>
    </cfRule>
    <cfRule type="expression" dxfId="957" priority="686">
      <formula>((AK361-AJ361)/AJ361)&gt;0.05</formula>
    </cfRule>
  </conditionalFormatting>
  <conditionalFormatting sqref="AK348:AK360 AK362">
    <cfRule type="expression" dxfId="956" priority="687">
      <formula>AND(AJ348=0,(AK348&gt;0))</formula>
    </cfRule>
    <cfRule type="expression" dxfId="955" priority="688">
      <formula>((AK348-AJ348)/AJ348)&gt;0.05</formula>
    </cfRule>
  </conditionalFormatting>
  <conditionalFormatting sqref="AO348:AO360 AO362">
    <cfRule type="expression" dxfId="954" priority="683">
      <formula>AND(AN348=0,(AO348&gt;0))</formula>
    </cfRule>
    <cfRule type="expression" dxfId="953" priority="684">
      <formula>((AO348-AN348)/AN348)&gt;0.05</formula>
    </cfRule>
  </conditionalFormatting>
  <conditionalFormatting sqref="AQ361 AQ363:AQ374">
    <cfRule type="expression" dxfId="952" priority="677">
      <formula>AND(AP361=0,(AQ361&gt;0))</formula>
    </cfRule>
    <cfRule type="expression" dxfId="951" priority="678">
      <formula>((AQ361-AP361)/AP361)&gt;0.05</formula>
    </cfRule>
  </conditionalFormatting>
  <conditionalFormatting sqref="AQ348:AQ360 AQ362">
    <cfRule type="expression" dxfId="950" priority="679">
      <formula>AND(AP348=0,(AQ348&gt;0))</formula>
    </cfRule>
    <cfRule type="expression" dxfId="949" priority="680">
      <formula>((AQ348-AP348)/AP348)&gt;0.05</formula>
    </cfRule>
  </conditionalFormatting>
  <conditionalFormatting sqref="AS361 AS363:AS374">
    <cfRule type="expression" dxfId="948" priority="673">
      <formula>AND(AR361=0,(AS361&gt;0))</formula>
    </cfRule>
    <cfRule type="expression" dxfId="947" priority="674">
      <formula>((AS361-AR361)/AR361)&gt;0.05</formula>
    </cfRule>
  </conditionalFormatting>
  <conditionalFormatting sqref="AS348:AS360 AS362">
    <cfRule type="expression" dxfId="946" priority="675">
      <formula>AND(AR348=0,(AS348&gt;0))</formula>
    </cfRule>
    <cfRule type="expression" dxfId="945" priority="676">
      <formula>((AS348-AR348)/AR348)&gt;0.05</formula>
    </cfRule>
  </conditionalFormatting>
  <conditionalFormatting sqref="AU348:AU360 AU362">
    <cfRule type="expression" dxfId="944" priority="671">
      <formula>AND(AT348=0,(AU348&gt;0))</formula>
    </cfRule>
    <cfRule type="expression" dxfId="943" priority="672">
      <formula>((AU348-AT348)/AT348)&gt;0.05</formula>
    </cfRule>
  </conditionalFormatting>
  <conditionalFormatting sqref="AU361 AU363:AU374">
    <cfRule type="expression" dxfId="942" priority="669">
      <formula>AND(AT361=0,(AU361&gt;0))</formula>
    </cfRule>
    <cfRule type="expression" dxfId="941" priority="670">
      <formula>((AU361-AT361)/AT361)&gt;0.05</formula>
    </cfRule>
  </conditionalFormatting>
  <conditionalFormatting sqref="AO541:AO554">
    <cfRule type="expression" dxfId="940" priority="657">
      <formula>AND(AN541=0,(AO541&gt;0))</formula>
    </cfRule>
    <cfRule type="expression" dxfId="939" priority="658">
      <formula>((AO541-AN541)/AN541)&gt;0.05</formula>
    </cfRule>
  </conditionalFormatting>
  <conditionalFormatting sqref="AO555:AO564">
    <cfRule type="expression" dxfId="938" priority="655">
      <formula>AND(AN555=0,(AO555&gt;0))</formula>
    </cfRule>
    <cfRule type="expression" dxfId="937" priority="656">
      <formula>((AO555-AN555)/AN555)&gt;0.05</formula>
    </cfRule>
  </conditionalFormatting>
  <conditionalFormatting sqref="AO533:AO540">
    <cfRule type="expression" dxfId="936" priority="661">
      <formula>AND(AN533=0,(AO533&gt;0))</formula>
    </cfRule>
    <cfRule type="expression" dxfId="935" priority="662">
      <formula>((AO533-AN533)/AN533)&gt;0.05</formula>
    </cfRule>
  </conditionalFormatting>
  <conditionalFormatting sqref="AO608">
    <cfRule type="expression" dxfId="934" priority="659">
      <formula>AND(AN608=0,(AO608&gt;0))</formula>
    </cfRule>
    <cfRule type="expression" dxfId="933" priority="660">
      <formula>((AO608-AN608)/AN608)&gt;0.05</formula>
    </cfRule>
  </conditionalFormatting>
  <conditionalFormatting sqref="AO576:AO580">
    <cfRule type="expression" dxfId="932" priority="651">
      <formula>AND(AN576=0,(AO576&gt;0))</formula>
    </cfRule>
    <cfRule type="expression" dxfId="931" priority="652">
      <formula>((AO576-AN576)/AN576)&gt;0.05</formula>
    </cfRule>
  </conditionalFormatting>
  <conditionalFormatting sqref="AO618">
    <cfRule type="expression" dxfId="930" priority="667">
      <formula>AND(AN618=0,(AO618&gt;0))</formula>
    </cfRule>
    <cfRule type="expression" dxfId="929" priority="668">
      <formula>((AO618-AN618)/AN618)&gt;0.05</formula>
    </cfRule>
  </conditionalFormatting>
  <conditionalFormatting sqref="AO619">
    <cfRule type="expression" dxfId="928" priority="647">
      <formula>AND(AN619=0,(AO619&gt;0))</formula>
    </cfRule>
    <cfRule type="expression" dxfId="927" priority="648">
      <formula>((AO619-AN619)/AN619)&gt;0.05</formula>
    </cfRule>
  </conditionalFormatting>
  <conditionalFormatting sqref="AO505:AO507">
    <cfRule type="expression" dxfId="926" priority="665">
      <formula>AND(AN505=0,(AO505&gt;0))</formula>
    </cfRule>
    <cfRule type="expression" dxfId="925" priority="666">
      <formula>((AO505-AN505)/AN505)&gt;0.05</formula>
    </cfRule>
  </conditionalFormatting>
  <conditionalFormatting sqref="AO508:AO523">
    <cfRule type="expression" dxfId="924" priority="663">
      <formula>AND(AN508=0,(AO508&gt;0))</formula>
    </cfRule>
    <cfRule type="expression" dxfId="923" priority="664">
      <formula>((AO508-AN508)/AN508)&gt;0.05</formula>
    </cfRule>
  </conditionalFormatting>
  <conditionalFormatting sqref="AO565:AO575">
    <cfRule type="expression" dxfId="922" priority="653">
      <formula>AND(AN565=0,(AO565&gt;0))</formula>
    </cfRule>
    <cfRule type="expression" dxfId="921" priority="654">
      <formula>((AO565-AN565)/AN565)&gt;0.05</formula>
    </cfRule>
  </conditionalFormatting>
  <conditionalFormatting sqref="AO581:AO607">
    <cfRule type="expression" dxfId="920" priority="649">
      <formula>AND(AN581=0,(AO581&gt;0))</formula>
    </cfRule>
    <cfRule type="expression" dxfId="919" priority="650">
      <formula>((AO581-AN581)/AN581)&gt;0.05</formula>
    </cfRule>
  </conditionalFormatting>
  <conditionalFormatting sqref="AO609:AO617">
    <cfRule type="expression" dxfId="918" priority="645">
      <formula>AND(AN609=0,(AO609&gt;0))</formula>
    </cfRule>
    <cfRule type="expression" dxfId="917" priority="646">
      <formula>((AO609-AN609)/AN609)&gt;0.05</formula>
    </cfRule>
  </conditionalFormatting>
  <conditionalFormatting sqref="I565:I575">
    <cfRule type="expression" dxfId="916" priority="629">
      <formula>AND(H565=0,(I565&gt;0))</formula>
    </cfRule>
    <cfRule type="expression" dxfId="915" priority="630">
      <formula>((I565-H565)/H565)&gt;0.05</formula>
    </cfRule>
  </conditionalFormatting>
  <conditionalFormatting sqref="I576:I580">
    <cfRule type="expression" dxfId="914" priority="627">
      <formula>AND(H576=0,(I576&gt;0))</formula>
    </cfRule>
    <cfRule type="expression" dxfId="913" priority="628">
      <formula>((I576-H576)/H576)&gt;0.05</formula>
    </cfRule>
  </conditionalFormatting>
  <conditionalFormatting sqref="I541:I554">
    <cfRule type="expression" dxfId="912" priority="633">
      <formula>AND(H541=0,(I541&gt;0))</formula>
    </cfRule>
    <cfRule type="expression" dxfId="911" priority="634">
      <formula>((I541-H541)/H541)&gt;0.05</formula>
    </cfRule>
  </conditionalFormatting>
  <conditionalFormatting sqref="I555:I564">
    <cfRule type="expression" dxfId="910" priority="631">
      <formula>AND(H555=0,(I555&gt;0))</formula>
    </cfRule>
    <cfRule type="expression" dxfId="909" priority="632">
      <formula>((I555-H555)/H555)&gt;0.05</formula>
    </cfRule>
  </conditionalFormatting>
  <conditionalFormatting sqref="I581:I607">
    <cfRule type="expression" dxfId="908" priority="625">
      <formula>AND(H581=0,(I581&gt;0))</formula>
    </cfRule>
    <cfRule type="expression" dxfId="907" priority="626">
      <formula>((I581-H581)/H581)&gt;0.05</formula>
    </cfRule>
  </conditionalFormatting>
  <conditionalFormatting sqref="I619">
    <cfRule type="expression" dxfId="906" priority="623">
      <formula>AND(H619=0,(I619&gt;0))</formula>
    </cfRule>
    <cfRule type="expression" dxfId="905" priority="624">
      <formula>((I619-H619)/H619)&gt;0.05</formula>
    </cfRule>
  </conditionalFormatting>
  <conditionalFormatting sqref="I508:I523">
    <cfRule type="expression" dxfId="904" priority="639">
      <formula>AND(H508=0,(I508&gt;0))</formula>
    </cfRule>
    <cfRule type="expression" dxfId="903" priority="640">
      <formula>((I508-H508)/H508)&gt;0.05</formula>
    </cfRule>
  </conditionalFormatting>
  <conditionalFormatting sqref="I505:I507">
    <cfRule type="expression" dxfId="902" priority="641">
      <formula>AND(H505=0,(I505&gt;0))</formula>
    </cfRule>
    <cfRule type="expression" dxfId="901" priority="642">
      <formula>((I505-H505)/H505)&gt;0.05</formula>
    </cfRule>
  </conditionalFormatting>
  <conditionalFormatting sqref="I618">
    <cfRule type="expression" dxfId="900" priority="643">
      <formula>AND(H618=0,(I618&gt;0))</formula>
    </cfRule>
    <cfRule type="expression" dxfId="899" priority="644">
      <formula>((I618-H618)/H618)&gt;0.05</formula>
    </cfRule>
  </conditionalFormatting>
  <conditionalFormatting sqref="I533:I540">
    <cfRule type="expression" dxfId="898" priority="637">
      <formula>AND(H533=0,(I533&gt;0))</formula>
    </cfRule>
    <cfRule type="expression" dxfId="897" priority="638">
      <formula>((I533-H533)/H533)&gt;0.05</formula>
    </cfRule>
  </conditionalFormatting>
  <conditionalFormatting sqref="I609:I617">
    <cfRule type="expression" dxfId="896" priority="621">
      <formula>AND(H609=0,(I609&gt;0))</formula>
    </cfRule>
    <cfRule type="expression" dxfId="895" priority="622">
      <formula>((I609-H609)/H609)&gt;0.05</formula>
    </cfRule>
  </conditionalFormatting>
  <conditionalFormatting sqref="I608">
    <cfRule type="expression" dxfId="894" priority="635">
      <formula>AND(H608=0,(I608&gt;0))</formula>
    </cfRule>
    <cfRule type="expression" dxfId="893" priority="636">
      <formula>((I608-H608)/H608)&gt;0.05</formula>
    </cfRule>
  </conditionalFormatting>
  <conditionalFormatting sqref="K576:K580">
    <cfRule type="expression" dxfId="892" priority="603">
      <formula>AND(J576=0,(K576&gt;0))</formula>
    </cfRule>
    <cfRule type="expression" dxfId="891" priority="604">
      <formula>((K576-J576)/J576)&gt;0.05</formula>
    </cfRule>
  </conditionalFormatting>
  <conditionalFormatting sqref="K581:K607">
    <cfRule type="expression" dxfId="890" priority="601">
      <formula>AND(J581=0,(K581&gt;0))</formula>
    </cfRule>
    <cfRule type="expression" dxfId="889" priority="602">
      <formula>((K581-J581)/J581)&gt;0.05</formula>
    </cfRule>
  </conditionalFormatting>
  <conditionalFormatting sqref="K555:K564">
    <cfRule type="expression" dxfId="888" priority="607">
      <formula>AND(J555=0,(K555&gt;0))</formula>
    </cfRule>
    <cfRule type="expression" dxfId="887" priority="608">
      <formula>((K555-J555)/J555)&gt;0.05</formula>
    </cfRule>
  </conditionalFormatting>
  <conditionalFormatting sqref="K609:K617">
    <cfRule type="expression" dxfId="886" priority="597">
      <formula>AND(J609=0,(K609&gt;0))</formula>
    </cfRule>
    <cfRule type="expression" dxfId="885" priority="598">
      <formula>((K609-J609)/J609)&gt;0.05</formula>
    </cfRule>
  </conditionalFormatting>
  <conditionalFormatting sqref="K533:K540">
    <cfRule type="expression" dxfId="884" priority="613">
      <formula>AND(J533=0,(K533&gt;0))</formula>
    </cfRule>
    <cfRule type="expression" dxfId="883" priority="614">
      <formula>((K533-J533)/J533)&gt;0.05</formula>
    </cfRule>
  </conditionalFormatting>
  <conditionalFormatting sqref="K608">
    <cfRule type="expression" dxfId="882" priority="611">
      <formula>AND(J608=0,(K608&gt;0))</formula>
    </cfRule>
    <cfRule type="expression" dxfId="881" priority="612">
      <formula>((K608-J608)/J608)&gt;0.05</formula>
    </cfRule>
  </conditionalFormatting>
  <conditionalFormatting sqref="K565:K575">
    <cfRule type="expression" dxfId="880" priority="605">
      <formula>AND(J565=0,(K565&gt;0))</formula>
    </cfRule>
    <cfRule type="expression" dxfId="879" priority="606">
      <formula>((K565-J565)/J565)&gt;0.05</formula>
    </cfRule>
  </conditionalFormatting>
  <conditionalFormatting sqref="K618">
    <cfRule type="expression" dxfId="878" priority="619">
      <formula>AND(J618=0,(K618&gt;0))</formula>
    </cfRule>
    <cfRule type="expression" dxfId="877" priority="620">
      <formula>((K618-J618)/J618)&gt;0.05</formula>
    </cfRule>
  </conditionalFormatting>
  <conditionalFormatting sqref="K505:K507">
    <cfRule type="expression" dxfId="876" priority="617">
      <formula>AND(J505=0,(K505&gt;0))</formula>
    </cfRule>
    <cfRule type="expression" dxfId="875" priority="618">
      <formula>((K505-J505)/J505)&gt;0.05</formula>
    </cfRule>
  </conditionalFormatting>
  <conditionalFormatting sqref="K508:K523">
    <cfRule type="expression" dxfId="874" priority="615">
      <formula>AND(J508=0,(K508&gt;0))</formula>
    </cfRule>
    <cfRule type="expression" dxfId="873" priority="616">
      <formula>((K508-J508)/J508)&gt;0.05</formula>
    </cfRule>
  </conditionalFormatting>
  <conditionalFormatting sqref="K541:K554">
    <cfRule type="expression" dxfId="872" priority="609">
      <formula>AND(J541=0,(K541&gt;0))</formula>
    </cfRule>
    <cfRule type="expression" dxfId="871" priority="610">
      <formula>((K541-J541)/J541)&gt;0.05</formula>
    </cfRule>
  </conditionalFormatting>
  <conditionalFormatting sqref="K619">
    <cfRule type="expression" dxfId="870" priority="599">
      <formula>AND(J619=0,(K619&gt;0))</formula>
    </cfRule>
    <cfRule type="expression" dxfId="869" priority="600">
      <formula>((K619-J619)/J619)&gt;0.05</formula>
    </cfRule>
  </conditionalFormatting>
  <conditionalFormatting sqref="M555:M564">
    <cfRule type="expression" dxfId="868" priority="583">
      <formula>AND(L555=0,(M555&gt;0))</formula>
    </cfRule>
    <cfRule type="expression" dxfId="867" priority="584">
      <formula>((M555-L555)/L555)&gt;0.05</formula>
    </cfRule>
  </conditionalFormatting>
  <conditionalFormatting sqref="M565:M575">
    <cfRule type="expression" dxfId="866" priority="581">
      <formula>AND(L565=0,(M565&gt;0))</formula>
    </cfRule>
    <cfRule type="expression" dxfId="865" priority="582">
      <formula>((M565-L565)/L565)&gt;0.05</formula>
    </cfRule>
  </conditionalFormatting>
  <conditionalFormatting sqref="M581:M607">
    <cfRule type="expression" dxfId="864" priority="577">
      <formula>AND(L581=0,(M581&gt;0))</formula>
    </cfRule>
    <cfRule type="expression" dxfId="863" priority="578">
      <formula>((M581-L581)/L581)&gt;0.05</formula>
    </cfRule>
  </conditionalFormatting>
  <conditionalFormatting sqref="M541:M554">
    <cfRule type="expression" dxfId="862" priority="585">
      <formula>AND(L541=0,(M541&gt;0))</formula>
    </cfRule>
    <cfRule type="expression" dxfId="861" priority="586">
      <formula>((M541-L541)/L541)&gt;0.05</formula>
    </cfRule>
  </conditionalFormatting>
  <conditionalFormatting sqref="M618">
    <cfRule type="expression" dxfId="860" priority="595">
      <formula>AND(L618=0,(M618&gt;0))</formula>
    </cfRule>
    <cfRule type="expression" dxfId="859" priority="596">
      <formula>((M618-L618)/L618)&gt;0.05</formula>
    </cfRule>
  </conditionalFormatting>
  <conditionalFormatting sqref="M608">
    <cfRule type="expression" dxfId="858" priority="587">
      <formula>AND(L608=0,(M608&gt;0))</formula>
    </cfRule>
    <cfRule type="expression" dxfId="857" priority="588">
      <formula>((M608-L608)/L608)&gt;0.05</formula>
    </cfRule>
  </conditionalFormatting>
  <conditionalFormatting sqref="M576:M580">
    <cfRule type="expression" dxfId="856" priority="579">
      <formula>AND(L576=0,(M576&gt;0))</formula>
    </cfRule>
    <cfRule type="expression" dxfId="855" priority="580">
      <formula>((M576-L576)/L576)&gt;0.05</formula>
    </cfRule>
  </conditionalFormatting>
  <conditionalFormatting sqref="M505:M507">
    <cfRule type="expression" dxfId="854" priority="593">
      <formula>AND(L505=0,(M505&gt;0))</formula>
    </cfRule>
    <cfRule type="expression" dxfId="853" priority="594">
      <formula>((M505-L505)/L505)&gt;0.05</formula>
    </cfRule>
  </conditionalFormatting>
  <conditionalFormatting sqref="M508:M523">
    <cfRule type="expression" dxfId="852" priority="591">
      <formula>AND(L508=0,(M508&gt;0))</formula>
    </cfRule>
    <cfRule type="expression" dxfId="851" priority="592">
      <formula>((M508-L508)/L508)&gt;0.05</formula>
    </cfRule>
  </conditionalFormatting>
  <conditionalFormatting sqref="M533:M540">
    <cfRule type="expression" dxfId="850" priority="589">
      <formula>AND(L533=0,(M533&gt;0))</formula>
    </cfRule>
    <cfRule type="expression" dxfId="849" priority="590">
      <formula>((M533-L533)/L533)&gt;0.05</formula>
    </cfRule>
  </conditionalFormatting>
  <conditionalFormatting sqref="M619">
    <cfRule type="expression" dxfId="848" priority="575">
      <formula>AND(L619=0,(M619&gt;0))</formula>
    </cfRule>
    <cfRule type="expression" dxfId="847" priority="576">
      <formula>((M619-L619)/L619)&gt;0.05</formula>
    </cfRule>
  </conditionalFormatting>
  <conditionalFormatting sqref="M609:M617">
    <cfRule type="expression" dxfId="846" priority="573">
      <formula>AND(L609=0,(M609&gt;0))</formula>
    </cfRule>
    <cfRule type="expression" dxfId="845" priority="574">
      <formula>((M609-L609)/L609)&gt;0.05</formula>
    </cfRule>
  </conditionalFormatting>
  <conditionalFormatting sqref="O541:O554">
    <cfRule type="expression" dxfId="844" priority="563">
      <formula>AND(N541=0,(O541&gt;0))</formula>
    </cfRule>
    <cfRule type="expression" dxfId="843" priority="564">
      <formula>((O541-N541)/N541)&gt;0.05</formula>
    </cfRule>
  </conditionalFormatting>
  <conditionalFormatting sqref="O555:O564">
    <cfRule type="expression" dxfId="842" priority="561">
      <formula>AND(N555=0,(O555&gt;0))</formula>
    </cfRule>
    <cfRule type="expression" dxfId="841" priority="562">
      <formula>((O555-N555)/N555)&gt;0.05</formula>
    </cfRule>
  </conditionalFormatting>
  <conditionalFormatting sqref="O565:O575">
    <cfRule type="expression" dxfId="840" priority="559">
      <formula>AND(N565=0,(O565&gt;0))</formula>
    </cfRule>
    <cfRule type="expression" dxfId="839" priority="560">
      <formula>((O565-N565)/N565)&gt;0.05</formula>
    </cfRule>
  </conditionalFormatting>
  <conditionalFormatting sqref="O576:O580">
    <cfRule type="expression" dxfId="838" priority="557">
      <formula>AND(N576=0,(O576&gt;0))</formula>
    </cfRule>
    <cfRule type="expression" dxfId="837" priority="558">
      <formula>((O576-N576)/N576)&gt;0.05</formula>
    </cfRule>
  </conditionalFormatting>
  <conditionalFormatting sqref="O581:O607">
    <cfRule type="expression" dxfId="836" priority="555">
      <formula>AND(N581=0,(O581&gt;0))</formula>
    </cfRule>
    <cfRule type="expression" dxfId="835" priority="556">
      <formula>((O581-N581)/N581)&gt;0.05</formula>
    </cfRule>
  </conditionalFormatting>
  <conditionalFormatting sqref="O508:O523">
    <cfRule type="expression" dxfId="834" priority="569">
      <formula>AND(N508=0,(O508&gt;0))</formula>
    </cfRule>
    <cfRule type="expression" dxfId="833" priority="570">
      <formula>((O508-N508)/N508)&gt;0.05</formula>
    </cfRule>
  </conditionalFormatting>
  <conditionalFormatting sqref="O533:O540">
    <cfRule type="expression" dxfId="832" priority="567">
      <formula>AND(N533=0,(O533&gt;0))</formula>
    </cfRule>
    <cfRule type="expression" dxfId="831" priority="568">
      <formula>((O533-N533)/N533)&gt;0.05</formula>
    </cfRule>
  </conditionalFormatting>
  <conditionalFormatting sqref="O608">
    <cfRule type="expression" dxfId="830" priority="565">
      <formula>AND(N608=0,(O608&gt;0))</formula>
    </cfRule>
    <cfRule type="expression" dxfId="829" priority="566">
      <formula>((O608-N608)/N608)&gt;0.05</formula>
    </cfRule>
  </conditionalFormatting>
  <conditionalFormatting sqref="O505:O507">
    <cfRule type="expression" dxfId="828" priority="571">
      <formula>AND(N505=0,(O505&gt;0))</formula>
    </cfRule>
    <cfRule type="expression" dxfId="827" priority="572">
      <formula>((O505-N505)/N505)&gt;0.05</formula>
    </cfRule>
  </conditionalFormatting>
  <conditionalFormatting sqref="U576:U580">
    <cfRule type="expression" dxfId="826" priority="537">
      <formula>AND(T576=0,(U576&gt;0))</formula>
    </cfRule>
    <cfRule type="expression" dxfId="825" priority="538">
      <formula>((U576-T576)/T576)&gt;0.05</formula>
    </cfRule>
  </conditionalFormatting>
  <conditionalFormatting sqref="U618">
    <cfRule type="expression" dxfId="824" priority="553">
      <formula>AND(T618=0,(U618&gt;0))</formula>
    </cfRule>
    <cfRule type="expression" dxfId="823" priority="554">
      <formula>((U618-T618)/T618)&gt;0.05</formula>
    </cfRule>
  </conditionalFormatting>
  <conditionalFormatting sqref="U505:U507">
    <cfRule type="expression" dxfId="822" priority="551">
      <formula>AND(T505=0,(U505&gt;0))</formula>
    </cfRule>
    <cfRule type="expression" dxfId="821" priority="552">
      <formula>((U505-T505)/T505)&gt;0.05</formula>
    </cfRule>
  </conditionalFormatting>
  <conditionalFormatting sqref="U508:U523">
    <cfRule type="expression" dxfId="820" priority="549">
      <formula>AND(T508=0,(U508&gt;0))</formula>
    </cfRule>
    <cfRule type="expression" dxfId="819" priority="550">
      <formula>((U508-T508)/T508)&gt;0.05</formula>
    </cfRule>
  </conditionalFormatting>
  <conditionalFormatting sqref="U533:U540">
    <cfRule type="expression" dxfId="818" priority="547">
      <formula>AND(T533=0,(U533&gt;0))</formula>
    </cfRule>
    <cfRule type="expression" dxfId="817" priority="548">
      <formula>((U533-T533)/T533)&gt;0.05</formula>
    </cfRule>
  </conditionalFormatting>
  <conditionalFormatting sqref="U608">
    <cfRule type="expression" dxfId="816" priority="545">
      <formula>AND(T608=0,(U608&gt;0))</formula>
    </cfRule>
    <cfRule type="expression" dxfId="815" priority="546">
      <formula>((U608-T608)/T608)&gt;0.05</formula>
    </cfRule>
  </conditionalFormatting>
  <conditionalFormatting sqref="U609:U617">
    <cfRule type="expression" dxfId="814" priority="531">
      <formula>AND(T609=0,(U609&gt;0))</formula>
    </cfRule>
    <cfRule type="expression" dxfId="813" priority="532">
      <formula>((U609-T609)/T609)&gt;0.05</formula>
    </cfRule>
  </conditionalFormatting>
  <conditionalFormatting sqref="U541:U554">
    <cfRule type="expression" dxfId="812" priority="543">
      <formula>AND(T541=0,(U541&gt;0))</formula>
    </cfRule>
    <cfRule type="expression" dxfId="811" priority="544">
      <formula>((U541-T541)/T541)&gt;0.05</formula>
    </cfRule>
  </conditionalFormatting>
  <conditionalFormatting sqref="U555:U564">
    <cfRule type="expression" dxfId="810" priority="541">
      <formula>AND(T555=0,(U555&gt;0))</formula>
    </cfRule>
    <cfRule type="expression" dxfId="809" priority="542">
      <formula>((U555-T555)/T555)&gt;0.05</formula>
    </cfRule>
  </conditionalFormatting>
  <conditionalFormatting sqref="U565:U575">
    <cfRule type="expression" dxfId="808" priority="539">
      <formula>AND(T565=0,(U565&gt;0))</formula>
    </cfRule>
    <cfRule type="expression" dxfId="807" priority="540">
      <formula>((U565-T565)/T565)&gt;0.05</formula>
    </cfRule>
  </conditionalFormatting>
  <conditionalFormatting sqref="U581:U607">
    <cfRule type="expression" dxfId="806" priority="535">
      <formula>AND(T581=0,(U581&gt;0))</formula>
    </cfRule>
    <cfRule type="expression" dxfId="805" priority="536">
      <formula>((U581-T581)/T581)&gt;0.05</formula>
    </cfRule>
  </conditionalFormatting>
  <conditionalFormatting sqref="U619">
    <cfRule type="expression" dxfId="804" priority="533">
      <formula>AND(T619=0,(U619&gt;0))</formula>
    </cfRule>
    <cfRule type="expression" dxfId="803" priority="534">
      <formula>((U619-T619)/T619)&gt;0.05</formula>
    </cfRule>
  </conditionalFormatting>
  <conditionalFormatting sqref="Y581:Y607">
    <cfRule type="expression" dxfId="802" priority="511">
      <formula>AND(X581=0,(Y581&gt;0))</formula>
    </cfRule>
    <cfRule type="expression" dxfId="801" priority="512">
      <formula>((Y581-X581)/X581)&gt;0.05</formula>
    </cfRule>
  </conditionalFormatting>
  <conditionalFormatting sqref="Y505:Y507">
    <cfRule type="expression" dxfId="800" priority="527">
      <formula>AND(X505=0,(Y505&gt;0))</formula>
    </cfRule>
    <cfRule type="expression" dxfId="799" priority="528">
      <formula>((Y505-X505)/X505)&gt;0.05</formula>
    </cfRule>
  </conditionalFormatting>
  <conditionalFormatting sqref="Y508:Y523">
    <cfRule type="expression" dxfId="798" priority="525">
      <formula>AND(X508=0,(Y508&gt;0))</formula>
    </cfRule>
    <cfRule type="expression" dxfId="797" priority="526">
      <formula>((Y508-X508)/X508)&gt;0.05</formula>
    </cfRule>
  </conditionalFormatting>
  <conditionalFormatting sqref="Y533:Y540">
    <cfRule type="expression" dxfId="796" priority="523">
      <formula>AND(X533=0,(Y533&gt;0))</formula>
    </cfRule>
    <cfRule type="expression" dxfId="795" priority="524">
      <formula>((Y533-X533)/X533)&gt;0.05</formula>
    </cfRule>
  </conditionalFormatting>
  <conditionalFormatting sqref="Y619">
    <cfRule type="expression" dxfId="794" priority="509">
      <formula>AND(X619=0,(Y619&gt;0))</formula>
    </cfRule>
    <cfRule type="expression" dxfId="793" priority="510">
      <formula>((Y619-X619)/X619)&gt;0.05</formula>
    </cfRule>
  </conditionalFormatting>
  <conditionalFormatting sqref="Y609:Y617">
    <cfRule type="expression" dxfId="792" priority="507">
      <formula>AND(X609=0,(Y609&gt;0))</formula>
    </cfRule>
    <cfRule type="expression" dxfId="791" priority="508">
      <formula>((Y609-X609)/X609)&gt;0.05</formula>
    </cfRule>
  </conditionalFormatting>
  <conditionalFormatting sqref="Y608">
    <cfRule type="expression" dxfId="790" priority="521">
      <formula>AND(X608=0,(Y608&gt;0))</formula>
    </cfRule>
    <cfRule type="expression" dxfId="789" priority="522">
      <formula>((Y608-X608)/X608)&gt;0.05</formula>
    </cfRule>
  </conditionalFormatting>
  <conditionalFormatting sqref="Y618">
    <cfRule type="expression" dxfId="788" priority="529">
      <formula>AND(X618=0,(Y618&gt;0))</formula>
    </cfRule>
    <cfRule type="expression" dxfId="787" priority="530">
      <formula>((Y618-X618)/X618)&gt;0.05</formula>
    </cfRule>
  </conditionalFormatting>
  <conditionalFormatting sqref="Y541:Y554">
    <cfRule type="expression" dxfId="786" priority="519">
      <formula>AND(X541=0,(Y541&gt;0))</formula>
    </cfRule>
    <cfRule type="expression" dxfId="785" priority="520">
      <formula>((Y541-X541)/X541)&gt;0.05</formula>
    </cfRule>
  </conditionalFormatting>
  <conditionalFormatting sqref="Y555:Y564">
    <cfRule type="expression" dxfId="784" priority="517">
      <formula>AND(X555=0,(Y555&gt;0))</formula>
    </cfRule>
    <cfRule type="expression" dxfId="783" priority="518">
      <formula>((Y555-X555)/X555)&gt;0.05</formula>
    </cfRule>
  </conditionalFormatting>
  <conditionalFormatting sqref="Y576:Y580">
    <cfRule type="expression" dxfId="782" priority="513">
      <formula>AND(X576=0,(Y576&gt;0))</formula>
    </cfRule>
    <cfRule type="expression" dxfId="781" priority="514">
      <formula>((Y576-X576)/X576)&gt;0.05</formula>
    </cfRule>
  </conditionalFormatting>
  <conditionalFormatting sqref="Y565:Y575">
    <cfRule type="expression" dxfId="780" priority="515">
      <formula>AND(X565=0,(Y565&gt;0))</formula>
    </cfRule>
    <cfRule type="expression" dxfId="779" priority="516">
      <formula>((Y565-X565)/X565)&gt;0.05</formula>
    </cfRule>
  </conditionalFormatting>
  <conditionalFormatting sqref="AA608">
    <cfRule type="expression" dxfId="778" priority="497">
      <formula>AND(Z608=0,(AA608&gt;0))</formula>
    </cfRule>
    <cfRule type="expression" dxfId="777" priority="498">
      <formula>((AA608-Z608)/Z608)&gt;0.05</formula>
    </cfRule>
  </conditionalFormatting>
  <conditionalFormatting sqref="AA541:AA554">
    <cfRule type="expression" dxfId="776" priority="495">
      <formula>AND(Z541=0,(AA541&gt;0))</formula>
    </cfRule>
    <cfRule type="expression" dxfId="775" priority="496">
      <formula>((AA541-Z541)/Z541)&gt;0.05</formula>
    </cfRule>
  </conditionalFormatting>
  <conditionalFormatting sqref="AA555:AA564">
    <cfRule type="expression" dxfId="774" priority="493">
      <formula>AND(Z555=0,(AA555&gt;0))</formula>
    </cfRule>
    <cfRule type="expression" dxfId="773" priority="494">
      <formula>((AA555-Z555)/Z555)&gt;0.05</formula>
    </cfRule>
  </conditionalFormatting>
  <conditionalFormatting sqref="AA609:AA617">
    <cfRule type="expression" dxfId="772" priority="483">
      <formula>AND(Z609=0,(AA609&gt;0))</formula>
    </cfRule>
    <cfRule type="expression" dxfId="771" priority="484">
      <formula>((AA609-Z609)/Z609)&gt;0.05</formula>
    </cfRule>
  </conditionalFormatting>
  <conditionalFormatting sqref="AA618">
    <cfRule type="expression" dxfId="770" priority="505">
      <formula>AND(Z618=0,(AA618&gt;0))</formula>
    </cfRule>
    <cfRule type="expression" dxfId="769" priority="506">
      <formula>((AA618-Z618)/Z618)&gt;0.05</formula>
    </cfRule>
  </conditionalFormatting>
  <conditionalFormatting sqref="AA505:AA507">
    <cfRule type="expression" dxfId="768" priority="503">
      <formula>AND(Z505=0,(AA505&gt;0))</formula>
    </cfRule>
    <cfRule type="expression" dxfId="767" priority="504">
      <formula>((AA505-Z505)/Z505)&gt;0.05</formula>
    </cfRule>
  </conditionalFormatting>
  <conditionalFormatting sqref="AA508:AA523">
    <cfRule type="expression" dxfId="766" priority="501">
      <formula>AND(Z508=0,(AA508&gt;0))</formula>
    </cfRule>
    <cfRule type="expression" dxfId="765" priority="502">
      <formula>((AA508-Z508)/Z508)&gt;0.05</formula>
    </cfRule>
  </conditionalFormatting>
  <conditionalFormatting sqref="AA533:AA540">
    <cfRule type="expression" dxfId="764" priority="499">
      <formula>AND(Z533=0,(AA533&gt;0))</formula>
    </cfRule>
    <cfRule type="expression" dxfId="763" priority="500">
      <formula>((AA533-Z533)/Z533)&gt;0.05</formula>
    </cfRule>
  </conditionalFormatting>
  <conditionalFormatting sqref="AA565:AA575">
    <cfRule type="expression" dxfId="762" priority="491">
      <formula>AND(Z565=0,(AA565&gt;0))</formula>
    </cfRule>
    <cfRule type="expression" dxfId="761" priority="492">
      <formula>((AA565-Z565)/Z565)&gt;0.05</formula>
    </cfRule>
  </conditionalFormatting>
  <conditionalFormatting sqref="AA576:AA580">
    <cfRule type="expression" dxfId="760" priority="489">
      <formula>AND(Z576=0,(AA576&gt;0))</formula>
    </cfRule>
    <cfRule type="expression" dxfId="759" priority="490">
      <formula>((AA576-Z576)/Z576)&gt;0.05</formula>
    </cfRule>
  </conditionalFormatting>
  <conditionalFormatting sqref="AA581:AA607">
    <cfRule type="expression" dxfId="758" priority="487">
      <formula>AND(Z581=0,(AA581&gt;0))</formula>
    </cfRule>
    <cfRule type="expression" dxfId="757" priority="488">
      <formula>((AA581-Z581)/Z581)&gt;0.05</formula>
    </cfRule>
  </conditionalFormatting>
  <conditionalFormatting sqref="AA619">
    <cfRule type="expression" dxfId="756" priority="485">
      <formula>AND(Z619=0,(AA619&gt;0))</formula>
    </cfRule>
    <cfRule type="expression" dxfId="755" priority="486">
      <formula>((AA619-Z619)/Z619)&gt;0.05</formula>
    </cfRule>
  </conditionalFormatting>
  <conditionalFormatting sqref="AC565:AC575">
    <cfRule type="expression" dxfId="754" priority="467">
      <formula>AND(AB565=0,(AC565&gt;0))</formula>
    </cfRule>
    <cfRule type="expression" dxfId="753" priority="468">
      <formula>((AC565-AB565)/AB565)&gt;0.05</formula>
    </cfRule>
  </conditionalFormatting>
  <conditionalFormatting sqref="AC576:AC580">
    <cfRule type="expression" dxfId="752" priority="465">
      <formula>AND(AB576=0,(AC576&gt;0))</formula>
    </cfRule>
    <cfRule type="expression" dxfId="751" priority="466">
      <formula>((AC576-AB576)/AB576)&gt;0.05</formula>
    </cfRule>
  </conditionalFormatting>
  <conditionalFormatting sqref="AC581:AC607">
    <cfRule type="expression" dxfId="750" priority="463">
      <formula>AND(AB581=0,(AC581&gt;0))</formula>
    </cfRule>
    <cfRule type="expression" dxfId="749" priority="464">
      <formula>((AC581-AB581)/AB581)&gt;0.05</formula>
    </cfRule>
  </conditionalFormatting>
  <conditionalFormatting sqref="AC541:AC554">
    <cfRule type="expression" dxfId="748" priority="471">
      <formula>AND(AB541=0,(AC541&gt;0))</formula>
    </cfRule>
    <cfRule type="expression" dxfId="747" priority="472">
      <formula>((AC541-AB541)/AB541)&gt;0.05</formula>
    </cfRule>
  </conditionalFormatting>
  <conditionalFormatting sqref="AC618">
    <cfRule type="expression" dxfId="746" priority="481">
      <formula>AND(AB618=0,(AC618&gt;0))</formula>
    </cfRule>
    <cfRule type="expression" dxfId="745" priority="482">
      <formula>((AC618-AB618)/AB618)&gt;0.05</formula>
    </cfRule>
  </conditionalFormatting>
  <conditionalFormatting sqref="AC505:AC507">
    <cfRule type="expression" dxfId="744" priority="479">
      <formula>AND(AB505=0,(AC505&gt;0))</formula>
    </cfRule>
    <cfRule type="expression" dxfId="743" priority="480">
      <formula>((AC505-AB505)/AB505)&gt;0.05</formula>
    </cfRule>
  </conditionalFormatting>
  <conditionalFormatting sqref="AC508:AC523">
    <cfRule type="expression" dxfId="742" priority="477">
      <formula>AND(AB508=0,(AC508&gt;0))</formula>
    </cfRule>
    <cfRule type="expression" dxfId="741" priority="478">
      <formula>((AC508-AB508)/AB508)&gt;0.05</formula>
    </cfRule>
  </conditionalFormatting>
  <conditionalFormatting sqref="AC533:AC540">
    <cfRule type="expression" dxfId="740" priority="475">
      <formula>AND(AB533=0,(AC533&gt;0))</formula>
    </cfRule>
    <cfRule type="expression" dxfId="739" priority="476">
      <formula>((AC533-AB533)/AB533)&gt;0.05</formula>
    </cfRule>
  </conditionalFormatting>
  <conditionalFormatting sqref="AC608">
    <cfRule type="expression" dxfId="738" priority="473">
      <formula>AND(AB608=0,(AC608&gt;0))</formula>
    </cfRule>
    <cfRule type="expression" dxfId="737" priority="474">
      <formula>((AC608-AB608)/AB608)&gt;0.05</formula>
    </cfRule>
  </conditionalFormatting>
  <conditionalFormatting sqref="AC555:AC564">
    <cfRule type="expression" dxfId="736" priority="469">
      <formula>AND(AB555=0,(AC555&gt;0))</formula>
    </cfRule>
    <cfRule type="expression" dxfId="735" priority="470">
      <formula>((AC555-AB555)/AB555)&gt;0.05</formula>
    </cfRule>
  </conditionalFormatting>
  <conditionalFormatting sqref="AC619">
    <cfRule type="expression" dxfId="734" priority="461">
      <formula>AND(AB619=0,(AC619&gt;0))</formula>
    </cfRule>
    <cfRule type="expression" dxfId="733" priority="462">
      <formula>((AC619-AB619)/AB619)&gt;0.05</formula>
    </cfRule>
  </conditionalFormatting>
  <conditionalFormatting sqref="AC609:AC617">
    <cfRule type="expression" dxfId="732" priority="459">
      <formula>AND(AB609=0,(AC609&gt;0))</formula>
    </cfRule>
    <cfRule type="expression" dxfId="731" priority="460">
      <formula>((AC609-AB609)/AB609)&gt;0.05</formula>
    </cfRule>
  </conditionalFormatting>
  <conditionalFormatting sqref="AE576:AE580">
    <cfRule type="expression" dxfId="730" priority="441">
      <formula>AND(AD576=0,(AE576&gt;0))</formula>
    </cfRule>
    <cfRule type="expression" dxfId="729" priority="442">
      <formula>((AE576-AD576)/AD576)&gt;0.05</formula>
    </cfRule>
  </conditionalFormatting>
  <conditionalFormatting sqref="AE619">
    <cfRule type="expression" dxfId="728" priority="437">
      <formula>AND(AD619=0,(AE619&gt;0))</formula>
    </cfRule>
    <cfRule type="expression" dxfId="727" priority="438">
      <formula>((AE619-AD619)/AD619)&gt;0.05</formula>
    </cfRule>
  </conditionalFormatting>
  <conditionalFormatting sqref="AE508:AE523">
    <cfRule type="expression" dxfId="726" priority="453">
      <formula>AND(AD508=0,(AE508&gt;0))</formula>
    </cfRule>
    <cfRule type="expression" dxfId="725" priority="454">
      <formula>((AE508-AD508)/AD508)&gt;0.05</formula>
    </cfRule>
  </conditionalFormatting>
  <conditionalFormatting sqref="AE533:AE540">
    <cfRule type="expression" dxfId="724" priority="451">
      <formula>AND(AD533=0,(AE533&gt;0))</formula>
    </cfRule>
    <cfRule type="expression" dxfId="723" priority="452">
      <formula>((AE533-AD533)/AD533)&gt;0.05</formula>
    </cfRule>
  </conditionalFormatting>
  <conditionalFormatting sqref="AE581:AE607">
    <cfRule type="expression" dxfId="722" priority="439">
      <formula>AND(AD581=0,(AE581&gt;0))</formula>
    </cfRule>
    <cfRule type="expression" dxfId="721" priority="440">
      <formula>((AE581-AD581)/AD581)&gt;0.05</formula>
    </cfRule>
  </conditionalFormatting>
  <conditionalFormatting sqref="AE618">
    <cfRule type="expression" dxfId="720" priority="457">
      <formula>AND(AD618=0,(AE618&gt;0))</formula>
    </cfRule>
    <cfRule type="expression" dxfId="719" priority="458">
      <formula>((AE618-AD618)/AD618)&gt;0.05</formula>
    </cfRule>
  </conditionalFormatting>
  <conditionalFormatting sqref="AE505:AE507">
    <cfRule type="expression" dxfId="718" priority="455">
      <formula>AND(AD505=0,(AE505&gt;0))</formula>
    </cfRule>
    <cfRule type="expression" dxfId="717" priority="456">
      <formula>((AE505-AD505)/AD505)&gt;0.05</formula>
    </cfRule>
  </conditionalFormatting>
  <conditionalFormatting sqref="AE608">
    <cfRule type="expression" dxfId="716" priority="449">
      <formula>AND(AD608=0,(AE608&gt;0))</formula>
    </cfRule>
    <cfRule type="expression" dxfId="715" priority="450">
      <formula>((AE608-AD608)/AD608)&gt;0.05</formula>
    </cfRule>
  </conditionalFormatting>
  <conditionalFormatting sqref="AE541:AE554">
    <cfRule type="expression" dxfId="714" priority="447">
      <formula>AND(AD541=0,(AE541&gt;0))</formula>
    </cfRule>
    <cfRule type="expression" dxfId="713" priority="448">
      <formula>((AE541-AD541)/AD541)&gt;0.05</formula>
    </cfRule>
  </conditionalFormatting>
  <conditionalFormatting sqref="AE555:AE564">
    <cfRule type="expression" dxfId="712" priority="445">
      <formula>AND(AD555=0,(AE555&gt;0))</formula>
    </cfRule>
    <cfRule type="expression" dxfId="711" priority="446">
      <formula>((AE555-AD555)/AD555)&gt;0.05</formula>
    </cfRule>
  </conditionalFormatting>
  <conditionalFormatting sqref="AE565:AE575">
    <cfRule type="expression" dxfId="710" priority="443">
      <formula>AND(AD565=0,(AE565&gt;0))</formula>
    </cfRule>
    <cfRule type="expression" dxfId="709" priority="444">
      <formula>((AE565-AD565)/AD565)&gt;0.05</formula>
    </cfRule>
  </conditionalFormatting>
  <conditionalFormatting sqref="AE609:AE617">
    <cfRule type="expression" dxfId="708" priority="435">
      <formula>AND(AD609=0,(AE609&gt;0))</formula>
    </cfRule>
    <cfRule type="expression" dxfId="707" priority="436">
      <formula>((AE609-AD609)/AD609)&gt;0.05</formula>
    </cfRule>
  </conditionalFormatting>
  <conditionalFormatting sqref="AK618">
    <cfRule type="expression" dxfId="706" priority="433">
      <formula>AND(AJ618=0,(AK618&gt;0))</formula>
    </cfRule>
    <cfRule type="expression" dxfId="705" priority="434">
      <formula>((AK618-AJ618)/AJ618)&gt;0.05</formula>
    </cfRule>
  </conditionalFormatting>
  <conditionalFormatting sqref="AK508:AK523">
    <cfRule type="expression" dxfId="704" priority="429">
      <formula>AND(AJ508=0,(AK508&gt;0))</formula>
    </cfRule>
    <cfRule type="expression" dxfId="703" priority="430">
      <formula>((AK508-AJ508)/AJ508)&gt;0.05</formula>
    </cfRule>
  </conditionalFormatting>
  <conditionalFormatting sqref="AK533:AK540">
    <cfRule type="expression" dxfId="702" priority="427">
      <formula>AND(AJ533=0,(AK533&gt;0))</formula>
    </cfRule>
    <cfRule type="expression" dxfId="701" priority="428">
      <formula>((AK533-AJ533)/AJ533)&gt;0.05</formula>
    </cfRule>
  </conditionalFormatting>
  <conditionalFormatting sqref="AK505:AK507">
    <cfRule type="expression" dxfId="700" priority="431">
      <formula>AND(AJ505=0,(AK505&gt;0))</formula>
    </cfRule>
    <cfRule type="expression" dxfId="699" priority="432">
      <formula>((AK505-AJ505)/AJ505)&gt;0.05</formula>
    </cfRule>
  </conditionalFormatting>
  <conditionalFormatting sqref="AK608">
    <cfRule type="expression" dxfId="698" priority="425">
      <formula>AND(AJ608=0,(AK608&gt;0))</formula>
    </cfRule>
    <cfRule type="expression" dxfId="697" priority="426">
      <formula>((AK608-AJ608)/AJ608)&gt;0.05</formula>
    </cfRule>
  </conditionalFormatting>
  <conditionalFormatting sqref="AK541:AK554">
    <cfRule type="expression" dxfId="696" priority="423">
      <formula>AND(AJ541=0,(AK541&gt;0))</formula>
    </cfRule>
    <cfRule type="expression" dxfId="695" priority="424">
      <formula>((AK541-AJ541)/AJ541)&gt;0.05</formula>
    </cfRule>
  </conditionalFormatting>
  <conditionalFormatting sqref="AK555:AK564">
    <cfRule type="expression" dxfId="694" priority="421">
      <formula>AND(AJ555=0,(AK555&gt;0))</formula>
    </cfRule>
    <cfRule type="expression" dxfId="693" priority="422">
      <formula>((AK555-AJ555)/AJ555)&gt;0.05</formula>
    </cfRule>
  </conditionalFormatting>
  <conditionalFormatting sqref="AK565:AK575">
    <cfRule type="expression" dxfId="692" priority="419">
      <formula>AND(AJ565=0,(AK565&gt;0))</formula>
    </cfRule>
    <cfRule type="expression" dxfId="691" priority="420">
      <formula>((AK565-AJ565)/AJ565)&gt;0.05</formula>
    </cfRule>
  </conditionalFormatting>
  <conditionalFormatting sqref="AK576:AK580">
    <cfRule type="expression" dxfId="690" priority="417">
      <formula>AND(AJ576=0,(AK576&gt;0))</formula>
    </cfRule>
    <cfRule type="expression" dxfId="689" priority="418">
      <formula>((AK576-AJ576)/AJ576)&gt;0.05</formula>
    </cfRule>
  </conditionalFormatting>
  <conditionalFormatting sqref="AK581:AK607">
    <cfRule type="expression" dxfId="688" priority="415">
      <formula>AND(AJ581=0,(AK581&gt;0))</formula>
    </cfRule>
    <cfRule type="expression" dxfId="687" priority="416">
      <formula>((AK581-AJ581)/AJ581)&gt;0.05</formula>
    </cfRule>
  </conditionalFormatting>
  <conditionalFormatting sqref="AK619">
    <cfRule type="expression" dxfId="686" priority="413">
      <formula>AND(AJ619=0,(AK619&gt;0))</formula>
    </cfRule>
    <cfRule type="expression" dxfId="685" priority="414">
      <formula>((AK619-AJ619)/AJ619)&gt;0.05</formula>
    </cfRule>
  </conditionalFormatting>
  <conditionalFormatting sqref="AK609:AK617">
    <cfRule type="expression" dxfId="684" priority="411">
      <formula>AND(AJ609=0,(AK609&gt;0))</formula>
    </cfRule>
    <cfRule type="expression" dxfId="683" priority="412">
      <formula>((AK609-AJ609)/AJ609)&gt;0.05</formula>
    </cfRule>
  </conditionalFormatting>
  <conditionalFormatting sqref="AQ565:AQ575">
    <cfRule type="expression" dxfId="682" priority="395">
      <formula>AND(AP565=0,(AQ565&gt;0))</formula>
    </cfRule>
    <cfRule type="expression" dxfId="681" priority="396">
      <formula>((AQ565-AP565)/AP565)&gt;0.05</formula>
    </cfRule>
  </conditionalFormatting>
  <conditionalFormatting sqref="AQ576:AQ580">
    <cfRule type="expression" dxfId="680" priority="393">
      <formula>AND(AP576=0,(AQ576&gt;0))</formula>
    </cfRule>
    <cfRule type="expression" dxfId="679" priority="394">
      <formula>((AQ576-AP576)/AP576)&gt;0.05</formula>
    </cfRule>
  </conditionalFormatting>
  <conditionalFormatting sqref="AQ508:AQ523">
    <cfRule type="expression" dxfId="678" priority="405">
      <formula>AND(AP508=0,(AQ508&gt;0))</formula>
    </cfRule>
    <cfRule type="expression" dxfId="677" priority="406">
      <formula>((AQ508-AP508)/AP508)&gt;0.05</formula>
    </cfRule>
  </conditionalFormatting>
  <conditionalFormatting sqref="AQ555:AQ564">
    <cfRule type="expression" dxfId="676" priority="397">
      <formula>AND(AP555=0,(AQ555&gt;0))</formula>
    </cfRule>
    <cfRule type="expression" dxfId="675" priority="398">
      <formula>((AQ555-AP555)/AP555)&gt;0.05</formula>
    </cfRule>
  </conditionalFormatting>
  <conditionalFormatting sqref="AQ541:AQ554">
    <cfRule type="expression" dxfId="674" priority="399">
      <formula>AND(AP541=0,(AQ541&gt;0))</formula>
    </cfRule>
    <cfRule type="expression" dxfId="673" priority="400">
      <formula>((AQ541-AP541)/AP541)&gt;0.05</formula>
    </cfRule>
  </conditionalFormatting>
  <conditionalFormatting sqref="AQ581:AQ607">
    <cfRule type="expression" dxfId="672" priority="391">
      <formula>AND(AP581=0,(AQ581&gt;0))</formula>
    </cfRule>
    <cfRule type="expression" dxfId="671" priority="392">
      <formula>((AQ581-AP581)/AP581)&gt;0.05</formula>
    </cfRule>
  </conditionalFormatting>
  <conditionalFormatting sqref="AQ612">
    <cfRule type="expression" dxfId="670" priority="409">
      <formula>AND(AP618=0,(AQ612&gt;0))</formula>
    </cfRule>
    <cfRule type="expression" dxfId="669" priority="410">
      <formula>((AQ612-AP618)/AP618)&gt;0.05</formula>
    </cfRule>
  </conditionalFormatting>
  <conditionalFormatting sqref="AQ505:AQ507">
    <cfRule type="expression" dxfId="668" priority="407">
      <formula>AND(AP505=0,(AQ505&gt;0))</formula>
    </cfRule>
    <cfRule type="expression" dxfId="667" priority="408">
      <formula>((AQ505-AP505)/AP505)&gt;0.05</formula>
    </cfRule>
  </conditionalFormatting>
  <conditionalFormatting sqref="AQ533:AQ540">
    <cfRule type="expression" dxfId="666" priority="403">
      <formula>AND(AP533=0,(AQ533&gt;0))</formula>
    </cfRule>
    <cfRule type="expression" dxfId="665" priority="404">
      <formula>((AQ533-AP533)/AP533)&gt;0.05</formula>
    </cfRule>
  </conditionalFormatting>
  <conditionalFormatting sqref="AQ609:AQ611 AQ614:AQ617">
    <cfRule type="expression" dxfId="664" priority="387">
      <formula>AND(AP609=0,(AQ609&gt;0))</formula>
    </cfRule>
    <cfRule type="expression" dxfId="663" priority="388">
      <formula>((AQ609-AP609)/AP609)&gt;0.05</formula>
    </cfRule>
  </conditionalFormatting>
  <conditionalFormatting sqref="AQ608">
    <cfRule type="expression" dxfId="662" priority="401">
      <formula>AND(AP608=0,(AQ608&gt;0))</formula>
    </cfRule>
    <cfRule type="expression" dxfId="661" priority="402">
      <formula>((AQ608-AP608)/AP608)&gt;0.05</formula>
    </cfRule>
  </conditionalFormatting>
  <conditionalFormatting sqref="AQ613">
    <cfRule type="expression" dxfId="660" priority="389">
      <formula>AND(AP619=0,(AQ613&gt;0))</formula>
    </cfRule>
    <cfRule type="expression" dxfId="659" priority="390">
      <formula>((AQ613-AP619)/AP619)&gt;0.05</formula>
    </cfRule>
  </conditionalFormatting>
  <conditionalFormatting sqref="AS565:AS575">
    <cfRule type="expression" dxfId="658" priority="371">
      <formula>AND(AR565=0,(AS565&gt;0))</formula>
    </cfRule>
    <cfRule type="expression" dxfId="657" priority="372">
      <formula>((AS565-AR565)/AR565)&gt;0.05</formula>
    </cfRule>
  </conditionalFormatting>
  <conditionalFormatting sqref="AS576:AS580">
    <cfRule type="expression" dxfId="656" priority="369">
      <formula>AND(AR576=0,(AS576&gt;0))</formula>
    </cfRule>
    <cfRule type="expression" dxfId="655" priority="370">
      <formula>((AS576-AR576)/AR576)&gt;0.05</formula>
    </cfRule>
  </conditionalFormatting>
  <conditionalFormatting sqref="AS541:AS554">
    <cfRule type="expression" dxfId="654" priority="375">
      <formula>AND(AR541=0,(AS541&gt;0))</formula>
    </cfRule>
    <cfRule type="expression" dxfId="653" priority="376">
      <formula>((AS541-AR541)/AR541)&gt;0.05</formula>
    </cfRule>
  </conditionalFormatting>
  <conditionalFormatting sqref="AS613">
    <cfRule type="expression" dxfId="652" priority="365">
      <formula>AND(AR619=0,(AS613&gt;0))</formula>
    </cfRule>
    <cfRule type="expression" dxfId="651" priority="366">
      <formula>((AS613-AR619)/AR619)&gt;0.05</formula>
    </cfRule>
  </conditionalFormatting>
  <conditionalFormatting sqref="AS612">
    <cfRule type="expression" dxfId="650" priority="385">
      <formula>AND(AR618=0,(AS612&gt;0))</formula>
    </cfRule>
    <cfRule type="expression" dxfId="649" priority="386">
      <formula>((AS612-AR618)/AR618)&gt;0.05</formula>
    </cfRule>
  </conditionalFormatting>
  <conditionalFormatting sqref="AS505:AS507">
    <cfRule type="expression" dxfId="648" priority="383">
      <formula>AND(AR505=0,(AS505&gt;0))</formula>
    </cfRule>
    <cfRule type="expression" dxfId="647" priority="384">
      <formula>((AS505-AR505)/AR505)&gt;0.05</formula>
    </cfRule>
  </conditionalFormatting>
  <conditionalFormatting sqref="AS508:AS523">
    <cfRule type="expression" dxfId="646" priority="381">
      <formula>AND(AR508=0,(AS508&gt;0))</formula>
    </cfRule>
    <cfRule type="expression" dxfId="645" priority="382">
      <formula>((AS508-AR508)/AR508)&gt;0.05</formula>
    </cfRule>
  </conditionalFormatting>
  <conditionalFormatting sqref="AS533:AS540">
    <cfRule type="expression" dxfId="644" priority="379">
      <formula>AND(AR533=0,(AS533&gt;0))</formula>
    </cfRule>
    <cfRule type="expression" dxfId="643" priority="380">
      <formula>((AS533-AR533)/AR533)&gt;0.05</formula>
    </cfRule>
  </conditionalFormatting>
  <conditionalFormatting sqref="AS608">
    <cfRule type="expression" dxfId="642" priority="377">
      <formula>AND(AR608=0,(AS608&gt;0))</formula>
    </cfRule>
    <cfRule type="expression" dxfId="641" priority="378">
      <formula>((AS608-AR608)/AR608)&gt;0.05</formula>
    </cfRule>
  </conditionalFormatting>
  <conditionalFormatting sqref="AS555:AS564">
    <cfRule type="expression" dxfId="640" priority="373">
      <formula>AND(AR555=0,(AS555&gt;0))</formula>
    </cfRule>
    <cfRule type="expression" dxfId="639" priority="374">
      <formula>((AS555-AR555)/AR555)&gt;0.05</formula>
    </cfRule>
  </conditionalFormatting>
  <conditionalFormatting sqref="AS581:AS607">
    <cfRule type="expression" dxfId="638" priority="367">
      <formula>AND(AR581=0,(AS581&gt;0))</formula>
    </cfRule>
    <cfRule type="expression" dxfId="637" priority="368">
      <formula>((AS581-AR581)/AR581)&gt;0.05</formula>
    </cfRule>
  </conditionalFormatting>
  <conditionalFormatting sqref="AS609:AS611 AS614:AS617">
    <cfRule type="expression" dxfId="636" priority="363">
      <formula>AND(AR609=0,(AS609&gt;0))</formula>
    </cfRule>
    <cfRule type="expression" dxfId="635" priority="364">
      <formula>((AS609-AR609)/AR609)&gt;0.05</formula>
    </cfRule>
  </conditionalFormatting>
  <conditionalFormatting sqref="AU555:AU564">
    <cfRule type="expression" dxfId="634" priority="349">
      <formula>AND(AT555=0,(AU555&gt;0))</formula>
    </cfRule>
    <cfRule type="expression" dxfId="633" priority="350">
      <formula>((AU555-AT555)/AT555)&gt;0.05</formula>
    </cfRule>
  </conditionalFormatting>
  <conditionalFormatting sqref="AU612">
    <cfRule type="expression" dxfId="632" priority="361">
      <formula>AND(AT618=0,(AU612&gt;0))</formula>
    </cfRule>
    <cfRule type="expression" dxfId="631" priority="362">
      <formula>((AU612-AT618)/AT618)&gt;0.05</formula>
    </cfRule>
  </conditionalFormatting>
  <conditionalFormatting sqref="AU505:AU507">
    <cfRule type="expression" dxfId="630" priority="359">
      <formula>AND(AT505=0,(AU505&gt;0))</formula>
    </cfRule>
    <cfRule type="expression" dxfId="629" priority="360">
      <formula>((AU505-AT505)/AT505)&gt;0.05</formula>
    </cfRule>
  </conditionalFormatting>
  <conditionalFormatting sqref="AU508:AU523">
    <cfRule type="expression" dxfId="628" priority="357">
      <formula>AND(AT508=0,(AU508&gt;0))</formula>
    </cfRule>
    <cfRule type="expression" dxfId="627" priority="358">
      <formula>((AU508-AT508)/AT508)&gt;0.05</formula>
    </cfRule>
  </conditionalFormatting>
  <conditionalFormatting sqref="AU533:AU540">
    <cfRule type="expression" dxfId="626" priority="355">
      <formula>AND(AT533=0,(AU533&gt;0))</formula>
    </cfRule>
    <cfRule type="expression" dxfId="625" priority="356">
      <formula>((AU533-AT533)/AT533)&gt;0.05</formula>
    </cfRule>
  </conditionalFormatting>
  <conditionalFormatting sqref="AU608">
    <cfRule type="expression" dxfId="624" priority="353">
      <formula>AND(AT608=0,(AU608&gt;0))</formula>
    </cfRule>
    <cfRule type="expression" dxfId="623" priority="354">
      <formula>((AU608-AT608)/AT608)&gt;0.05</formula>
    </cfRule>
  </conditionalFormatting>
  <conditionalFormatting sqref="AU541:AU554">
    <cfRule type="expression" dxfId="622" priority="351">
      <formula>AND(AT541=0,(AU541&gt;0))</formula>
    </cfRule>
    <cfRule type="expression" dxfId="621" priority="352">
      <formula>((AU541-AT541)/AT541)&gt;0.05</formula>
    </cfRule>
  </conditionalFormatting>
  <conditionalFormatting sqref="AU565:AU575">
    <cfRule type="expression" dxfId="620" priority="347">
      <formula>AND(AT565=0,(AU565&gt;0))</formula>
    </cfRule>
    <cfRule type="expression" dxfId="619" priority="348">
      <formula>((AU565-AT565)/AT565)&gt;0.05</formula>
    </cfRule>
  </conditionalFormatting>
  <conditionalFormatting sqref="AU576:AU580">
    <cfRule type="expression" dxfId="618" priority="345">
      <formula>AND(AT576=0,(AU576&gt;0))</formula>
    </cfRule>
    <cfRule type="expression" dxfId="617" priority="346">
      <formula>((AU576-AT576)/AT576)&gt;0.05</formula>
    </cfRule>
  </conditionalFormatting>
  <conditionalFormatting sqref="AU581:AU607">
    <cfRule type="expression" dxfId="616" priority="343">
      <formula>AND(AT581=0,(AU581&gt;0))</formula>
    </cfRule>
    <cfRule type="expression" dxfId="615" priority="344">
      <formula>((AU581-AT581)/AT581)&gt;0.05</formula>
    </cfRule>
  </conditionalFormatting>
  <conditionalFormatting sqref="AU613">
    <cfRule type="expression" dxfId="614" priority="341">
      <formula>AND(AT619=0,(AU613&gt;0))</formula>
    </cfRule>
    <cfRule type="expression" dxfId="613" priority="342">
      <formula>((AU613-AT619)/AT619)&gt;0.05</formula>
    </cfRule>
  </conditionalFormatting>
  <conditionalFormatting sqref="AU609:AU611 AU614:AU617">
    <cfRule type="expression" dxfId="612" priority="339">
      <formula>AND(AT609=0,(AU609&gt;0))</formula>
    </cfRule>
    <cfRule type="expression" dxfId="611" priority="340">
      <formula>((AU609-AT609)/AT609)&gt;0.05</formula>
    </cfRule>
  </conditionalFormatting>
  <conditionalFormatting sqref="O46:O60">
    <cfRule type="expression" dxfId="610" priority="333">
      <formula>AND(N46=0,(O46&gt;0))</formula>
    </cfRule>
    <cfRule type="expression" dxfId="609" priority="334">
      <formula>((O46-N46)/N46)&gt;0.05</formula>
    </cfRule>
  </conditionalFormatting>
  <conditionalFormatting sqref="O56:O60">
    <cfRule type="expression" dxfId="608" priority="337">
      <formula>AND(N56=0,(O56&gt;0))</formula>
    </cfRule>
    <cfRule type="expression" dxfId="607" priority="338">
      <formula>((O56-N56)/N56)&gt;0.05</formula>
    </cfRule>
  </conditionalFormatting>
  <conditionalFormatting sqref="O62">
    <cfRule type="expression" dxfId="606" priority="335">
      <formula>AND(N62=0,(O62&gt;0))</formula>
    </cfRule>
    <cfRule type="expression" dxfId="605" priority="336">
      <formula>((O62-N62)/N62)&gt;0.05</formula>
    </cfRule>
  </conditionalFormatting>
  <conditionalFormatting sqref="M56:M60">
    <cfRule type="expression" dxfId="604" priority="331">
      <formula>AND(L56=0,(M56&gt;0))</formula>
    </cfRule>
    <cfRule type="expression" dxfId="603" priority="332">
      <formula>((M56-L56)/L56)&gt;0.05</formula>
    </cfRule>
  </conditionalFormatting>
  <conditionalFormatting sqref="M62">
    <cfRule type="expression" dxfId="602" priority="329">
      <formula>AND(L62=0,(M62&gt;0))</formula>
    </cfRule>
    <cfRule type="expression" dxfId="601" priority="330">
      <formula>((M62-L62)/L62)&gt;0.05</formula>
    </cfRule>
  </conditionalFormatting>
  <conditionalFormatting sqref="K46:K60">
    <cfRule type="expression" dxfId="600" priority="321">
      <formula>AND(J46=0,(K46&gt;0))</formula>
    </cfRule>
    <cfRule type="expression" dxfId="599" priority="322">
      <formula>((K46-J46)/J46)&gt;0.05</formula>
    </cfRule>
  </conditionalFormatting>
  <conditionalFormatting sqref="AC56:AC60">
    <cfRule type="expression" dxfId="598" priority="295">
      <formula>AND(AB56=0,(AC56&gt;0))</formula>
    </cfRule>
    <cfRule type="expression" dxfId="597" priority="296">
      <formula>((AC56-AB56)/AB56)&gt;0.05</formula>
    </cfRule>
  </conditionalFormatting>
  <conditionalFormatting sqref="M46:M60">
    <cfRule type="expression" dxfId="596" priority="327">
      <formula>AND(L46=0,(M46&gt;0))</formula>
    </cfRule>
    <cfRule type="expression" dxfId="595" priority="328">
      <formula>((M46-L46)/L46)&gt;0.05</formula>
    </cfRule>
  </conditionalFormatting>
  <conditionalFormatting sqref="AC46:AC60">
    <cfRule type="expression" dxfId="594" priority="291">
      <formula>AND(AB46=0,(AC46&gt;0))</formula>
    </cfRule>
    <cfRule type="expression" dxfId="593" priority="292">
      <formula>((AC46-AB46)/AB46)&gt;0.05</formula>
    </cfRule>
  </conditionalFormatting>
  <conditionalFormatting sqref="AA56:AA60">
    <cfRule type="expression" dxfId="592" priority="301">
      <formula>AND(Z56=0,(AA56&gt;0))</formula>
    </cfRule>
    <cfRule type="expression" dxfId="591" priority="302">
      <formula>((AA56-Z56)/Z56)&gt;0.05</formula>
    </cfRule>
  </conditionalFormatting>
  <conditionalFormatting sqref="AA62">
    <cfRule type="expression" dxfId="590" priority="299">
      <formula>AND(Z62=0,(AA62&gt;0))</formula>
    </cfRule>
    <cfRule type="expression" dxfId="589" priority="300">
      <formula>((AA62-Z62)/Z62)&gt;0.05</formula>
    </cfRule>
  </conditionalFormatting>
  <conditionalFormatting sqref="AA46:AA60">
    <cfRule type="expression" dxfId="588" priority="297">
      <formula>AND(Z46=0,(AA46&gt;0))</formula>
    </cfRule>
    <cfRule type="expression" dxfId="587" priority="298">
      <formula>((AA46-Z46)/Z46)&gt;0.05</formula>
    </cfRule>
  </conditionalFormatting>
  <conditionalFormatting sqref="AO56:AO60">
    <cfRule type="expression" dxfId="586" priority="277">
      <formula>AND(AN56=0,(AO56&gt;0))</formula>
    </cfRule>
    <cfRule type="expression" dxfId="585" priority="278">
      <formula>((AO56-AN56)/AN56)&gt;0.05</formula>
    </cfRule>
  </conditionalFormatting>
  <conditionalFormatting sqref="AQ62">
    <cfRule type="expression" dxfId="584" priority="269">
      <formula>AND(AP62=0,(AQ62&gt;0))</formula>
    </cfRule>
    <cfRule type="expression" dxfId="583" priority="270">
      <formula>((AQ62-AP62)/AP62)&gt;0.05</formula>
    </cfRule>
  </conditionalFormatting>
  <conditionalFormatting sqref="AS46:AS60">
    <cfRule type="expression" dxfId="582" priority="261">
      <formula>AND(AR46=0,(AS46&gt;0))</formula>
    </cfRule>
    <cfRule type="expression" dxfId="581" priority="262">
      <formula>((AS46-AR46)/AR46)&gt;0.05</formula>
    </cfRule>
  </conditionalFormatting>
  <conditionalFormatting sqref="AC62">
    <cfRule type="expression" dxfId="580" priority="293">
      <formula>AND(AB62=0,(AC62&gt;0))</formula>
    </cfRule>
    <cfRule type="expression" dxfId="579" priority="294">
      <formula>((AC62-AB62)/AB62)&gt;0.05</formula>
    </cfRule>
  </conditionalFormatting>
  <conditionalFormatting sqref="AS62">
    <cfRule type="expression" dxfId="578" priority="263">
      <formula>AND(AR62=0,(AS62&gt;0))</formula>
    </cfRule>
    <cfRule type="expression" dxfId="577" priority="264">
      <formula>((AS62-AR62)/AR62)&gt;0.05</formula>
    </cfRule>
  </conditionalFormatting>
  <conditionalFormatting sqref="AU46:AU60">
    <cfRule type="expression" dxfId="576" priority="255">
      <formula>AND(AT46=0,(AU46&gt;0))</formula>
    </cfRule>
    <cfRule type="expression" dxfId="575" priority="256">
      <formula>((AU46-AT46)/AT46)&gt;0.05</formula>
    </cfRule>
  </conditionalFormatting>
  <conditionalFormatting sqref="K56:K60">
    <cfRule type="expression" dxfId="574" priority="325">
      <formula>AND(J56=0,(K56&gt;0))</formula>
    </cfRule>
    <cfRule type="expression" dxfId="573" priority="326">
      <formula>((K56-J56)/J56)&gt;0.05</formula>
    </cfRule>
  </conditionalFormatting>
  <conditionalFormatting sqref="K62">
    <cfRule type="expression" dxfId="572" priority="323">
      <formula>AND(J62=0,(K62&gt;0))</formula>
    </cfRule>
    <cfRule type="expression" dxfId="571" priority="324">
      <formula>((K62-J62)/J62)&gt;0.05</formula>
    </cfRule>
  </conditionalFormatting>
  <conditionalFormatting sqref="I56:I60">
    <cfRule type="expression" dxfId="570" priority="319">
      <formula>AND(H56=0,(I56&gt;0))</formula>
    </cfRule>
    <cfRule type="expression" dxfId="569" priority="320">
      <formula>((I56-H56)/H56)&gt;0.05</formula>
    </cfRule>
  </conditionalFormatting>
  <conditionalFormatting sqref="I62">
    <cfRule type="expression" dxfId="568" priority="317">
      <formula>AND(H62=0,(I62&gt;0))</formula>
    </cfRule>
    <cfRule type="expression" dxfId="567" priority="318">
      <formula>((I62-H62)/H62)&gt;0.05</formula>
    </cfRule>
  </conditionalFormatting>
  <conditionalFormatting sqref="I46:I60">
    <cfRule type="expression" dxfId="566" priority="315">
      <formula>AND(H46=0,(I46&gt;0))</formula>
    </cfRule>
    <cfRule type="expression" dxfId="565" priority="316">
      <formula>((I46-H46)/H46)&gt;0.05</formula>
    </cfRule>
  </conditionalFormatting>
  <conditionalFormatting sqref="U46:U60">
    <cfRule type="expression" dxfId="564" priority="309">
      <formula>AND(T46=0,(U46&gt;0))</formula>
    </cfRule>
    <cfRule type="expression" dxfId="563" priority="310">
      <formula>((U46-T46)/T46)&gt;0.05</formula>
    </cfRule>
  </conditionalFormatting>
  <conditionalFormatting sqref="U62">
    <cfRule type="expression" dxfId="562" priority="311">
      <formula>AND(T62=0,(U62&gt;0))</formula>
    </cfRule>
    <cfRule type="expression" dxfId="561" priority="312">
      <formula>((U62-T62)/T62)&gt;0.05</formula>
    </cfRule>
  </conditionalFormatting>
  <conditionalFormatting sqref="U56:U60">
    <cfRule type="expression" dxfId="560" priority="313">
      <formula>AND(T56=0,(U56&gt;0))</formula>
    </cfRule>
    <cfRule type="expression" dxfId="559" priority="314">
      <formula>((U56-T56)/T56)&gt;0.05</formula>
    </cfRule>
  </conditionalFormatting>
  <conditionalFormatting sqref="Y56:Y60">
    <cfRule type="expression" dxfId="558" priority="307">
      <formula>AND(X56=0,(Y56&gt;0))</formula>
    </cfRule>
    <cfRule type="expression" dxfId="557" priority="308">
      <formula>((Y56-X56)/X56)&gt;0.05</formula>
    </cfRule>
  </conditionalFormatting>
  <conditionalFormatting sqref="Y62">
    <cfRule type="expression" dxfId="556" priority="305">
      <formula>AND(X62=0,(Y62&gt;0))</formula>
    </cfRule>
    <cfRule type="expression" dxfId="555" priority="306">
      <formula>((Y62-X62)/X62)&gt;0.05</formula>
    </cfRule>
  </conditionalFormatting>
  <conditionalFormatting sqref="Y46:Y60">
    <cfRule type="expression" dxfId="554" priority="303">
      <formula>AND(X46=0,(Y46&gt;0))</formula>
    </cfRule>
    <cfRule type="expression" dxfId="553" priority="304">
      <formula>((Y46-X46)/X46)&gt;0.05</formula>
    </cfRule>
  </conditionalFormatting>
  <conditionalFormatting sqref="AE56:AE60">
    <cfRule type="expression" dxfId="552" priority="289">
      <formula>AND(AD56=0,(AE56&gt;0))</formula>
    </cfRule>
    <cfRule type="expression" dxfId="551" priority="290">
      <formula>((AE56-AD56)/AD56)&gt;0.05</formula>
    </cfRule>
  </conditionalFormatting>
  <conditionalFormatting sqref="AE62">
    <cfRule type="expression" dxfId="550" priority="287">
      <formula>AND(AD62=0,(AE62&gt;0))</formula>
    </cfRule>
    <cfRule type="expression" dxfId="549" priority="288">
      <formula>((AE62-AD62)/AD62)&gt;0.05</formula>
    </cfRule>
  </conditionalFormatting>
  <conditionalFormatting sqref="AE46:AE60">
    <cfRule type="expression" dxfId="548" priority="285">
      <formula>AND(AD46=0,(AE46&gt;0))</formula>
    </cfRule>
    <cfRule type="expression" dxfId="547" priority="286">
      <formula>((AE46-AD46)/AD46)&gt;0.05</formula>
    </cfRule>
  </conditionalFormatting>
  <conditionalFormatting sqref="AK56:AK60">
    <cfRule type="expression" dxfId="546" priority="283">
      <formula>AND(AJ56=0,(AK56&gt;0))</formula>
    </cfRule>
    <cfRule type="expression" dxfId="545" priority="284">
      <formula>((AK56-AJ56)/AJ56)&gt;0.05</formula>
    </cfRule>
  </conditionalFormatting>
  <conditionalFormatting sqref="AK62">
    <cfRule type="expression" dxfId="544" priority="281">
      <formula>AND(AJ62=0,(AK62&gt;0))</formula>
    </cfRule>
    <cfRule type="expression" dxfId="543" priority="282">
      <formula>((AK62-AJ62)/AJ62)&gt;0.05</formula>
    </cfRule>
  </conditionalFormatting>
  <conditionalFormatting sqref="AK46:AK60">
    <cfRule type="expression" dxfId="542" priority="279">
      <formula>AND(AJ46=0,(AK46&gt;0))</formula>
    </cfRule>
    <cfRule type="expression" dxfId="541" priority="280">
      <formula>((AK46-AJ46)/AJ46)&gt;0.05</formula>
    </cfRule>
  </conditionalFormatting>
  <conditionalFormatting sqref="AO62">
    <cfRule type="expression" dxfId="540" priority="275">
      <formula>AND(AN62=0,(AO62&gt;0))</formula>
    </cfRule>
    <cfRule type="expression" dxfId="539" priority="276">
      <formula>((AO62-AN62)/AN62)&gt;0.05</formula>
    </cfRule>
  </conditionalFormatting>
  <conditionalFormatting sqref="AO46:AO60">
    <cfRule type="expression" dxfId="538" priority="273">
      <formula>AND(AN46=0,(AO46&gt;0))</formula>
    </cfRule>
    <cfRule type="expression" dxfId="537" priority="274">
      <formula>((AO46-AN46)/AN46)&gt;0.05</formula>
    </cfRule>
  </conditionalFormatting>
  <conditionalFormatting sqref="AQ56:AQ60">
    <cfRule type="expression" dxfId="536" priority="271">
      <formula>AND(AP56=0,(AQ56&gt;0))</formula>
    </cfRule>
    <cfRule type="expression" dxfId="535" priority="272">
      <formula>((AQ56-AP56)/AP56)&gt;0.05</formula>
    </cfRule>
  </conditionalFormatting>
  <conditionalFormatting sqref="AQ46:AQ60">
    <cfRule type="expression" dxfId="534" priority="267">
      <formula>AND(AP46=0,(AQ46&gt;0))</formula>
    </cfRule>
    <cfRule type="expression" dxfId="533" priority="268">
      <formula>((AQ46-AP46)/AP46)&gt;0.05</formula>
    </cfRule>
  </conditionalFormatting>
  <conditionalFormatting sqref="AS56:AS60">
    <cfRule type="expression" dxfId="532" priority="265">
      <formula>AND(AR56=0,(AS56&gt;0))</formula>
    </cfRule>
    <cfRule type="expression" dxfId="531" priority="266">
      <formula>((AS56-AR56)/AR56)&gt;0.05</formula>
    </cfRule>
  </conditionalFormatting>
  <conditionalFormatting sqref="AU56:AU60">
    <cfRule type="expression" dxfId="530" priority="259">
      <formula>AND(AT56=0,(AU56&gt;0))</formula>
    </cfRule>
    <cfRule type="expression" dxfId="529" priority="260">
      <formula>((AU56-AT56)/AT56)&gt;0.05</formula>
    </cfRule>
  </conditionalFormatting>
  <conditionalFormatting sqref="AU62">
    <cfRule type="expression" dxfId="528" priority="257">
      <formula>AND(AT62=0,(AU62&gt;0))</formula>
    </cfRule>
    <cfRule type="expression" dxfId="527" priority="258">
      <formula>((AU62-AT62)/AT62)&gt;0.05</formula>
    </cfRule>
  </conditionalFormatting>
  <conditionalFormatting sqref="Y662 K662 AC662 I662 AA662 AE662 AK662 AO662 AQ662 AS662 AU662">
    <cfRule type="expression" dxfId="526" priority="253">
      <formula>AND(H662=0,(I662&gt;0))</formula>
    </cfRule>
    <cfRule type="expression" dxfId="525" priority="254">
      <formula>((I662-H662)/H662)&gt;0.05</formula>
    </cfRule>
  </conditionalFormatting>
  <conditionalFormatting sqref="O644:O657">
    <cfRule type="expression" dxfId="524" priority="251">
      <formula>AND(N644=0,(O644&gt;0))</formula>
    </cfRule>
    <cfRule type="expression" dxfId="523" priority="252">
      <formula>((O644-N644)/N644)&gt;0.05</formula>
    </cfRule>
  </conditionalFormatting>
  <conditionalFormatting sqref="K660">
    <cfRule type="expression" dxfId="522" priority="237">
      <formula>AND(J660=0,(K660&gt;0))</formula>
    </cfRule>
    <cfRule type="expression" dxfId="521" priority="238">
      <formula>((K660-J660)/J660)&gt;0.05</formula>
    </cfRule>
  </conditionalFormatting>
  <conditionalFormatting sqref="O620:O643">
    <cfRule type="expression" dxfId="520" priority="249">
      <formula>AND(N620=0,(O620&gt;0))</formula>
    </cfRule>
    <cfRule type="expression" dxfId="519" priority="250">
      <formula>((O620-N620)/N620)&gt;0.05</formula>
    </cfRule>
  </conditionalFormatting>
  <conditionalFormatting sqref="I660">
    <cfRule type="expression" dxfId="518" priority="227">
      <formula>AND(H660=0,(I660&gt;0))</formula>
    </cfRule>
    <cfRule type="expression" dxfId="517" priority="228">
      <formula>((I660-H660)/H660)&gt;0.05</formula>
    </cfRule>
  </conditionalFormatting>
  <conditionalFormatting sqref="Y658:Y659">
    <cfRule type="expression" dxfId="516" priority="221">
      <formula>AND(X658=0,(Y658&gt;0))</formula>
    </cfRule>
    <cfRule type="expression" dxfId="515" priority="222">
      <formula>((Y658-X658)/X658)&gt;0.05</formula>
    </cfRule>
  </conditionalFormatting>
  <conditionalFormatting sqref="K658:K659">
    <cfRule type="expression" dxfId="514" priority="243">
      <formula>AND(J658=0,(K658&gt;0))</formula>
    </cfRule>
    <cfRule type="expression" dxfId="513" priority="244">
      <formula>((K658-J658)/J658)&gt;0.05</formula>
    </cfRule>
  </conditionalFormatting>
  <conditionalFormatting sqref="U644:U657">
    <cfRule type="expression" dxfId="512" priority="225">
      <formula>AND(T644=0,(U644&gt;0))</formula>
    </cfRule>
    <cfRule type="expression" dxfId="511" priority="226">
      <formula>((U644-T644)/T644)&gt;0.05</formula>
    </cfRule>
  </conditionalFormatting>
  <conditionalFormatting sqref="U620:U643">
    <cfRule type="expression" dxfId="510" priority="223">
      <formula>AND(T620=0,(U620&gt;0))</formula>
    </cfRule>
    <cfRule type="expression" dxfId="509" priority="224">
      <formula>((U620-T620)/T620)&gt;0.05</formula>
    </cfRule>
  </conditionalFormatting>
  <conditionalFormatting sqref="M620:M643">
    <cfRule type="expression" dxfId="508" priority="245">
      <formula>AND(L620=0,(M620&gt;0))</formula>
    </cfRule>
    <cfRule type="expression" dxfId="507" priority="246">
      <formula>((M620-L620)/L620)&gt;0.05</formula>
    </cfRule>
  </conditionalFormatting>
  <conditionalFormatting sqref="AA660">
    <cfRule type="expression" dxfId="506" priority="203">
      <formula>AND(Z660=0,(AA660&gt;0))</formula>
    </cfRule>
    <cfRule type="expression" dxfId="505" priority="204">
      <formula>((AA660-Z660)/Z660)&gt;0.05</formula>
    </cfRule>
  </conditionalFormatting>
  <conditionalFormatting sqref="AC658:AC659">
    <cfRule type="expression" dxfId="504" priority="201">
      <formula>AND(AB658=0,(AC658&gt;0))</formula>
    </cfRule>
    <cfRule type="expression" dxfId="503" priority="202">
      <formula>((AC658-AB658)/AB658)&gt;0.05</formula>
    </cfRule>
  </conditionalFormatting>
  <conditionalFormatting sqref="I644:I657">
    <cfRule type="expression" dxfId="502" priority="233">
      <formula>AND(H644=0,(I644&gt;0))</formula>
    </cfRule>
    <cfRule type="expression" dxfId="501" priority="234">
      <formula>((I644-H644)/H644)&gt;0.05</formula>
    </cfRule>
  </conditionalFormatting>
  <conditionalFormatting sqref="I620:I643">
    <cfRule type="expression" dxfId="500" priority="231">
      <formula>AND(H620=0,(I620&gt;0))</formula>
    </cfRule>
    <cfRule type="expression" dxfId="499" priority="232">
      <formula>((I620-H620)/H620)&gt;0.05</formula>
    </cfRule>
  </conditionalFormatting>
  <conditionalFormatting sqref="AE644:AE657">
    <cfRule type="expression" dxfId="498" priority="189">
      <formula>AND(AD644=0,(AE644&gt;0))</formula>
    </cfRule>
    <cfRule type="expression" dxfId="497" priority="190">
      <formula>((AE644-AD644)/AD644)&gt;0.05</formula>
    </cfRule>
  </conditionalFormatting>
  <conditionalFormatting sqref="AC644:AC657">
    <cfRule type="expression" dxfId="496" priority="199">
      <formula>AND(AB644=0,(AC644&gt;0))</formula>
    </cfRule>
    <cfRule type="expression" dxfId="495" priority="200">
      <formula>((AC644-AB644)/AB644)&gt;0.05</formula>
    </cfRule>
  </conditionalFormatting>
  <conditionalFormatting sqref="AC620:AC643">
    <cfRule type="expression" dxfId="494" priority="197">
      <formula>AND(AB620=0,(AC620&gt;0))</formula>
    </cfRule>
    <cfRule type="expression" dxfId="493" priority="198">
      <formula>((AC620-AB620)/AB620)&gt;0.05</formula>
    </cfRule>
  </conditionalFormatting>
  <conditionalFormatting sqref="AK660">
    <cfRule type="expression" dxfId="492" priority="173">
      <formula>AND(AJ660=0,(AK660&gt;0))</formula>
    </cfRule>
    <cfRule type="expression" dxfId="491" priority="174">
      <formula>((AK660-AJ660)/AJ660)&gt;0.05</formula>
    </cfRule>
  </conditionalFormatting>
  <conditionalFormatting sqref="I658:I659">
    <cfRule type="expression" dxfId="490" priority="235">
      <formula>AND(H658=0,(I658&gt;0))</formula>
    </cfRule>
    <cfRule type="expression" dxfId="489" priority="236">
      <formula>((I658-H658)/H658)&gt;0.05</formula>
    </cfRule>
  </conditionalFormatting>
  <conditionalFormatting sqref="Y660">
    <cfRule type="expression" dxfId="488" priority="213">
      <formula>AND(X660=0,(Y660&gt;0))</formula>
    </cfRule>
    <cfRule type="expression" dxfId="487" priority="214">
      <formula>((Y660-X660)/X660)&gt;0.05</formula>
    </cfRule>
  </conditionalFormatting>
  <conditionalFormatting sqref="AE620:AE643">
    <cfRule type="expression" dxfId="486" priority="187">
      <formula>AND(AD620=0,(AE620&gt;0))</formula>
    </cfRule>
    <cfRule type="expression" dxfId="485" priority="188">
      <formula>((AE620-AD620)/AD620)&gt;0.05</formula>
    </cfRule>
  </conditionalFormatting>
  <conditionalFormatting sqref="AO660">
    <cfRule type="expression" dxfId="484" priority="163">
      <formula>AND(AN660=0,(AO660&gt;0))</formula>
    </cfRule>
    <cfRule type="expression" dxfId="483" priority="164">
      <formula>((AO660-AN660)/AN660)&gt;0.05</formula>
    </cfRule>
  </conditionalFormatting>
  <conditionalFormatting sqref="M644:M657">
    <cfRule type="expression" dxfId="482" priority="247">
      <formula>AND(L644=0,(M644&gt;0))</formula>
    </cfRule>
    <cfRule type="expression" dxfId="481" priority="248">
      <formula>((M644-L644)/L644)&gt;0.05</formula>
    </cfRule>
  </conditionalFormatting>
  <conditionalFormatting sqref="K644:K657">
    <cfRule type="expression" dxfId="480" priority="241">
      <formula>AND(J644=0,(K644&gt;0))</formula>
    </cfRule>
    <cfRule type="expression" dxfId="479" priority="242">
      <formula>((K644-J644)/J644)&gt;0.05</formula>
    </cfRule>
  </conditionalFormatting>
  <conditionalFormatting sqref="K620:K643">
    <cfRule type="expression" dxfId="478" priority="239">
      <formula>AND(J620=0,(K620&gt;0))</formula>
    </cfRule>
    <cfRule type="expression" dxfId="477" priority="240">
      <formula>((K620-J620)/J620)&gt;0.05</formula>
    </cfRule>
  </conditionalFormatting>
  <conditionalFormatting sqref="I661">
    <cfRule type="expression" dxfId="476" priority="229">
      <formula>AND(H660=0,(I661&gt;0))</formula>
    </cfRule>
    <cfRule type="expression" dxfId="475" priority="230">
      <formula>((I661-H660)/H660)&gt;0.05</formula>
    </cfRule>
  </conditionalFormatting>
  <conditionalFormatting sqref="Y644:Y657">
    <cfRule type="expression" dxfId="474" priority="219">
      <formula>AND(X644=0,(Y644&gt;0))</formula>
    </cfRule>
    <cfRule type="expression" dxfId="473" priority="220">
      <formula>((Y644-X644)/X644)&gt;0.05</formula>
    </cfRule>
  </conditionalFormatting>
  <conditionalFormatting sqref="Y620:Y643">
    <cfRule type="expression" dxfId="472" priority="217">
      <formula>AND(X620=0,(Y620&gt;0))</formula>
    </cfRule>
    <cfRule type="expression" dxfId="471" priority="218">
      <formula>((Y620-X620)/X620)&gt;0.05</formula>
    </cfRule>
  </conditionalFormatting>
  <conditionalFormatting sqref="Y661">
    <cfRule type="expression" dxfId="470" priority="215">
      <formula>AND(X660=0,(Y661&gt;0))</formula>
    </cfRule>
    <cfRule type="expression" dxfId="469" priority="216">
      <formula>((Y661-X660)/X660)&gt;0.05</formula>
    </cfRule>
  </conditionalFormatting>
  <conditionalFormatting sqref="AA658:AA659">
    <cfRule type="expression" dxfId="468" priority="211">
      <formula>AND(Z658=0,(AA658&gt;0))</formula>
    </cfRule>
    <cfRule type="expression" dxfId="467" priority="212">
      <formula>((AA658-Z658)/Z658)&gt;0.05</formula>
    </cfRule>
  </conditionalFormatting>
  <conditionalFormatting sqref="AA644:AA657">
    <cfRule type="expression" dxfId="466" priority="209">
      <formula>AND(Z644=0,(AA644&gt;0))</formula>
    </cfRule>
    <cfRule type="expression" dxfId="465" priority="210">
      <formula>((AA644-Z644)/Z644)&gt;0.05</formula>
    </cfRule>
  </conditionalFormatting>
  <conditionalFormatting sqref="AA620:AA643">
    <cfRule type="expression" dxfId="464" priority="207">
      <formula>AND(Z620=0,(AA620&gt;0))</formula>
    </cfRule>
    <cfRule type="expression" dxfId="463" priority="208">
      <formula>((AA620-Z620)/Z620)&gt;0.05</formula>
    </cfRule>
  </conditionalFormatting>
  <conditionalFormatting sqref="AA661">
    <cfRule type="expression" dxfId="462" priority="205">
      <formula>AND(Z660=0,(AA661&gt;0))</formula>
    </cfRule>
    <cfRule type="expression" dxfId="461" priority="206">
      <formula>((AA661-Z660)/Z660)&gt;0.05</formula>
    </cfRule>
  </conditionalFormatting>
  <conditionalFormatting sqref="AC661">
    <cfRule type="expression" dxfId="460" priority="195">
      <formula>AND(AB660=0,(AC661&gt;0))</formula>
    </cfRule>
    <cfRule type="expression" dxfId="459" priority="196">
      <formula>((AC661-AB660)/AB660)&gt;0.05</formula>
    </cfRule>
  </conditionalFormatting>
  <conditionalFormatting sqref="AC660">
    <cfRule type="expression" dxfId="458" priority="193">
      <formula>AND(AB660=0,(AC660&gt;0))</formula>
    </cfRule>
    <cfRule type="expression" dxfId="457" priority="194">
      <formula>((AC660-AB660)/AB660)&gt;0.05</formula>
    </cfRule>
  </conditionalFormatting>
  <conditionalFormatting sqref="AE658:AE659">
    <cfRule type="expression" dxfId="456" priority="191">
      <formula>AND(AD658=0,(AE658&gt;0))</formula>
    </cfRule>
    <cfRule type="expression" dxfId="455" priority="192">
      <formula>((AE658-AD658)/AD658)&gt;0.05</formula>
    </cfRule>
  </conditionalFormatting>
  <conditionalFormatting sqref="AE661">
    <cfRule type="expression" dxfId="454" priority="185">
      <formula>AND(AD660=0,(AE661&gt;0))</formula>
    </cfRule>
    <cfRule type="expression" dxfId="453" priority="186">
      <formula>((AE661-AD660)/AD660)&gt;0.05</formula>
    </cfRule>
  </conditionalFormatting>
  <conditionalFormatting sqref="AE660">
    <cfRule type="expression" dxfId="452" priority="183">
      <formula>AND(AD660=0,(AE660&gt;0))</formula>
    </cfRule>
    <cfRule type="expression" dxfId="451" priority="184">
      <formula>((AE660-AD660)/AD660)&gt;0.05</formula>
    </cfRule>
  </conditionalFormatting>
  <conditionalFormatting sqref="AK658:AK659">
    <cfRule type="expression" dxfId="450" priority="181">
      <formula>AND(AJ658=0,(AK658&gt;0))</formula>
    </cfRule>
    <cfRule type="expression" dxfId="449" priority="182">
      <formula>((AK658-AJ658)/AJ658)&gt;0.05</formula>
    </cfRule>
  </conditionalFormatting>
  <conditionalFormatting sqref="AK620:AK643">
    <cfRule type="expression" dxfId="448" priority="177">
      <formula>AND(AJ620=0,(AK620&gt;0))</formula>
    </cfRule>
    <cfRule type="expression" dxfId="447" priority="178">
      <formula>((AK620-AJ620)/AJ620)&gt;0.05</formula>
    </cfRule>
  </conditionalFormatting>
  <conditionalFormatting sqref="AO658:AO659">
    <cfRule type="expression" dxfId="446" priority="171">
      <formula>AND(AN658=0,(AO658&gt;0))</formula>
    </cfRule>
    <cfRule type="expression" dxfId="445" priority="172">
      <formula>((AO658-AN658)/AN658)&gt;0.05</formula>
    </cfRule>
  </conditionalFormatting>
  <conditionalFormatting sqref="AK644:AK657">
    <cfRule type="expression" dxfId="444" priority="179">
      <formula>AND(AJ644=0,(AK644&gt;0))</formula>
    </cfRule>
    <cfRule type="expression" dxfId="443" priority="180">
      <formula>((AK644-AJ644)/AJ644)&gt;0.05</formula>
    </cfRule>
  </conditionalFormatting>
  <conditionalFormatting sqref="AK661">
    <cfRule type="expression" dxfId="442" priority="175">
      <formula>AND(AJ660=0,(AK661&gt;0))</formula>
    </cfRule>
    <cfRule type="expression" dxfId="441" priority="176">
      <formula>((AK661-AJ660)/AJ660)&gt;0.05</formula>
    </cfRule>
  </conditionalFormatting>
  <conditionalFormatting sqref="AO644:AO657">
    <cfRule type="expression" dxfId="440" priority="169">
      <formula>AND(AN644=0,(AO644&gt;0))</formula>
    </cfRule>
    <cfRule type="expression" dxfId="439" priority="170">
      <formula>((AO644-AN644)/AN644)&gt;0.05</formula>
    </cfRule>
  </conditionalFormatting>
  <conditionalFormatting sqref="AQ658:AQ659">
    <cfRule type="expression" dxfId="438" priority="161">
      <formula>AND(AP658=0,(AQ658&gt;0))</formula>
    </cfRule>
    <cfRule type="expression" dxfId="437" priority="162">
      <formula>((AQ658-AP658)/AP658)&gt;0.05</formula>
    </cfRule>
  </conditionalFormatting>
  <conditionalFormatting sqref="AO620:AO643">
    <cfRule type="expression" dxfId="436" priority="167">
      <formula>AND(AN620=0,(AO620&gt;0))</formula>
    </cfRule>
    <cfRule type="expression" dxfId="435" priority="168">
      <formula>((AO620-AN620)/AN620)&gt;0.05</formula>
    </cfRule>
  </conditionalFormatting>
  <conditionalFormatting sqref="AO661">
    <cfRule type="expression" dxfId="434" priority="165">
      <formula>AND(AN660=0,(AO661&gt;0))</formula>
    </cfRule>
    <cfRule type="expression" dxfId="433" priority="166">
      <formula>((AO661-AN660)/AN660)&gt;0.05</formula>
    </cfRule>
  </conditionalFormatting>
  <conditionalFormatting sqref="AS658:AS659">
    <cfRule type="expression" dxfId="432" priority="151">
      <formula>AND(AR658=0,(AS658&gt;0))</formula>
    </cfRule>
    <cfRule type="expression" dxfId="431" priority="152">
      <formula>((AS658-AR658)/AR658)&gt;0.05</formula>
    </cfRule>
  </conditionalFormatting>
  <conditionalFormatting sqref="AQ644:AQ657">
    <cfRule type="expression" dxfId="430" priority="159">
      <formula>AND(AP644=0,(AQ644&gt;0))</formula>
    </cfRule>
    <cfRule type="expression" dxfId="429" priority="160">
      <formula>((AQ644-AP644)/AP644)&gt;0.05</formula>
    </cfRule>
  </conditionalFormatting>
  <conditionalFormatting sqref="AQ620:AQ643">
    <cfRule type="expression" dxfId="428" priority="157">
      <formula>AND(AP620=0,(AQ620&gt;0))</formula>
    </cfRule>
    <cfRule type="expression" dxfId="427" priority="158">
      <formula>((AQ620-AP620)/AP620)&gt;0.05</formula>
    </cfRule>
  </conditionalFormatting>
  <conditionalFormatting sqref="AQ661">
    <cfRule type="expression" dxfId="426" priority="155">
      <formula>AND(AP660=0,(AQ661&gt;0))</formula>
    </cfRule>
    <cfRule type="expression" dxfId="425" priority="156">
      <formula>((AQ661-AP660)/AP660)&gt;0.05</formula>
    </cfRule>
  </conditionalFormatting>
  <conditionalFormatting sqref="AQ660">
    <cfRule type="expression" dxfId="424" priority="153">
      <formula>AND(AP660=0,(AQ660&gt;0))</formula>
    </cfRule>
    <cfRule type="expression" dxfId="423" priority="154">
      <formula>((AQ660-AP660)/AP660)&gt;0.05</formula>
    </cfRule>
  </conditionalFormatting>
  <conditionalFormatting sqref="AS644:AS657">
    <cfRule type="expression" dxfId="422" priority="149">
      <formula>AND(AR644=0,(AS644&gt;0))</formula>
    </cfRule>
    <cfRule type="expression" dxfId="421" priority="150">
      <formula>((AS644-AR644)/AR644)&gt;0.05</formula>
    </cfRule>
  </conditionalFormatting>
  <conditionalFormatting sqref="AS620:AS643">
    <cfRule type="expression" dxfId="420" priority="147">
      <formula>AND(AR620=0,(AS620&gt;0))</formula>
    </cfRule>
    <cfRule type="expression" dxfId="419" priority="148">
      <formula>((AS620-AR620)/AR620)&gt;0.05</formula>
    </cfRule>
  </conditionalFormatting>
  <conditionalFormatting sqref="AS661">
    <cfRule type="expression" dxfId="418" priority="145">
      <formula>AND(AR660=0,(AS661&gt;0))</formula>
    </cfRule>
    <cfRule type="expression" dxfId="417" priority="146">
      <formula>((AS661-AR660)/AR660)&gt;0.05</formula>
    </cfRule>
  </conditionalFormatting>
  <conditionalFormatting sqref="AS660">
    <cfRule type="expression" dxfId="416" priority="143">
      <formula>AND(AR660=0,(AS660&gt;0))</formula>
    </cfRule>
    <cfRule type="expression" dxfId="415" priority="144">
      <formula>((AS660-AR660)/AR660)&gt;0.05</formula>
    </cfRule>
  </conditionalFormatting>
  <conditionalFormatting sqref="AU658:AU659">
    <cfRule type="expression" dxfId="414" priority="141">
      <formula>AND(AT658=0,(AU658&gt;0))</formula>
    </cfRule>
    <cfRule type="expression" dxfId="413" priority="142">
      <formula>((AU658-AT658)/AT658)&gt;0.05</formula>
    </cfRule>
  </conditionalFormatting>
  <conditionalFormatting sqref="AU644:AU657">
    <cfRule type="expression" dxfId="412" priority="139">
      <formula>AND(AT644=0,(AU644&gt;0))</formula>
    </cfRule>
    <cfRule type="expression" dxfId="411" priority="140">
      <formula>((AU644-AT644)/AT644)&gt;0.05</formula>
    </cfRule>
  </conditionalFormatting>
  <conditionalFormatting sqref="AU620:AU643">
    <cfRule type="expression" dxfId="410" priority="137">
      <formula>AND(AT620=0,(AU620&gt;0))</formula>
    </cfRule>
    <cfRule type="expression" dxfId="409" priority="138">
      <formula>((AU620-AT620)/AT620)&gt;0.05</formula>
    </cfRule>
  </conditionalFormatting>
  <conditionalFormatting sqref="AU661">
    <cfRule type="expression" dxfId="408" priority="135">
      <formula>AND(AT660=0,(AU661&gt;0))</formula>
    </cfRule>
    <cfRule type="expression" dxfId="407" priority="136">
      <formula>((AU661-AT660)/AT660)&gt;0.05</formula>
    </cfRule>
  </conditionalFormatting>
  <conditionalFormatting sqref="AU660">
    <cfRule type="expression" dxfId="406" priority="133">
      <formula>AND(AT660=0,(AU660&gt;0))</formula>
    </cfRule>
    <cfRule type="expression" dxfId="405" priority="134">
      <formula>((AU660-AT660)/AT660)&gt;0.05</formula>
    </cfRule>
  </conditionalFormatting>
  <conditionalFormatting sqref="K661">
    <cfRule type="expression" dxfId="404" priority="131">
      <formula>AND(J661=0,(K661&gt;0))</formula>
    </cfRule>
    <cfRule type="expression" dxfId="403" priority="132">
      <formula>((K661-J661)/J661)&gt;0.05</formula>
    </cfRule>
  </conditionalFormatting>
  <conditionalFormatting sqref="M658">
    <cfRule type="expression" dxfId="402" priority="129">
      <formula>AND(L658=0,(M658&gt;0))</formula>
    </cfRule>
    <cfRule type="expression" dxfId="401" priority="130">
      <formula>((M658-L658)/L658)&gt;0.05</formula>
    </cfRule>
  </conditionalFormatting>
  <conditionalFormatting sqref="O658">
    <cfRule type="expression" dxfId="400" priority="127">
      <formula>AND(N658=0,(O658&gt;0))</formula>
    </cfRule>
    <cfRule type="expression" dxfId="399" priority="128">
      <formula>((O658-N658)/N658)&gt;0.05</formula>
    </cfRule>
  </conditionalFormatting>
  <conditionalFormatting sqref="U658">
    <cfRule type="expression" dxfId="398" priority="125">
      <formula>AND(T658=0,(U658&gt;0))</formula>
    </cfRule>
    <cfRule type="expression" dxfId="397" priority="126">
      <formula>((U658-T658)/T658)&gt;0.05</formula>
    </cfRule>
  </conditionalFormatting>
  <conditionalFormatting sqref="M662">
    <cfRule type="expression" dxfId="396" priority="123">
      <formula>AND(L662=0,(M662&gt;0))</formula>
    </cfRule>
    <cfRule type="expression" dxfId="395" priority="124">
      <formula>((M662-L662)/L662)&gt;0.05</formula>
    </cfRule>
  </conditionalFormatting>
  <conditionalFormatting sqref="M660">
    <cfRule type="expression" dxfId="394" priority="119">
      <formula>AND(L660=0,(M660&gt;0))</formula>
    </cfRule>
    <cfRule type="expression" dxfId="393" priority="120">
      <formula>((M660-L660)/L660)&gt;0.05</formula>
    </cfRule>
  </conditionalFormatting>
  <conditionalFormatting sqref="M659">
    <cfRule type="expression" dxfId="392" priority="121">
      <formula>AND(L659=0,(M659&gt;0))</formula>
    </cfRule>
    <cfRule type="expression" dxfId="391" priority="122">
      <formula>((M659-L659)/L659)&gt;0.05</formula>
    </cfRule>
  </conditionalFormatting>
  <conditionalFormatting sqref="M661">
    <cfRule type="expression" dxfId="390" priority="117">
      <formula>AND(L661=0,(M661&gt;0))</formula>
    </cfRule>
    <cfRule type="expression" dxfId="389" priority="118">
      <formula>((M661-L661)/L661)&gt;0.05</formula>
    </cfRule>
  </conditionalFormatting>
  <conditionalFormatting sqref="O662">
    <cfRule type="expression" dxfId="388" priority="115">
      <formula>AND(N662=0,(O662&gt;0))</formula>
    </cfRule>
    <cfRule type="expression" dxfId="387" priority="116">
      <formula>((O662-N662)/N662)&gt;0.05</formula>
    </cfRule>
  </conditionalFormatting>
  <conditionalFormatting sqref="O660">
    <cfRule type="expression" dxfId="386" priority="111">
      <formula>AND(N660=0,(O660&gt;0))</formula>
    </cfRule>
    <cfRule type="expression" dxfId="385" priority="112">
      <formula>((O660-N660)/N660)&gt;0.05</formula>
    </cfRule>
  </conditionalFormatting>
  <conditionalFormatting sqref="O659">
    <cfRule type="expression" dxfId="384" priority="113">
      <formula>AND(N659=0,(O659&gt;0))</formula>
    </cfRule>
    <cfRule type="expression" dxfId="383" priority="114">
      <formula>((O659-N659)/N659)&gt;0.05</formula>
    </cfRule>
  </conditionalFormatting>
  <conditionalFormatting sqref="O661">
    <cfRule type="expression" dxfId="382" priority="109">
      <formula>AND(N661=0,(O661&gt;0))</formula>
    </cfRule>
    <cfRule type="expression" dxfId="381" priority="110">
      <formula>((O661-N661)/N661)&gt;0.05</formula>
    </cfRule>
  </conditionalFormatting>
  <conditionalFormatting sqref="U662">
    <cfRule type="expression" dxfId="380" priority="107">
      <formula>AND(T662=0,(U662&gt;0))</formula>
    </cfRule>
    <cfRule type="expression" dxfId="379" priority="108">
      <formula>((U662-T662)/T662)&gt;0.05</formula>
    </cfRule>
  </conditionalFormatting>
  <conditionalFormatting sqref="U660">
    <cfRule type="expression" dxfId="378" priority="103">
      <formula>AND(T660=0,(U660&gt;0))</formula>
    </cfRule>
    <cfRule type="expression" dxfId="377" priority="104">
      <formula>((U660-T660)/T660)&gt;0.05</formula>
    </cfRule>
  </conditionalFormatting>
  <conditionalFormatting sqref="U659">
    <cfRule type="expression" dxfId="376" priority="105">
      <formula>AND(T659=0,(U659&gt;0))</formula>
    </cfRule>
    <cfRule type="expression" dxfId="375" priority="106">
      <formula>((U659-T659)/T659)&gt;0.05</formula>
    </cfRule>
  </conditionalFormatting>
  <conditionalFormatting sqref="U661">
    <cfRule type="expression" dxfId="374" priority="101">
      <formula>AND(T661=0,(U661&gt;0))</formula>
    </cfRule>
    <cfRule type="expression" dxfId="373" priority="102">
      <formula>((U661-T661)/T661)&gt;0.05</formula>
    </cfRule>
  </conditionalFormatting>
  <conditionalFormatting sqref="O80">
    <cfRule type="expression" dxfId="372" priority="99">
      <formula>AND(N80=0,(O80&gt;0))</formula>
    </cfRule>
    <cfRule type="expression" dxfId="371" priority="100">
      <formula>((O80-N80)/N80)&gt;0.05</formula>
    </cfRule>
  </conditionalFormatting>
  <conditionalFormatting sqref="M80">
    <cfRule type="expression" dxfId="370" priority="97">
      <formula>AND(L80=0,(M80&gt;0))</formula>
    </cfRule>
    <cfRule type="expression" dxfId="369" priority="98">
      <formula>((M80-L80)/L80)&gt;0.05</formula>
    </cfRule>
  </conditionalFormatting>
  <conditionalFormatting sqref="U80">
    <cfRule type="expression" dxfId="368" priority="91">
      <formula>AND(T80=0,(U80&gt;0))</formula>
    </cfRule>
    <cfRule type="expression" dxfId="367" priority="92">
      <formula>((U80-T80)/T80)&gt;0.05</formula>
    </cfRule>
  </conditionalFormatting>
  <conditionalFormatting sqref="K80">
    <cfRule type="expression" dxfId="366" priority="95">
      <formula>AND(J80=0,(K80&gt;0))</formula>
    </cfRule>
    <cfRule type="expression" dxfId="365" priority="96">
      <formula>((K80-J80)/J80)&gt;0.05</formula>
    </cfRule>
  </conditionalFormatting>
  <conditionalFormatting sqref="AA80">
    <cfRule type="expression" dxfId="364" priority="87">
      <formula>AND(Z80=0,(AA80&gt;0))</formula>
    </cfRule>
    <cfRule type="expression" dxfId="363" priority="88">
      <formula>((AA80-Z80)/Z80)&gt;0.05</formula>
    </cfRule>
  </conditionalFormatting>
  <conditionalFormatting sqref="I80">
    <cfRule type="expression" dxfId="362" priority="93">
      <formula>AND(H80=0,(I80&gt;0))</formula>
    </cfRule>
    <cfRule type="expression" dxfId="361" priority="94">
      <formula>((I80-H80)/H80)&gt;0.05</formula>
    </cfRule>
  </conditionalFormatting>
  <conditionalFormatting sqref="Y80">
    <cfRule type="expression" dxfId="360" priority="89">
      <formula>AND(X80=0,(Y80&gt;0))</formula>
    </cfRule>
    <cfRule type="expression" dxfId="359" priority="90">
      <formula>((Y80-X80)/X80)&gt;0.05</formula>
    </cfRule>
  </conditionalFormatting>
  <conditionalFormatting sqref="AC80">
    <cfRule type="expression" dxfId="358" priority="85">
      <formula>AND(AB80=0,(AC80&gt;0))</formula>
    </cfRule>
    <cfRule type="expression" dxfId="357" priority="86">
      <formula>((AC80-AB80)/AB80)&gt;0.05</formula>
    </cfRule>
  </conditionalFormatting>
  <conditionalFormatting sqref="AE80">
    <cfRule type="expression" dxfId="356" priority="83">
      <formula>AND(AD80=0,(AE80&gt;0))</formula>
    </cfRule>
    <cfRule type="expression" dxfId="355" priority="84">
      <formula>((AE80-AD80)/AD80)&gt;0.05</formula>
    </cfRule>
  </conditionalFormatting>
  <conditionalFormatting sqref="AK80">
    <cfRule type="expression" dxfId="354" priority="81">
      <formula>AND(AJ80=0,(AK80&gt;0))</formula>
    </cfRule>
    <cfRule type="expression" dxfId="353" priority="82">
      <formula>((AK80-AJ80)/AJ80)&gt;0.05</formula>
    </cfRule>
  </conditionalFormatting>
  <conditionalFormatting sqref="AO80">
    <cfRule type="expression" dxfId="352" priority="79">
      <formula>AND(AN80=0,(AO80&gt;0))</formula>
    </cfRule>
    <cfRule type="expression" dxfId="351" priority="80">
      <formula>((AO80-AN80)/AN80)&gt;0.05</formula>
    </cfRule>
  </conditionalFormatting>
  <conditionalFormatting sqref="AQ80">
    <cfRule type="expression" dxfId="350" priority="77">
      <formula>AND(AP80=0,(AQ80&gt;0))</formula>
    </cfRule>
    <cfRule type="expression" dxfId="349" priority="78">
      <formula>((AQ80-AP80)/AP80)&gt;0.05</formula>
    </cfRule>
  </conditionalFormatting>
  <conditionalFormatting sqref="AS80">
    <cfRule type="expression" dxfId="348" priority="75">
      <formula>AND(AR80=0,(AS80&gt;0))</formula>
    </cfRule>
    <cfRule type="expression" dxfId="347" priority="76">
      <formula>((AS80-AR80)/AR80)&gt;0.05</formula>
    </cfRule>
  </conditionalFormatting>
  <conditionalFormatting sqref="AU80">
    <cfRule type="expression" dxfId="346" priority="73">
      <formula>AND(AT80=0,(AU80&gt;0))</formula>
    </cfRule>
    <cfRule type="expression" dxfId="345" priority="74">
      <formula>((AU80-AT80)/AT80)&gt;0.05</formula>
    </cfRule>
  </conditionalFormatting>
  <conditionalFormatting sqref="M424:M426">
    <cfRule type="expression" dxfId="344" priority="67">
      <formula>AND(L424=0,(M424&gt;0))</formula>
    </cfRule>
    <cfRule type="expression" dxfId="343" priority="68">
      <formula>((M424-L424)/L424)&gt;0.05</formula>
    </cfRule>
  </conditionalFormatting>
  <conditionalFormatting sqref="I424:I426">
    <cfRule type="expression" dxfId="342" priority="59">
      <formula>AND(H424=0,(I424&gt;0))</formula>
    </cfRule>
    <cfRule type="expression" dxfId="341" priority="60">
      <formula>((I424-H424)/H424)&gt;0.05</formula>
    </cfRule>
  </conditionalFormatting>
  <conditionalFormatting sqref="I427:I455">
    <cfRule type="expression" dxfId="340" priority="57">
      <formula>AND(H427=0,(I427&gt;0))</formula>
    </cfRule>
    <cfRule type="expression" dxfId="339" priority="58">
      <formula>((I427-H427)/H427)&gt;0.05</formula>
    </cfRule>
  </conditionalFormatting>
  <conditionalFormatting sqref="AE424:AE426">
    <cfRule type="expression" dxfId="338" priority="39">
      <formula>AND(AD424=0,(AE424&gt;0))</formula>
    </cfRule>
    <cfRule type="expression" dxfId="337" priority="40">
      <formula>((AE424-AD424)/AD424)&gt;0.05</formula>
    </cfRule>
  </conditionalFormatting>
  <conditionalFormatting sqref="AE427:AE455">
    <cfRule type="expression" dxfId="336" priority="37">
      <formula>AND(AD427=0,(AE427&gt;0))</formula>
    </cfRule>
    <cfRule type="expression" dxfId="335" priority="38">
      <formula>((AE427-AD427)/AD427)&gt;0.05</formula>
    </cfRule>
  </conditionalFormatting>
  <conditionalFormatting sqref="O424:O426">
    <cfRule type="expression" dxfId="334" priority="71">
      <formula>AND(N424=0,(O424&gt;0))</formula>
    </cfRule>
    <cfRule type="expression" dxfId="333" priority="72">
      <formula>((O424-N424)/N424)&gt;0.05</formula>
    </cfRule>
  </conditionalFormatting>
  <conditionalFormatting sqref="O427:O455">
    <cfRule type="expression" dxfId="332" priority="69">
      <formula>AND(N427=0,(O427&gt;0))</formula>
    </cfRule>
    <cfRule type="expression" dxfId="331" priority="70">
      <formula>((O427-N427)/N427)&gt;0.05</formula>
    </cfRule>
  </conditionalFormatting>
  <conditionalFormatting sqref="U424:U426">
    <cfRule type="expression" dxfId="330" priority="55">
      <formula>AND(T424=0,(U424&gt;0))</formula>
    </cfRule>
    <cfRule type="expression" dxfId="329" priority="56">
      <formula>((U424-T424)/T424)&gt;0.05</formula>
    </cfRule>
  </conditionalFormatting>
  <conditionalFormatting sqref="AK424:AK426">
    <cfRule type="expression" dxfId="328" priority="35">
      <formula>AND(AJ424=0,(AK424&gt;0))</formula>
    </cfRule>
    <cfRule type="expression" dxfId="327" priority="36">
      <formula>((AK424-AJ424)/AJ424)&gt;0.05</formula>
    </cfRule>
  </conditionalFormatting>
  <conditionalFormatting sqref="AK427:AK455">
    <cfRule type="expression" dxfId="326" priority="33">
      <formula>AND(AJ427=0,(AK427&gt;0))</formula>
    </cfRule>
    <cfRule type="expression" dxfId="325" priority="34">
      <formula>((AK427-AJ427)/AJ427)&gt;0.05</formula>
    </cfRule>
  </conditionalFormatting>
  <conditionalFormatting sqref="AC424:AC426">
    <cfRule type="expression" dxfId="324" priority="43">
      <formula>AND(AB424=0,(AC424&gt;0))</formula>
    </cfRule>
    <cfRule type="expression" dxfId="323" priority="44">
      <formula>((AC424-AB424)/AB424)&gt;0.05</formula>
    </cfRule>
  </conditionalFormatting>
  <conditionalFormatting sqref="AA427:AA455">
    <cfRule type="expression" dxfId="322" priority="45">
      <formula>AND(Z427=0,(AA427&gt;0))</formula>
    </cfRule>
    <cfRule type="expression" dxfId="321" priority="46">
      <formula>((AA427-Z427)/Z427)&gt;0.05</formula>
    </cfRule>
  </conditionalFormatting>
  <conditionalFormatting sqref="M427:M455">
    <cfRule type="expression" dxfId="320" priority="65">
      <formula>AND(L427=0,(M427&gt;0))</formula>
    </cfRule>
    <cfRule type="expression" dxfId="319" priority="66">
      <formula>((M427-L427)/L427)&gt;0.05</formula>
    </cfRule>
  </conditionalFormatting>
  <conditionalFormatting sqref="K424:K426">
    <cfRule type="expression" dxfId="318" priority="63">
      <formula>AND(J424=0,(K424&gt;0))</formula>
    </cfRule>
    <cfRule type="expression" dxfId="317" priority="64">
      <formula>((K424-J424)/J424)&gt;0.05</formula>
    </cfRule>
  </conditionalFormatting>
  <conditionalFormatting sqref="K427:K455">
    <cfRule type="expression" dxfId="316" priority="61">
      <formula>AND(J427=0,(K427&gt;0))</formula>
    </cfRule>
    <cfRule type="expression" dxfId="315" priority="62">
      <formula>((K427-J427)/J427)&gt;0.05</formula>
    </cfRule>
  </conditionalFormatting>
  <conditionalFormatting sqref="U427:U455">
    <cfRule type="expression" dxfId="314" priority="53">
      <formula>AND(T427=0,(U427&gt;0))</formula>
    </cfRule>
    <cfRule type="expression" dxfId="313" priority="54">
      <formula>((U427-T427)/T427)&gt;0.05</formula>
    </cfRule>
  </conditionalFormatting>
  <conditionalFormatting sqref="Y424:Y426">
    <cfRule type="expression" dxfId="312" priority="51">
      <formula>AND(X424=0,(Y424&gt;0))</formula>
    </cfRule>
    <cfRule type="expression" dxfId="311" priority="52">
      <formula>((Y424-X424)/X424)&gt;0.05</formula>
    </cfRule>
  </conditionalFormatting>
  <conditionalFormatting sqref="Y427:Y455">
    <cfRule type="expression" dxfId="310" priority="49">
      <formula>AND(X427=0,(Y427&gt;0))</formula>
    </cfRule>
    <cfRule type="expression" dxfId="309" priority="50">
      <formula>((Y427-X427)/X427)&gt;0.05</formula>
    </cfRule>
  </conditionalFormatting>
  <conditionalFormatting sqref="AA424:AA426">
    <cfRule type="expression" dxfId="308" priority="47">
      <formula>AND(Z424=0,(AA424&gt;0))</formula>
    </cfRule>
    <cfRule type="expression" dxfId="307" priority="48">
      <formula>((AA424-Z424)/Z424)&gt;0.05</formula>
    </cfRule>
  </conditionalFormatting>
  <conditionalFormatting sqref="AC427:AC455">
    <cfRule type="expression" dxfId="306" priority="41">
      <formula>AND(AB427=0,(AC427&gt;0))</formula>
    </cfRule>
    <cfRule type="expression" dxfId="305" priority="42">
      <formula>((AC427-AB427)/AB427)&gt;0.05</formula>
    </cfRule>
  </conditionalFormatting>
  <conditionalFormatting sqref="AO424:AO426">
    <cfRule type="expression" dxfId="304" priority="31">
      <formula>AND(AN424=0,(AO424&gt;0))</formula>
    </cfRule>
    <cfRule type="expression" dxfId="303" priority="32">
      <formula>((AO424-AN424)/AN424)&gt;0.05</formula>
    </cfRule>
  </conditionalFormatting>
  <conditionalFormatting sqref="AO427:AO455">
    <cfRule type="expression" dxfId="302" priority="29">
      <formula>AND(AN427=0,(AO427&gt;0))</formula>
    </cfRule>
    <cfRule type="expression" dxfId="301" priority="30">
      <formula>((AO427-AN427)/AN427)&gt;0.05</formula>
    </cfRule>
  </conditionalFormatting>
  <conditionalFormatting sqref="AQ424:AQ426">
    <cfRule type="expression" dxfId="300" priority="27">
      <formula>AND(AP424=0,(AQ424&gt;0))</formula>
    </cfRule>
    <cfRule type="expression" dxfId="299" priority="28">
      <formula>((AQ424-AP424)/AP424)&gt;0.05</formula>
    </cfRule>
  </conditionalFormatting>
  <conditionalFormatting sqref="AQ427:AQ455">
    <cfRule type="expression" dxfId="298" priority="25">
      <formula>AND(AP427=0,(AQ427&gt;0))</formula>
    </cfRule>
    <cfRule type="expression" dxfId="297" priority="26">
      <formula>((AQ427-AP427)/AP427)&gt;0.05</formula>
    </cfRule>
  </conditionalFormatting>
  <conditionalFormatting sqref="AS424:AS426">
    <cfRule type="expression" dxfId="296" priority="23">
      <formula>AND(AR424=0,(AS424&gt;0))</formula>
    </cfRule>
    <cfRule type="expression" dxfId="295" priority="24">
      <formula>((AS424-AR424)/AR424)&gt;0.05</formula>
    </cfRule>
  </conditionalFormatting>
  <conditionalFormatting sqref="AS427:AS455">
    <cfRule type="expression" dxfId="294" priority="21">
      <formula>AND(AR427=0,(AS427&gt;0))</formula>
    </cfRule>
    <cfRule type="expression" dxfId="293" priority="22">
      <formula>((AS427-AR427)/AR427)&gt;0.05</formula>
    </cfRule>
  </conditionalFormatting>
  <conditionalFormatting sqref="AU424:AU426">
    <cfRule type="expression" dxfId="292" priority="19">
      <formula>AND(AT424=0,(AU424&gt;0))</formula>
    </cfRule>
    <cfRule type="expression" dxfId="291" priority="20">
      <formula>((AU424-AT424)/AT424)&gt;0.05</formula>
    </cfRule>
  </conditionalFormatting>
  <conditionalFormatting sqref="AU427:AU455">
    <cfRule type="expression" dxfId="290" priority="17">
      <formula>AND(AT427=0,(AU427&gt;0))</formula>
    </cfRule>
    <cfRule type="expression" dxfId="289" priority="18">
      <formula>((AU427-AT427)/AT427)&gt;0.05</formula>
    </cfRule>
  </conditionalFormatting>
  <conditionalFormatting sqref="O609:O619">
    <cfRule type="expression" dxfId="288" priority="15">
      <formula>AND(N609=0,(O609&gt;0))</formula>
    </cfRule>
    <cfRule type="expression" dxfId="287" priority="16">
      <formula>((O609-N609)/N609)&gt;0.05</formula>
    </cfRule>
  </conditionalFormatting>
  <conditionalFormatting sqref="AK532 AE532 AC532 AA532 Y532 K532 I532 AO532">
    <cfRule type="expression" dxfId="286" priority="13">
      <formula>AND(H532=0,(I532&gt;0))</formula>
    </cfRule>
    <cfRule type="expression" dxfId="285" priority="14">
      <formula>((I532-H532)/H532)&gt;0.05</formula>
    </cfRule>
  </conditionalFormatting>
  <conditionalFormatting sqref="M532">
    <cfRule type="expression" dxfId="284" priority="11">
      <formula>AND(L532=0,(M532&gt;0))</formula>
    </cfRule>
    <cfRule type="expression" dxfId="283" priority="12">
      <formula>((M532-L532)/L532)&gt;0.05</formula>
    </cfRule>
  </conditionalFormatting>
  <conditionalFormatting sqref="O532">
    <cfRule type="expression" dxfId="282" priority="9">
      <formula>AND(N532=0,(O532&gt;0))</formula>
    </cfRule>
    <cfRule type="expression" dxfId="281" priority="10">
      <formula>((O532-N532)/N532)&gt;0.05</formula>
    </cfRule>
  </conditionalFormatting>
  <conditionalFormatting sqref="U532">
    <cfRule type="expression" dxfId="280" priority="7">
      <formula>AND(T532=0,(U532&gt;0))</formula>
    </cfRule>
    <cfRule type="expression" dxfId="279" priority="8">
      <formula>((U532-T532)/T532)&gt;0.05</formula>
    </cfRule>
  </conditionalFormatting>
  <conditionalFormatting sqref="AQ532">
    <cfRule type="expression" dxfId="278" priority="5">
      <formula>AND(AP532=0,(AQ532&gt;0))</formula>
    </cfRule>
    <cfRule type="expression" dxfId="277" priority="6">
      <formula>((AQ532-AP532)/AP532)&gt;0.05</formula>
    </cfRule>
  </conditionalFormatting>
  <conditionalFormatting sqref="AS532">
    <cfRule type="expression" dxfId="276" priority="3">
      <formula>AND(AR532=0,(AS532&gt;0))</formula>
    </cfRule>
    <cfRule type="expression" dxfId="275" priority="4">
      <formula>((AS532-AR532)/AR532)&gt;0.05</formula>
    </cfRule>
  </conditionalFormatting>
  <conditionalFormatting sqref="AU532">
    <cfRule type="expression" dxfId="274" priority="1">
      <formula>AND(AT532=0,(AU532&gt;0))</formula>
    </cfRule>
    <cfRule type="expression" dxfId="273" priority="2">
      <formula>((AU532-AT532)/AT532)&gt;0.05</formula>
    </cfRule>
  </conditionalFormatting>
  <pageMargins left="0.75" right="0.75" top="1" bottom="1" header="0.5" footer="0.5"/>
  <pageSetup paperSize="5"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G209"/>
  <sheetViews>
    <sheetView workbookViewId="0">
      <selection sqref="A1:XFD1048576"/>
    </sheetView>
  </sheetViews>
  <sheetFormatPr defaultColWidth="9.33203125" defaultRowHeight="12.5"/>
  <cols>
    <col min="1" max="1" width="7.44140625" style="15" customWidth="1"/>
    <col min="2" max="2" width="46.6640625" style="15" customWidth="1"/>
    <col min="3" max="8" width="16.109375" style="15" customWidth="1"/>
    <col min="9" max="9" width="17.44140625" style="15" customWidth="1"/>
    <col min="10" max="13" width="14.33203125" style="15" customWidth="1"/>
    <col min="14" max="14" width="17" style="15" customWidth="1"/>
    <col min="15" max="15" width="13.77734375" style="15" customWidth="1"/>
    <col min="16" max="16" width="13.77734375" style="15" hidden="1" customWidth="1"/>
    <col min="17" max="18" width="14.44140625" style="15" customWidth="1"/>
    <col min="19" max="19" width="11.6640625" style="15" customWidth="1"/>
    <col min="20" max="20" width="8.44140625" style="15" customWidth="1"/>
    <col min="21" max="21" width="10.77734375" style="15" customWidth="1"/>
    <col min="22" max="22" width="9.77734375" style="15" customWidth="1"/>
    <col min="23" max="23" width="12.109375" style="15" customWidth="1"/>
    <col min="24" max="24" width="9.77734375" style="15" customWidth="1"/>
    <col min="25" max="25" width="12.109375" style="15" customWidth="1"/>
    <col min="26" max="26" width="8.6640625" style="15" customWidth="1"/>
    <col min="27" max="27" width="12.109375" style="15" customWidth="1"/>
    <col min="28" max="29" width="1.44140625" style="15" customWidth="1"/>
    <col min="30" max="30" width="2.109375" style="15" customWidth="1"/>
    <col min="31" max="31" width="14.44140625" style="15" customWidth="1"/>
    <col min="32" max="32" width="13.6640625" style="15" customWidth="1"/>
    <col min="33" max="33" width="12.6640625" style="15" customWidth="1"/>
    <col min="34" max="34" width="16" style="15" customWidth="1"/>
    <col min="35" max="35" width="16.44140625" style="15" customWidth="1"/>
    <col min="36" max="36" width="14.6640625" style="15" customWidth="1"/>
    <col min="37" max="37" width="14" style="15" customWidth="1"/>
    <col min="38" max="16384" width="9.33203125" style="15"/>
  </cols>
  <sheetData>
    <row r="1" spans="1:31">
      <c r="M1" s="75"/>
      <c r="T1" s="76"/>
      <c r="U1" s="76"/>
      <c r="V1" s="76"/>
      <c r="W1" s="76"/>
      <c r="X1" s="76"/>
      <c r="Y1" s="76"/>
      <c r="Z1" s="76"/>
      <c r="AA1" s="76"/>
    </row>
    <row r="2" spans="1:31">
      <c r="E2" s="77"/>
      <c r="F2" s="77"/>
      <c r="G2" s="77"/>
      <c r="H2" s="77"/>
      <c r="I2" s="77"/>
      <c r="J2" s="78"/>
      <c r="K2" s="77"/>
      <c r="L2" s="77"/>
      <c r="M2" s="79"/>
      <c r="N2" s="80"/>
      <c r="O2" s="78"/>
      <c r="P2" s="77"/>
      <c r="Q2" s="77"/>
      <c r="R2" s="77"/>
      <c r="S2" s="77"/>
      <c r="T2" s="81"/>
      <c r="U2" s="81"/>
      <c r="V2" s="81"/>
      <c r="W2" s="81"/>
      <c r="X2" s="81"/>
      <c r="Y2" s="81"/>
      <c r="Z2" s="81"/>
      <c r="AA2" s="82"/>
      <c r="AB2" s="83"/>
      <c r="AC2" s="84"/>
      <c r="AD2" s="85"/>
      <c r="AE2"/>
    </row>
    <row r="3" spans="1:31">
      <c r="A3" s="86"/>
      <c r="B3" s="77"/>
      <c r="C3" s="86"/>
      <c r="D3" s="77"/>
      <c r="E3" s="77"/>
      <c r="F3" s="77"/>
      <c r="G3" s="77"/>
      <c r="H3" s="77"/>
      <c r="I3" s="87"/>
      <c r="J3" s="86"/>
      <c r="K3" s="77"/>
      <c r="L3" s="77"/>
      <c r="M3" s="77"/>
      <c r="N3" s="87"/>
      <c r="O3" s="86"/>
      <c r="P3" s="77"/>
      <c r="Q3" s="87"/>
      <c r="R3" s="86"/>
      <c r="S3" s="86"/>
      <c r="T3" s="88"/>
      <c r="U3" s="88"/>
      <c r="V3" s="88"/>
      <c r="W3" s="88"/>
      <c r="X3" s="88"/>
      <c r="Y3" s="88"/>
      <c r="Z3" s="88"/>
      <c r="AA3" s="89"/>
      <c r="AB3" s="90"/>
      <c r="AC3" s="91"/>
      <c r="AD3" s="85"/>
      <c r="AE3"/>
    </row>
    <row r="4" spans="1:31">
      <c r="A4" s="86"/>
      <c r="B4" s="92"/>
      <c r="C4" s="93"/>
      <c r="D4" s="94"/>
      <c r="E4" s="94"/>
      <c r="F4" s="94"/>
      <c r="G4" s="94"/>
      <c r="H4" s="94"/>
      <c r="I4" s="95"/>
      <c r="J4" s="96"/>
      <c r="K4" s="97"/>
      <c r="L4" s="97"/>
      <c r="M4" s="97"/>
      <c r="N4" s="95"/>
      <c r="O4" s="96"/>
      <c r="P4" s="97"/>
      <c r="Q4" s="95"/>
      <c r="R4" s="86"/>
      <c r="S4" s="98"/>
      <c r="T4" s="88"/>
      <c r="U4" s="99"/>
      <c r="V4" s="100"/>
      <c r="W4" s="101"/>
      <c r="X4" s="100"/>
      <c r="Y4" s="101"/>
      <c r="Z4" s="88"/>
      <c r="AA4" s="102"/>
      <c r="AB4" s="90"/>
      <c r="AC4" s="103"/>
      <c r="AD4" s="85"/>
      <c r="AE4"/>
    </row>
    <row r="5" spans="1:31" ht="13">
      <c r="A5" s="104"/>
      <c r="B5" s="92"/>
      <c r="C5" s="86"/>
      <c r="D5" s="80"/>
      <c r="E5" s="80"/>
      <c r="F5" s="80"/>
      <c r="G5" s="80"/>
      <c r="H5" s="80"/>
      <c r="I5" s="86"/>
      <c r="J5" s="86"/>
      <c r="K5" s="80"/>
      <c r="L5" s="80"/>
      <c r="M5" s="80"/>
      <c r="N5" s="86"/>
      <c r="O5" s="86"/>
      <c r="P5" s="80"/>
      <c r="Q5" s="86"/>
      <c r="R5" s="86"/>
      <c r="S5" s="86"/>
      <c r="T5" s="88"/>
      <c r="U5" s="88"/>
      <c r="V5" s="88"/>
      <c r="W5" s="88"/>
      <c r="X5" s="88"/>
      <c r="Y5" s="88"/>
      <c r="Z5" s="88"/>
      <c r="AA5" s="105"/>
      <c r="AB5" s="90"/>
      <c r="AC5" s="91"/>
      <c r="AD5" s="85"/>
      <c r="AE5"/>
    </row>
    <row r="6" spans="1:31" ht="13">
      <c r="A6" s="106"/>
      <c r="B6" s="107"/>
      <c r="C6" s="108"/>
      <c r="D6" s="85"/>
      <c r="E6" s="85"/>
      <c r="F6" s="85"/>
      <c r="G6" s="85"/>
      <c r="H6" s="85"/>
      <c r="I6" s="108"/>
      <c r="J6" s="108"/>
      <c r="K6" s="85"/>
      <c r="L6" s="85"/>
      <c r="M6" s="85"/>
      <c r="N6" s="108"/>
      <c r="O6" s="108"/>
      <c r="P6" s="85"/>
      <c r="Q6" s="108"/>
      <c r="R6" s="108"/>
      <c r="S6" s="108"/>
      <c r="T6" s="109"/>
      <c r="U6" s="109"/>
      <c r="V6" s="109"/>
      <c r="W6" s="109"/>
      <c r="X6" s="109"/>
      <c r="Y6" s="109"/>
      <c r="Z6" s="109"/>
      <c r="AA6" s="110"/>
      <c r="AB6" s="111"/>
      <c r="AC6" s="112"/>
      <c r="AD6" s="85"/>
      <c r="AE6"/>
    </row>
    <row r="7" spans="1:31" ht="13">
      <c r="A7" s="106"/>
      <c r="B7" s="113"/>
      <c r="C7" s="114"/>
      <c r="D7" s="115"/>
      <c r="E7" s="115"/>
      <c r="F7" s="115"/>
      <c r="G7" s="115"/>
      <c r="H7" s="115"/>
      <c r="I7" s="114"/>
      <c r="J7" s="114"/>
      <c r="K7" s="115"/>
      <c r="L7" s="115"/>
      <c r="M7" s="115"/>
      <c r="N7" s="114"/>
      <c r="O7" s="116"/>
      <c r="P7" s="115"/>
      <c r="Q7" s="114"/>
      <c r="R7" s="114"/>
      <c r="S7" s="114"/>
      <c r="T7" s="117"/>
      <c r="U7" s="117"/>
      <c r="V7" s="117"/>
      <c r="W7" s="117"/>
      <c r="X7" s="117"/>
      <c r="Y7" s="117"/>
      <c r="Z7" s="117"/>
      <c r="AA7" s="118"/>
      <c r="AB7" s="119"/>
      <c r="AC7" s="120"/>
      <c r="AD7" s="115"/>
      <c r="AE7"/>
    </row>
    <row r="8" spans="1:31" ht="13">
      <c r="A8" s="106"/>
      <c r="B8" s="107"/>
      <c r="C8" s="108"/>
      <c r="D8" s="85"/>
      <c r="E8" s="85"/>
      <c r="F8" s="85"/>
      <c r="G8" s="85"/>
      <c r="H8" s="85"/>
      <c r="I8" s="108"/>
      <c r="J8" s="108"/>
      <c r="K8" s="85"/>
      <c r="L8" s="85"/>
      <c r="M8" s="85"/>
      <c r="N8" s="108"/>
      <c r="O8" s="121"/>
      <c r="P8" s="85"/>
      <c r="Q8" s="108"/>
      <c r="R8" s="108"/>
      <c r="S8" s="108"/>
      <c r="T8" s="109"/>
      <c r="U8" s="109"/>
      <c r="V8" s="109"/>
      <c r="W8" s="109"/>
      <c r="X8" s="109"/>
      <c r="Y8" s="109"/>
      <c r="Z8" s="109"/>
      <c r="AA8" s="122"/>
      <c r="AB8" s="111"/>
      <c r="AC8" s="112"/>
      <c r="AD8" s="85"/>
      <c r="AE8"/>
    </row>
    <row r="9" spans="1:31" ht="13">
      <c r="A9" s="106"/>
      <c r="B9" s="107"/>
      <c r="C9" s="108"/>
      <c r="D9" s="85"/>
      <c r="E9" s="85"/>
      <c r="F9" s="85"/>
      <c r="G9" s="85"/>
      <c r="H9" s="85"/>
      <c r="I9" s="108"/>
      <c r="J9" s="108"/>
      <c r="K9" s="85"/>
      <c r="L9" s="85"/>
      <c r="M9" s="85"/>
      <c r="N9" s="108"/>
      <c r="O9" s="121"/>
      <c r="P9" s="85"/>
      <c r="Q9" s="108"/>
      <c r="R9" s="108"/>
      <c r="S9" s="108"/>
      <c r="T9" s="109"/>
      <c r="U9" s="109"/>
      <c r="V9" s="109"/>
      <c r="W9" s="109"/>
      <c r="X9" s="109"/>
      <c r="Y9" s="109"/>
      <c r="Z9" s="109"/>
      <c r="AA9" s="122"/>
      <c r="AB9" s="111"/>
      <c r="AC9" s="112"/>
      <c r="AD9" s="85"/>
      <c r="AE9"/>
    </row>
    <row r="10" spans="1:31" ht="13">
      <c r="A10" s="106"/>
      <c r="B10" s="113"/>
      <c r="C10" s="114"/>
      <c r="D10" s="115"/>
      <c r="E10" s="115"/>
      <c r="F10" s="115"/>
      <c r="G10" s="115"/>
      <c r="H10" s="115"/>
      <c r="I10" s="114"/>
      <c r="J10" s="114"/>
      <c r="K10" s="115"/>
      <c r="L10" s="115"/>
      <c r="M10" s="115"/>
      <c r="N10" s="114"/>
      <c r="O10" s="116"/>
      <c r="P10" s="115"/>
      <c r="Q10" s="114"/>
      <c r="R10" s="114"/>
      <c r="S10" s="114"/>
      <c r="T10" s="117"/>
      <c r="U10" s="117"/>
      <c r="V10" s="117"/>
      <c r="W10" s="117"/>
      <c r="X10" s="117"/>
      <c r="Y10" s="117"/>
      <c r="Z10" s="117"/>
      <c r="AA10" s="118"/>
      <c r="AB10" s="119"/>
      <c r="AC10" s="120"/>
      <c r="AD10" s="115"/>
      <c r="AE10"/>
    </row>
    <row r="11" spans="1:31" ht="13">
      <c r="A11" s="106"/>
      <c r="B11" s="107"/>
      <c r="C11" s="108"/>
      <c r="D11" s="85"/>
      <c r="E11" s="85"/>
      <c r="F11" s="85"/>
      <c r="G11" s="85"/>
      <c r="H11" s="85"/>
      <c r="I11" s="108"/>
      <c r="J11" s="108"/>
      <c r="K11" s="85"/>
      <c r="L11" s="85"/>
      <c r="M11" s="85"/>
      <c r="N11" s="108"/>
      <c r="O11" s="121"/>
      <c r="P11" s="85"/>
      <c r="Q11" s="108"/>
      <c r="R11" s="108"/>
      <c r="S11" s="108"/>
      <c r="T11" s="109"/>
      <c r="U11" s="109"/>
      <c r="V11" s="109"/>
      <c r="W11" s="109"/>
      <c r="X11" s="109"/>
      <c r="Y11" s="109"/>
      <c r="Z11" s="109"/>
      <c r="AA11" s="122"/>
      <c r="AB11" s="111"/>
      <c r="AC11" s="112"/>
      <c r="AD11" s="85"/>
      <c r="AE11"/>
    </row>
    <row r="12" spans="1:31" ht="13">
      <c r="A12" s="106"/>
      <c r="B12" s="107"/>
      <c r="C12" s="108"/>
      <c r="D12" s="85"/>
      <c r="E12" s="85"/>
      <c r="F12" s="85"/>
      <c r="G12" s="85"/>
      <c r="H12" s="85"/>
      <c r="I12" s="108"/>
      <c r="J12" s="108"/>
      <c r="K12" s="85"/>
      <c r="L12" s="85"/>
      <c r="M12" s="85"/>
      <c r="N12" s="108"/>
      <c r="O12" s="121"/>
      <c r="P12" s="85"/>
      <c r="Q12" s="108"/>
      <c r="R12" s="108"/>
      <c r="S12" s="108"/>
      <c r="T12" s="109"/>
      <c r="U12" s="109"/>
      <c r="V12" s="109"/>
      <c r="W12" s="109"/>
      <c r="X12" s="109"/>
      <c r="Y12" s="109"/>
      <c r="Z12" s="109"/>
      <c r="AA12" s="122"/>
      <c r="AB12" s="111"/>
      <c r="AC12" s="112"/>
      <c r="AD12" s="85"/>
      <c r="AE12"/>
    </row>
    <row r="13" spans="1:31" ht="13">
      <c r="A13" s="106"/>
      <c r="B13" s="113"/>
      <c r="C13" s="114"/>
      <c r="D13" s="115"/>
      <c r="E13" s="115"/>
      <c r="F13" s="115"/>
      <c r="G13" s="115"/>
      <c r="H13" s="115"/>
      <c r="I13" s="114"/>
      <c r="J13" s="114"/>
      <c r="K13" s="115"/>
      <c r="L13" s="115"/>
      <c r="M13" s="115"/>
      <c r="N13" s="114"/>
      <c r="O13" s="116"/>
      <c r="P13" s="115"/>
      <c r="Q13" s="114"/>
      <c r="R13" s="114"/>
      <c r="S13" s="114"/>
      <c r="T13" s="117"/>
      <c r="U13" s="117"/>
      <c r="V13" s="117"/>
      <c r="W13" s="117"/>
      <c r="X13" s="117"/>
      <c r="Y13" s="117"/>
      <c r="Z13" s="117"/>
      <c r="AA13" s="118"/>
      <c r="AB13" s="119"/>
      <c r="AC13" s="120"/>
      <c r="AD13" s="115"/>
      <c r="AE13"/>
    </row>
    <row r="14" spans="1:31" ht="13">
      <c r="A14" s="106"/>
      <c r="B14" s="107"/>
      <c r="C14" s="108"/>
      <c r="D14" s="85"/>
      <c r="E14" s="85"/>
      <c r="F14" s="85"/>
      <c r="G14" s="85"/>
      <c r="H14" s="85"/>
      <c r="I14" s="108"/>
      <c r="J14" s="108"/>
      <c r="K14" s="85"/>
      <c r="L14" s="85"/>
      <c r="M14" s="85"/>
      <c r="N14" s="108"/>
      <c r="O14" s="121"/>
      <c r="P14" s="85"/>
      <c r="Q14" s="108"/>
      <c r="R14" s="108"/>
      <c r="S14" s="108"/>
      <c r="T14" s="109"/>
      <c r="U14" s="109"/>
      <c r="V14" s="109"/>
      <c r="W14" s="109"/>
      <c r="X14" s="109"/>
      <c r="Y14" s="109"/>
      <c r="Z14" s="109"/>
      <c r="AA14" s="122"/>
      <c r="AB14" s="111"/>
      <c r="AC14" s="112"/>
      <c r="AD14" s="85"/>
      <c r="AE14"/>
    </row>
    <row r="15" spans="1:31" ht="13">
      <c r="A15" s="106"/>
      <c r="B15" s="107"/>
      <c r="C15" s="108"/>
      <c r="D15" s="85"/>
      <c r="E15" s="85"/>
      <c r="F15" s="85"/>
      <c r="G15" s="85"/>
      <c r="H15" s="85"/>
      <c r="I15" s="108"/>
      <c r="J15" s="108"/>
      <c r="K15" s="85"/>
      <c r="L15" s="85"/>
      <c r="M15" s="85"/>
      <c r="N15" s="108"/>
      <c r="O15" s="121"/>
      <c r="P15" s="85"/>
      <c r="Q15" s="108"/>
      <c r="R15" s="108"/>
      <c r="S15" s="108"/>
      <c r="T15" s="109"/>
      <c r="U15" s="109"/>
      <c r="V15" s="109"/>
      <c r="W15" s="109"/>
      <c r="X15" s="109"/>
      <c r="Y15" s="109"/>
      <c r="Z15" s="109"/>
      <c r="AA15" s="122"/>
      <c r="AB15" s="111"/>
      <c r="AC15" s="112"/>
      <c r="AD15" s="85"/>
      <c r="AE15"/>
    </row>
    <row r="16" spans="1:31" ht="13">
      <c r="A16" s="123"/>
      <c r="B16" s="124"/>
      <c r="C16" s="114"/>
      <c r="D16" s="115"/>
      <c r="E16" s="115"/>
      <c r="F16" s="115"/>
      <c r="G16" s="115"/>
      <c r="H16" s="115"/>
      <c r="I16" s="114"/>
      <c r="J16" s="114"/>
      <c r="K16" s="115"/>
      <c r="L16" s="115"/>
      <c r="M16" s="115"/>
      <c r="N16" s="114"/>
      <c r="O16" s="116"/>
      <c r="P16" s="115"/>
      <c r="Q16" s="114"/>
      <c r="R16" s="114"/>
      <c r="S16" s="114"/>
      <c r="T16" s="117"/>
      <c r="U16" s="117"/>
      <c r="V16" s="117"/>
      <c r="W16" s="117"/>
      <c r="X16" s="117"/>
      <c r="Y16" s="117"/>
      <c r="Z16" s="117"/>
      <c r="AA16" s="118"/>
      <c r="AB16" s="111"/>
      <c r="AC16" s="112"/>
      <c r="AD16" s="115"/>
      <c r="AE16"/>
    </row>
    <row r="17" spans="1:31" ht="13">
      <c r="A17" s="104"/>
      <c r="B17" s="92"/>
      <c r="C17" s="86"/>
      <c r="D17" s="80"/>
      <c r="E17" s="80"/>
      <c r="F17" s="80"/>
      <c r="G17" s="80"/>
      <c r="H17" s="80"/>
      <c r="I17" s="86"/>
      <c r="J17" s="86"/>
      <c r="K17" s="80"/>
      <c r="L17" s="80"/>
      <c r="M17" s="80"/>
      <c r="N17" s="86"/>
      <c r="O17" s="86"/>
      <c r="P17" s="80"/>
      <c r="Q17" s="86"/>
      <c r="R17" s="86"/>
      <c r="S17" s="86"/>
      <c r="T17" s="88"/>
      <c r="U17" s="88"/>
      <c r="V17" s="88"/>
      <c r="W17" s="88"/>
      <c r="X17" s="88"/>
      <c r="Y17" s="88"/>
      <c r="Z17" s="88"/>
      <c r="AA17" s="105"/>
      <c r="AB17" s="90"/>
      <c r="AC17" s="91"/>
      <c r="AD17" s="85"/>
      <c r="AE17"/>
    </row>
    <row r="18" spans="1:31" ht="13">
      <c r="A18" s="106"/>
      <c r="B18" s="107"/>
      <c r="C18" s="108"/>
      <c r="D18" s="85"/>
      <c r="E18" s="85"/>
      <c r="F18" s="85"/>
      <c r="G18" s="85"/>
      <c r="H18" s="85"/>
      <c r="I18" s="108"/>
      <c r="J18" s="108"/>
      <c r="K18" s="85"/>
      <c r="L18" s="85"/>
      <c r="M18" s="85"/>
      <c r="N18" s="108"/>
      <c r="O18" s="108"/>
      <c r="P18" s="85"/>
      <c r="Q18" s="108"/>
      <c r="R18" s="108"/>
      <c r="S18" s="108"/>
      <c r="T18" s="109"/>
      <c r="U18" s="109"/>
      <c r="V18" s="109"/>
      <c r="W18" s="109"/>
      <c r="X18" s="109"/>
      <c r="Y18" s="109"/>
      <c r="Z18" s="109"/>
      <c r="AA18" s="110"/>
      <c r="AB18" s="111"/>
      <c r="AC18" s="112"/>
      <c r="AD18" s="85"/>
      <c r="AE18"/>
    </row>
    <row r="19" spans="1:31" ht="13">
      <c r="A19" s="106"/>
      <c r="B19" s="113"/>
      <c r="C19" s="114"/>
      <c r="D19" s="115"/>
      <c r="E19" s="115"/>
      <c r="F19" s="115"/>
      <c r="G19" s="115"/>
      <c r="H19" s="115"/>
      <c r="I19" s="114"/>
      <c r="J19" s="114"/>
      <c r="K19" s="115"/>
      <c r="L19" s="115"/>
      <c r="M19" s="115"/>
      <c r="N19" s="114"/>
      <c r="O19" s="116"/>
      <c r="P19" s="115"/>
      <c r="Q19" s="114"/>
      <c r="R19" s="114"/>
      <c r="S19" s="114"/>
      <c r="T19" s="117"/>
      <c r="U19" s="117"/>
      <c r="V19" s="117"/>
      <c r="W19" s="117"/>
      <c r="X19" s="117"/>
      <c r="Y19" s="117"/>
      <c r="Z19" s="117"/>
      <c r="AA19" s="118"/>
      <c r="AB19" s="119"/>
      <c r="AC19" s="120"/>
      <c r="AD19" s="115"/>
      <c r="AE19"/>
    </row>
    <row r="20" spans="1:31" ht="13">
      <c r="A20" s="106"/>
      <c r="B20" s="107"/>
      <c r="C20" s="108"/>
      <c r="D20" s="85"/>
      <c r="E20" s="85"/>
      <c r="F20" s="85"/>
      <c r="G20" s="85"/>
      <c r="H20" s="85"/>
      <c r="I20" s="108"/>
      <c r="J20" s="108"/>
      <c r="K20" s="85"/>
      <c r="L20" s="85"/>
      <c r="M20" s="85"/>
      <c r="N20" s="108"/>
      <c r="O20" s="121"/>
      <c r="P20" s="85"/>
      <c r="Q20" s="108"/>
      <c r="R20" s="108"/>
      <c r="S20" s="108"/>
      <c r="T20" s="109"/>
      <c r="U20" s="109"/>
      <c r="V20" s="109"/>
      <c r="W20" s="109"/>
      <c r="X20" s="109"/>
      <c r="Y20" s="109"/>
      <c r="Z20" s="109"/>
      <c r="AA20" s="122"/>
      <c r="AB20" s="111"/>
      <c r="AC20" s="112"/>
      <c r="AD20" s="85"/>
      <c r="AE20"/>
    </row>
    <row r="21" spans="1:31" ht="13">
      <c r="A21" s="106"/>
      <c r="B21" s="107"/>
      <c r="C21" s="108"/>
      <c r="D21" s="85"/>
      <c r="E21" s="85"/>
      <c r="F21" s="85"/>
      <c r="G21" s="85"/>
      <c r="H21" s="85"/>
      <c r="I21" s="108"/>
      <c r="J21" s="108"/>
      <c r="K21" s="85"/>
      <c r="L21" s="85"/>
      <c r="M21" s="85"/>
      <c r="N21" s="108"/>
      <c r="O21" s="121"/>
      <c r="P21" s="85"/>
      <c r="Q21" s="108"/>
      <c r="R21" s="108"/>
      <c r="S21" s="108"/>
      <c r="T21" s="109"/>
      <c r="U21" s="109"/>
      <c r="V21" s="109"/>
      <c r="W21" s="109"/>
      <c r="X21" s="109"/>
      <c r="Y21" s="109"/>
      <c r="Z21" s="109"/>
      <c r="AA21" s="122"/>
      <c r="AB21" s="111"/>
      <c r="AC21" s="112"/>
      <c r="AD21" s="85"/>
      <c r="AE21"/>
    </row>
    <row r="22" spans="1:31" ht="13">
      <c r="A22" s="106"/>
      <c r="B22" s="113"/>
      <c r="C22" s="114"/>
      <c r="D22" s="115"/>
      <c r="E22" s="115"/>
      <c r="F22" s="115"/>
      <c r="G22" s="115"/>
      <c r="H22" s="115"/>
      <c r="I22" s="114"/>
      <c r="J22" s="114"/>
      <c r="K22" s="115"/>
      <c r="L22" s="115"/>
      <c r="M22" s="115"/>
      <c r="N22" s="114"/>
      <c r="O22" s="116"/>
      <c r="P22" s="115"/>
      <c r="Q22" s="114"/>
      <c r="R22" s="114"/>
      <c r="S22" s="114"/>
      <c r="T22" s="117"/>
      <c r="U22" s="117"/>
      <c r="V22" s="117"/>
      <c r="W22" s="117"/>
      <c r="X22" s="117"/>
      <c r="Y22" s="117"/>
      <c r="Z22" s="117"/>
      <c r="AA22" s="118"/>
      <c r="AB22" s="119"/>
      <c r="AC22" s="120"/>
      <c r="AD22" s="115"/>
      <c r="AE22"/>
    </row>
    <row r="23" spans="1:31" ht="13">
      <c r="A23" s="106"/>
      <c r="B23" s="107"/>
      <c r="C23" s="108"/>
      <c r="D23" s="85"/>
      <c r="E23" s="85"/>
      <c r="F23" s="85"/>
      <c r="G23" s="85"/>
      <c r="H23" s="85"/>
      <c r="I23" s="108"/>
      <c r="J23" s="108"/>
      <c r="K23" s="85"/>
      <c r="L23" s="85"/>
      <c r="M23" s="85"/>
      <c r="N23" s="108"/>
      <c r="O23" s="121"/>
      <c r="P23" s="85"/>
      <c r="Q23" s="108"/>
      <c r="R23" s="108"/>
      <c r="S23" s="108"/>
      <c r="T23" s="109"/>
      <c r="U23" s="109"/>
      <c r="V23" s="109"/>
      <c r="W23" s="109"/>
      <c r="X23" s="109"/>
      <c r="Y23" s="109"/>
      <c r="Z23" s="109"/>
      <c r="AA23" s="122"/>
      <c r="AB23" s="111"/>
      <c r="AC23" s="112"/>
      <c r="AD23" s="85"/>
      <c r="AE23"/>
    </row>
    <row r="24" spans="1:31" ht="13">
      <c r="A24" s="106"/>
      <c r="B24" s="107"/>
      <c r="C24" s="108"/>
      <c r="D24" s="85"/>
      <c r="E24" s="85"/>
      <c r="F24" s="85"/>
      <c r="G24" s="85"/>
      <c r="H24" s="85"/>
      <c r="I24" s="108"/>
      <c r="J24" s="108"/>
      <c r="K24" s="85"/>
      <c r="L24" s="85"/>
      <c r="M24" s="85"/>
      <c r="N24" s="108"/>
      <c r="O24" s="121"/>
      <c r="P24" s="85"/>
      <c r="Q24" s="108"/>
      <c r="R24" s="108"/>
      <c r="S24" s="108"/>
      <c r="T24" s="109"/>
      <c r="U24" s="109"/>
      <c r="V24" s="109"/>
      <c r="W24" s="109"/>
      <c r="X24" s="109"/>
      <c r="Y24" s="109"/>
      <c r="Z24" s="109"/>
      <c r="AA24" s="122"/>
      <c r="AB24" s="111"/>
      <c r="AC24" s="112"/>
      <c r="AD24" s="85"/>
      <c r="AE24"/>
    </row>
    <row r="25" spans="1:31" ht="13">
      <c r="A25" s="106"/>
      <c r="B25" s="113"/>
      <c r="C25" s="114"/>
      <c r="D25" s="115"/>
      <c r="E25" s="115"/>
      <c r="F25" s="115"/>
      <c r="G25" s="115"/>
      <c r="H25" s="115"/>
      <c r="I25" s="114"/>
      <c r="J25" s="114"/>
      <c r="K25" s="115"/>
      <c r="L25" s="115"/>
      <c r="M25" s="115"/>
      <c r="N25" s="114"/>
      <c r="O25" s="116"/>
      <c r="P25" s="115"/>
      <c r="Q25" s="114"/>
      <c r="R25" s="114"/>
      <c r="S25" s="114"/>
      <c r="T25" s="117"/>
      <c r="U25" s="117"/>
      <c r="V25" s="117"/>
      <c r="W25" s="117"/>
      <c r="X25" s="117"/>
      <c r="Y25" s="117"/>
      <c r="Z25" s="117"/>
      <c r="AA25" s="118"/>
      <c r="AB25" s="119"/>
      <c r="AC25" s="120"/>
      <c r="AD25" s="115"/>
      <c r="AE25"/>
    </row>
    <row r="26" spans="1:31" ht="13">
      <c r="A26" s="106"/>
      <c r="B26" s="107"/>
      <c r="C26" s="108"/>
      <c r="D26" s="85"/>
      <c r="E26" s="85"/>
      <c r="F26" s="85"/>
      <c r="G26" s="85"/>
      <c r="H26" s="85"/>
      <c r="I26" s="108"/>
      <c r="J26" s="108"/>
      <c r="K26" s="85"/>
      <c r="L26" s="85"/>
      <c r="M26" s="85"/>
      <c r="N26" s="108"/>
      <c r="O26" s="121"/>
      <c r="P26" s="85"/>
      <c r="Q26" s="108"/>
      <c r="R26" s="108"/>
      <c r="S26" s="108"/>
      <c r="T26" s="109"/>
      <c r="U26" s="109"/>
      <c r="V26" s="109"/>
      <c r="W26" s="109"/>
      <c r="X26" s="109"/>
      <c r="Y26" s="109"/>
      <c r="Z26" s="109"/>
      <c r="AA26" s="122"/>
      <c r="AB26" s="111"/>
      <c r="AC26" s="112"/>
      <c r="AD26" s="85"/>
      <c r="AE26"/>
    </row>
    <row r="27" spans="1:31" ht="13">
      <c r="A27" s="106"/>
      <c r="B27" s="107"/>
      <c r="C27" s="108"/>
      <c r="D27" s="85"/>
      <c r="E27" s="85"/>
      <c r="F27" s="85"/>
      <c r="G27" s="85"/>
      <c r="H27" s="85"/>
      <c r="I27" s="108"/>
      <c r="J27" s="108"/>
      <c r="K27" s="85"/>
      <c r="L27" s="85"/>
      <c r="M27" s="85"/>
      <c r="N27" s="108"/>
      <c r="O27" s="121"/>
      <c r="P27" s="85"/>
      <c r="Q27" s="108"/>
      <c r="R27" s="108"/>
      <c r="S27" s="108"/>
      <c r="T27" s="109"/>
      <c r="U27" s="109"/>
      <c r="V27" s="109"/>
      <c r="W27" s="109"/>
      <c r="X27" s="109"/>
      <c r="Y27" s="109"/>
      <c r="Z27" s="109"/>
      <c r="AA27" s="122"/>
      <c r="AB27" s="111"/>
      <c r="AC27" s="112"/>
      <c r="AD27" s="85"/>
      <c r="AE27"/>
    </row>
    <row r="28" spans="1:31" ht="13">
      <c r="A28" s="123"/>
      <c r="B28" s="124"/>
      <c r="C28" s="114"/>
      <c r="D28" s="115"/>
      <c r="E28" s="115"/>
      <c r="F28" s="115"/>
      <c r="G28" s="115"/>
      <c r="H28" s="115"/>
      <c r="I28" s="114"/>
      <c r="J28" s="114"/>
      <c r="K28" s="115"/>
      <c r="L28" s="115"/>
      <c r="M28" s="115"/>
      <c r="N28" s="114"/>
      <c r="O28" s="116"/>
      <c r="P28" s="115"/>
      <c r="Q28" s="114"/>
      <c r="R28" s="114"/>
      <c r="S28" s="114"/>
      <c r="T28" s="117"/>
      <c r="U28" s="117"/>
      <c r="V28" s="117"/>
      <c r="W28" s="117"/>
      <c r="X28" s="117"/>
      <c r="Y28" s="117"/>
      <c r="Z28" s="117"/>
      <c r="AA28" s="118"/>
      <c r="AB28" s="111"/>
      <c r="AC28" s="112"/>
      <c r="AD28" s="115"/>
      <c r="AE28"/>
    </row>
    <row r="29" spans="1:31" ht="13">
      <c r="A29" s="104"/>
      <c r="B29" s="92"/>
      <c r="C29" s="86"/>
      <c r="D29" s="80"/>
      <c r="E29" s="80"/>
      <c r="F29" s="80"/>
      <c r="G29" s="80"/>
      <c r="H29" s="80"/>
      <c r="I29" s="86"/>
      <c r="J29" s="86"/>
      <c r="K29" s="80"/>
      <c r="L29" s="80"/>
      <c r="M29" s="80"/>
      <c r="N29" s="86"/>
      <c r="O29" s="86"/>
      <c r="P29" s="80"/>
      <c r="Q29" s="86"/>
      <c r="R29" s="86"/>
      <c r="S29" s="86"/>
      <c r="T29" s="88"/>
      <c r="U29" s="88"/>
      <c r="V29" s="88"/>
      <c r="W29" s="88"/>
      <c r="X29" s="88"/>
      <c r="Y29" s="88"/>
      <c r="Z29" s="88"/>
      <c r="AA29" s="105"/>
      <c r="AB29" s="90"/>
      <c r="AC29" s="91"/>
      <c r="AD29" s="85"/>
      <c r="AE29"/>
    </row>
    <row r="30" spans="1:31" ht="13">
      <c r="A30" s="106"/>
      <c r="B30" s="107"/>
      <c r="C30" s="108"/>
      <c r="D30" s="85"/>
      <c r="E30" s="85"/>
      <c r="F30" s="85"/>
      <c r="G30" s="85"/>
      <c r="H30" s="85"/>
      <c r="I30" s="108"/>
      <c r="J30" s="108"/>
      <c r="K30" s="85"/>
      <c r="L30" s="85"/>
      <c r="M30" s="85"/>
      <c r="N30" s="108"/>
      <c r="O30" s="108"/>
      <c r="P30" s="85"/>
      <c r="Q30" s="108"/>
      <c r="R30" s="108"/>
      <c r="S30" s="108"/>
      <c r="T30" s="109"/>
      <c r="U30" s="109"/>
      <c r="V30" s="109"/>
      <c r="W30" s="109"/>
      <c r="X30" s="109"/>
      <c r="Y30" s="109"/>
      <c r="Z30" s="109"/>
      <c r="AA30" s="110"/>
      <c r="AB30" s="111"/>
      <c r="AC30" s="112"/>
      <c r="AD30" s="85"/>
      <c r="AE30"/>
    </row>
    <row r="31" spans="1:31" ht="13">
      <c r="A31" s="106"/>
      <c r="B31" s="113"/>
      <c r="C31" s="114"/>
      <c r="D31" s="115"/>
      <c r="E31" s="115"/>
      <c r="F31" s="115"/>
      <c r="G31" s="115"/>
      <c r="H31" s="115"/>
      <c r="I31" s="114"/>
      <c r="J31" s="114"/>
      <c r="K31" s="115"/>
      <c r="L31" s="115"/>
      <c r="M31" s="115"/>
      <c r="N31" s="114"/>
      <c r="O31" s="116"/>
      <c r="P31" s="115"/>
      <c r="Q31" s="114"/>
      <c r="R31" s="114"/>
      <c r="S31" s="114"/>
      <c r="T31" s="117"/>
      <c r="U31" s="117"/>
      <c r="V31" s="117"/>
      <c r="W31" s="117"/>
      <c r="X31" s="117"/>
      <c r="Y31" s="117"/>
      <c r="Z31" s="117"/>
      <c r="AA31" s="118"/>
      <c r="AB31" s="119"/>
      <c r="AC31" s="120"/>
      <c r="AD31" s="115"/>
      <c r="AE31"/>
    </row>
    <row r="32" spans="1:31" ht="13">
      <c r="A32" s="106"/>
      <c r="B32" s="107"/>
      <c r="C32" s="108"/>
      <c r="D32" s="85"/>
      <c r="E32" s="85"/>
      <c r="F32" s="85"/>
      <c r="G32" s="85"/>
      <c r="H32" s="85"/>
      <c r="I32" s="108"/>
      <c r="J32" s="108"/>
      <c r="K32" s="85"/>
      <c r="L32" s="85"/>
      <c r="M32" s="85"/>
      <c r="N32" s="108"/>
      <c r="O32" s="121"/>
      <c r="P32" s="85"/>
      <c r="Q32" s="108"/>
      <c r="R32" s="108"/>
      <c r="S32" s="108"/>
      <c r="T32" s="109"/>
      <c r="U32" s="109"/>
      <c r="V32" s="109"/>
      <c r="W32" s="109"/>
      <c r="X32" s="109"/>
      <c r="Y32" s="109"/>
      <c r="Z32" s="109"/>
      <c r="AA32" s="122"/>
      <c r="AB32" s="111"/>
      <c r="AC32" s="112"/>
      <c r="AD32" s="85"/>
      <c r="AE32"/>
    </row>
    <row r="33" spans="1:31" ht="13">
      <c r="A33" s="106"/>
      <c r="B33" s="107"/>
      <c r="C33" s="108"/>
      <c r="D33" s="85"/>
      <c r="E33" s="85"/>
      <c r="F33" s="85"/>
      <c r="G33" s="85"/>
      <c r="H33" s="85"/>
      <c r="I33" s="108"/>
      <c r="J33" s="108"/>
      <c r="K33" s="85"/>
      <c r="L33" s="85"/>
      <c r="M33" s="85"/>
      <c r="N33" s="108"/>
      <c r="O33" s="121"/>
      <c r="P33" s="85"/>
      <c r="Q33" s="108"/>
      <c r="R33" s="108"/>
      <c r="S33" s="108"/>
      <c r="T33" s="109"/>
      <c r="U33" s="109"/>
      <c r="V33" s="109"/>
      <c r="W33" s="109"/>
      <c r="X33" s="109"/>
      <c r="Y33" s="109"/>
      <c r="Z33" s="109"/>
      <c r="AA33" s="122"/>
      <c r="AB33" s="111"/>
      <c r="AC33" s="112"/>
      <c r="AD33" s="85"/>
      <c r="AE33"/>
    </row>
    <row r="34" spans="1:31" ht="13">
      <c r="A34" s="106"/>
      <c r="B34" s="113"/>
      <c r="C34" s="114"/>
      <c r="D34" s="115"/>
      <c r="E34" s="115"/>
      <c r="F34" s="115"/>
      <c r="G34" s="115"/>
      <c r="H34" s="115"/>
      <c r="I34" s="114"/>
      <c r="J34" s="114"/>
      <c r="K34" s="115"/>
      <c r="L34" s="115"/>
      <c r="M34" s="115"/>
      <c r="N34" s="114"/>
      <c r="O34" s="116"/>
      <c r="P34" s="115"/>
      <c r="Q34" s="114"/>
      <c r="R34" s="114"/>
      <c r="S34" s="114"/>
      <c r="T34" s="117"/>
      <c r="U34" s="117"/>
      <c r="V34" s="117"/>
      <c r="W34" s="117"/>
      <c r="X34" s="117"/>
      <c r="Y34" s="117"/>
      <c r="Z34" s="117"/>
      <c r="AA34" s="118"/>
      <c r="AB34" s="119"/>
      <c r="AC34" s="120"/>
      <c r="AD34" s="115"/>
      <c r="AE34"/>
    </row>
    <row r="35" spans="1:31" ht="13">
      <c r="A35" s="106"/>
      <c r="B35" s="107"/>
      <c r="C35" s="108"/>
      <c r="D35" s="85"/>
      <c r="E35" s="85"/>
      <c r="F35" s="85"/>
      <c r="G35" s="85"/>
      <c r="H35" s="85"/>
      <c r="I35" s="108"/>
      <c r="J35" s="108"/>
      <c r="K35" s="85"/>
      <c r="L35" s="85"/>
      <c r="M35" s="85"/>
      <c r="N35" s="108"/>
      <c r="O35" s="121"/>
      <c r="P35" s="85"/>
      <c r="Q35" s="108"/>
      <c r="R35" s="108"/>
      <c r="S35" s="108"/>
      <c r="T35" s="109"/>
      <c r="U35" s="109"/>
      <c r="V35" s="109"/>
      <c r="W35" s="109"/>
      <c r="X35" s="109"/>
      <c r="Y35" s="109"/>
      <c r="Z35" s="109"/>
      <c r="AA35" s="122"/>
      <c r="AB35" s="111"/>
      <c r="AC35" s="112"/>
      <c r="AD35" s="85"/>
      <c r="AE35"/>
    </row>
    <row r="36" spans="1:31" ht="13">
      <c r="A36" s="106"/>
      <c r="B36" s="107"/>
      <c r="C36" s="108"/>
      <c r="D36" s="85"/>
      <c r="E36" s="85"/>
      <c r="F36" s="85"/>
      <c r="G36" s="85"/>
      <c r="H36" s="85"/>
      <c r="I36" s="108"/>
      <c r="J36" s="108"/>
      <c r="K36" s="85"/>
      <c r="L36" s="85"/>
      <c r="M36" s="85"/>
      <c r="N36" s="108"/>
      <c r="O36" s="121"/>
      <c r="P36" s="85"/>
      <c r="Q36" s="108"/>
      <c r="R36" s="108"/>
      <c r="S36" s="108"/>
      <c r="T36" s="109"/>
      <c r="U36" s="109"/>
      <c r="V36" s="109"/>
      <c r="W36" s="109"/>
      <c r="X36" s="109"/>
      <c r="Y36" s="109"/>
      <c r="Z36" s="109"/>
      <c r="AA36" s="122"/>
      <c r="AB36" s="111"/>
      <c r="AC36" s="112"/>
      <c r="AD36" s="85"/>
      <c r="AE36"/>
    </row>
    <row r="37" spans="1:31" ht="13">
      <c r="A37" s="106"/>
      <c r="B37" s="113"/>
      <c r="C37" s="114"/>
      <c r="D37" s="115"/>
      <c r="E37" s="115"/>
      <c r="F37" s="115"/>
      <c r="G37" s="115"/>
      <c r="H37" s="115"/>
      <c r="I37" s="114"/>
      <c r="J37" s="114"/>
      <c r="K37" s="115"/>
      <c r="L37" s="115"/>
      <c r="M37" s="115"/>
      <c r="N37" s="114"/>
      <c r="O37" s="116"/>
      <c r="P37" s="115"/>
      <c r="Q37" s="114"/>
      <c r="R37" s="114"/>
      <c r="S37" s="114"/>
      <c r="T37" s="117"/>
      <c r="U37" s="117"/>
      <c r="V37" s="117"/>
      <c r="W37" s="117"/>
      <c r="X37" s="117"/>
      <c r="Y37" s="117"/>
      <c r="Z37" s="117"/>
      <c r="AA37" s="118"/>
      <c r="AB37" s="119"/>
      <c r="AC37" s="120"/>
      <c r="AD37" s="115"/>
      <c r="AE37"/>
    </row>
    <row r="38" spans="1:31" ht="13">
      <c r="A38" s="106"/>
      <c r="B38" s="107"/>
      <c r="C38" s="108"/>
      <c r="D38" s="85"/>
      <c r="E38" s="85"/>
      <c r="F38" s="85"/>
      <c r="G38" s="85"/>
      <c r="H38" s="85"/>
      <c r="I38" s="108"/>
      <c r="J38" s="108"/>
      <c r="K38" s="85"/>
      <c r="L38" s="85"/>
      <c r="M38" s="85"/>
      <c r="N38" s="108"/>
      <c r="O38" s="121"/>
      <c r="P38" s="85"/>
      <c r="Q38" s="108"/>
      <c r="R38" s="108"/>
      <c r="S38" s="108"/>
      <c r="T38" s="109"/>
      <c r="U38" s="109"/>
      <c r="V38" s="109"/>
      <c r="W38" s="109"/>
      <c r="X38" s="109"/>
      <c r="Y38" s="109"/>
      <c r="Z38" s="109"/>
      <c r="AA38" s="122"/>
      <c r="AB38" s="111"/>
      <c r="AC38" s="112"/>
      <c r="AD38" s="85"/>
      <c r="AE38"/>
    </row>
    <row r="39" spans="1:31" ht="13">
      <c r="A39" s="106"/>
      <c r="B39" s="107"/>
      <c r="C39" s="108"/>
      <c r="D39" s="85"/>
      <c r="E39" s="85"/>
      <c r="F39" s="85"/>
      <c r="G39" s="85"/>
      <c r="H39" s="85"/>
      <c r="I39" s="108"/>
      <c r="J39" s="108"/>
      <c r="K39" s="85"/>
      <c r="L39" s="85"/>
      <c r="M39" s="85"/>
      <c r="N39" s="108"/>
      <c r="O39" s="121"/>
      <c r="P39" s="85"/>
      <c r="Q39" s="108"/>
      <c r="R39" s="108"/>
      <c r="S39" s="108"/>
      <c r="T39" s="109"/>
      <c r="U39" s="109"/>
      <c r="V39" s="109"/>
      <c r="W39" s="109"/>
      <c r="X39" s="109"/>
      <c r="Y39" s="109"/>
      <c r="Z39" s="109"/>
      <c r="AA39" s="122"/>
      <c r="AB39" s="111"/>
      <c r="AC39" s="112"/>
      <c r="AD39" s="85"/>
      <c r="AE39"/>
    </row>
    <row r="40" spans="1:31" ht="13">
      <c r="A40" s="123"/>
      <c r="B40" s="124"/>
      <c r="C40" s="114"/>
      <c r="D40" s="115"/>
      <c r="E40" s="115"/>
      <c r="F40" s="115"/>
      <c r="G40" s="115"/>
      <c r="H40" s="115"/>
      <c r="I40" s="114"/>
      <c r="J40" s="114"/>
      <c r="K40" s="115"/>
      <c r="L40" s="115"/>
      <c r="M40" s="115"/>
      <c r="N40" s="114"/>
      <c r="O40" s="116"/>
      <c r="P40" s="115"/>
      <c r="Q40" s="114"/>
      <c r="R40" s="114"/>
      <c r="S40" s="114"/>
      <c r="T40" s="117"/>
      <c r="U40" s="117"/>
      <c r="V40" s="117"/>
      <c r="W40" s="117"/>
      <c r="X40" s="117"/>
      <c r="Y40" s="117"/>
      <c r="Z40" s="117"/>
      <c r="AA40" s="118"/>
      <c r="AB40" s="111"/>
      <c r="AC40" s="112"/>
      <c r="AD40" s="115"/>
      <c r="AE40"/>
    </row>
    <row r="41" spans="1:31" ht="13">
      <c r="A41" s="104"/>
      <c r="B41" s="92"/>
      <c r="C41" s="86"/>
      <c r="D41" s="80"/>
      <c r="E41" s="80"/>
      <c r="F41" s="80"/>
      <c r="G41" s="80"/>
      <c r="H41" s="80"/>
      <c r="I41" s="86"/>
      <c r="J41" s="86"/>
      <c r="K41" s="80"/>
      <c r="L41" s="80"/>
      <c r="M41" s="80"/>
      <c r="N41" s="86"/>
      <c r="O41" s="86"/>
      <c r="P41" s="80"/>
      <c r="Q41" s="86"/>
      <c r="R41" s="86"/>
      <c r="S41" s="86"/>
      <c r="T41" s="88"/>
      <c r="U41" s="88"/>
      <c r="V41" s="88"/>
      <c r="W41" s="88"/>
      <c r="X41" s="88"/>
      <c r="Y41" s="88"/>
      <c r="Z41" s="88"/>
      <c r="AA41" s="105"/>
      <c r="AB41" s="90"/>
      <c r="AC41" s="91"/>
      <c r="AD41" s="85"/>
      <c r="AE41"/>
    </row>
    <row r="42" spans="1:31" ht="13">
      <c r="A42" s="106"/>
      <c r="B42" s="107"/>
      <c r="C42" s="108"/>
      <c r="D42" s="85"/>
      <c r="E42" s="85"/>
      <c r="F42" s="85"/>
      <c r="G42" s="85"/>
      <c r="H42" s="85"/>
      <c r="I42" s="108"/>
      <c r="J42" s="108"/>
      <c r="K42" s="85"/>
      <c r="L42" s="85"/>
      <c r="M42" s="85"/>
      <c r="N42" s="108"/>
      <c r="O42" s="108"/>
      <c r="P42" s="85"/>
      <c r="Q42" s="108"/>
      <c r="R42" s="108"/>
      <c r="S42" s="108"/>
      <c r="T42" s="109"/>
      <c r="U42" s="109"/>
      <c r="V42" s="109"/>
      <c r="W42" s="109"/>
      <c r="X42" s="109"/>
      <c r="Y42" s="109"/>
      <c r="Z42" s="109"/>
      <c r="AA42" s="110"/>
      <c r="AB42" s="111"/>
      <c r="AC42" s="112"/>
      <c r="AD42" s="85"/>
      <c r="AE42"/>
    </row>
    <row r="43" spans="1:31" ht="13">
      <c r="A43" s="106"/>
      <c r="B43" s="113"/>
      <c r="C43" s="114"/>
      <c r="D43" s="115"/>
      <c r="E43" s="115"/>
      <c r="F43" s="115"/>
      <c r="G43" s="115"/>
      <c r="H43" s="115"/>
      <c r="I43" s="114"/>
      <c r="J43" s="114"/>
      <c r="K43" s="115"/>
      <c r="L43" s="115"/>
      <c r="M43" s="115"/>
      <c r="N43" s="114"/>
      <c r="O43" s="116"/>
      <c r="P43" s="115"/>
      <c r="Q43" s="114"/>
      <c r="R43" s="114"/>
      <c r="S43" s="114"/>
      <c r="T43" s="117"/>
      <c r="U43" s="117"/>
      <c r="V43" s="117"/>
      <c r="W43" s="117"/>
      <c r="X43" s="117"/>
      <c r="Y43" s="117"/>
      <c r="Z43" s="117"/>
      <c r="AA43" s="118"/>
      <c r="AB43" s="119"/>
      <c r="AC43" s="120"/>
      <c r="AD43" s="115"/>
      <c r="AE43"/>
    </row>
    <row r="44" spans="1:31" ht="13">
      <c r="A44" s="106"/>
      <c r="B44" s="107"/>
      <c r="C44" s="108"/>
      <c r="D44" s="85"/>
      <c r="E44" s="85"/>
      <c r="F44" s="85"/>
      <c r="G44" s="85"/>
      <c r="H44" s="85"/>
      <c r="I44" s="108"/>
      <c r="J44" s="108"/>
      <c r="K44" s="85"/>
      <c r="L44" s="85"/>
      <c r="M44" s="85"/>
      <c r="N44" s="108"/>
      <c r="O44" s="121"/>
      <c r="P44" s="85"/>
      <c r="Q44" s="108"/>
      <c r="R44" s="108"/>
      <c r="S44" s="108"/>
      <c r="T44" s="109"/>
      <c r="U44" s="109"/>
      <c r="V44" s="109"/>
      <c r="W44" s="109"/>
      <c r="X44" s="109"/>
      <c r="Y44" s="109"/>
      <c r="Z44" s="109"/>
      <c r="AA44" s="122"/>
      <c r="AB44" s="111"/>
      <c r="AC44" s="112"/>
      <c r="AD44" s="85"/>
      <c r="AE44"/>
    </row>
    <row r="45" spans="1:31" ht="13">
      <c r="A45" s="106"/>
      <c r="B45" s="107"/>
      <c r="C45" s="108"/>
      <c r="D45" s="85"/>
      <c r="E45" s="85"/>
      <c r="F45" s="85"/>
      <c r="G45" s="85"/>
      <c r="H45" s="85"/>
      <c r="I45" s="108"/>
      <c r="J45" s="108"/>
      <c r="K45" s="85"/>
      <c r="L45" s="85"/>
      <c r="M45" s="85"/>
      <c r="N45" s="108"/>
      <c r="O45" s="121"/>
      <c r="P45" s="85"/>
      <c r="Q45" s="108"/>
      <c r="R45" s="108"/>
      <c r="S45" s="108"/>
      <c r="T45" s="109"/>
      <c r="U45" s="109"/>
      <c r="V45" s="109"/>
      <c r="W45" s="109"/>
      <c r="X45" s="109"/>
      <c r="Y45" s="109"/>
      <c r="Z45" s="109"/>
      <c r="AA45" s="122"/>
      <c r="AB45" s="111"/>
      <c r="AC45" s="112"/>
      <c r="AD45" s="85"/>
      <c r="AE45"/>
    </row>
    <row r="46" spans="1:31" ht="13">
      <c r="A46" s="106"/>
      <c r="B46" s="113"/>
      <c r="C46" s="114"/>
      <c r="D46" s="115"/>
      <c r="E46" s="115"/>
      <c r="F46" s="115"/>
      <c r="G46" s="115"/>
      <c r="H46" s="115"/>
      <c r="I46" s="114"/>
      <c r="J46" s="114"/>
      <c r="K46" s="115"/>
      <c r="L46" s="115"/>
      <c r="M46" s="115"/>
      <c r="N46" s="114"/>
      <c r="O46" s="116"/>
      <c r="P46" s="115"/>
      <c r="Q46" s="114"/>
      <c r="R46" s="114"/>
      <c r="S46" s="114"/>
      <c r="T46" s="117"/>
      <c r="U46" s="117"/>
      <c r="V46" s="117"/>
      <c r="W46" s="117"/>
      <c r="X46" s="117"/>
      <c r="Y46" s="117"/>
      <c r="Z46" s="117"/>
      <c r="AA46" s="118"/>
      <c r="AB46" s="119"/>
      <c r="AC46" s="120"/>
      <c r="AD46" s="115"/>
      <c r="AE46"/>
    </row>
    <row r="47" spans="1:31" ht="13">
      <c r="A47" s="106"/>
      <c r="B47" s="107"/>
      <c r="C47" s="108"/>
      <c r="D47" s="85"/>
      <c r="E47" s="85"/>
      <c r="F47" s="85"/>
      <c r="G47" s="85"/>
      <c r="H47" s="85"/>
      <c r="I47" s="108"/>
      <c r="J47" s="108"/>
      <c r="K47" s="85"/>
      <c r="L47" s="85"/>
      <c r="M47" s="85"/>
      <c r="N47" s="108"/>
      <c r="O47" s="121"/>
      <c r="P47" s="85"/>
      <c r="Q47" s="108"/>
      <c r="R47" s="108"/>
      <c r="S47" s="108"/>
      <c r="T47" s="109"/>
      <c r="U47" s="109"/>
      <c r="V47" s="109"/>
      <c r="W47" s="109"/>
      <c r="X47" s="109"/>
      <c r="Y47" s="109"/>
      <c r="Z47" s="109"/>
      <c r="AA47" s="122"/>
      <c r="AB47" s="111"/>
      <c r="AC47" s="112"/>
      <c r="AD47" s="85"/>
      <c r="AE47"/>
    </row>
    <row r="48" spans="1:31" ht="13">
      <c r="A48" s="106"/>
      <c r="B48" s="107"/>
      <c r="C48" s="108"/>
      <c r="D48" s="85"/>
      <c r="E48" s="85"/>
      <c r="F48" s="85"/>
      <c r="G48" s="85"/>
      <c r="H48" s="85"/>
      <c r="I48" s="108"/>
      <c r="J48" s="108"/>
      <c r="K48" s="85"/>
      <c r="L48" s="85"/>
      <c r="M48" s="85"/>
      <c r="N48" s="108"/>
      <c r="O48" s="121"/>
      <c r="P48" s="85"/>
      <c r="Q48" s="108"/>
      <c r="R48" s="108"/>
      <c r="S48" s="108"/>
      <c r="T48" s="109"/>
      <c r="U48" s="109"/>
      <c r="V48" s="109"/>
      <c r="W48" s="109"/>
      <c r="X48" s="109"/>
      <c r="Y48" s="109"/>
      <c r="Z48" s="109"/>
      <c r="AA48" s="122"/>
      <c r="AB48" s="111"/>
      <c r="AC48" s="112"/>
      <c r="AD48" s="85"/>
      <c r="AE48"/>
    </row>
    <row r="49" spans="1:31" ht="13">
      <c r="A49" s="106"/>
      <c r="B49" s="113"/>
      <c r="C49" s="114"/>
      <c r="D49" s="115"/>
      <c r="E49" s="115"/>
      <c r="F49" s="115"/>
      <c r="G49" s="115"/>
      <c r="H49" s="115"/>
      <c r="I49" s="114"/>
      <c r="J49" s="114"/>
      <c r="K49" s="115"/>
      <c r="L49" s="115"/>
      <c r="M49" s="115"/>
      <c r="N49" s="114"/>
      <c r="O49" s="116"/>
      <c r="P49" s="115"/>
      <c r="Q49" s="114"/>
      <c r="R49" s="114"/>
      <c r="S49" s="114"/>
      <c r="T49" s="117"/>
      <c r="U49" s="117"/>
      <c r="V49" s="117"/>
      <c r="W49" s="117"/>
      <c r="X49" s="117"/>
      <c r="Y49" s="117"/>
      <c r="Z49" s="117"/>
      <c r="AA49" s="118"/>
      <c r="AB49" s="119"/>
      <c r="AC49" s="120"/>
      <c r="AD49" s="115"/>
      <c r="AE49"/>
    </row>
    <row r="50" spans="1:31" ht="13">
      <c r="A50" s="106"/>
      <c r="B50" s="107"/>
      <c r="C50" s="108"/>
      <c r="D50" s="85"/>
      <c r="E50" s="85"/>
      <c r="F50" s="85"/>
      <c r="G50" s="85"/>
      <c r="H50" s="85"/>
      <c r="I50" s="108"/>
      <c r="J50" s="108"/>
      <c r="K50" s="85"/>
      <c r="L50" s="85"/>
      <c r="M50" s="85"/>
      <c r="N50" s="108"/>
      <c r="O50" s="121"/>
      <c r="P50" s="85"/>
      <c r="Q50" s="108"/>
      <c r="R50" s="108"/>
      <c r="S50" s="108"/>
      <c r="T50" s="109"/>
      <c r="U50" s="109"/>
      <c r="V50" s="109"/>
      <c r="W50" s="109"/>
      <c r="X50" s="109"/>
      <c r="Y50" s="109"/>
      <c r="Z50" s="109"/>
      <c r="AA50" s="122"/>
      <c r="AB50" s="111"/>
      <c r="AC50" s="112"/>
      <c r="AD50" s="85"/>
      <c r="AE50"/>
    </row>
    <row r="51" spans="1:31" ht="13">
      <c r="A51" s="106"/>
      <c r="B51" s="107"/>
      <c r="C51" s="108"/>
      <c r="D51" s="85"/>
      <c r="E51" s="85"/>
      <c r="F51" s="85"/>
      <c r="G51" s="85"/>
      <c r="H51" s="85"/>
      <c r="I51" s="108"/>
      <c r="J51" s="108"/>
      <c r="K51" s="85"/>
      <c r="L51" s="85"/>
      <c r="M51" s="85"/>
      <c r="N51" s="108"/>
      <c r="O51" s="121"/>
      <c r="P51" s="85"/>
      <c r="Q51" s="108"/>
      <c r="R51" s="108"/>
      <c r="S51" s="108"/>
      <c r="T51" s="109"/>
      <c r="U51" s="109"/>
      <c r="V51" s="109"/>
      <c r="W51" s="109"/>
      <c r="X51" s="109"/>
      <c r="Y51" s="109"/>
      <c r="Z51" s="109"/>
      <c r="AA51" s="122"/>
      <c r="AB51" s="111"/>
      <c r="AC51" s="112"/>
      <c r="AD51" s="85"/>
      <c r="AE51"/>
    </row>
    <row r="52" spans="1:31" ht="13">
      <c r="A52" s="123"/>
      <c r="B52" s="124"/>
      <c r="C52" s="114"/>
      <c r="D52" s="115"/>
      <c r="E52" s="115"/>
      <c r="F52" s="115"/>
      <c r="G52" s="115"/>
      <c r="H52" s="115"/>
      <c r="I52" s="114"/>
      <c r="J52" s="114"/>
      <c r="K52" s="115"/>
      <c r="L52" s="115"/>
      <c r="M52" s="115"/>
      <c r="N52" s="114"/>
      <c r="O52" s="116"/>
      <c r="P52" s="115"/>
      <c r="Q52" s="114"/>
      <c r="R52" s="114"/>
      <c r="S52" s="114"/>
      <c r="T52" s="117"/>
      <c r="U52" s="117"/>
      <c r="V52" s="117"/>
      <c r="W52" s="117"/>
      <c r="X52" s="117"/>
      <c r="Y52" s="117"/>
      <c r="Z52" s="117"/>
      <c r="AA52" s="118"/>
      <c r="AB52" s="111"/>
      <c r="AC52" s="112"/>
      <c r="AD52" s="115"/>
      <c r="AE52"/>
    </row>
    <row r="53" spans="1:31" ht="13">
      <c r="A53" s="104"/>
      <c r="B53" s="92"/>
      <c r="C53" s="86"/>
      <c r="D53" s="80"/>
      <c r="E53" s="80"/>
      <c r="F53" s="80"/>
      <c r="G53" s="80"/>
      <c r="H53" s="80"/>
      <c r="I53" s="86"/>
      <c r="J53" s="86"/>
      <c r="K53" s="80"/>
      <c r="L53" s="80"/>
      <c r="M53" s="80"/>
      <c r="N53" s="86"/>
      <c r="O53" s="86"/>
      <c r="P53" s="80"/>
      <c r="Q53" s="86"/>
      <c r="R53" s="86"/>
      <c r="S53" s="86"/>
      <c r="T53" s="88"/>
      <c r="U53" s="88"/>
      <c r="V53" s="88"/>
      <c r="W53" s="88"/>
      <c r="X53" s="88"/>
      <c r="Y53" s="88"/>
      <c r="Z53" s="88"/>
      <c r="AA53" s="105"/>
      <c r="AB53" s="90"/>
      <c r="AC53" s="91"/>
      <c r="AD53" s="85"/>
      <c r="AE53"/>
    </row>
    <row r="54" spans="1:31" ht="13">
      <c r="A54" s="106"/>
      <c r="B54" s="107"/>
      <c r="C54" s="108"/>
      <c r="D54" s="85"/>
      <c r="E54" s="85"/>
      <c r="F54" s="85"/>
      <c r="G54" s="85"/>
      <c r="H54" s="85"/>
      <c r="I54" s="108"/>
      <c r="J54" s="108"/>
      <c r="K54" s="85"/>
      <c r="L54" s="85"/>
      <c r="M54" s="85"/>
      <c r="N54" s="108"/>
      <c r="O54" s="108"/>
      <c r="P54" s="85"/>
      <c r="Q54" s="108"/>
      <c r="R54" s="108"/>
      <c r="S54" s="108"/>
      <c r="T54" s="109"/>
      <c r="U54" s="109"/>
      <c r="V54" s="109"/>
      <c r="W54" s="109"/>
      <c r="X54" s="109"/>
      <c r="Y54" s="109"/>
      <c r="Z54" s="109"/>
      <c r="AA54" s="110"/>
      <c r="AB54" s="111"/>
      <c r="AC54" s="112"/>
      <c r="AD54" s="85"/>
      <c r="AE54"/>
    </row>
    <row r="55" spans="1:31" ht="13">
      <c r="A55" s="106"/>
      <c r="B55" s="113"/>
      <c r="C55" s="114"/>
      <c r="D55" s="115"/>
      <c r="E55" s="115"/>
      <c r="F55" s="115"/>
      <c r="G55" s="115"/>
      <c r="H55" s="115"/>
      <c r="I55" s="114"/>
      <c r="J55" s="114"/>
      <c r="K55" s="115"/>
      <c r="L55" s="115"/>
      <c r="M55" s="115"/>
      <c r="N55" s="114"/>
      <c r="O55" s="116"/>
      <c r="P55" s="115"/>
      <c r="Q55" s="114"/>
      <c r="R55" s="114"/>
      <c r="S55" s="114"/>
      <c r="T55" s="117"/>
      <c r="U55" s="117"/>
      <c r="V55" s="117"/>
      <c r="W55" s="117"/>
      <c r="X55" s="117"/>
      <c r="Y55" s="117"/>
      <c r="Z55" s="117"/>
      <c r="AA55" s="118"/>
      <c r="AB55" s="119"/>
      <c r="AC55" s="120"/>
      <c r="AD55" s="115"/>
      <c r="AE55"/>
    </row>
    <row r="56" spans="1:31" ht="13">
      <c r="A56" s="106"/>
      <c r="B56" s="107"/>
      <c r="C56" s="108"/>
      <c r="D56" s="85"/>
      <c r="E56" s="85"/>
      <c r="F56" s="85"/>
      <c r="G56" s="85"/>
      <c r="H56" s="85"/>
      <c r="I56" s="108"/>
      <c r="J56" s="108"/>
      <c r="K56" s="85"/>
      <c r="L56" s="85"/>
      <c r="M56" s="85"/>
      <c r="N56" s="108"/>
      <c r="O56" s="121"/>
      <c r="P56" s="85"/>
      <c r="Q56" s="108"/>
      <c r="R56" s="108"/>
      <c r="S56" s="108"/>
      <c r="T56" s="109"/>
      <c r="U56" s="109"/>
      <c r="V56" s="109"/>
      <c r="W56" s="109"/>
      <c r="X56" s="109"/>
      <c r="Y56" s="109"/>
      <c r="Z56" s="109"/>
      <c r="AA56" s="122"/>
      <c r="AB56" s="111"/>
      <c r="AC56" s="112"/>
      <c r="AD56" s="85"/>
      <c r="AE56"/>
    </row>
    <row r="57" spans="1:31" ht="13">
      <c r="A57" s="106"/>
      <c r="B57" s="107"/>
      <c r="C57" s="108"/>
      <c r="D57" s="85"/>
      <c r="E57" s="85"/>
      <c r="F57" s="85"/>
      <c r="G57" s="85"/>
      <c r="H57" s="85"/>
      <c r="I57" s="108"/>
      <c r="J57" s="108"/>
      <c r="K57" s="85"/>
      <c r="L57" s="85"/>
      <c r="M57" s="85"/>
      <c r="N57" s="108"/>
      <c r="O57" s="121"/>
      <c r="P57" s="85"/>
      <c r="Q57" s="108"/>
      <c r="R57" s="108"/>
      <c r="S57" s="108"/>
      <c r="T57" s="109"/>
      <c r="U57" s="109"/>
      <c r="V57" s="109"/>
      <c r="W57" s="109"/>
      <c r="X57" s="109"/>
      <c r="Y57" s="109"/>
      <c r="Z57" s="109"/>
      <c r="AA57" s="122"/>
      <c r="AB57" s="111"/>
      <c r="AC57" s="112"/>
      <c r="AD57" s="85"/>
      <c r="AE57"/>
    </row>
    <row r="58" spans="1:31" ht="13">
      <c r="A58" s="106"/>
      <c r="B58" s="113"/>
      <c r="C58" s="114"/>
      <c r="D58" s="115"/>
      <c r="E58" s="115"/>
      <c r="F58" s="115"/>
      <c r="G58" s="115"/>
      <c r="H58" s="115"/>
      <c r="I58" s="114"/>
      <c r="J58" s="114"/>
      <c r="K58" s="115"/>
      <c r="L58" s="115"/>
      <c r="M58" s="115"/>
      <c r="N58" s="114"/>
      <c r="O58" s="116"/>
      <c r="P58" s="115"/>
      <c r="Q58" s="114"/>
      <c r="R58" s="114"/>
      <c r="S58" s="114"/>
      <c r="T58" s="117"/>
      <c r="U58" s="117"/>
      <c r="V58" s="117"/>
      <c r="W58" s="117"/>
      <c r="X58" s="117"/>
      <c r="Y58" s="117"/>
      <c r="Z58" s="117"/>
      <c r="AA58" s="118"/>
      <c r="AB58" s="119"/>
      <c r="AC58" s="120"/>
      <c r="AD58" s="115"/>
      <c r="AE58"/>
    </row>
    <row r="59" spans="1:31" ht="13">
      <c r="A59" s="106"/>
      <c r="B59" s="107"/>
      <c r="C59" s="108"/>
      <c r="D59" s="85"/>
      <c r="E59" s="85"/>
      <c r="F59" s="85"/>
      <c r="G59" s="85"/>
      <c r="H59" s="85"/>
      <c r="I59" s="108"/>
      <c r="J59" s="108"/>
      <c r="K59" s="85"/>
      <c r="L59" s="85"/>
      <c r="M59" s="85"/>
      <c r="N59" s="108"/>
      <c r="O59" s="121"/>
      <c r="P59" s="85"/>
      <c r="Q59" s="108"/>
      <c r="R59" s="108"/>
      <c r="S59" s="108"/>
      <c r="T59" s="109"/>
      <c r="U59" s="109"/>
      <c r="V59" s="109"/>
      <c r="W59" s="109"/>
      <c r="X59" s="109"/>
      <c r="Y59" s="109"/>
      <c r="Z59" s="109"/>
      <c r="AA59" s="122"/>
      <c r="AB59" s="111"/>
      <c r="AC59" s="112"/>
      <c r="AD59" s="85"/>
      <c r="AE59"/>
    </row>
    <row r="60" spans="1:31" ht="13">
      <c r="A60" s="106"/>
      <c r="B60" s="107"/>
      <c r="C60" s="108"/>
      <c r="D60" s="85"/>
      <c r="E60" s="85"/>
      <c r="F60" s="85"/>
      <c r="G60" s="85"/>
      <c r="H60" s="85"/>
      <c r="I60" s="108"/>
      <c r="J60" s="108"/>
      <c r="K60" s="85"/>
      <c r="L60" s="85"/>
      <c r="M60" s="85"/>
      <c r="N60" s="108"/>
      <c r="O60" s="121"/>
      <c r="P60" s="85"/>
      <c r="Q60" s="108"/>
      <c r="R60" s="108"/>
      <c r="S60" s="108"/>
      <c r="T60" s="109"/>
      <c r="U60" s="109"/>
      <c r="V60" s="109"/>
      <c r="W60" s="109"/>
      <c r="X60" s="109"/>
      <c r="Y60" s="109"/>
      <c r="Z60" s="109"/>
      <c r="AA60" s="122"/>
      <c r="AB60" s="111"/>
      <c r="AC60" s="112"/>
      <c r="AD60" s="85"/>
      <c r="AE60"/>
    </row>
    <row r="61" spans="1:31" ht="13">
      <c r="A61" s="106"/>
      <c r="B61" s="113"/>
      <c r="C61" s="114"/>
      <c r="D61" s="115"/>
      <c r="E61" s="115"/>
      <c r="F61" s="115"/>
      <c r="G61" s="115"/>
      <c r="H61" s="115"/>
      <c r="I61" s="114"/>
      <c r="J61" s="114"/>
      <c r="K61" s="115"/>
      <c r="L61" s="115"/>
      <c r="M61" s="115"/>
      <c r="N61" s="114"/>
      <c r="O61" s="116"/>
      <c r="P61" s="115"/>
      <c r="Q61" s="114"/>
      <c r="R61" s="114"/>
      <c r="S61" s="114"/>
      <c r="T61" s="117"/>
      <c r="U61" s="117"/>
      <c r="V61" s="117"/>
      <c r="W61" s="117"/>
      <c r="X61" s="117"/>
      <c r="Y61" s="117"/>
      <c r="Z61" s="117"/>
      <c r="AA61" s="118"/>
      <c r="AB61" s="119"/>
      <c r="AC61" s="120"/>
      <c r="AD61" s="115"/>
      <c r="AE61"/>
    </row>
    <row r="62" spans="1:31" ht="13">
      <c r="A62" s="106"/>
      <c r="B62" s="107"/>
      <c r="C62" s="108"/>
      <c r="D62" s="85"/>
      <c r="E62" s="85"/>
      <c r="F62" s="85"/>
      <c r="G62" s="85"/>
      <c r="H62" s="85"/>
      <c r="I62" s="108"/>
      <c r="J62" s="108"/>
      <c r="K62" s="85"/>
      <c r="L62" s="85"/>
      <c r="M62" s="85"/>
      <c r="N62" s="108"/>
      <c r="O62" s="121"/>
      <c r="P62" s="85"/>
      <c r="Q62" s="108"/>
      <c r="R62" s="108"/>
      <c r="S62" s="108"/>
      <c r="T62" s="109"/>
      <c r="U62" s="109"/>
      <c r="V62" s="109"/>
      <c r="W62" s="109"/>
      <c r="X62" s="109"/>
      <c r="Y62" s="109"/>
      <c r="Z62" s="109"/>
      <c r="AA62" s="122"/>
      <c r="AB62" s="111"/>
      <c r="AC62" s="112"/>
      <c r="AD62" s="85"/>
      <c r="AE62"/>
    </row>
    <row r="63" spans="1:31" ht="13">
      <c r="A63" s="106"/>
      <c r="B63" s="107"/>
      <c r="C63" s="108"/>
      <c r="D63" s="85"/>
      <c r="E63" s="85"/>
      <c r="F63" s="85"/>
      <c r="G63" s="85"/>
      <c r="H63" s="85"/>
      <c r="I63" s="108"/>
      <c r="J63" s="108"/>
      <c r="K63" s="85"/>
      <c r="L63" s="85"/>
      <c r="M63" s="85"/>
      <c r="N63" s="108"/>
      <c r="O63" s="121"/>
      <c r="P63" s="85"/>
      <c r="Q63" s="108"/>
      <c r="R63" s="108"/>
      <c r="S63" s="108"/>
      <c r="T63" s="109"/>
      <c r="U63" s="109"/>
      <c r="V63" s="109"/>
      <c r="W63" s="109"/>
      <c r="X63" s="109"/>
      <c r="Y63" s="109"/>
      <c r="Z63" s="109"/>
      <c r="AA63" s="122"/>
      <c r="AB63" s="111"/>
      <c r="AC63" s="112"/>
      <c r="AD63" s="85"/>
      <c r="AE63"/>
    </row>
    <row r="64" spans="1:31" ht="13">
      <c r="A64" s="123"/>
      <c r="B64" s="124"/>
      <c r="C64" s="114"/>
      <c r="D64" s="115"/>
      <c r="E64" s="115"/>
      <c r="F64" s="115"/>
      <c r="G64" s="115"/>
      <c r="H64" s="115"/>
      <c r="I64" s="114"/>
      <c r="J64" s="114"/>
      <c r="K64" s="115"/>
      <c r="L64" s="115"/>
      <c r="M64" s="115"/>
      <c r="N64" s="114"/>
      <c r="O64" s="116"/>
      <c r="P64" s="115"/>
      <c r="Q64" s="114"/>
      <c r="R64" s="114"/>
      <c r="S64" s="114"/>
      <c r="T64" s="117"/>
      <c r="U64" s="117"/>
      <c r="V64" s="117"/>
      <c r="W64" s="117"/>
      <c r="X64" s="117"/>
      <c r="Y64" s="117"/>
      <c r="Z64" s="117"/>
      <c r="AA64" s="118"/>
      <c r="AB64" s="111"/>
      <c r="AC64" s="112"/>
      <c r="AD64" s="115"/>
      <c r="AE64"/>
    </row>
    <row r="65" spans="1:31" ht="13">
      <c r="A65" s="104"/>
      <c r="B65" s="92"/>
      <c r="C65" s="86"/>
      <c r="D65" s="80"/>
      <c r="E65" s="80"/>
      <c r="F65" s="80"/>
      <c r="G65" s="80"/>
      <c r="H65" s="80"/>
      <c r="I65" s="86"/>
      <c r="J65" s="86"/>
      <c r="K65" s="80"/>
      <c r="L65" s="80"/>
      <c r="M65" s="80"/>
      <c r="N65" s="86"/>
      <c r="O65" s="86"/>
      <c r="P65" s="80"/>
      <c r="Q65" s="86"/>
      <c r="R65" s="86"/>
      <c r="S65" s="86"/>
      <c r="T65" s="88"/>
      <c r="U65" s="88"/>
      <c r="V65" s="88"/>
      <c r="W65" s="88"/>
      <c r="X65" s="88"/>
      <c r="Y65" s="88"/>
      <c r="Z65" s="88"/>
      <c r="AA65" s="105"/>
      <c r="AB65" s="90"/>
      <c r="AC65" s="91"/>
      <c r="AD65" s="85"/>
      <c r="AE65"/>
    </row>
    <row r="66" spans="1:31" ht="13">
      <c r="A66" s="106"/>
      <c r="B66" s="107"/>
      <c r="C66" s="108"/>
      <c r="D66" s="85"/>
      <c r="E66" s="85"/>
      <c r="F66" s="85"/>
      <c r="G66" s="85"/>
      <c r="H66" s="85"/>
      <c r="I66" s="108"/>
      <c r="J66" s="108"/>
      <c r="K66" s="85"/>
      <c r="L66" s="85"/>
      <c r="M66" s="85"/>
      <c r="N66" s="108"/>
      <c r="O66" s="108"/>
      <c r="P66" s="85"/>
      <c r="Q66" s="108"/>
      <c r="R66" s="108"/>
      <c r="S66" s="108"/>
      <c r="T66" s="109"/>
      <c r="U66" s="109"/>
      <c r="V66" s="109"/>
      <c r="W66" s="109"/>
      <c r="X66" s="109"/>
      <c r="Y66" s="109"/>
      <c r="Z66" s="109"/>
      <c r="AA66" s="110"/>
      <c r="AB66" s="111"/>
      <c r="AC66" s="112"/>
      <c r="AD66" s="85"/>
      <c r="AE66"/>
    </row>
    <row r="67" spans="1:31" ht="13">
      <c r="A67" s="106"/>
      <c r="B67" s="113"/>
      <c r="C67" s="114"/>
      <c r="D67" s="115"/>
      <c r="E67" s="115"/>
      <c r="F67" s="115"/>
      <c r="G67" s="115"/>
      <c r="H67" s="115"/>
      <c r="I67" s="114"/>
      <c r="J67" s="114"/>
      <c r="K67" s="115"/>
      <c r="L67" s="115"/>
      <c r="M67" s="115"/>
      <c r="N67" s="114"/>
      <c r="O67" s="116"/>
      <c r="P67" s="115"/>
      <c r="Q67" s="114"/>
      <c r="R67" s="114"/>
      <c r="S67" s="114"/>
      <c r="T67" s="117"/>
      <c r="U67" s="117"/>
      <c r="V67" s="117"/>
      <c r="W67" s="117"/>
      <c r="X67" s="117"/>
      <c r="Y67" s="117"/>
      <c r="Z67" s="117"/>
      <c r="AA67" s="118"/>
      <c r="AB67" s="119"/>
      <c r="AC67" s="120"/>
      <c r="AD67" s="115"/>
      <c r="AE67"/>
    </row>
    <row r="68" spans="1:31" ht="13">
      <c r="A68" s="106"/>
      <c r="B68" s="107"/>
      <c r="C68" s="108"/>
      <c r="D68" s="85"/>
      <c r="E68" s="85"/>
      <c r="F68" s="85"/>
      <c r="G68" s="85"/>
      <c r="H68" s="85"/>
      <c r="I68" s="108"/>
      <c r="J68" s="108"/>
      <c r="K68" s="85"/>
      <c r="L68" s="85"/>
      <c r="M68" s="85"/>
      <c r="N68" s="108"/>
      <c r="O68" s="121"/>
      <c r="P68" s="85"/>
      <c r="Q68" s="108"/>
      <c r="R68" s="108"/>
      <c r="S68" s="108"/>
      <c r="T68" s="109"/>
      <c r="U68" s="109"/>
      <c r="V68" s="109"/>
      <c r="W68" s="109"/>
      <c r="X68" s="109"/>
      <c r="Y68" s="109"/>
      <c r="Z68" s="109"/>
      <c r="AA68" s="122"/>
      <c r="AB68" s="111"/>
      <c r="AC68" s="112"/>
      <c r="AD68" s="85"/>
      <c r="AE68"/>
    </row>
    <row r="69" spans="1:31" ht="13">
      <c r="A69" s="106"/>
      <c r="B69" s="107"/>
      <c r="C69" s="108"/>
      <c r="D69" s="85"/>
      <c r="E69" s="85"/>
      <c r="F69" s="85"/>
      <c r="G69" s="85"/>
      <c r="H69" s="85"/>
      <c r="I69" s="108"/>
      <c r="J69" s="108"/>
      <c r="K69" s="85"/>
      <c r="L69" s="85"/>
      <c r="M69" s="85"/>
      <c r="N69" s="108"/>
      <c r="O69" s="121"/>
      <c r="P69" s="85"/>
      <c r="Q69" s="108"/>
      <c r="R69" s="108"/>
      <c r="S69" s="108"/>
      <c r="T69" s="109"/>
      <c r="U69" s="109"/>
      <c r="V69" s="109"/>
      <c r="W69" s="109"/>
      <c r="X69" s="109"/>
      <c r="Y69" s="109"/>
      <c r="Z69" s="109"/>
      <c r="AA69" s="122"/>
      <c r="AB69" s="111"/>
      <c r="AC69" s="112"/>
      <c r="AD69" s="85"/>
      <c r="AE69"/>
    </row>
    <row r="70" spans="1:31" ht="13">
      <c r="A70" s="106"/>
      <c r="B70" s="113"/>
      <c r="C70" s="114"/>
      <c r="D70" s="115"/>
      <c r="E70" s="115"/>
      <c r="F70" s="115"/>
      <c r="G70" s="115"/>
      <c r="H70" s="115"/>
      <c r="I70" s="114"/>
      <c r="J70" s="114"/>
      <c r="K70" s="115"/>
      <c r="L70" s="115"/>
      <c r="M70" s="115"/>
      <c r="N70" s="114"/>
      <c r="O70" s="116"/>
      <c r="P70" s="115"/>
      <c r="Q70" s="114"/>
      <c r="R70" s="114"/>
      <c r="S70" s="114"/>
      <c r="T70" s="117"/>
      <c r="U70" s="117"/>
      <c r="V70" s="117"/>
      <c r="W70" s="117"/>
      <c r="X70" s="117"/>
      <c r="Y70" s="117"/>
      <c r="Z70" s="117"/>
      <c r="AA70" s="118"/>
      <c r="AB70" s="119"/>
      <c r="AC70" s="120"/>
      <c r="AD70" s="115"/>
      <c r="AE70"/>
    </row>
    <row r="71" spans="1:31" ht="13">
      <c r="A71" s="106"/>
      <c r="B71" s="107"/>
      <c r="C71" s="108"/>
      <c r="D71" s="85"/>
      <c r="E71" s="85"/>
      <c r="F71" s="85"/>
      <c r="G71" s="85"/>
      <c r="H71" s="85"/>
      <c r="I71" s="108"/>
      <c r="J71" s="108"/>
      <c r="K71" s="85"/>
      <c r="L71" s="85"/>
      <c r="M71" s="85"/>
      <c r="N71" s="108"/>
      <c r="O71" s="121"/>
      <c r="P71" s="85"/>
      <c r="Q71" s="108"/>
      <c r="R71" s="108"/>
      <c r="S71" s="108"/>
      <c r="T71" s="109"/>
      <c r="U71" s="109"/>
      <c r="V71" s="109"/>
      <c r="W71" s="109"/>
      <c r="X71" s="109"/>
      <c r="Y71" s="109"/>
      <c r="Z71" s="109"/>
      <c r="AA71" s="122"/>
      <c r="AB71" s="111"/>
      <c r="AC71" s="112"/>
      <c r="AD71" s="85"/>
      <c r="AE71"/>
    </row>
    <row r="72" spans="1:31" ht="13">
      <c r="A72" s="106"/>
      <c r="B72" s="107"/>
      <c r="C72" s="108"/>
      <c r="D72" s="85"/>
      <c r="E72" s="85"/>
      <c r="F72" s="85"/>
      <c r="G72" s="85"/>
      <c r="H72" s="85"/>
      <c r="I72" s="108"/>
      <c r="J72" s="108"/>
      <c r="K72" s="85"/>
      <c r="L72" s="85"/>
      <c r="M72" s="85"/>
      <c r="N72" s="108"/>
      <c r="O72" s="121"/>
      <c r="P72" s="85"/>
      <c r="Q72" s="108"/>
      <c r="R72" s="108"/>
      <c r="S72" s="108"/>
      <c r="T72" s="109"/>
      <c r="U72" s="109"/>
      <c r="V72" s="109"/>
      <c r="W72" s="109"/>
      <c r="X72" s="109"/>
      <c r="Y72" s="109"/>
      <c r="Z72" s="109"/>
      <c r="AA72" s="122"/>
      <c r="AB72" s="111"/>
      <c r="AC72" s="112"/>
      <c r="AD72" s="85"/>
      <c r="AE72"/>
    </row>
    <row r="73" spans="1:31" ht="13">
      <c r="A73" s="106"/>
      <c r="B73" s="113"/>
      <c r="C73" s="114"/>
      <c r="D73" s="115"/>
      <c r="E73" s="115"/>
      <c r="F73" s="115"/>
      <c r="G73" s="115"/>
      <c r="H73" s="115"/>
      <c r="I73" s="114"/>
      <c r="J73" s="114"/>
      <c r="K73" s="115"/>
      <c r="L73" s="115"/>
      <c r="M73" s="115"/>
      <c r="N73" s="114"/>
      <c r="O73" s="116"/>
      <c r="P73" s="115"/>
      <c r="Q73" s="114"/>
      <c r="R73" s="114"/>
      <c r="S73" s="114"/>
      <c r="T73" s="117"/>
      <c r="U73" s="117"/>
      <c r="V73" s="117"/>
      <c r="W73" s="117"/>
      <c r="X73" s="117"/>
      <c r="Y73" s="117"/>
      <c r="Z73" s="117"/>
      <c r="AA73" s="118"/>
      <c r="AB73" s="119"/>
      <c r="AC73" s="120"/>
      <c r="AD73" s="115"/>
      <c r="AE73"/>
    </row>
    <row r="74" spans="1:31" ht="13">
      <c r="A74" s="106"/>
      <c r="B74" s="107"/>
      <c r="C74" s="108"/>
      <c r="D74" s="85"/>
      <c r="E74" s="85"/>
      <c r="F74" s="85"/>
      <c r="G74" s="85"/>
      <c r="H74" s="85"/>
      <c r="I74" s="108"/>
      <c r="J74" s="108"/>
      <c r="K74" s="85"/>
      <c r="L74" s="85"/>
      <c r="M74" s="85"/>
      <c r="N74" s="108"/>
      <c r="O74" s="121"/>
      <c r="P74" s="85"/>
      <c r="Q74" s="108"/>
      <c r="R74" s="108"/>
      <c r="S74" s="108"/>
      <c r="T74" s="109"/>
      <c r="U74" s="109"/>
      <c r="V74" s="109"/>
      <c r="W74" s="109"/>
      <c r="X74" s="109"/>
      <c r="Y74" s="109"/>
      <c r="Z74" s="109"/>
      <c r="AA74" s="122"/>
      <c r="AB74" s="111"/>
      <c r="AC74" s="112"/>
      <c r="AD74" s="85"/>
      <c r="AE74"/>
    </row>
    <row r="75" spans="1:31" ht="13">
      <c r="A75" s="106"/>
      <c r="B75" s="107"/>
      <c r="C75" s="108"/>
      <c r="D75" s="85"/>
      <c r="E75" s="85"/>
      <c r="F75" s="85"/>
      <c r="G75" s="85"/>
      <c r="H75" s="85"/>
      <c r="I75" s="108"/>
      <c r="J75" s="108"/>
      <c r="K75" s="85"/>
      <c r="L75" s="85"/>
      <c r="M75" s="85"/>
      <c r="N75" s="108"/>
      <c r="O75" s="121"/>
      <c r="P75" s="85"/>
      <c r="Q75" s="108"/>
      <c r="R75" s="108"/>
      <c r="S75" s="108"/>
      <c r="T75" s="109"/>
      <c r="U75" s="109"/>
      <c r="V75" s="109"/>
      <c r="W75" s="109"/>
      <c r="X75" s="109"/>
      <c r="Y75" s="109"/>
      <c r="Z75" s="109"/>
      <c r="AA75" s="122"/>
      <c r="AB75" s="111"/>
      <c r="AC75" s="112"/>
      <c r="AD75" s="85"/>
      <c r="AE75"/>
    </row>
    <row r="76" spans="1:31" ht="13">
      <c r="A76" s="123"/>
      <c r="B76" s="124"/>
      <c r="C76" s="114"/>
      <c r="D76" s="115"/>
      <c r="E76" s="115"/>
      <c r="F76" s="115"/>
      <c r="G76" s="115"/>
      <c r="H76" s="115"/>
      <c r="I76" s="114"/>
      <c r="J76" s="114"/>
      <c r="K76" s="115"/>
      <c r="L76" s="115"/>
      <c r="M76" s="115"/>
      <c r="N76" s="114"/>
      <c r="O76" s="116"/>
      <c r="P76" s="115"/>
      <c r="Q76" s="114"/>
      <c r="R76" s="114"/>
      <c r="S76" s="114"/>
      <c r="T76" s="117"/>
      <c r="U76" s="117"/>
      <c r="V76" s="117"/>
      <c r="W76" s="117"/>
      <c r="X76" s="117"/>
      <c r="Y76" s="117"/>
      <c r="Z76" s="117"/>
      <c r="AA76" s="118"/>
      <c r="AB76" s="111"/>
      <c r="AC76" s="112"/>
      <c r="AD76" s="115"/>
      <c r="AE76"/>
    </row>
    <row r="77" spans="1:31" ht="13">
      <c r="A77" s="104"/>
      <c r="B77" s="92"/>
      <c r="C77" s="86"/>
      <c r="D77" s="80"/>
      <c r="E77" s="80"/>
      <c r="F77" s="80"/>
      <c r="G77" s="80"/>
      <c r="H77" s="80"/>
      <c r="I77" s="86"/>
      <c r="J77" s="86"/>
      <c r="K77" s="80"/>
      <c r="L77" s="80"/>
      <c r="M77" s="80"/>
      <c r="N77" s="86"/>
      <c r="O77" s="86"/>
      <c r="P77" s="80"/>
      <c r="Q77" s="86"/>
      <c r="R77" s="86"/>
      <c r="S77" s="86"/>
      <c r="T77" s="88"/>
      <c r="U77" s="88"/>
      <c r="V77" s="88"/>
      <c r="W77" s="88"/>
      <c r="X77" s="88"/>
      <c r="Y77" s="88"/>
      <c r="Z77" s="88"/>
      <c r="AA77" s="105"/>
      <c r="AB77" s="90"/>
      <c r="AC77" s="91"/>
      <c r="AD77" s="85"/>
      <c r="AE77"/>
    </row>
    <row r="78" spans="1:31" ht="13">
      <c r="A78" s="106"/>
      <c r="B78" s="107"/>
      <c r="C78" s="108"/>
      <c r="D78" s="85"/>
      <c r="E78" s="85"/>
      <c r="F78" s="85"/>
      <c r="G78" s="85"/>
      <c r="H78" s="85"/>
      <c r="I78" s="108"/>
      <c r="J78" s="108"/>
      <c r="K78" s="85"/>
      <c r="L78" s="85"/>
      <c r="M78" s="85"/>
      <c r="N78" s="108"/>
      <c r="O78" s="108"/>
      <c r="P78" s="85"/>
      <c r="Q78" s="108"/>
      <c r="R78" s="108"/>
      <c r="S78" s="108"/>
      <c r="T78" s="109"/>
      <c r="U78" s="109"/>
      <c r="V78" s="109"/>
      <c r="W78" s="109"/>
      <c r="X78" s="109"/>
      <c r="Y78" s="109"/>
      <c r="Z78" s="109"/>
      <c r="AA78" s="110"/>
      <c r="AB78" s="111"/>
      <c r="AC78" s="112"/>
      <c r="AD78" s="85"/>
      <c r="AE78"/>
    </row>
    <row r="79" spans="1:31" ht="13">
      <c r="A79" s="106"/>
      <c r="B79" s="113"/>
      <c r="C79" s="114"/>
      <c r="D79" s="115"/>
      <c r="E79" s="115"/>
      <c r="F79" s="115"/>
      <c r="G79" s="115"/>
      <c r="H79" s="115"/>
      <c r="I79" s="114"/>
      <c r="J79" s="114"/>
      <c r="K79" s="115"/>
      <c r="L79" s="115"/>
      <c r="M79" s="115"/>
      <c r="N79" s="114"/>
      <c r="O79" s="116"/>
      <c r="P79" s="115"/>
      <c r="Q79" s="114"/>
      <c r="R79" s="114"/>
      <c r="S79" s="114"/>
      <c r="T79" s="117"/>
      <c r="U79" s="117"/>
      <c r="V79" s="117"/>
      <c r="W79" s="117"/>
      <c r="X79" s="117"/>
      <c r="Y79" s="117"/>
      <c r="Z79" s="117"/>
      <c r="AA79" s="118"/>
      <c r="AB79" s="119"/>
      <c r="AC79" s="120"/>
      <c r="AD79" s="115"/>
      <c r="AE79"/>
    </row>
    <row r="80" spans="1:31" ht="13">
      <c r="A80" s="106"/>
      <c r="B80" s="107"/>
      <c r="C80" s="108"/>
      <c r="D80" s="85"/>
      <c r="E80" s="85"/>
      <c r="F80" s="85"/>
      <c r="G80" s="85"/>
      <c r="H80" s="85"/>
      <c r="I80" s="108"/>
      <c r="J80" s="108"/>
      <c r="K80" s="85"/>
      <c r="L80" s="125"/>
      <c r="M80" s="85"/>
      <c r="N80" s="126"/>
      <c r="O80" s="121"/>
      <c r="P80" s="85"/>
      <c r="Q80" s="108"/>
      <c r="R80" s="108"/>
      <c r="S80" s="108"/>
      <c r="T80" s="109"/>
      <c r="U80" s="109"/>
      <c r="V80" s="109"/>
      <c r="W80" s="109"/>
      <c r="X80" s="109"/>
      <c r="Y80" s="109"/>
      <c r="Z80" s="109"/>
      <c r="AA80" s="122"/>
      <c r="AB80" s="111"/>
      <c r="AC80" s="112"/>
      <c r="AD80" s="85"/>
      <c r="AE80"/>
    </row>
    <row r="81" spans="1:31" ht="13">
      <c r="A81" s="106"/>
      <c r="B81" s="107"/>
      <c r="C81" s="108"/>
      <c r="D81" s="85"/>
      <c r="E81" s="85"/>
      <c r="F81" s="85"/>
      <c r="G81" s="85"/>
      <c r="H81" s="85"/>
      <c r="I81" s="108"/>
      <c r="J81" s="108"/>
      <c r="K81" s="85"/>
      <c r="L81" s="85"/>
      <c r="M81" s="85"/>
      <c r="N81" s="108"/>
      <c r="O81" s="121"/>
      <c r="P81" s="85"/>
      <c r="Q81" s="108"/>
      <c r="R81" s="108"/>
      <c r="S81" s="108"/>
      <c r="T81" s="109"/>
      <c r="U81" s="109"/>
      <c r="V81" s="109"/>
      <c r="W81" s="109"/>
      <c r="X81" s="109"/>
      <c r="Y81" s="109"/>
      <c r="Z81" s="109"/>
      <c r="AA81" s="122"/>
      <c r="AB81" s="111"/>
      <c r="AC81" s="112"/>
      <c r="AD81" s="85"/>
      <c r="AE81"/>
    </row>
    <row r="82" spans="1:31" ht="13">
      <c r="A82" s="106"/>
      <c r="B82" s="113"/>
      <c r="C82" s="114"/>
      <c r="D82" s="115"/>
      <c r="E82" s="115"/>
      <c r="F82" s="115"/>
      <c r="G82" s="115"/>
      <c r="H82" s="115"/>
      <c r="I82" s="114"/>
      <c r="J82" s="114"/>
      <c r="K82" s="115"/>
      <c r="L82" s="115"/>
      <c r="M82" s="115"/>
      <c r="N82" s="114"/>
      <c r="O82" s="116"/>
      <c r="P82" s="115"/>
      <c r="Q82" s="114"/>
      <c r="R82" s="114"/>
      <c r="S82" s="114"/>
      <c r="T82" s="117"/>
      <c r="U82" s="117"/>
      <c r="V82" s="117"/>
      <c r="W82" s="117"/>
      <c r="X82" s="117"/>
      <c r="Y82" s="117"/>
      <c r="Z82" s="117"/>
      <c r="AA82" s="118"/>
      <c r="AB82" s="119"/>
      <c r="AC82" s="120"/>
      <c r="AD82" s="115"/>
      <c r="AE82"/>
    </row>
    <row r="83" spans="1:31" ht="13">
      <c r="A83" s="106"/>
      <c r="B83" s="107"/>
      <c r="C83" s="108"/>
      <c r="D83" s="85"/>
      <c r="E83" s="85"/>
      <c r="F83" s="85"/>
      <c r="G83" s="85"/>
      <c r="H83" s="85"/>
      <c r="I83" s="108"/>
      <c r="J83" s="108"/>
      <c r="K83" s="85"/>
      <c r="L83" s="85"/>
      <c r="M83" s="85"/>
      <c r="N83" s="108"/>
      <c r="O83" s="121"/>
      <c r="P83" s="85"/>
      <c r="Q83" s="108"/>
      <c r="R83" s="108"/>
      <c r="S83" s="108"/>
      <c r="T83" s="109"/>
      <c r="U83" s="109"/>
      <c r="V83" s="109"/>
      <c r="W83" s="109"/>
      <c r="X83" s="109"/>
      <c r="Y83" s="109"/>
      <c r="Z83" s="109"/>
      <c r="AA83" s="122"/>
      <c r="AB83" s="111"/>
      <c r="AC83" s="112"/>
      <c r="AD83" s="85"/>
      <c r="AE83"/>
    </row>
    <row r="84" spans="1:31" ht="13">
      <c r="A84" s="106"/>
      <c r="B84" s="107"/>
      <c r="C84" s="108"/>
      <c r="D84" s="85"/>
      <c r="E84" s="85"/>
      <c r="F84" s="85"/>
      <c r="G84" s="85"/>
      <c r="H84" s="85"/>
      <c r="I84" s="108"/>
      <c r="J84" s="108"/>
      <c r="K84" s="85"/>
      <c r="L84" s="85"/>
      <c r="M84" s="85"/>
      <c r="N84" s="108"/>
      <c r="O84" s="121"/>
      <c r="P84" s="85"/>
      <c r="Q84" s="108"/>
      <c r="R84" s="108"/>
      <c r="S84" s="108"/>
      <c r="T84" s="109"/>
      <c r="U84" s="109"/>
      <c r="V84" s="109"/>
      <c r="W84" s="109"/>
      <c r="X84" s="109"/>
      <c r="Y84" s="109"/>
      <c r="Z84" s="109"/>
      <c r="AA84" s="122"/>
      <c r="AB84" s="111"/>
      <c r="AC84" s="112"/>
      <c r="AD84" s="85"/>
      <c r="AE84"/>
    </row>
    <row r="85" spans="1:31" ht="13">
      <c r="A85" s="106"/>
      <c r="B85" s="113"/>
      <c r="C85" s="114"/>
      <c r="D85" s="115"/>
      <c r="E85" s="115"/>
      <c r="F85" s="115"/>
      <c r="G85" s="115"/>
      <c r="H85" s="115"/>
      <c r="I85" s="114"/>
      <c r="J85" s="114"/>
      <c r="K85" s="115"/>
      <c r="L85" s="115"/>
      <c r="M85" s="115"/>
      <c r="N85" s="114"/>
      <c r="O85" s="116"/>
      <c r="P85" s="115"/>
      <c r="Q85" s="114"/>
      <c r="R85" s="114"/>
      <c r="S85" s="114"/>
      <c r="T85" s="117"/>
      <c r="U85" s="117"/>
      <c r="V85" s="117"/>
      <c r="W85" s="117"/>
      <c r="X85" s="117"/>
      <c r="Y85" s="117"/>
      <c r="Z85" s="117"/>
      <c r="AA85" s="118"/>
      <c r="AB85" s="119"/>
      <c r="AC85" s="120"/>
      <c r="AD85" s="115"/>
      <c r="AE85"/>
    </row>
    <row r="86" spans="1:31" ht="13">
      <c r="A86" s="106"/>
      <c r="B86" s="107"/>
      <c r="C86" s="108"/>
      <c r="D86" s="85"/>
      <c r="E86" s="85"/>
      <c r="F86" s="85"/>
      <c r="G86" s="85"/>
      <c r="H86" s="85"/>
      <c r="I86" s="108"/>
      <c r="J86" s="108"/>
      <c r="K86" s="85"/>
      <c r="L86" s="85"/>
      <c r="M86" s="85"/>
      <c r="N86" s="108"/>
      <c r="O86" s="121"/>
      <c r="P86" s="85"/>
      <c r="Q86" s="108"/>
      <c r="R86" s="108"/>
      <c r="S86" s="108"/>
      <c r="T86" s="109"/>
      <c r="U86" s="109"/>
      <c r="V86" s="109"/>
      <c r="W86" s="109"/>
      <c r="X86" s="109"/>
      <c r="Y86" s="109"/>
      <c r="Z86" s="109"/>
      <c r="AA86" s="122"/>
      <c r="AB86" s="111"/>
      <c r="AC86" s="112"/>
      <c r="AD86" s="85"/>
      <c r="AE86"/>
    </row>
    <row r="87" spans="1:31" ht="13">
      <c r="A87" s="106"/>
      <c r="B87" s="107"/>
      <c r="C87" s="108"/>
      <c r="D87" s="85"/>
      <c r="E87" s="85"/>
      <c r="F87" s="85"/>
      <c r="G87" s="85"/>
      <c r="H87" s="85"/>
      <c r="I87" s="108"/>
      <c r="J87" s="108"/>
      <c r="K87" s="85"/>
      <c r="L87" s="85"/>
      <c r="M87" s="85"/>
      <c r="N87" s="108"/>
      <c r="O87" s="121"/>
      <c r="P87" s="85"/>
      <c r="Q87" s="108"/>
      <c r="R87" s="108"/>
      <c r="S87" s="108"/>
      <c r="T87" s="109"/>
      <c r="U87" s="109"/>
      <c r="V87" s="109"/>
      <c r="W87" s="109"/>
      <c r="X87" s="109"/>
      <c r="Y87" s="109"/>
      <c r="Z87" s="109"/>
      <c r="AA87" s="122"/>
      <c r="AB87" s="111"/>
      <c r="AC87" s="112"/>
      <c r="AD87" s="85"/>
      <c r="AE87"/>
    </row>
    <row r="88" spans="1:31" ht="13">
      <c r="A88" s="123"/>
      <c r="B88" s="124"/>
      <c r="C88" s="114"/>
      <c r="D88" s="115"/>
      <c r="E88" s="115"/>
      <c r="F88" s="115"/>
      <c r="G88" s="115"/>
      <c r="H88" s="115"/>
      <c r="I88" s="114"/>
      <c r="J88" s="114"/>
      <c r="K88" s="115"/>
      <c r="L88" s="115"/>
      <c r="M88" s="115"/>
      <c r="N88" s="114"/>
      <c r="O88" s="116"/>
      <c r="P88" s="115"/>
      <c r="Q88" s="114"/>
      <c r="R88" s="114"/>
      <c r="S88" s="114"/>
      <c r="T88" s="117"/>
      <c r="U88" s="117"/>
      <c r="V88" s="117"/>
      <c r="W88" s="117"/>
      <c r="X88" s="117"/>
      <c r="Y88" s="117"/>
      <c r="Z88" s="117"/>
      <c r="AA88" s="118"/>
      <c r="AB88" s="111"/>
      <c r="AC88" s="112"/>
      <c r="AD88" s="115"/>
      <c r="AE88"/>
    </row>
    <row r="89" spans="1:31" ht="13">
      <c r="A89" s="104"/>
      <c r="B89" s="92"/>
      <c r="C89" s="86"/>
      <c r="D89" s="80"/>
      <c r="E89" s="80"/>
      <c r="F89" s="80"/>
      <c r="G89" s="80"/>
      <c r="H89" s="80"/>
      <c r="I89" s="86"/>
      <c r="J89" s="86"/>
      <c r="K89" s="80"/>
      <c r="L89" s="80"/>
      <c r="M89" s="80"/>
      <c r="N89" s="86"/>
      <c r="O89" s="86"/>
      <c r="P89" s="80"/>
      <c r="Q89" s="86"/>
      <c r="R89" s="86"/>
      <c r="S89" s="86"/>
      <c r="T89" s="88"/>
      <c r="U89" s="88"/>
      <c r="V89" s="88"/>
      <c r="W89" s="88"/>
      <c r="X89" s="88"/>
      <c r="Y89" s="88"/>
      <c r="Z89" s="88"/>
      <c r="AA89" s="105"/>
      <c r="AB89" s="90"/>
      <c r="AC89" s="91"/>
      <c r="AD89" s="85"/>
      <c r="AE89"/>
    </row>
    <row r="90" spans="1:31" ht="13">
      <c r="A90" s="106"/>
      <c r="B90" s="107"/>
      <c r="C90" s="108"/>
      <c r="D90" s="85"/>
      <c r="E90" s="85"/>
      <c r="F90" s="85"/>
      <c r="G90" s="85"/>
      <c r="H90" s="85"/>
      <c r="I90" s="108"/>
      <c r="J90" s="108"/>
      <c r="K90" s="85"/>
      <c r="L90" s="85"/>
      <c r="M90" s="85"/>
      <c r="N90" s="108"/>
      <c r="O90" s="108"/>
      <c r="P90" s="85"/>
      <c r="Q90" s="108"/>
      <c r="R90" s="108"/>
      <c r="S90" s="108"/>
      <c r="T90" s="109"/>
      <c r="U90" s="109"/>
      <c r="V90" s="109"/>
      <c r="W90" s="109"/>
      <c r="X90" s="109"/>
      <c r="Y90" s="109"/>
      <c r="Z90" s="109"/>
      <c r="AA90" s="110"/>
      <c r="AB90" s="111"/>
      <c r="AC90" s="112"/>
      <c r="AD90" s="85"/>
      <c r="AE90"/>
    </row>
    <row r="91" spans="1:31" ht="13">
      <c r="A91" s="106"/>
      <c r="B91" s="113"/>
      <c r="C91" s="114"/>
      <c r="D91" s="115"/>
      <c r="E91" s="115"/>
      <c r="F91" s="115"/>
      <c r="G91" s="115"/>
      <c r="H91" s="115"/>
      <c r="I91" s="114"/>
      <c r="J91" s="114"/>
      <c r="K91" s="115"/>
      <c r="L91" s="115"/>
      <c r="M91" s="115"/>
      <c r="N91" s="114"/>
      <c r="O91" s="116"/>
      <c r="P91" s="115"/>
      <c r="Q91" s="114"/>
      <c r="R91" s="114"/>
      <c r="S91" s="114"/>
      <c r="T91" s="117"/>
      <c r="U91" s="117"/>
      <c r="V91" s="117"/>
      <c r="W91" s="117"/>
      <c r="X91" s="117"/>
      <c r="Y91" s="117"/>
      <c r="Z91" s="117"/>
      <c r="AA91" s="118"/>
      <c r="AB91" s="119"/>
      <c r="AC91" s="120"/>
      <c r="AD91" s="115"/>
      <c r="AE91"/>
    </row>
    <row r="92" spans="1:31" ht="13">
      <c r="A92" s="106"/>
      <c r="B92" s="107"/>
      <c r="C92" s="108"/>
      <c r="D92" s="85"/>
      <c r="E92" s="85"/>
      <c r="F92" s="85"/>
      <c r="G92" s="85"/>
      <c r="H92" s="85"/>
      <c r="I92" s="108"/>
      <c r="J92" s="108"/>
      <c r="K92" s="85"/>
      <c r="L92" s="85"/>
      <c r="M92" s="85"/>
      <c r="N92" s="108"/>
      <c r="O92" s="121"/>
      <c r="P92" s="85"/>
      <c r="Q92" s="108"/>
      <c r="R92" s="108"/>
      <c r="S92" s="108"/>
      <c r="T92" s="109"/>
      <c r="U92" s="109"/>
      <c r="V92" s="109"/>
      <c r="W92" s="109"/>
      <c r="X92" s="109"/>
      <c r="Y92" s="109"/>
      <c r="Z92" s="109"/>
      <c r="AA92" s="122"/>
      <c r="AB92" s="111"/>
      <c r="AC92" s="112"/>
      <c r="AD92" s="85"/>
      <c r="AE92"/>
    </row>
    <row r="93" spans="1:31" ht="13">
      <c r="A93" s="106"/>
      <c r="B93" s="107"/>
      <c r="C93" s="108"/>
      <c r="D93" s="85"/>
      <c r="E93" s="85"/>
      <c r="F93" s="85"/>
      <c r="G93" s="85"/>
      <c r="H93" s="85"/>
      <c r="I93" s="108"/>
      <c r="J93" s="108"/>
      <c r="K93" s="85"/>
      <c r="L93" s="85"/>
      <c r="M93" s="85"/>
      <c r="N93" s="108"/>
      <c r="O93" s="121"/>
      <c r="P93" s="85"/>
      <c r="Q93" s="108"/>
      <c r="R93" s="108"/>
      <c r="S93" s="108"/>
      <c r="T93" s="109"/>
      <c r="U93" s="109"/>
      <c r="V93" s="109"/>
      <c r="W93" s="109"/>
      <c r="X93" s="109"/>
      <c r="Y93" s="109"/>
      <c r="Z93" s="109"/>
      <c r="AA93" s="122"/>
      <c r="AB93" s="111"/>
      <c r="AC93" s="112"/>
      <c r="AD93" s="85"/>
      <c r="AE93"/>
    </row>
    <row r="94" spans="1:31" ht="13">
      <c r="A94" s="106"/>
      <c r="B94" s="113"/>
      <c r="C94" s="114"/>
      <c r="D94" s="115"/>
      <c r="E94" s="115"/>
      <c r="F94" s="115"/>
      <c r="G94" s="115"/>
      <c r="H94" s="115"/>
      <c r="I94" s="114"/>
      <c r="J94" s="114"/>
      <c r="K94" s="115"/>
      <c r="L94" s="115"/>
      <c r="M94" s="115"/>
      <c r="N94" s="114"/>
      <c r="O94" s="116"/>
      <c r="P94" s="115"/>
      <c r="Q94" s="114"/>
      <c r="R94" s="114"/>
      <c r="S94" s="114"/>
      <c r="T94" s="117"/>
      <c r="U94" s="117"/>
      <c r="V94" s="117"/>
      <c r="W94" s="117"/>
      <c r="X94" s="117"/>
      <c r="Y94" s="117"/>
      <c r="Z94" s="117"/>
      <c r="AA94" s="118"/>
      <c r="AB94" s="119"/>
      <c r="AC94" s="120"/>
      <c r="AD94" s="115"/>
      <c r="AE94"/>
    </row>
    <row r="95" spans="1:31" ht="13">
      <c r="A95" s="106"/>
      <c r="B95" s="107"/>
      <c r="C95" s="108"/>
      <c r="D95" s="85"/>
      <c r="E95" s="85"/>
      <c r="F95" s="85"/>
      <c r="G95" s="85"/>
      <c r="H95" s="85"/>
      <c r="I95" s="108"/>
      <c r="J95" s="108"/>
      <c r="K95" s="85"/>
      <c r="L95" s="85"/>
      <c r="M95" s="85"/>
      <c r="N95" s="108"/>
      <c r="O95" s="121"/>
      <c r="P95" s="85"/>
      <c r="Q95" s="108"/>
      <c r="R95" s="108"/>
      <c r="S95" s="108"/>
      <c r="T95" s="109"/>
      <c r="U95" s="109"/>
      <c r="V95" s="109"/>
      <c r="W95" s="109"/>
      <c r="X95" s="109"/>
      <c r="Y95" s="109"/>
      <c r="Z95" s="109"/>
      <c r="AA95" s="122"/>
      <c r="AB95" s="111"/>
      <c r="AC95" s="112"/>
      <c r="AD95" s="85"/>
      <c r="AE95"/>
    </row>
    <row r="96" spans="1:31" ht="13">
      <c r="A96" s="106"/>
      <c r="B96" s="107"/>
      <c r="C96" s="108"/>
      <c r="D96" s="85"/>
      <c r="E96" s="85"/>
      <c r="F96" s="85"/>
      <c r="G96" s="85"/>
      <c r="H96" s="85"/>
      <c r="I96" s="108"/>
      <c r="J96" s="108"/>
      <c r="K96" s="85"/>
      <c r="L96" s="85"/>
      <c r="M96" s="85"/>
      <c r="N96" s="108"/>
      <c r="O96" s="121"/>
      <c r="P96" s="85"/>
      <c r="Q96" s="108"/>
      <c r="R96" s="108"/>
      <c r="S96" s="108"/>
      <c r="T96" s="109"/>
      <c r="U96" s="109"/>
      <c r="V96" s="109"/>
      <c r="W96" s="109"/>
      <c r="X96" s="109"/>
      <c r="Y96" s="109"/>
      <c r="Z96" s="109"/>
      <c r="AA96" s="122"/>
      <c r="AB96" s="111"/>
      <c r="AC96" s="112"/>
      <c r="AD96" s="85"/>
      <c r="AE96"/>
    </row>
    <row r="97" spans="1:31" ht="13">
      <c r="A97" s="106"/>
      <c r="B97" s="113"/>
      <c r="C97" s="114"/>
      <c r="D97" s="115"/>
      <c r="E97" s="115"/>
      <c r="F97" s="115"/>
      <c r="G97" s="115"/>
      <c r="H97" s="115"/>
      <c r="I97" s="114"/>
      <c r="J97" s="114"/>
      <c r="K97" s="115"/>
      <c r="L97" s="115"/>
      <c r="M97" s="115"/>
      <c r="N97" s="114"/>
      <c r="O97" s="116"/>
      <c r="P97" s="115"/>
      <c r="Q97" s="114"/>
      <c r="R97" s="114"/>
      <c r="S97" s="114"/>
      <c r="T97" s="117"/>
      <c r="U97" s="117"/>
      <c r="V97" s="117"/>
      <c r="W97" s="117"/>
      <c r="X97" s="117"/>
      <c r="Y97" s="117"/>
      <c r="Z97" s="117"/>
      <c r="AA97" s="118"/>
      <c r="AB97" s="119"/>
      <c r="AC97" s="120"/>
      <c r="AD97" s="115"/>
      <c r="AE97"/>
    </row>
    <row r="98" spans="1:31" ht="13">
      <c r="A98" s="106"/>
      <c r="B98" s="107"/>
      <c r="C98" s="108"/>
      <c r="D98" s="85"/>
      <c r="E98" s="85"/>
      <c r="F98" s="85"/>
      <c r="G98" s="85"/>
      <c r="H98" s="85"/>
      <c r="I98" s="108"/>
      <c r="J98" s="108"/>
      <c r="K98" s="85"/>
      <c r="L98" s="85"/>
      <c r="M98" s="85"/>
      <c r="N98" s="108"/>
      <c r="O98" s="121"/>
      <c r="P98" s="85"/>
      <c r="Q98" s="108"/>
      <c r="R98" s="108"/>
      <c r="S98" s="108"/>
      <c r="T98" s="109"/>
      <c r="U98" s="109"/>
      <c r="V98" s="109"/>
      <c r="W98" s="109"/>
      <c r="X98" s="109"/>
      <c r="Y98" s="109"/>
      <c r="Z98" s="109"/>
      <c r="AA98" s="122"/>
      <c r="AB98" s="111"/>
      <c r="AC98" s="112"/>
      <c r="AD98" s="85"/>
      <c r="AE98"/>
    </row>
    <row r="99" spans="1:31" ht="13">
      <c r="A99" s="106"/>
      <c r="B99" s="107"/>
      <c r="C99" s="108"/>
      <c r="D99" s="85"/>
      <c r="E99" s="85"/>
      <c r="F99" s="85"/>
      <c r="G99" s="85"/>
      <c r="H99" s="85"/>
      <c r="I99" s="108"/>
      <c r="J99" s="108"/>
      <c r="K99" s="85"/>
      <c r="L99" s="85"/>
      <c r="M99" s="85"/>
      <c r="N99" s="108"/>
      <c r="O99" s="121"/>
      <c r="P99" s="85"/>
      <c r="Q99" s="108"/>
      <c r="R99" s="108"/>
      <c r="S99" s="108"/>
      <c r="T99" s="109"/>
      <c r="U99" s="109"/>
      <c r="V99" s="109"/>
      <c r="W99" s="109"/>
      <c r="X99" s="109"/>
      <c r="Y99" s="109"/>
      <c r="Z99" s="109"/>
      <c r="AA99" s="122"/>
      <c r="AB99" s="111"/>
      <c r="AC99" s="112"/>
      <c r="AD99" s="85"/>
      <c r="AE99"/>
    </row>
    <row r="100" spans="1:31" ht="13">
      <c r="A100" s="123"/>
      <c r="B100" s="124"/>
      <c r="C100" s="114"/>
      <c r="D100" s="115"/>
      <c r="E100" s="115"/>
      <c r="F100" s="115"/>
      <c r="G100" s="115"/>
      <c r="H100" s="115"/>
      <c r="I100" s="114"/>
      <c r="J100" s="114"/>
      <c r="K100" s="115"/>
      <c r="L100" s="115"/>
      <c r="M100" s="115"/>
      <c r="N100" s="114"/>
      <c r="O100" s="116"/>
      <c r="P100" s="115"/>
      <c r="Q100" s="114"/>
      <c r="R100" s="114"/>
      <c r="S100" s="114"/>
      <c r="T100" s="117"/>
      <c r="U100" s="117"/>
      <c r="V100" s="117"/>
      <c r="W100" s="117"/>
      <c r="X100" s="117"/>
      <c r="Y100" s="117"/>
      <c r="Z100" s="117"/>
      <c r="AA100" s="118"/>
      <c r="AB100" s="111"/>
      <c r="AC100" s="112"/>
      <c r="AD100" s="115"/>
      <c r="AE100"/>
    </row>
    <row r="101" spans="1:31" ht="13">
      <c r="A101" s="104"/>
      <c r="B101" s="92"/>
      <c r="C101" s="86"/>
      <c r="D101" s="80"/>
      <c r="E101" s="80"/>
      <c r="F101" s="80"/>
      <c r="G101" s="80"/>
      <c r="H101" s="80"/>
      <c r="I101" s="86"/>
      <c r="J101" s="86"/>
      <c r="K101" s="80"/>
      <c r="L101" s="80"/>
      <c r="M101" s="80"/>
      <c r="N101" s="86"/>
      <c r="O101" s="86"/>
      <c r="P101" s="80"/>
      <c r="Q101" s="86"/>
      <c r="R101" s="86"/>
      <c r="S101" s="86"/>
      <c r="T101" s="88"/>
      <c r="U101" s="88"/>
      <c r="V101" s="88"/>
      <c r="W101" s="88"/>
      <c r="X101" s="88"/>
      <c r="Y101" s="88"/>
      <c r="Z101" s="88"/>
      <c r="AA101" s="105"/>
      <c r="AB101" s="90"/>
      <c r="AC101" s="91"/>
      <c r="AD101" s="85"/>
      <c r="AE101"/>
    </row>
    <row r="102" spans="1:31" ht="13">
      <c r="A102" s="106"/>
      <c r="B102" s="107"/>
      <c r="C102" s="108"/>
      <c r="D102" s="85"/>
      <c r="E102" s="85"/>
      <c r="F102" s="85"/>
      <c r="G102" s="85"/>
      <c r="H102" s="85"/>
      <c r="I102" s="108"/>
      <c r="J102" s="108"/>
      <c r="K102" s="85"/>
      <c r="L102" s="85"/>
      <c r="M102" s="85"/>
      <c r="N102" s="108"/>
      <c r="O102" s="108"/>
      <c r="P102" s="85"/>
      <c r="Q102" s="108"/>
      <c r="R102" s="108"/>
      <c r="S102" s="108"/>
      <c r="T102" s="109"/>
      <c r="U102" s="109"/>
      <c r="V102" s="109"/>
      <c r="W102" s="109"/>
      <c r="X102" s="109"/>
      <c r="Y102" s="109"/>
      <c r="Z102" s="109"/>
      <c r="AA102" s="110"/>
      <c r="AB102" s="111"/>
      <c r="AC102" s="112"/>
      <c r="AD102" s="85"/>
      <c r="AE102"/>
    </row>
    <row r="103" spans="1:31" ht="13">
      <c r="A103" s="106"/>
      <c r="B103" s="113"/>
      <c r="C103" s="114"/>
      <c r="D103" s="115"/>
      <c r="E103" s="115"/>
      <c r="F103" s="115"/>
      <c r="G103" s="115"/>
      <c r="H103" s="115"/>
      <c r="I103" s="114"/>
      <c r="J103" s="114"/>
      <c r="K103" s="115"/>
      <c r="L103" s="115"/>
      <c r="M103" s="115"/>
      <c r="N103" s="114"/>
      <c r="O103" s="116"/>
      <c r="P103" s="115"/>
      <c r="Q103" s="114"/>
      <c r="R103" s="114"/>
      <c r="S103" s="114"/>
      <c r="T103" s="117"/>
      <c r="U103" s="117"/>
      <c r="V103" s="117"/>
      <c r="W103" s="117"/>
      <c r="X103" s="117"/>
      <c r="Y103" s="117"/>
      <c r="Z103" s="117"/>
      <c r="AA103" s="118"/>
      <c r="AB103" s="119"/>
      <c r="AC103" s="120"/>
      <c r="AD103" s="115"/>
      <c r="AE103"/>
    </row>
    <row r="104" spans="1:31" ht="13">
      <c r="A104" s="106"/>
      <c r="B104" s="107"/>
      <c r="C104" s="108"/>
      <c r="D104" s="85"/>
      <c r="E104" s="85"/>
      <c r="F104" s="85"/>
      <c r="G104" s="85"/>
      <c r="H104" s="85"/>
      <c r="I104" s="108"/>
      <c r="J104" s="108"/>
      <c r="K104" s="85"/>
      <c r="L104" s="85"/>
      <c r="M104" s="85"/>
      <c r="N104" s="108"/>
      <c r="O104" s="121"/>
      <c r="P104" s="85"/>
      <c r="Q104" s="108"/>
      <c r="R104" s="108"/>
      <c r="S104" s="108"/>
      <c r="T104" s="109"/>
      <c r="U104" s="109"/>
      <c r="V104" s="109"/>
      <c r="W104" s="109"/>
      <c r="X104" s="109"/>
      <c r="Y104" s="109"/>
      <c r="Z104" s="109"/>
      <c r="AA104" s="122"/>
      <c r="AB104" s="111"/>
      <c r="AC104" s="112"/>
      <c r="AD104" s="85"/>
      <c r="AE104"/>
    </row>
    <row r="105" spans="1:31" ht="13">
      <c r="A105" s="106"/>
      <c r="B105" s="107"/>
      <c r="C105" s="108"/>
      <c r="D105" s="85"/>
      <c r="E105" s="85"/>
      <c r="F105" s="85"/>
      <c r="G105" s="85"/>
      <c r="H105" s="85"/>
      <c r="I105" s="108"/>
      <c r="J105" s="108"/>
      <c r="K105" s="85"/>
      <c r="L105" s="85"/>
      <c r="M105" s="85"/>
      <c r="N105" s="108"/>
      <c r="O105" s="121"/>
      <c r="P105" s="85"/>
      <c r="Q105" s="108"/>
      <c r="R105" s="108"/>
      <c r="S105" s="108"/>
      <c r="T105" s="109"/>
      <c r="U105" s="109"/>
      <c r="V105" s="109"/>
      <c r="W105" s="109"/>
      <c r="X105" s="109"/>
      <c r="Y105" s="109"/>
      <c r="Z105" s="109"/>
      <c r="AA105" s="122"/>
      <c r="AB105" s="111"/>
      <c r="AC105" s="112"/>
      <c r="AD105" s="85"/>
      <c r="AE105"/>
    </row>
    <row r="106" spans="1:31" ht="13">
      <c r="A106" s="106"/>
      <c r="B106" s="113"/>
      <c r="C106" s="114"/>
      <c r="D106" s="115"/>
      <c r="E106" s="115"/>
      <c r="F106" s="115"/>
      <c r="G106" s="115"/>
      <c r="H106" s="115"/>
      <c r="I106" s="114"/>
      <c r="J106" s="114"/>
      <c r="K106" s="115"/>
      <c r="L106" s="115"/>
      <c r="M106" s="115"/>
      <c r="N106" s="114"/>
      <c r="O106" s="116"/>
      <c r="P106" s="115"/>
      <c r="Q106" s="114"/>
      <c r="R106" s="114"/>
      <c r="S106" s="114"/>
      <c r="T106" s="117"/>
      <c r="U106" s="117"/>
      <c r="V106" s="117"/>
      <c r="W106" s="117"/>
      <c r="X106" s="117"/>
      <c r="Y106" s="117"/>
      <c r="Z106" s="117"/>
      <c r="AA106" s="118"/>
      <c r="AB106" s="119"/>
      <c r="AC106" s="120"/>
      <c r="AD106" s="115"/>
      <c r="AE106"/>
    </row>
    <row r="107" spans="1:31" ht="13">
      <c r="A107" s="106"/>
      <c r="B107" s="107"/>
      <c r="C107" s="108"/>
      <c r="D107" s="85"/>
      <c r="E107" s="85"/>
      <c r="F107" s="85"/>
      <c r="G107" s="85"/>
      <c r="H107" s="85"/>
      <c r="I107" s="108"/>
      <c r="J107" s="108"/>
      <c r="K107" s="85"/>
      <c r="L107" s="85"/>
      <c r="M107" s="85"/>
      <c r="N107" s="108"/>
      <c r="O107" s="121"/>
      <c r="P107" s="85"/>
      <c r="Q107" s="108"/>
      <c r="R107" s="108"/>
      <c r="S107" s="108"/>
      <c r="T107" s="109"/>
      <c r="U107" s="109"/>
      <c r="V107" s="109"/>
      <c r="W107" s="109"/>
      <c r="X107" s="109"/>
      <c r="Y107" s="109"/>
      <c r="Z107" s="109"/>
      <c r="AA107" s="122"/>
      <c r="AB107" s="111"/>
      <c r="AC107" s="112"/>
      <c r="AD107" s="85"/>
      <c r="AE107"/>
    </row>
    <row r="108" spans="1:31" ht="13">
      <c r="A108" s="106"/>
      <c r="B108" s="107"/>
      <c r="C108" s="108"/>
      <c r="D108" s="85"/>
      <c r="E108" s="85"/>
      <c r="F108" s="85"/>
      <c r="G108" s="85"/>
      <c r="H108" s="85"/>
      <c r="I108" s="108"/>
      <c r="J108" s="108"/>
      <c r="K108" s="85"/>
      <c r="L108" s="85"/>
      <c r="M108" s="85"/>
      <c r="N108" s="108"/>
      <c r="O108" s="121"/>
      <c r="P108" s="85"/>
      <c r="Q108" s="108"/>
      <c r="R108" s="108"/>
      <c r="S108" s="108"/>
      <c r="T108" s="109"/>
      <c r="U108" s="109"/>
      <c r="V108" s="109"/>
      <c r="W108" s="109"/>
      <c r="X108" s="109"/>
      <c r="Y108" s="109"/>
      <c r="Z108" s="109"/>
      <c r="AA108" s="122"/>
      <c r="AB108" s="111"/>
      <c r="AC108" s="112"/>
      <c r="AD108" s="85"/>
      <c r="AE108"/>
    </row>
    <row r="109" spans="1:31" ht="13">
      <c r="A109" s="106"/>
      <c r="B109" s="113"/>
      <c r="C109" s="114"/>
      <c r="D109" s="115"/>
      <c r="E109" s="115"/>
      <c r="F109" s="115"/>
      <c r="G109" s="115"/>
      <c r="H109" s="115"/>
      <c r="I109" s="114"/>
      <c r="J109" s="114"/>
      <c r="K109" s="115"/>
      <c r="L109" s="115"/>
      <c r="M109" s="115"/>
      <c r="N109" s="114"/>
      <c r="O109" s="116"/>
      <c r="P109" s="115"/>
      <c r="Q109" s="114"/>
      <c r="R109" s="114"/>
      <c r="S109" s="114"/>
      <c r="T109" s="117"/>
      <c r="U109" s="117"/>
      <c r="V109" s="117"/>
      <c r="W109" s="117"/>
      <c r="X109" s="117"/>
      <c r="Y109" s="117"/>
      <c r="Z109" s="117"/>
      <c r="AA109" s="118"/>
      <c r="AB109" s="119"/>
      <c r="AC109" s="120"/>
      <c r="AD109" s="115"/>
      <c r="AE109"/>
    </row>
    <row r="110" spans="1:31" ht="13">
      <c r="A110" s="106"/>
      <c r="B110" s="107"/>
      <c r="C110" s="108"/>
      <c r="D110" s="85"/>
      <c r="E110" s="85"/>
      <c r="F110" s="85"/>
      <c r="G110" s="85"/>
      <c r="H110" s="85"/>
      <c r="I110" s="108"/>
      <c r="J110" s="108"/>
      <c r="K110" s="85"/>
      <c r="L110" s="85"/>
      <c r="M110" s="85"/>
      <c r="N110" s="108"/>
      <c r="O110" s="121"/>
      <c r="P110" s="85"/>
      <c r="Q110" s="108"/>
      <c r="R110" s="108"/>
      <c r="S110" s="108"/>
      <c r="T110" s="109"/>
      <c r="U110" s="109"/>
      <c r="V110" s="109"/>
      <c r="W110" s="109"/>
      <c r="X110" s="109"/>
      <c r="Y110" s="109"/>
      <c r="Z110" s="109"/>
      <c r="AA110" s="122"/>
      <c r="AB110" s="111"/>
      <c r="AC110" s="112"/>
      <c r="AD110" s="85"/>
      <c r="AE110"/>
    </row>
    <row r="111" spans="1:31" ht="13">
      <c r="A111" s="106"/>
      <c r="B111" s="107"/>
      <c r="C111" s="108"/>
      <c r="D111" s="85"/>
      <c r="E111" s="85"/>
      <c r="F111" s="85"/>
      <c r="G111" s="85"/>
      <c r="H111" s="85"/>
      <c r="I111" s="108"/>
      <c r="J111" s="108"/>
      <c r="K111" s="85"/>
      <c r="L111" s="85"/>
      <c r="M111" s="85"/>
      <c r="N111" s="108"/>
      <c r="O111" s="121"/>
      <c r="P111" s="85"/>
      <c r="Q111" s="108"/>
      <c r="R111" s="108"/>
      <c r="S111" s="108"/>
      <c r="T111" s="109"/>
      <c r="U111" s="109"/>
      <c r="V111" s="109"/>
      <c r="W111" s="109"/>
      <c r="X111" s="109"/>
      <c r="Y111" s="109"/>
      <c r="Z111" s="109"/>
      <c r="AA111" s="122"/>
      <c r="AB111" s="111"/>
      <c r="AC111" s="112"/>
      <c r="AD111" s="85"/>
      <c r="AE111"/>
    </row>
    <row r="112" spans="1:31" ht="13">
      <c r="A112" s="123"/>
      <c r="B112" s="124"/>
      <c r="C112" s="114"/>
      <c r="D112" s="115"/>
      <c r="E112" s="115"/>
      <c r="F112" s="115"/>
      <c r="G112" s="115"/>
      <c r="H112" s="115"/>
      <c r="I112" s="114"/>
      <c r="J112" s="114"/>
      <c r="K112" s="115"/>
      <c r="L112" s="115"/>
      <c r="M112" s="115"/>
      <c r="N112" s="114"/>
      <c r="O112" s="116"/>
      <c r="P112" s="115"/>
      <c r="Q112" s="114"/>
      <c r="R112" s="114"/>
      <c r="S112" s="114"/>
      <c r="T112" s="117"/>
      <c r="U112" s="117"/>
      <c r="V112" s="117"/>
      <c r="W112" s="117"/>
      <c r="X112" s="117"/>
      <c r="Y112" s="117"/>
      <c r="Z112" s="117"/>
      <c r="AA112" s="118"/>
      <c r="AB112" s="111"/>
      <c r="AC112" s="112"/>
      <c r="AD112" s="115"/>
      <c r="AE112"/>
    </row>
    <row r="113" spans="1:31" ht="13">
      <c r="A113" s="104"/>
      <c r="B113" s="92"/>
      <c r="C113" s="86"/>
      <c r="D113" s="80"/>
      <c r="E113" s="80"/>
      <c r="F113" s="80"/>
      <c r="G113" s="80"/>
      <c r="H113" s="80"/>
      <c r="I113" s="86"/>
      <c r="J113" s="86"/>
      <c r="K113" s="80"/>
      <c r="L113" s="80"/>
      <c r="M113" s="80"/>
      <c r="N113" s="86"/>
      <c r="O113" s="86"/>
      <c r="P113" s="80"/>
      <c r="Q113" s="86"/>
      <c r="R113" s="86"/>
      <c r="S113" s="86"/>
      <c r="T113" s="88"/>
      <c r="U113" s="88"/>
      <c r="V113" s="88"/>
      <c r="W113" s="88"/>
      <c r="X113" s="88"/>
      <c r="Y113" s="88"/>
      <c r="Z113" s="88"/>
      <c r="AA113" s="105"/>
      <c r="AB113" s="90"/>
      <c r="AC113" s="91"/>
      <c r="AD113" s="85"/>
      <c r="AE113"/>
    </row>
    <row r="114" spans="1:31" ht="13">
      <c r="A114" s="106"/>
      <c r="B114" s="107"/>
      <c r="C114" s="108"/>
      <c r="D114" s="85"/>
      <c r="E114" s="85"/>
      <c r="F114" s="85"/>
      <c r="G114" s="85"/>
      <c r="H114" s="85"/>
      <c r="I114" s="108"/>
      <c r="J114" s="108"/>
      <c r="K114" s="85"/>
      <c r="L114" s="85"/>
      <c r="M114" s="85"/>
      <c r="N114" s="108"/>
      <c r="O114" s="108"/>
      <c r="P114" s="85"/>
      <c r="Q114" s="108"/>
      <c r="R114" s="108"/>
      <c r="S114" s="108"/>
      <c r="T114" s="109"/>
      <c r="U114" s="109"/>
      <c r="V114" s="109"/>
      <c r="W114" s="109"/>
      <c r="X114" s="109"/>
      <c r="Y114" s="109"/>
      <c r="Z114" s="109"/>
      <c r="AA114" s="110"/>
      <c r="AB114" s="111"/>
      <c r="AC114" s="112"/>
      <c r="AD114" s="85"/>
      <c r="AE114"/>
    </row>
    <row r="115" spans="1:31" ht="13">
      <c r="A115" s="106"/>
      <c r="B115" s="113"/>
      <c r="C115" s="114"/>
      <c r="D115" s="115"/>
      <c r="E115" s="115"/>
      <c r="F115" s="115"/>
      <c r="G115" s="115"/>
      <c r="H115" s="115"/>
      <c r="I115" s="114"/>
      <c r="J115" s="114"/>
      <c r="K115" s="115"/>
      <c r="L115" s="115"/>
      <c r="M115" s="115"/>
      <c r="N115" s="114"/>
      <c r="O115" s="116"/>
      <c r="P115" s="115"/>
      <c r="Q115" s="114"/>
      <c r="R115" s="114"/>
      <c r="S115" s="114"/>
      <c r="T115" s="117"/>
      <c r="U115" s="117"/>
      <c r="V115" s="117"/>
      <c r="W115" s="117"/>
      <c r="X115" s="117"/>
      <c r="Y115" s="117"/>
      <c r="Z115" s="117"/>
      <c r="AA115" s="118"/>
      <c r="AB115" s="119"/>
      <c r="AC115" s="120"/>
      <c r="AD115" s="115"/>
      <c r="AE115"/>
    </row>
    <row r="116" spans="1:31" ht="13">
      <c r="A116" s="106"/>
      <c r="B116" s="107"/>
      <c r="C116" s="108"/>
      <c r="D116" s="85"/>
      <c r="E116" s="85"/>
      <c r="F116" s="85"/>
      <c r="G116" s="85"/>
      <c r="H116" s="85"/>
      <c r="I116" s="108"/>
      <c r="J116" s="108"/>
      <c r="K116" s="85"/>
      <c r="L116" s="85"/>
      <c r="M116" s="85"/>
      <c r="N116" s="108"/>
      <c r="O116" s="121"/>
      <c r="P116" s="85"/>
      <c r="Q116" s="108"/>
      <c r="R116" s="108"/>
      <c r="S116" s="108"/>
      <c r="T116" s="109"/>
      <c r="U116" s="109"/>
      <c r="V116" s="109"/>
      <c r="W116" s="109"/>
      <c r="X116" s="109"/>
      <c r="Y116" s="109"/>
      <c r="Z116" s="109"/>
      <c r="AA116" s="122"/>
      <c r="AB116" s="111"/>
      <c r="AC116" s="112"/>
      <c r="AD116" s="85"/>
      <c r="AE116"/>
    </row>
    <row r="117" spans="1:31" ht="13">
      <c r="A117" s="106"/>
      <c r="B117" s="107"/>
      <c r="C117" s="108"/>
      <c r="D117" s="85"/>
      <c r="E117" s="85"/>
      <c r="F117" s="85"/>
      <c r="G117" s="85"/>
      <c r="H117" s="85"/>
      <c r="I117" s="108"/>
      <c r="J117" s="108"/>
      <c r="K117" s="85"/>
      <c r="L117" s="85"/>
      <c r="M117" s="85"/>
      <c r="N117" s="108"/>
      <c r="O117" s="121"/>
      <c r="P117" s="85"/>
      <c r="Q117" s="108"/>
      <c r="R117" s="108"/>
      <c r="S117" s="108"/>
      <c r="T117" s="109"/>
      <c r="U117" s="109"/>
      <c r="V117" s="109"/>
      <c r="W117" s="109"/>
      <c r="X117" s="109"/>
      <c r="Y117" s="109"/>
      <c r="Z117" s="109"/>
      <c r="AA117" s="122"/>
      <c r="AB117" s="111"/>
      <c r="AC117" s="112"/>
      <c r="AD117" s="85"/>
      <c r="AE117"/>
    </row>
    <row r="118" spans="1:31" ht="13">
      <c r="A118" s="106"/>
      <c r="B118" s="113"/>
      <c r="C118" s="114"/>
      <c r="D118" s="115"/>
      <c r="E118" s="115"/>
      <c r="F118" s="115"/>
      <c r="G118" s="115"/>
      <c r="H118" s="115"/>
      <c r="I118" s="114"/>
      <c r="J118" s="114"/>
      <c r="K118" s="115"/>
      <c r="L118" s="115"/>
      <c r="M118" s="115"/>
      <c r="N118" s="114"/>
      <c r="O118" s="116"/>
      <c r="P118" s="115"/>
      <c r="Q118" s="114"/>
      <c r="R118" s="114"/>
      <c r="S118" s="114"/>
      <c r="T118" s="117"/>
      <c r="U118" s="117"/>
      <c r="V118" s="117"/>
      <c r="W118" s="117"/>
      <c r="X118" s="117"/>
      <c r="Y118" s="117"/>
      <c r="Z118" s="117"/>
      <c r="AA118" s="118"/>
      <c r="AB118" s="119"/>
      <c r="AC118" s="120"/>
      <c r="AD118" s="115"/>
      <c r="AE118"/>
    </row>
    <row r="119" spans="1:31" ht="13">
      <c r="A119" s="106"/>
      <c r="B119" s="107"/>
      <c r="C119" s="108"/>
      <c r="D119" s="85"/>
      <c r="E119" s="85"/>
      <c r="F119" s="85"/>
      <c r="G119" s="85"/>
      <c r="H119" s="85"/>
      <c r="I119" s="108"/>
      <c r="J119" s="108"/>
      <c r="K119" s="85"/>
      <c r="L119" s="85"/>
      <c r="M119" s="85"/>
      <c r="N119" s="108"/>
      <c r="O119" s="121"/>
      <c r="P119" s="85"/>
      <c r="Q119" s="108"/>
      <c r="R119" s="108"/>
      <c r="S119" s="108"/>
      <c r="T119" s="109"/>
      <c r="U119" s="109"/>
      <c r="V119" s="109"/>
      <c r="W119" s="109"/>
      <c r="X119" s="109"/>
      <c r="Y119" s="109"/>
      <c r="Z119" s="109"/>
      <c r="AA119" s="122"/>
      <c r="AB119" s="111"/>
      <c r="AC119" s="112"/>
      <c r="AD119" s="85"/>
      <c r="AE119"/>
    </row>
    <row r="120" spans="1:31" ht="13">
      <c r="A120" s="106"/>
      <c r="B120" s="107"/>
      <c r="C120" s="108"/>
      <c r="D120" s="85"/>
      <c r="E120" s="85"/>
      <c r="F120" s="85"/>
      <c r="G120" s="85"/>
      <c r="H120" s="85"/>
      <c r="I120" s="108"/>
      <c r="J120" s="108"/>
      <c r="K120" s="85"/>
      <c r="L120" s="85"/>
      <c r="M120" s="85"/>
      <c r="N120" s="108"/>
      <c r="O120" s="121"/>
      <c r="P120" s="85"/>
      <c r="Q120" s="108"/>
      <c r="R120" s="108"/>
      <c r="S120" s="108"/>
      <c r="T120" s="109"/>
      <c r="U120" s="109"/>
      <c r="V120" s="109"/>
      <c r="W120" s="109"/>
      <c r="X120" s="109"/>
      <c r="Y120" s="109"/>
      <c r="Z120" s="109"/>
      <c r="AA120" s="122"/>
      <c r="AB120" s="111"/>
      <c r="AC120" s="112"/>
      <c r="AD120" s="85"/>
      <c r="AE120"/>
    </row>
    <row r="121" spans="1:31" ht="13">
      <c r="A121" s="106"/>
      <c r="B121" s="113"/>
      <c r="C121" s="114"/>
      <c r="D121" s="115"/>
      <c r="E121" s="115"/>
      <c r="F121" s="115"/>
      <c r="G121" s="115"/>
      <c r="H121" s="115"/>
      <c r="I121" s="114"/>
      <c r="J121" s="114"/>
      <c r="K121" s="115"/>
      <c r="L121" s="115"/>
      <c r="M121" s="115"/>
      <c r="N121" s="114"/>
      <c r="O121" s="116"/>
      <c r="P121" s="115"/>
      <c r="Q121" s="114"/>
      <c r="R121" s="114"/>
      <c r="S121" s="114"/>
      <c r="T121" s="117"/>
      <c r="U121" s="117"/>
      <c r="V121" s="117"/>
      <c r="W121" s="117"/>
      <c r="X121" s="117"/>
      <c r="Y121" s="117"/>
      <c r="Z121" s="117"/>
      <c r="AA121" s="118"/>
      <c r="AB121" s="119"/>
      <c r="AC121" s="120"/>
      <c r="AD121" s="115"/>
      <c r="AE121"/>
    </row>
    <row r="122" spans="1:31" ht="13">
      <c r="A122" s="106"/>
      <c r="B122" s="107"/>
      <c r="C122" s="108"/>
      <c r="D122" s="85"/>
      <c r="E122" s="85"/>
      <c r="F122" s="85"/>
      <c r="G122" s="85"/>
      <c r="H122" s="85"/>
      <c r="I122" s="108"/>
      <c r="J122" s="108"/>
      <c r="K122" s="85"/>
      <c r="L122" s="85"/>
      <c r="M122" s="85"/>
      <c r="N122" s="108"/>
      <c r="O122" s="121"/>
      <c r="P122" s="85"/>
      <c r="Q122" s="108"/>
      <c r="R122" s="108"/>
      <c r="S122" s="108"/>
      <c r="T122" s="109"/>
      <c r="U122" s="109"/>
      <c r="V122" s="109"/>
      <c r="W122" s="109"/>
      <c r="X122" s="109"/>
      <c r="Y122" s="109"/>
      <c r="Z122" s="109"/>
      <c r="AA122" s="122"/>
      <c r="AB122" s="111"/>
      <c r="AC122" s="112"/>
      <c r="AD122" s="85"/>
      <c r="AE122"/>
    </row>
    <row r="123" spans="1:31" ht="13">
      <c r="A123" s="106"/>
      <c r="B123" s="107"/>
      <c r="C123" s="108"/>
      <c r="D123" s="85"/>
      <c r="E123" s="85"/>
      <c r="F123" s="85"/>
      <c r="G123" s="85"/>
      <c r="H123" s="85"/>
      <c r="I123" s="108"/>
      <c r="J123" s="108"/>
      <c r="K123" s="85"/>
      <c r="L123" s="85"/>
      <c r="M123" s="85"/>
      <c r="N123" s="108"/>
      <c r="O123" s="121"/>
      <c r="P123" s="85"/>
      <c r="Q123" s="108"/>
      <c r="R123" s="108"/>
      <c r="S123" s="108"/>
      <c r="T123" s="109"/>
      <c r="U123" s="109"/>
      <c r="V123" s="109"/>
      <c r="W123" s="109"/>
      <c r="X123" s="109"/>
      <c r="Y123" s="109"/>
      <c r="Z123" s="109"/>
      <c r="AA123" s="122"/>
      <c r="AB123" s="111"/>
      <c r="AC123" s="112"/>
      <c r="AD123" s="85"/>
      <c r="AE123"/>
    </row>
    <row r="124" spans="1:31" ht="13">
      <c r="A124" s="123"/>
      <c r="B124" s="124"/>
      <c r="C124" s="114"/>
      <c r="D124" s="115"/>
      <c r="E124" s="115"/>
      <c r="F124" s="115"/>
      <c r="G124" s="115"/>
      <c r="H124" s="115"/>
      <c r="I124" s="114"/>
      <c r="J124" s="114"/>
      <c r="K124" s="115"/>
      <c r="L124" s="115"/>
      <c r="M124" s="115"/>
      <c r="N124" s="114"/>
      <c r="O124" s="116"/>
      <c r="P124" s="115"/>
      <c r="Q124" s="114"/>
      <c r="R124" s="114"/>
      <c r="S124" s="114"/>
      <c r="T124" s="117"/>
      <c r="U124" s="117"/>
      <c r="V124" s="117"/>
      <c r="W124" s="117"/>
      <c r="X124" s="117"/>
      <c r="Y124" s="117"/>
      <c r="Z124" s="117"/>
      <c r="AA124" s="118"/>
      <c r="AB124" s="111"/>
      <c r="AC124" s="112"/>
      <c r="AD124" s="115"/>
      <c r="AE124"/>
    </row>
    <row r="125" spans="1:31" ht="13">
      <c r="A125" s="104"/>
      <c r="B125" s="92"/>
      <c r="C125" s="86"/>
      <c r="D125" s="80"/>
      <c r="E125" s="80"/>
      <c r="F125" s="80"/>
      <c r="G125" s="80"/>
      <c r="H125" s="80"/>
      <c r="I125" s="86"/>
      <c r="J125" s="86"/>
      <c r="K125" s="80"/>
      <c r="L125" s="80"/>
      <c r="M125" s="80"/>
      <c r="N125" s="86"/>
      <c r="O125" s="86"/>
      <c r="P125" s="80"/>
      <c r="Q125" s="86"/>
      <c r="R125" s="86"/>
      <c r="S125" s="86"/>
      <c r="T125" s="88"/>
      <c r="U125" s="88"/>
      <c r="V125" s="88"/>
      <c r="W125" s="88"/>
      <c r="X125" s="88"/>
      <c r="Y125" s="88"/>
      <c r="Z125" s="88"/>
      <c r="AA125" s="105"/>
      <c r="AB125" s="90"/>
      <c r="AC125" s="91"/>
      <c r="AD125" s="85"/>
      <c r="AE125"/>
    </row>
    <row r="126" spans="1:31" ht="13">
      <c r="A126" s="106"/>
      <c r="B126" s="107"/>
      <c r="C126" s="108"/>
      <c r="D126" s="85"/>
      <c r="E126" s="85"/>
      <c r="F126" s="85"/>
      <c r="G126" s="85"/>
      <c r="H126" s="85"/>
      <c r="I126" s="108"/>
      <c r="J126" s="108"/>
      <c r="K126" s="85"/>
      <c r="L126" s="85"/>
      <c r="M126" s="85"/>
      <c r="N126" s="108"/>
      <c r="O126" s="108"/>
      <c r="P126" s="85"/>
      <c r="Q126" s="108"/>
      <c r="R126" s="108"/>
      <c r="S126" s="108"/>
      <c r="T126" s="109"/>
      <c r="U126" s="109"/>
      <c r="V126" s="109"/>
      <c r="W126" s="109"/>
      <c r="X126" s="109"/>
      <c r="Y126" s="109"/>
      <c r="Z126" s="109"/>
      <c r="AA126" s="110"/>
      <c r="AB126" s="111"/>
      <c r="AC126" s="112"/>
      <c r="AD126" s="85"/>
      <c r="AE126"/>
    </row>
    <row r="127" spans="1:31" ht="13">
      <c r="A127" s="106"/>
      <c r="B127" s="113"/>
      <c r="C127" s="114"/>
      <c r="D127" s="115"/>
      <c r="E127" s="115"/>
      <c r="F127" s="115"/>
      <c r="G127" s="115"/>
      <c r="H127" s="115"/>
      <c r="I127" s="114"/>
      <c r="J127" s="114"/>
      <c r="K127" s="115"/>
      <c r="L127" s="115"/>
      <c r="M127" s="115"/>
      <c r="N127" s="114"/>
      <c r="O127" s="116"/>
      <c r="P127" s="115"/>
      <c r="Q127" s="114"/>
      <c r="R127" s="114"/>
      <c r="S127" s="114"/>
      <c r="T127" s="117"/>
      <c r="U127" s="117"/>
      <c r="V127" s="117"/>
      <c r="W127" s="117"/>
      <c r="X127" s="117"/>
      <c r="Y127" s="117"/>
      <c r="Z127" s="117"/>
      <c r="AA127" s="118"/>
      <c r="AB127" s="119"/>
      <c r="AC127" s="120"/>
      <c r="AD127" s="115"/>
      <c r="AE127"/>
    </row>
    <row r="128" spans="1:31" ht="13">
      <c r="A128" s="106"/>
      <c r="B128" s="107"/>
      <c r="C128" s="108"/>
      <c r="D128" s="85"/>
      <c r="E128" s="85"/>
      <c r="F128" s="85"/>
      <c r="G128" s="85"/>
      <c r="H128" s="85"/>
      <c r="I128" s="108"/>
      <c r="J128" s="108"/>
      <c r="K128" s="85"/>
      <c r="L128" s="85"/>
      <c r="M128" s="85"/>
      <c r="N128" s="108"/>
      <c r="O128" s="121"/>
      <c r="P128" s="85"/>
      <c r="Q128" s="108"/>
      <c r="R128" s="108"/>
      <c r="S128" s="108"/>
      <c r="T128" s="109"/>
      <c r="U128" s="109"/>
      <c r="V128" s="109"/>
      <c r="W128" s="109"/>
      <c r="X128" s="109"/>
      <c r="Y128" s="109"/>
      <c r="Z128" s="109"/>
      <c r="AA128" s="122"/>
      <c r="AB128" s="111"/>
      <c r="AC128" s="112"/>
      <c r="AD128" s="85"/>
      <c r="AE128"/>
    </row>
    <row r="129" spans="1:31" ht="13">
      <c r="A129" s="106"/>
      <c r="B129" s="107"/>
      <c r="C129" s="108"/>
      <c r="D129" s="85"/>
      <c r="E129" s="85"/>
      <c r="F129" s="85"/>
      <c r="G129" s="85"/>
      <c r="H129" s="85"/>
      <c r="I129" s="108"/>
      <c r="J129" s="108"/>
      <c r="K129" s="85"/>
      <c r="L129" s="85"/>
      <c r="M129" s="85"/>
      <c r="N129" s="108"/>
      <c r="O129" s="121"/>
      <c r="P129" s="85"/>
      <c r="Q129" s="108"/>
      <c r="R129" s="108"/>
      <c r="S129" s="108"/>
      <c r="T129" s="109"/>
      <c r="U129" s="109"/>
      <c r="V129" s="109"/>
      <c r="W129" s="109"/>
      <c r="X129" s="109"/>
      <c r="Y129" s="109"/>
      <c r="Z129" s="109"/>
      <c r="AA129" s="122"/>
      <c r="AB129" s="111"/>
      <c r="AC129" s="112"/>
      <c r="AD129" s="85"/>
      <c r="AE129"/>
    </row>
    <row r="130" spans="1:31" ht="13">
      <c r="A130" s="106"/>
      <c r="B130" s="113"/>
      <c r="C130" s="114"/>
      <c r="D130" s="115"/>
      <c r="E130" s="115"/>
      <c r="F130" s="115"/>
      <c r="G130" s="115"/>
      <c r="H130" s="115"/>
      <c r="I130" s="114"/>
      <c r="J130" s="114"/>
      <c r="K130" s="115"/>
      <c r="L130" s="115"/>
      <c r="M130" s="115"/>
      <c r="N130" s="114"/>
      <c r="O130" s="116"/>
      <c r="P130" s="115"/>
      <c r="Q130" s="114"/>
      <c r="R130" s="114"/>
      <c r="S130" s="114"/>
      <c r="T130" s="117"/>
      <c r="U130" s="117"/>
      <c r="V130" s="117"/>
      <c r="W130" s="117"/>
      <c r="X130" s="117"/>
      <c r="Y130" s="117"/>
      <c r="Z130" s="117"/>
      <c r="AA130" s="118"/>
      <c r="AB130" s="119"/>
      <c r="AC130" s="120"/>
      <c r="AD130" s="115"/>
      <c r="AE130"/>
    </row>
    <row r="131" spans="1:31" ht="13">
      <c r="A131" s="106"/>
      <c r="B131" s="107"/>
      <c r="C131" s="108"/>
      <c r="D131" s="85"/>
      <c r="E131" s="85"/>
      <c r="F131" s="85"/>
      <c r="G131" s="85"/>
      <c r="H131" s="85"/>
      <c r="I131" s="108"/>
      <c r="J131" s="108"/>
      <c r="K131" s="85"/>
      <c r="L131" s="85"/>
      <c r="M131" s="85"/>
      <c r="N131" s="108"/>
      <c r="O131" s="121"/>
      <c r="P131" s="85"/>
      <c r="Q131" s="108"/>
      <c r="R131" s="108"/>
      <c r="S131" s="108"/>
      <c r="T131" s="109"/>
      <c r="U131" s="109"/>
      <c r="V131" s="109"/>
      <c r="W131" s="109"/>
      <c r="X131" s="109"/>
      <c r="Y131" s="109"/>
      <c r="Z131" s="109"/>
      <c r="AA131" s="122"/>
      <c r="AB131" s="111"/>
      <c r="AC131" s="112"/>
      <c r="AD131" s="85"/>
      <c r="AE131"/>
    </row>
    <row r="132" spans="1:31" ht="13">
      <c r="A132" s="106"/>
      <c r="B132" s="107"/>
      <c r="C132" s="108"/>
      <c r="D132" s="85"/>
      <c r="E132" s="85"/>
      <c r="F132" s="85"/>
      <c r="G132" s="85"/>
      <c r="H132" s="85"/>
      <c r="I132" s="108"/>
      <c r="J132" s="108"/>
      <c r="K132" s="85"/>
      <c r="L132" s="85"/>
      <c r="M132" s="85"/>
      <c r="N132" s="108"/>
      <c r="O132" s="121"/>
      <c r="P132" s="85"/>
      <c r="Q132" s="108"/>
      <c r="R132" s="108"/>
      <c r="S132" s="108"/>
      <c r="T132" s="109"/>
      <c r="U132" s="109"/>
      <c r="V132" s="109"/>
      <c r="W132" s="109"/>
      <c r="X132" s="109"/>
      <c r="Y132" s="109"/>
      <c r="Z132" s="109"/>
      <c r="AA132" s="122"/>
      <c r="AB132" s="111"/>
      <c r="AC132" s="112"/>
      <c r="AD132" s="85"/>
      <c r="AE132"/>
    </row>
    <row r="133" spans="1:31" ht="13">
      <c r="A133" s="106"/>
      <c r="B133" s="113"/>
      <c r="C133" s="114"/>
      <c r="D133" s="115"/>
      <c r="E133" s="115"/>
      <c r="F133" s="115"/>
      <c r="G133" s="115"/>
      <c r="H133" s="115"/>
      <c r="I133" s="114"/>
      <c r="J133" s="114"/>
      <c r="K133" s="115"/>
      <c r="L133" s="115"/>
      <c r="M133" s="115"/>
      <c r="N133" s="114"/>
      <c r="O133" s="116"/>
      <c r="P133" s="115"/>
      <c r="Q133" s="114"/>
      <c r="R133" s="114"/>
      <c r="S133" s="114"/>
      <c r="T133" s="117"/>
      <c r="U133" s="117"/>
      <c r="V133" s="117"/>
      <c r="W133" s="117"/>
      <c r="X133" s="117"/>
      <c r="Y133" s="117"/>
      <c r="Z133" s="117"/>
      <c r="AA133" s="118"/>
      <c r="AB133" s="119"/>
      <c r="AC133" s="120"/>
      <c r="AD133" s="115"/>
      <c r="AE133"/>
    </row>
    <row r="134" spans="1:31" ht="13">
      <c r="A134" s="106"/>
      <c r="B134" s="107"/>
      <c r="C134" s="108"/>
      <c r="D134" s="85"/>
      <c r="E134" s="85"/>
      <c r="F134" s="85"/>
      <c r="G134" s="85"/>
      <c r="H134" s="85"/>
      <c r="I134" s="108"/>
      <c r="J134" s="108"/>
      <c r="K134" s="85"/>
      <c r="L134" s="85"/>
      <c r="M134" s="85"/>
      <c r="N134" s="108"/>
      <c r="O134" s="121"/>
      <c r="P134" s="85"/>
      <c r="Q134" s="108"/>
      <c r="R134" s="108"/>
      <c r="S134" s="108"/>
      <c r="T134" s="109"/>
      <c r="U134" s="109"/>
      <c r="V134" s="109"/>
      <c r="W134" s="109"/>
      <c r="X134" s="109"/>
      <c r="Y134" s="109"/>
      <c r="Z134" s="109"/>
      <c r="AA134" s="122"/>
      <c r="AB134" s="111"/>
      <c r="AC134" s="112"/>
      <c r="AD134" s="85"/>
      <c r="AE134"/>
    </row>
    <row r="135" spans="1:31" ht="13">
      <c r="A135" s="106"/>
      <c r="B135" s="107"/>
      <c r="C135" s="108"/>
      <c r="D135" s="85"/>
      <c r="E135" s="85"/>
      <c r="F135" s="85"/>
      <c r="G135" s="85"/>
      <c r="H135" s="85"/>
      <c r="I135" s="108"/>
      <c r="J135" s="108"/>
      <c r="K135" s="85"/>
      <c r="L135" s="85"/>
      <c r="M135" s="85"/>
      <c r="N135" s="108"/>
      <c r="O135" s="121"/>
      <c r="P135" s="85"/>
      <c r="Q135" s="108"/>
      <c r="R135" s="108"/>
      <c r="S135" s="108"/>
      <c r="T135" s="109"/>
      <c r="U135" s="109"/>
      <c r="V135" s="109"/>
      <c r="W135" s="109"/>
      <c r="X135" s="109"/>
      <c r="Y135" s="109"/>
      <c r="Z135" s="109"/>
      <c r="AA135" s="122"/>
      <c r="AB135" s="111"/>
      <c r="AC135" s="112"/>
      <c r="AD135" s="85"/>
      <c r="AE135"/>
    </row>
    <row r="136" spans="1:31" ht="13">
      <c r="A136" s="123"/>
      <c r="B136" s="124"/>
      <c r="C136" s="114"/>
      <c r="D136" s="115"/>
      <c r="E136" s="115"/>
      <c r="F136" s="115"/>
      <c r="G136" s="115"/>
      <c r="H136" s="115"/>
      <c r="I136" s="114"/>
      <c r="J136" s="114"/>
      <c r="K136" s="115"/>
      <c r="L136" s="115"/>
      <c r="M136" s="115"/>
      <c r="N136" s="114"/>
      <c r="O136" s="116"/>
      <c r="P136" s="115"/>
      <c r="Q136" s="114"/>
      <c r="R136" s="114"/>
      <c r="S136" s="114"/>
      <c r="T136" s="117"/>
      <c r="U136" s="117"/>
      <c r="V136" s="117"/>
      <c r="W136" s="117"/>
      <c r="X136" s="117"/>
      <c r="Y136" s="117"/>
      <c r="Z136" s="117"/>
      <c r="AA136" s="118"/>
      <c r="AB136" s="111"/>
      <c r="AC136" s="112"/>
      <c r="AD136" s="115"/>
      <c r="AE136"/>
    </row>
    <row r="137" spans="1:31" ht="13">
      <c r="A137" s="104"/>
      <c r="B137" s="92"/>
      <c r="C137" s="86"/>
      <c r="D137" s="80"/>
      <c r="E137" s="80"/>
      <c r="F137" s="80"/>
      <c r="G137" s="80"/>
      <c r="H137" s="80"/>
      <c r="I137" s="86"/>
      <c r="J137" s="86"/>
      <c r="K137" s="80"/>
      <c r="L137" s="80"/>
      <c r="M137" s="80"/>
      <c r="N137" s="86"/>
      <c r="O137" s="86"/>
      <c r="P137" s="80"/>
      <c r="Q137" s="86"/>
      <c r="R137" s="86"/>
      <c r="S137" s="86"/>
      <c r="T137" s="88"/>
      <c r="U137" s="88"/>
      <c r="V137" s="88"/>
      <c r="W137" s="88"/>
      <c r="X137" s="88"/>
      <c r="Y137" s="88"/>
      <c r="Z137" s="88"/>
      <c r="AA137" s="105"/>
      <c r="AB137" s="90"/>
      <c r="AC137" s="91"/>
      <c r="AD137" s="85"/>
      <c r="AE137"/>
    </row>
    <row r="138" spans="1:31" ht="13">
      <c r="A138" s="106"/>
      <c r="B138" s="107"/>
      <c r="C138" s="108"/>
      <c r="D138" s="85"/>
      <c r="E138" s="85"/>
      <c r="F138" s="85"/>
      <c r="G138" s="85"/>
      <c r="H138" s="85"/>
      <c r="I138" s="108"/>
      <c r="J138" s="108"/>
      <c r="K138" s="85"/>
      <c r="L138" s="85"/>
      <c r="M138" s="85"/>
      <c r="N138" s="108"/>
      <c r="O138" s="108"/>
      <c r="P138" s="85"/>
      <c r="Q138" s="108"/>
      <c r="R138" s="108"/>
      <c r="S138" s="108"/>
      <c r="T138" s="109"/>
      <c r="U138" s="109"/>
      <c r="V138" s="109"/>
      <c r="W138" s="109"/>
      <c r="X138" s="109"/>
      <c r="Y138" s="109"/>
      <c r="Z138" s="109"/>
      <c r="AA138" s="110"/>
      <c r="AB138" s="111"/>
      <c r="AC138" s="112"/>
      <c r="AD138" s="85"/>
      <c r="AE138"/>
    </row>
    <row r="139" spans="1:31" ht="13">
      <c r="A139" s="106"/>
      <c r="B139" s="113"/>
      <c r="C139" s="114"/>
      <c r="D139" s="115"/>
      <c r="E139" s="115"/>
      <c r="F139" s="115"/>
      <c r="G139" s="115"/>
      <c r="H139" s="115"/>
      <c r="I139" s="114"/>
      <c r="J139" s="114"/>
      <c r="K139" s="115"/>
      <c r="L139" s="115"/>
      <c r="M139" s="115"/>
      <c r="N139" s="114"/>
      <c r="O139" s="116"/>
      <c r="P139" s="115"/>
      <c r="Q139" s="114"/>
      <c r="R139" s="114"/>
      <c r="S139" s="114"/>
      <c r="T139" s="117"/>
      <c r="U139" s="117"/>
      <c r="V139" s="117"/>
      <c r="W139" s="117"/>
      <c r="X139" s="117"/>
      <c r="Y139" s="117"/>
      <c r="Z139" s="117"/>
      <c r="AA139" s="118"/>
      <c r="AB139" s="119"/>
      <c r="AC139" s="120"/>
      <c r="AD139" s="115"/>
      <c r="AE139"/>
    </row>
    <row r="140" spans="1:31" ht="13">
      <c r="A140" s="106"/>
      <c r="B140" s="107"/>
      <c r="C140" s="108"/>
      <c r="D140" s="85"/>
      <c r="E140" s="85"/>
      <c r="F140" s="85"/>
      <c r="G140" s="85"/>
      <c r="H140" s="85"/>
      <c r="I140" s="108"/>
      <c r="J140" s="108"/>
      <c r="K140" s="85"/>
      <c r="L140" s="85"/>
      <c r="M140" s="85"/>
      <c r="N140" s="108"/>
      <c r="O140" s="121"/>
      <c r="P140" s="85"/>
      <c r="Q140" s="108"/>
      <c r="R140" s="108"/>
      <c r="S140" s="108"/>
      <c r="T140" s="109"/>
      <c r="U140" s="109"/>
      <c r="V140" s="109"/>
      <c r="W140" s="109"/>
      <c r="X140" s="109"/>
      <c r="Y140" s="109"/>
      <c r="Z140" s="109"/>
      <c r="AA140" s="122"/>
      <c r="AB140" s="111"/>
      <c r="AC140" s="112"/>
      <c r="AD140" s="85"/>
      <c r="AE140"/>
    </row>
    <row r="141" spans="1:31" ht="13">
      <c r="A141" s="106"/>
      <c r="B141" s="107"/>
      <c r="C141" s="108"/>
      <c r="D141" s="85"/>
      <c r="E141" s="85"/>
      <c r="F141" s="85"/>
      <c r="G141" s="85"/>
      <c r="H141" s="85"/>
      <c r="I141" s="108"/>
      <c r="J141" s="108"/>
      <c r="K141" s="85"/>
      <c r="L141" s="85"/>
      <c r="M141" s="85"/>
      <c r="N141" s="108"/>
      <c r="O141" s="121"/>
      <c r="P141" s="85"/>
      <c r="Q141" s="108"/>
      <c r="R141" s="108"/>
      <c r="S141" s="108"/>
      <c r="T141" s="109"/>
      <c r="U141" s="109"/>
      <c r="V141" s="109"/>
      <c r="W141" s="109"/>
      <c r="X141" s="109"/>
      <c r="Y141" s="109"/>
      <c r="Z141" s="109"/>
      <c r="AA141" s="122"/>
      <c r="AB141" s="111"/>
      <c r="AC141" s="112"/>
      <c r="AD141" s="85"/>
      <c r="AE141"/>
    </row>
    <row r="142" spans="1:31" ht="13">
      <c r="A142" s="106"/>
      <c r="B142" s="113"/>
      <c r="C142" s="114"/>
      <c r="D142" s="115"/>
      <c r="E142" s="115"/>
      <c r="F142" s="115"/>
      <c r="G142" s="115"/>
      <c r="H142" s="115"/>
      <c r="I142" s="114"/>
      <c r="J142" s="114"/>
      <c r="K142" s="115"/>
      <c r="L142" s="115"/>
      <c r="M142" s="115"/>
      <c r="N142" s="114"/>
      <c r="O142" s="116"/>
      <c r="P142" s="115"/>
      <c r="Q142" s="114"/>
      <c r="R142" s="114"/>
      <c r="S142" s="114"/>
      <c r="T142" s="117"/>
      <c r="U142" s="117"/>
      <c r="V142" s="117"/>
      <c r="W142" s="117"/>
      <c r="X142" s="117"/>
      <c r="Y142" s="117"/>
      <c r="Z142" s="117"/>
      <c r="AA142" s="118"/>
      <c r="AB142" s="119"/>
      <c r="AC142" s="120"/>
      <c r="AD142" s="115"/>
      <c r="AE142"/>
    </row>
    <row r="143" spans="1:31" ht="13">
      <c r="A143" s="106"/>
      <c r="B143" s="107"/>
      <c r="C143" s="108"/>
      <c r="D143" s="85"/>
      <c r="E143" s="85"/>
      <c r="F143" s="85"/>
      <c r="G143" s="85"/>
      <c r="H143" s="85"/>
      <c r="I143" s="108"/>
      <c r="J143" s="108"/>
      <c r="K143" s="85"/>
      <c r="L143" s="85"/>
      <c r="M143" s="85"/>
      <c r="N143" s="108"/>
      <c r="O143" s="121"/>
      <c r="P143" s="85"/>
      <c r="Q143" s="108"/>
      <c r="R143" s="108"/>
      <c r="S143" s="108"/>
      <c r="T143" s="109"/>
      <c r="U143" s="109"/>
      <c r="V143" s="109"/>
      <c r="W143" s="109"/>
      <c r="X143" s="109"/>
      <c r="Y143" s="109"/>
      <c r="Z143" s="109"/>
      <c r="AA143" s="122"/>
      <c r="AB143" s="111"/>
      <c r="AC143" s="112"/>
      <c r="AD143" s="85"/>
      <c r="AE143"/>
    </row>
    <row r="144" spans="1:31" ht="13">
      <c r="A144" s="106"/>
      <c r="B144" s="107"/>
      <c r="C144" s="108"/>
      <c r="D144" s="85"/>
      <c r="E144" s="85"/>
      <c r="F144" s="85"/>
      <c r="G144" s="85"/>
      <c r="H144" s="85"/>
      <c r="I144" s="108"/>
      <c r="J144" s="108"/>
      <c r="K144" s="85"/>
      <c r="L144" s="85"/>
      <c r="M144" s="85"/>
      <c r="N144" s="108"/>
      <c r="O144" s="121"/>
      <c r="P144" s="85"/>
      <c r="Q144" s="108"/>
      <c r="R144" s="108"/>
      <c r="S144" s="108"/>
      <c r="T144" s="109"/>
      <c r="U144" s="109"/>
      <c r="V144" s="109"/>
      <c r="W144" s="109"/>
      <c r="X144" s="109"/>
      <c r="Y144" s="109"/>
      <c r="Z144" s="109"/>
      <c r="AA144" s="122"/>
      <c r="AB144" s="111"/>
      <c r="AC144" s="112"/>
      <c r="AD144" s="85"/>
      <c r="AE144"/>
    </row>
    <row r="145" spans="1:31" ht="13">
      <c r="A145" s="106"/>
      <c r="B145" s="113"/>
      <c r="C145" s="114"/>
      <c r="D145" s="115"/>
      <c r="E145" s="115"/>
      <c r="F145" s="115"/>
      <c r="G145" s="115"/>
      <c r="H145" s="115"/>
      <c r="I145" s="114"/>
      <c r="J145" s="114"/>
      <c r="K145" s="115"/>
      <c r="L145" s="115"/>
      <c r="M145" s="115"/>
      <c r="N145" s="114"/>
      <c r="O145" s="116"/>
      <c r="P145" s="115"/>
      <c r="Q145" s="114"/>
      <c r="R145" s="114"/>
      <c r="S145" s="114"/>
      <c r="T145" s="117"/>
      <c r="U145" s="117"/>
      <c r="V145" s="117"/>
      <c r="W145" s="117"/>
      <c r="X145" s="117"/>
      <c r="Y145" s="117"/>
      <c r="Z145" s="117"/>
      <c r="AA145" s="118"/>
      <c r="AB145" s="119"/>
      <c r="AC145" s="120"/>
      <c r="AD145" s="115"/>
      <c r="AE145"/>
    </row>
    <row r="146" spans="1:31" ht="13">
      <c r="A146" s="106"/>
      <c r="B146" s="107"/>
      <c r="C146" s="108"/>
      <c r="D146" s="85"/>
      <c r="E146" s="85"/>
      <c r="F146" s="85"/>
      <c r="G146" s="85"/>
      <c r="H146" s="85"/>
      <c r="I146" s="108"/>
      <c r="J146" s="108"/>
      <c r="K146" s="85"/>
      <c r="L146" s="85"/>
      <c r="M146" s="85"/>
      <c r="N146" s="108"/>
      <c r="O146" s="121"/>
      <c r="P146" s="85"/>
      <c r="Q146" s="108"/>
      <c r="R146" s="108"/>
      <c r="S146" s="108"/>
      <c r="T146" s="109"/>
      <c r="U146" s="109"/>
      <c r="V146" s="109"/>
      <c r="W146" s="109"/>
      <c r="X146" s="109"/>
      <c r="Y146" s="109"/>
      <c r="Z146" s="109"/>
      <c r="AA146" s="122"/>
      <c r="AB146" s="111"/>
      <c r="AC146" s="112"/>
      <c r="AD146" s="85"/>
      <c r="AE146"/>
    </row>
    <row r="147" spans="1:31" ht="13">
      <c r="A147" s="106"/>
      <c r="B147" s="107"/>
      <c r="C147" s="108"/>
      <c r="D147" s="85"/>
      <c r="E147" s="85"/>
      <c r="F147" s="85"/>
      <c r="G147" s="85"/>
      <c r="H147" s="85"/>
      <c r="I147" s="108"/>
      <c r="J147" s="108"/>
      <c r="K147" s="85"/>
      <c r="L147" s="85"/>
      <c r="M147" s="85"/>
      <c r="N147" s="108"/>
      <c r="O147" s="121"/>
      <c r="P147" s="85"/>
      <c r="Q147" s="108"/>
      <c r="R147" s="108"/>
      <c r="S147" s="108"/>
      <c r="T147" s="109"/>
      <c r="U147" s="109"/>
      <c r="V147" s="109"/>
      <c r="W147" s="109"/>
      <c r="X147" s="109"/>
      <c r="Y147" s="109"/>
      <c r="Z147" s="109"/>
      <c r="AA147" s="122"/>
      <c r="AB147" s="111"/>
      <c r="AC147" s="112"/>
      <c r="AD147" s="85"/>
      <c r="AE147"/>
    </row>
    <row r="148" spans="1:31" ht="13">
      <c r="A148" s="123"/>
      <c r="B148" s="124"/>
      <c r="C148" s="114"/>
      <c r="D148" s="115"/>
      <c r="E148" s="115"/>
      <c r="F148" s="115"/>
      <c r="G148" s="115"/>
      <c r="H148" s="115"/>
      <c r="I148" s="114"/>
      <c r="J148" s="114"/>
      <c r="K148" s="115"/>
      <c r="L148" s="115"/>
      <c r="M148" s="115"/>
      <c r="N148" s="114"/>
      <c r="O148" s="116"/>
      <c r="P148" s="115"/>
      <c r="Q148" s="114"/>
      <c r="R148" s="114"/>
      <c r="S148" s="114"/>
      <c r="T148" s="117"/>
      <c r="U148" s="117"/>
      <c r="V148" s="117"/>
      <c r="W148" s="117"/>
      <c r="X148" s="117"/>
      <c r="Y148" s="117"/>
      <c r="Z148" s="117"/>
      <c r="AA148" s="118"/>
      <c r="AB148" s="111"/>
      <c r="AC148" s="112"/>
      <c r="AD148" s="115"/>
      <c r="AE148"/>
    </row>
    <row r="149" spans="1:31" ht="13">
      <c r="A149" s="104"/>
      <c r="B149" s="92"/>
      <c r="C149" s="86"/>
      <c r="D149" s="80"/>
      <c r="E149" s="80"/>
      <c r="F149" s="80"/>
      <c r="G149" s="80"/>
      <c r="H149" s="80"/>
      <c r="I149" s="86"/>
      <c r="J149" s="86"/>
      <c r="K149" s="80"/>
      <c r="L149" s="80"/>
      <c r="M149" s="80"/>
      <c r="N149" s="86"/>
      <c r="O149" s="86"/>
      <c r="P149" s="80"/>
      <c r="Q149" s="86"/>
      <c r="R149" s="86"/>
      <c r="S149" s="86"/>
      <c r="T149" s="88"/>
      <c r="U149" s="88"/>
      <c r="V149" s="88"/>
      <c r="W149" s="88"/>
      <c r="X149" s="88"/>
      <c r="Y149" s="88"/>
      <c r="Z149" s="88"/>
      <c r="AA149" s="105"/>
      <c r="AB149" s="90"/>
      <c r="AC149" s="91"/>
      <c r="AD149" s="85"/>
      <c r="AE149"/>
    </row>
    <row r="150" spans="1:31" ht="13">
      <c r="A150" s="106"/>
      <c r="B150" s="107"/>
      <c r="C150" s="108"/>
      <c r="D150" s="85"/>
      <c r="E150" s="85"/>
      <c r="F150" s="85"/>
      <c r="G150" s="85"/>
      <c r="H150" s="85"/>
      <c r="I150" s="108"/>
      <c r="J150" s="108"/>
      <c r="K150" s="85"/>
      <c r="L150" s="85"/>
      <c r="M150" s="85"/>
      <c r="N150" s="108"/>
      <c r="O150" s="108"/>
      <c r="P150" s="85"/>
      <c r="Q150" s="108"/>
      <c r="R150" s="108"/>
      <c r="S150" s="108"/>
      <c r="T150" s="109"/>
      <c r="U150" s="109"/>
      <c r="V150" s="109"/>
      <c r="W150" s="109"/>
      <c r="X150" s="109"/>
      <c r="Y150" s="109"/>
      <c r="Z150" s="109"/>
      <c r="AA150" s="110"/>
      <c r="AB150" s="111"/>
      <c r="AC150" s="112"/>
      <c r="AD150" s="85"/>
      <c r="AE150"/>
    </row>
    <row r="151" spans="1:31" ht="13">
      <c r="A151" s="106"/>
      <c r="B151" s="113"/>
      <c r="C151" s="114"/>
      <c r="D151" s="115"/>
      <c r="E151" s="115"/>
      <c r="F151" s="115"/>
      <c r="G151" s="115"/>
      <c r="H151" s="115"/>
      <c r="I151" s="114"/>
      <c r="J151" s="114"/>
      <c r="K151" s="115"/>
      <c r="L151" s="115"/>
      <c r="M151" s="115"/>
      <c r="N151" s="114"/>
      <c r="O151" s="116"/>
      <c r="P151" s="115"/>
      <c r="Q151" s="114"/>
      <c r="R151" s="114"/>
      <c r="S151" s="114"/>
      <c r="T151" s="117"/>
      <c r="U151" s="117"/>
      <c r="V151" s="117"/>
      <c r="W151" s="117"/>
      <c r="X151" s="117"/>
      <c r="Y151" s="117"/>
      <c r="Z151" s="117"/>
      <c r="AA151" s="118"/>
      <c r="AB151" s="119"/>
      <c r="AC151" s="120"/>
      <c r="AD151" s="115"/>
      <c r="AE151"/>
    </row>
    <row r="152" spans="1:31" ht="13">
      <c r="A152" s="106"/>
      <c r="B152" s="107"/>
      <c r="C152" s="108"/>
      <c r="D152" s="85"/>
      <c r="E152" s="85"/>
      <c r="F152" s="85"/>
      <c r="G152" s="85"/>
      <c r="H152" s="85"/>
      <c r="I152" s="108"/>
      <c r="J152" s="108"/>
      <c r="K152" s="85"/>
      <c r="L152" s="85"/>
      <c r="M152" s="85"/>
      <c r="N152" s="108"/>
      <c r="O152" s="121"/>
      <c r="P152" s="85"/>
      <c r="Q152" s="108"/>
      <c r="R152" s="108"/>
      <c r="S152" s="108"/>
      <c r="T152" s="109"/>
      <c r="U152" s="109"/>
      <c r="V152" s="109"/>
      <c r="W152" s="109"/>
      <c r="X152" s="109"/>
      <c r="Y152" s="109"/>
      <c r="Z152" s="109"/>
      <c r="AA152" s="122"/>
      <c r="AB152" s="111"/>
      <c r="AC152" s="112"/>
      <c r="AD152" s="85"/>
      <c r="AE152"/>
    </row>
    <row r="153" spans="1:31" ht="13">
      <c r="A153" s="106"/>
      <c r="B153" s="107"/>
      <c r="C153" s="108"/>
      <c r="D153" s="85"/>
      <c r="E153" s="85"/>
      <c r="F153" s="85"/>
      <c r="G153" s="85"/>
      <c r="H153" s="85"/>
      <c r="I153" s="108"/>
      <c r="J153" s="108"/>
      <c r="K153" s="85"/>
      <c r="L153" s="85"/>
      <c r="M153" s="85"/>
      <c r="N153" s="108"/>
      <c r="O153" s="121"/>
      <c r="P153" s="85"/>
      <c r="Q153" s="108"/>
      <c r="R153" s="108"/>
      <c r="S153" s="108"/>
      <c r="T153" s="109"/>
      <c r="U153" s="109"/>
      <c r="V153" s="109"/>
      <c r="W153" s="109"/>
      <c r="X153" s="109"/>
      <c r="Y153" s="109"/>
      <c r="Z153" s="109"/>
      <c r="AA153" s="122"/>
      <c r="AB153" s="111"/>
      <c r="AC153" s="112"/>
      <c r="AD153" s="85"/>
      <c r="AE153"/>
    </row>
    <row r="154" spans="1:31" ht="13">
      <c r="A154" s="106"/>
      <c r="B154" s="113"/>
      <c r="C154" s="114"/>
      <c r="D154" s="115"/>
      <c r="E154" s="115"/>
      <c r="F154" s="115"/>
      <c r="G154" s="115"/>
      <c r="H154" s="115"/>
      <c r="I154" s="114"/>
      <c r="J154" s="114"/>
      <c r="K154" s="115"/>
      <c r="L154" s="115"/>
      <c r="M154" s="115"/>
      <c r="N154" s="114"/>
      <c r="O154" s="116"/>
      <c r="P154" s="115"/>
      <c r="Q154" s="114"/>
      <c r="R154" s="114"/>
      <c r="S154" s="114"/>
      <c r="T154" s="117"/>
      <c r="U154" s="117"/>
      <c r="V154" s="117"/>
      <c r="W154" s="117"/>
      <c r="X154" s="117"/>
      <c r="Y154" s="117"/>
      <c r="Z154" s="117"/>
      <c r="AA154" s="118"/>
      <c r="AB154" s="119"/>
      <c r="AC154" s="120"/>
      <c r="AD154" s="115"/>
      <c r="AE154"/>
    </row>
    <row r="155" spans="1:31" ht="13">
      <c r="A155" s="106"/>
      <c r="B155" s="107"/>
      <c r="C155" s="108"/>
      <c r="D155" s="85"/>
      <c r="E155" s="85"/>
      <c r="F155" s="85"/>
      <c r="G155" s="85"/>
      <c r="H155" s="85"/>
      <c r="I155" s="108"/>
      <c r="J155" s="108"/>
      <c r="K155" s="85"/>
      <c r="L155" s="85"/>
      <c r="M155" s="85"/>
      <c r="N155" s="108"/>
      <c r="O155" s="121"/>
      <c r="P155" s="85"/>
      <c r="Q155" s="108"/>
      <c r="R155" s="108"/>
      <c r="S155" s="108"/>
      <c r="T155" s="109"/>
      <c r="U155" s="109"/>
      <c r="V155" s="109"/>
      <c r="W155" s="109"/>
      <c r="X155" s="109"/>
      <c r="Y155" s="109"/>
      <c r="Z155" s="109"/>
      <c r="AA155" s="122"/>
      <c r="AB155" s="111"/>
      <c r="AC155" s="112"/>
      <c r="AD155" s="85"/>
      <c r="AE155"/>
    </row>
    <row r="156" spans="1:31" ht="13">
      <c r="A156" s="106"/>
      <c r="B156" s="107"/>
      <c r="C156" s="108"/>
      <c r="D156" s="85"/>
      <c r="E156" s="85"/>
      <c r="F156" s="85"/>
      <c r="G156" s="85"/>
      <c r="H156" s="85"/>
      <c r="I156" s="108"/>
      <c r="J156" s="108"/>
      <c r="K156" s="85"/>
      <c r="L156" s="85"/>
      <c r="M156" s="85"/>
      <c r="N156" s="108"/>
      <c r="O156" s="121"/>
      <c r="P156" s="85"/>
      <c r="Q156" s="108"/>
      <c r="R156" s="108"/>
      <c r="S156" s="108"/>
      <c r="T156" s="109"/>
      <c r="U156" s="109"/>
      <c r="V156" s="109"/>
      <c r="W156" s="109"/>
      <c r="X156" s="109"/>
      <c r="Y156" s="109"/>
      <c r="Z156" s="109"/>
      <c r="AA156" s="122"/>
      <c r="AB156" s="111"/>
      <c r="AC156" s="112"/>
      <c r="AD156" s="85"/>
      <c r="AE156"/>
    </row>
    <row r="157" spans="1:31" ht="13">
      <c r="A157" s="106"/>
      <c r="B157" s="113"/>
      <c r="C157" s="114"/>
      <c r="D157" s="115"/>
      <c r="E157" s="115"/>
      <c r="F157" s="115"/>
      <c r="G157" s="115"/>
      <c r="H157" s="115"/>
      <c r="I157" s="114"/>
      <c r="J157" s="114"/>
      <c r="K157" s="115"/>
      <c r="L157" s="115"/>
      <c r="M157" s="115"/>
      <c r="N157" s="114"/>
      <c r="O157" s="116"/>
      <c r="P157" s="115"/>
      <c r="Q157" s="114"/>
      <c r="R157" s="114"/>
      <c r="S157" s="114"/>
      <c r="T157" s="117"/>
      <c r="U157" s="117"/>
      <c r="V157" s="117"/>
      <c r="W157" s="117"/>
      <c r="X157" s="117"/>
      <c r="Y157" s="117"/>
      <c r="Z157" s="117"/>
      <c r="AA157" s="118"/>
      <c r="AB157" s="119"/>
      <c r="AC157" s="120"/>
      <c r="AD157" s="115"/>
      <c r="AE157"/>
    </row>
    <row r="158" spans="1:31" ht="13">
      <c r="A158" s="106"/>
      <c r="B158" s="107"/>
      <c r="C158" s="108"/>
      <c r="D158" s="85"/>
      <c r="E158" s="85"/>
      <c r="F158" s="85"/>
      <c r="G158" s="85"/>
      <c r="H158" s="85"/>
      <c r="I158" s="108"/>
      <c r="J158" s="108"/>
      <c r="K158" s="85"/>
      <c r="L158" s="85"/>
      <c r="M158" s="85"/>
      <c r="N158" s="108"/>
      <c r="O158" s="121"/>
      <c r="P158" s="85"/>
      <c r="Q158" s="108"/>
      <c r="R158" s="108"/>
      <c r="S158" s="108"/>
      <c r="T158" s="109"/>
      <c r="U158" s="109"/>
      <c r="V158" s="109"/>
      <c r="W158" s="109"/>
      <c r="X158" s="109"/>
      <c r="Y158" s="109"/>
      <c r="Z158" s="109"/>
      <c r="AA158" s="122"/>
      <c r="AB158" s="111"/>
      <c r="AC158" s="112"/>
      <c r="AD158" s="85"/>
      <c r="AE158"/>
    </row>
    <row r="159" spans="1:31" ht="13">
      <c r="A159" s="106"/>
      <c r="B159" s="107"/>
      <c r="C159" s="108"/>
      <c r="D159" s="85"/>
      <c r="E159" s="85"/>
      <c r="F159" s="85"/>
      <c r="G159" s="85"/>
      <c r="H159" s="85"/>
      <c r="I159" s="108"/>
      <c r="J159" s="108"/>
      <c r="K159" s="85"/>
      <c r="L159" s="85"/>
      <c r="M159" s="85"/>
      <c r="N159" s="108"/>
      <c r="O159" s="121"/>
      <c r="P159" s="85"/>
      <c r="Q159" s="108"/>
      <c r="R159" s="108"/>
      <c r="S159" s="108"/>
      <c r="T159" s="109"/>
      <c r="U159" s="109"/>
      <c r="V159" s="109"/>
      <c r="W159" s="109"/>
      <c r="X159" s="109"/>
      <c r="Y159" s="109"/>
      <c r="Z159" s="109"/>
      <c r="AA159" s="122"/>
      <c r="AB159" s="111"/>
      <c r="AC159" s="112"/>
      <c r="AD159" s="85"/>
      <c r="AE159"/>
    </row>
    <row r="160" spans="1:31" ht="13">
      <c r="A160" s="123"/>
      <c r="B160" s="124"/>
      <c r="C160" s="114"/>
      <c r="D160" s="115"/>
      <c r="E160" s="115"/>
      <c r="F160" s="115"/>
      <c r="G160" s="115"/>
      <c r="H160" s="115"/>
      <c r="I160" s="114"/>
      <c r="J160" s="114"/>
      <c r="K160" s="115"/>
      <c r="L160" s="115"/>
      <c r="M160" s="115"/>
      <c r="N160" s="114"/>
      <c r="O160" s="116"/>
      <c r="P160" s="115"/>
      <c r="Q160" s="114"/>
      <c r="R160" s="114"/>
      <c r="S160" s="114"/>
      <c r="T160" s="117"/>
      <c r="U160" s="117"/>
      <c r="V160" s="117"/>
      <c r="W160" s="117"/>
      <c r="X160" s="117"/>
      <c r="Y160" s="117"/>
      <c r="Z160" s="117"/>
      <c r="AA160" s="118"/>
      <c r="AB160" s="111"/>
      <c r="AC160" s="112"/>
      <c r="AD160" s="115"/>
      <c r="AE160"/>
    </row>
    <row r="161" spans="1:31" ht="13">
      <c r="A161" s="104"/>
      <c r="B161" s="92"/>
      <c r="C161" s="86"/>
      <c r="D161" s="80"/>
      <c r="E161" s="80"/>
      <c r="F161" s="80"/>
      <c r="G161" s="80"/>
      <c r="H161" s="80"/>
      <c r="I161" s="86"/>
      <c r="J161" s="86"/>
      <c r="K161" s="80"/>
      <c r="L161" s="80"/>
      <c r="M161" s="80"/>
      <c r="N161" s="86"/>
      <c r="O161" s="86"/>
      <c r="P161" s="80"/>
      <c r="Q161" s="86"/>
      <c r="R161" s="86"/>
      <c r="S161" s="86"/>
      <c r="T161" s="88"/>
      <c r="U161" s="88"/>
      <c r="V161" s="88"/>
      <c r="W161" s="88"/>
      <c r="X161" s="88"/>
      <c r="Y161" s="88"/>
      <c r="Z161" s="88"/>
      <c r="AA161" s="105"/>
      <c r="AB161" s="90"/>
      <c r="AC161" s="91"/>
      <c r="AD161" s="85"/>
      <c r="AE161"/>
    </row>
    <row r="162" spans="1:31" ht="13">
      <c r="A162" s="106"/>
      <c r="B162" s="107"/>
      <c r="C162" s="108"/>
      <c r="D162" s="85"/>
      <c r="E162" s="85"/>
      <c r="F162" s="85"/>
      <c r="G162" s="85"/>
      <c r="H162" s="85"/>
      <c r="I162" s="108"/>
      <c r="J162" s="108"/>
      <c r="K162" s="85"/>
      <c r="L162" s="85"/>
      <c r="M162" s="85"/>
      <c r="N162" s="108"/>
      <c r="O162" s="108"/>
      <c r="P162" s="85"/>
      <c r="Q162" s="108"/>
      <c r="R162" s="108"/>
      <c r="S162" s="108"/>
      <c r="T162" s="109"/>
      <c r="U162" s="109"/>
      <c r="V162" s="109"/>
      <c r="W162" s="109"/>
      <c r="X162" s="109"/>
      <c r="Y162" s="109"/>
      <c r="Z162" s="109"/>
      <c r="AA162" s="110"/>
      <c r="AB162" s="111"/>
      <c r="AC162" s="112"/>
      <c r="AD162" s="85"/>
      <c r="AE162"/>
    </row>
    <row r="163" spans="1:31" ht="13">
      <c r="A163" s="106"/>
      <c r="B163" s="113"/>
      <c r="C163" s="114"/>
      <c r="D163" s="115"/>
      <c r="E163" s="115"/>
      <c r="F163" s="115"/>
      <c r="G163" s="115"/>
      <c r="H163" s="115"/>
      <c r="I163" s="114"/>
      <c r="J163" s="114"/>
      <c r="K163" s="115"/>
      <c r="L163" s="115"/>
      <c r="M163" s="115"/>
      <c r="N163" s="114"/>
      <c r="O163" s="116"/>
      <c r="P163" s="115"/>
      <c r="Q163" s="114"/>
      <c r="R163" s="114"/>
      <c r="S163" s="114"/>
      <c r="T163" s="117"/>
      <c r="U163" s="117"/>
      <c r="V163" s="117"/>
      <c r="W163" s="117"/>
      <c r="X163" s="117"/>
      <c r="Y163" s="117"/>
      <c r="Z163" s="117"/>
      <c r="AA163" s="118"/>
      <c r="AB163" s="119"/>
      <c r="AC163" s="120"/>
      <c r="AD163" s="115"/>
      <c r="AE163"/>
    </row>
    <row r="164" spans="1:31" ht="13">
      <c r="A164" s="106"/>
      <c r="B164" s="107"/>
      <c r="C164" s="108"/>
      <c r="D164" s="85"/>
      <c r="E164" s="85"/>
      <c r="F164" s="85"/>
      <c r="G164" s="85"/>
      <c r="H164" s="85"/>
      <c r="I164" s="108"/>
      <c r="J164" s="108"/>
      <c r="K164" s="85"/>
      <c r="L164" s="85"/>
      <c r="M164" s="85"/>
      <c r="N164" s="108"/>
      <c r="O164" s="121"/>
      <c r="P164" s="85"/>
      <c r="Q164" s="108"/>
      <c r="R164" s="108"/>
      <c r="S164" s="108"/>
      <c r="T164" s="109"/>
      <c r="U164" s="109"/>
      <c r="V164" s="109"/>
      <c r="W164" s="109"/>
      <c r="X164" s="109"/>
      <c r="Y164" s="109"/>
      <c r="Z164" s="109"/>
      <c r="AA164" s="122"/>
      <c r="AB164" s="111"/>
      <c r="AC164" s="112"/>
      <c r="AD164" s="85"/>
      <c r="AE164"/>
    </row>
    <row r="165" spans="1:31" ht="13">
      <c r="A165" s="106"/>
      <c r="B165" s="107"/>
      <c r="C165" s="108"/>
      <c r="D165" s="85"/>
      <c r="E165" s="85"/>
      <c r="F165" s="85"/>
      <c r="G165" s="85"/>
      <c r="H165" s="85"/>
      <c r="I165" s="108"/>
      <c r="J165" s="108"/>
      <c r="K165" s="85"/>
      <c r="L165" s="85"/>
      <c r="M165" s="85"/>
      <c r="N165" s="108"/>
      <c r="O165" s="121"/>
      <c r="P165" s="85"/>
      <c r="Q165" s="108"/>
      <c r="R165" s="108"/>
      <c r="S165" s="108"/>
      <c r="T165" s="109"/>
      <c r="U165" s="109"/>
      <c r="V165" s="109"/>
      <c r="W165" s="109"/>
      <c r="X165" s="109"/>
      <c r="Y165" s="109"/>
      <c r="Z165" s="109"/>
      <c r="AA165" s="122"/>
      <c r="AB165" s="111"/>
      <c r="AC165" s="112"/>
      <c r="AD165" s="85"/>
      <c r="AE165"/>
    </row>
    <row r="166" spans="1:31" ht="13">
      <c r="A166" s="106"/>
      <c r="B166" s="113"/>
      <c r="C166" s="114"/>
      <c r="D166" s="115"/>
      <c r="E166" s="115"/>
      <c r="F166" s="115"/>
      <c r="G166" s="115"/>
      <c r="H166" s="115"/>
      <c r="I166" s="114"/>
      <c r="J166" s="114"/>
      <c r="K166" s="115"/>
      <c r="L166" s="115"/>
      <c r="M166" s="115"/>
      <c r="N166" s="114"/>
      <c r="O166" s="116"/>
      <c r="P166" s="115"/>
      <c r="Q166" s="114"/>
      <c r="R166" s="114"/>
      <c r="S166" s="114"/>
      <c r="T166" s="117"/>
      <c r="U166" s="117"/>
      <c r="V166" s="117"/>
      <c r="W166" s="117"/>
      <c r="X166" s="117"/>
      <c r="Y166" s="117"/>
      <c r="Z166" s="117"/>
      <c r="AA166" s="118"/>
      <c r="AB166" s="119"/>
      <c r="AC166" s="120"/>
      <c r="AD166" s="115"/>
      <c r="AE166"/>
    </row>
    <row r="167" spans="1:31" ht="13">
      <c r="A167" s="106"/>
      <c r="B167" s="107"/>
      <c r="C167" s="108"/>
      <c r="D167" s="85"/>
      <c r="E167" s="85"/>
      <c r="F167" s="85"/>
      <c r="G167" s="85"/>
      <c r="H167" s="85"/>
      <c r="I167" s="108"/>
      <c r="J167" s="108"/>
      <c r="K167" s="85"/>
      <c r="L167" s="85"/>
      <c r="M167" s="85"/>
      <c r="N167" s="108"/>
      <c r="O167" s="121"/>
      <c r="P167" s="85"/>
      <c r="Q167" s="108"/>
      <c r="R167" s="108"/>
      <c r="S167" s="108"/>
      <c r="T167" s="109"/>
      <c r="U167" s="109"/>
      <c r="V167" s="109"/>
      <c r="W167" s="109"/>
      <c r="X167" s="109"/>
      <c r="Y167" s="109"/>
      <c r="Z167" s="109"/>
      <c r="AA167" s="122"/>
      <c r="AB167" s="111"/>
      <c r="AC167" s="112"/>
      <c r="AD167" s="85"/>
      <c r="AE167"/>
    </row>
    <row r="168" spans="1:31" ht="13">
      <c r="A168" s="106"/>
      <c r="B168" s="107"/>
      <c r="C168" s="108"/>
      <c r="D168" s="85"/>
      <c r="E168" s="85"/>
      <c r="F168" s="85"/>
      <c r="G168" s="85"/>
      <c r="H168" s="85"/>
      <c r="I168" s="108"/>
      <c r="J168" s="108"/>
      <c r="K168" s="85"/>
      <c r="L168" s="85"/>
      <c r="M168" s="85"/>
      <c r="N168" s="108"/>
      <c r="O168" s="121"/>
      <c r="P168" s="85"/>
      <c r="Q168" s="108"/>
      <c r="R168" s="108"/>
      <c r="S168" s="108"/>
      <c r="T168" s="109"/>
      <c r="U168" s="109"/>
      <c r="V168" s="109"/>
      <c r="W168" s="109"/>
      <c r="X168" s="109"/>
      <c r="Y168" s="109"/>
      <c r="Z168" s="109"/>
      <c r="AA168" s="122"/>
      <c r="AB168" s="111"/>
      <c r="AC168" s="112"/>
      <c r="AD168" s="85"/>
      <c r="AE168"/>
    </row>
    <row r="169" spans="1:31" ht="13">
      <c r="A169" s="106"/>
      <c r="B169" s="113"/>
      <c r="C169" s="114"/>
      <c r="D169" s="115"/>
      <c r="E169" s="115"/>
      <c r="F169" s="115"/>
      <c r="G169" s="115"/>
      <c r="H169" s="115"/>
      <c r="I169" s="114"/>
      <c r="J169" s="114"/>
      <c r="K169" s="115"/>
      <c r="L169" s="115"/>
      <c r="M169" s="115"/>
      <c r="N169" s="114"/>
      <c r="O169" s="116"/>
      <c r="P169" s="115"/>
      <c r="Q169" s="114"/>
      <c r="R169" s="114"/>
      <c r="S169" s="114"/>
      <c r="T169" s="117"/>
      <c r="U169" s="117"/>
      <c r="V169" s="117"/>
      <c r="W169" s="117"/>
      <c r="X169" s="117"/>
      <c r="Y169" s="117"/>
      <c r="Z169" s="117"/>
      <c r="AA169" s="118"/>
      <c r="AB169" s="119"/>
      <c r="AC169" s="120"/>
      <c r="AD169" s="115"/>
      <c r="AE169"/>
    </row>
    <row r="170" spans="1:31" ht="13">
      <c r="A170" s="106"/>
      <c r="B170" s="107"/>
      <c r="C170" s="108"/>
      <c r="D170" s="85"/>
      <c r="E170" s="85"/>
      <c r="F170" s="85"/>
      <c r="G170" s="85"/>
      <c r="H170" s="85"/>
      <c r="I170" s="108"/>
      <c r="J170" s="108"/>
      <c r="K170" s="85"/>
      <c r="L170" s="85"/>
      <c r="M170" s="85"/>
      <c r="N170" s="108"/>
      <c r="O170" s="121"/>
      <c r="P170" s="85"/>
      <c r="Q170" s="108"/>
      <c r="R170" s="108"/>
      <c r="S170" s="108"/>
      <c r="T170" s="109"/>
      <c r="U170" s="109"/>
      <c r="V170" s="109"/>
      <c r="W170" s="109"/>
      <c r="X170" s="109"/>
      <c r="Y170" s="109"/>
      <c r="Z170" s="109"/>
      <c r="AA170" s="122"/>
      <c r="AB170" s="111"/>
      <c r="AC170" s="112"/>
      <c r="AD170" s="85"/>
      <c r="AE170"/>
    </row>
    <row r="171" spans="1:31" ht="13">
      <c r="A171" s="106"/>
      <c r="B171" s="107"/>
      <c r="C171" s="108"/>
      <c r="D171" s="85"/>
      <c r="E171" s="85"/>
      <c r="F171" s="85"/>
      <c r="G171" s="85"/>
      <c r="H171" s="85"/>
      <c r="I171" s="108"/>
      <c r="J171" s="108"/>
      <c r="K171" s="85"/>
      <c r="L171" s="85"/>
      <c r="M171" s="85"/>
      <c r="N171" s="108"/>
      <c r="O171" s="121"/>
      <c r="P171" s="85"/>
      <c r="Q171" s="108"/>
      <c r="R171" s="108"/>
      <c r="S171" s="108"/>
      <c r="T171" s="109"/>
      <c r="U171" s="109"/>
      <c r="V171" s="109"/>
      <c r="W171" s="109"/>
      <c r="X171" s="109"/>
      <c r="Y171" s="109"/>
      <c r="Z171" s="109"/>
      <c r="AA171" s="122"/>
      <c r="AB171" s="111"/>
      <c r="AC171" s="112"/>
      <c r="AD171" s="85"/>
      <c r="AE171"/>
    </row>
    <row r="172" spans="1:31" ht="13">
      <c r="A172" s="123"/>
      <c r="B172" s="124"/>
      <c r="C172" s="114"/>
      <c r="D172" s="115"/>
      <c r="E172" s="115"/>
      <c r="F172" s="115"/>
      <c r="G172" s="115"/>
      <c r="H172" s="115"/>
      <c r="I172" s="114"/>
      <c r="J172" s="114"/>
      <c r="K172" s="115"/>
      <c r="L172" s="115"/>
      <c r="M172" s="115"/>
      <c r="N172" s="114"/>
      <c r="O172" s="116"/>
      <c r="P172" s="115"/>
      <c r="Q172" s="114"/>
      <c r="R172" s="114"/>
      <c r="S172" s="114"/>
      <c r="T172" s="117"/>
      <c r="U172" s="117"/>
      <c r="V172" s="117"/>
      <c r="W172" s="117"/>
      <c r="X172" s="117"/>
      <c r="Y172" s="117"/>
      <c r="Z172" s="117"/>
      <c r="AA172" s="118"/>
      <c r="AB172" s="111"/>
      <c r="AC172" s="112"/>
      <c r="AD172" s="115"/>
      <c r="AE172"/>
    </row>
    <row r="173" spans="1:31" ht="13">
      <c r="A173" s="104"/>
      <c r="B173" s="92"/>
      <c r="C173" s="86"/>
      <c r="D173" s="80"/>
      <c r="E173" s="80"/>
      <c r="F173" s="80"/>
      <c r="G173" s="80"/>
      <c r="H173" s="80"/>
      <c r="I173" s="86"/>
      <c r="J173" s="86"/>
      <c r="K173" s="80"/>
      <c r="L173" s="80"/>
      <c r="M173" s="80"/>
      <c r="N173" s="86"/>
      <c r="O173" s="86"/>
      <c r="P173" s="80"/>
      <c r="Q173" s="86"/>
      <c r="R173" s="86"/>
      <c r="S173" s="86"/>
      <c r="T173" s="88"/>
      <c r="U173" s="88"/>
      <c r="V173" s="88"/>
      <c r="W173" s="88"/>
      <c r="X173" s="88"/>
      <c r="Y173" s="88"/>
      <c r="Z173" s="88"/>
      <c r="AA173" s="105"/>
      <c r="AB173" s="90"/>
      <c r="AC173" s="91"/>
      <c r="AD173" s="85"/>
      <c r="AE173"/>
    </row>
    <row r="174" spans="1:31" ht="13">
      <c r="A174" s="106"/>
      <c r="B174" s="107"/>
      <c r="C174" s="108"/>
      <c r="D174" s="85"/>
      <c r="E174" s="85"/>
      <c r="F174" s="85"/>
      <c r="G174" s="85"/>
      <c r="H174" s="85"/>
      <c r="I174" s="108"/>
      <c r="J174" s="108"/>
      <c r="K174" s="85"/>
      <c r="L174" s="85"/>
      <c r="M174" s="85"/>
      <c r="N174" s="108"/>
      <c r="O174" s="108"/>
      <c r="P174" s="85"/>
      <c r="Q174" s="108"/>
      <c r="R174" s="108"/>
      <c r="S174" s="108"/>
      <c r="T174" s="109"/>
      <c r="U174" s="109"/>
      <c r="V174" s="109"/>
      <c r="W174" s="109"/>
      <c r="X174" s="109"/>
      <c r="Y174" s="109"/>
      <c r="Z174" s="109"/>
      <c r="AA174" s="110"/>
      <c r="AB174" s="111"/>
      <c r="AC174" s="112"/>
      <c r="AD174" s="85"/>
      <c r="AE174"/>
    </row>
    <row r="175" spans="1:31" ht="13">
      <c r="A175" s="106"/>
      <c r="B175" s="113"/>
      <c r="C175" s="114"/>
      <c r="D175" s="115"/>
      <c r="E175" s="115"/>
      <c r="F175" s="115"/>
      <c r="G175" s="115"/>
      <c r="H175" s="115"/>
      <c r="I175" s="114"/>
      <c r="J175" s="114"/>
      <c r="K175" s="115"/>
      <c r="L175" s="115"/>
      <c r="M175" s="115"/>
      <c r="N175" s="114"/>
      <c r="O175" s="116"/>
      <c r="P175" s="115"/>
      <c r="Q175" s="114"/>
      <c r="R175" s="114"/>
      <c r="S175" s="114"/>
      <c r="T175" s="117"/>
      <c r="U175" s="117"/>
      <c r="V175" s="117"/>
      <c r="W175" s="117"/>
      <c r="X175" s="117"/>
      <c r="Y175" s="117"/>
      <c r="Z175" s="117"/>
      <c r="AA175" s="118"/>
      <c r="AB175" s="119"/>
      <c r="AC175" s="120"/>
      <c r="AD175" s="115"/>
      <c r="AE175"/>
    </row>
    <row r="176" spans="1:31" ht="13">
      <c r="A176" s="106"/>
      <c r="B176" s="107"/>
      <c r="C176" s="108"/>
      <c r="D176" s="85"/>
      <c r="E176" s="85"/>
      <c r="F176" s="85"/>
      <c r="G176" s="85"/>
      <c r="H176" s="85"/>
      <c r="I176" s="108"/>
      <c r="J176" s="108"/>
      <c r="K176" s="85"/>
      <c r="L176" s="85"/>
      <c r="M176" s="85"/>
      <c r="N176" s="108"/>
      <c r="O176" s="121"/>
      <c r="P176" s="85"/>
      <c r="Q176" s="108"/>
      <c r="R176" s="108"/>
      <c r="S176" s="108"/>
      <c r="T176" s="109"/>
      <c r="U176" s="109"/>
      <c r="V176" s="109"/>
      <c r="W176" s="109"/>
      <c r="X176" s="109"/>
      <c r="Y176" s="109"/>
      <c r="Z176" s="109"/>
      <c r="AA176" s="122"/>
      <c r="AB176" s="111"/>
      <c r="AC176" s="112"/>
      <c r="AD176" s="85"/>
      <c r="AE176"/>
    </row>
    <row r="177" spans="1:33" ht="13">
      <c r="A177" s="106"/>
      <c r="B177" s="107"/>
      <c r="C177" s="108"/>
      <c r="D177" s="85"/>
      <c r="E177" s="85"/>
      <c r="F177" s="85"/>
      <c r="G177" s="85"/>
      <c r="H177" s="85"/>
      <c r="I177" s="108"/>
      <c r="J177" s="108"/>
      <c r="K177" s="85"/>
      <c r="L177" s="85"/>
      <c r="M177" s="85"/>
      <c r="N177" s="108"/>
      <c r="O177" s="121"/>
      <c r="P177" s="85"/>
      <c r="Q177" s="108"/>
      <c r="R177" s="108"/>
      <c r="S177" s="108"/>
      <c r="T177" s="109"/>
      <c r="U177" s="109"/>
      <c r="V177" s="109"/>
      <c r="W177" s="109"/>
      <c r="X177" s="109"/>
      <c r="Y177" s="109"/>
      <c r="Z177" s="109"/>
      <c r="AA177" s="122"/>
      <c r="AB177" s="111"/>
      <c r="AC177" s="112"/>
      <c r="AD177" s="85"/>
      <c r="AE177"/>
    </row>
    <row r="178" spans="1:33" ht="13">
      <c r="A178" s="106"/>
      <c r="B178" s="113"/>
      <c r="C178" s="114"/>
      <c r="D178" s="115"/>
      <c r="E178" s="115"/>
      <c r="F178" s="115"/>
      <c r="G178" s="115"/>
      <c r="H178" s="115"/>
      <c r="I178" s="114"/>
      <c r="J178" s="114"/>
      <c r="K178" s="115"/>
      <c r="L178" s="115"/>
      <c r="M178" s="115"/>
      <c r="N178" s="114"/>
      <c r="O178" s="116"/>
      <c r="P178" s="115"/>
      <c r="Q178" s="114"/>
      <c r="R178" s="114"/>
      <c r="S178" s="114"/>
      <c r="T178" s="117"/>
      <c r="U178" s="117"/>
      <c r="V178" s="117"/>
      <c r="W178" s="117"/>
      <c r="X178" s="117"/>
      <c r="Y178" s="117"/>
      <c r="Z178" s="117"/>
      <c r="AA178" s="118"/>
      <c r="AB178" s="119"/>
      <c r="AC178" s="120"/>
      <c r="AD178" s="115"/>
      <c r="AE178"/>
    </row>
    <row r="179" spans="1:33" ht="13">
      <c r="A179" s="106"/>
      <c r="B179" s="107"/>
      <c r="C179" s="108"/>
      <c r="D179" s="85"/>
      <c r="E179" s="85"/>
      <c r="F179" s="85"/>
      <c r="G179" s="85"/>
      <c r="H179" s="85"/>
      <c r="I179" s="108"/>
      <c r="J179" s="108"/>
      <c r="K179" s="85"/>
      <c r="L179" s="85"/>
      <c r="M179" s="85"/>
      <c r="N179" s="108"/>
      <c r="O179" s="121"/>
      <c r="P179" s="85"/>
      <c r="Q179" s="108"/>
      <c r="R179" s="108"/>
      <c r="S179" s="108"/>
      <c r="T179" s="109"/>
      <c r="U179" s="109"/>
      <c r="V179" s="109"/>
      <c r="W179" s="109"/>
      <c r="X179" s="109"/>
      <c r="Y179" s="109"/>
      <c r="Z179" s="109"/>
      <c r="AA179" s="122"/>
      <c r="AB179" s="111"/>
      <c r="AC179" s="112"/>
      <c r="AD179" s="85"/>
      <c r="AE179"/>
    </row>
    <row r="180" spans="1:33" ht="13">
      <c r="A180" s="106"/>
      <c r="B180" s="107"/>
      <c r="C180" s="108"/>
      <c r="D180" s="85"/>
      <c r="E180" s="85"/>
      <c r="F180" s="85"/>
      <c r="G180" s="85"/>
      <c r="H180" s="85"/>
      <c r="I180" s="108"/>
      <c r="J180" s="108"/>
      <c r="K180" s="85"/>
      <c r="L180" s="85"/>
      <c r="M180" s="85"/>
      <c r="N180" s="108"/>
      <c r="O180" s="121"/>
      <c r="P180" s="85"/>
      <c r="Q180" s="108"/>
      <c r="R180" s="108"/>
      <c r="S180" s="108"/>
      <c r="T180" s="109"/>
      <c r="U180" s="109"/>
      <c r="V180" s="109"/>
      <c r="W180" s="109"/>
      <c r="X180" s="109"/>
      <c r="Y180" s="109"/>
      <c r="Z180" s="109"/>
      <c r="AA180" s="122"/>
      <c r="AB180" s="111"/>
      <c r="AC180" s="112"/>
      <c r="AD180" s="85"/>
      <c r="AE180"/>
    </row>
    <row r="181" spans="1:33" ht="13">
      <c r="A181" s="106"/>
      <c r="B181" s="113"/>
      <c r="C181" s="114"/>
      <c r="D181" s="115"/>
      <c r="E181" s="115"/>
      <c r="F181" s="115"/>
      <c r="G181" s="115"/>
      <c r="H181" s="115"/>
      <c r="I181" s="114"/>
      <c r="J181" s="114"/>
      <c r="K181" s="115"/>
      <c r="L181" s="115"/>
      <c r="M181" s="115"/>
      <c r="N181" s="114"/>
      <c r="O181" s="116"/>
      <c r="P181" s="115"/>
      <c r="Q181" s="114"/>
      <c r="R181" s="114"/>
      <c r="S181" s="114"/>
      <c r="T181" s="117"/>
      <c r="U181" s="117"/>
      <c r="V181" s="117"/>
      <c r="W181" s="117"/>
      <c r="X181" s="117"/>
      <c r="Y181" s="117"/>
      <c r="Z181" s="117"/>
      <c r="AA181" s="118"/>
      <c r="AB181" s="119"/>
      <c r="AC181" s="120"/>
      <c r="AD181" s="115"/>
      <c r="AE181"/>
      <c r="AF181" s="127"/>
      <c r="AG181" s="128"/>
    </row>
    <row r="182" spans="1:33" ht="13">
      <c r="A182" s="106"/>
      <c r="B182" s="107"/>
      <c r="C182" s="108"/>
      <c r="D182" s="85"/>
      <c r="E182" s="85"/>
      <c r="F182" s="85"/>
      <c r="G182" s="85"/>
      <c r="H182" s="85"/>
      <c r="I182" s="108"/>
      <c r="J182" s="108"/>
      <c r="K182" s="85"/>
      <c r="L182" s="85"/>
      <c r="M182" s="85"/>
      <c r="N182" s="108"/>
      <c r="O182" s="121"/>
      <c r="P182" s="85"/>
      <c r="Q182" s="108"/>
      <c r="R182" s="108"/>
      <c r="S182" s="108"/>
      <c r="T182" s="109"/>
      <c r="U182" s="109"/>
      <c r="V182" s="109"/>
      <c r="W182" s="109"/>
      <c r="X182" s="109"/>
      <c r="Y182" s="109"/>
      <c r="Z182" s="109"/>
      <c r="AA182" s="122"/>
      <c r="AB182" s="111"/>
      <c r="AC182" s="112"/>
      <c r="AD182" s="85"/>
      <c r="AE182"/>
      <c r="AF182" s="129"/>
    </row>
    <row r="183" spans="1:33" ht="13">
      <c r="A183" s="106"/>
      <c r="B183" s="107"/>
      <c r="C183" s="108"/>
      <c r="D183" s="85"/>
      <c r="E183" s="85"/>
      <c r="F183" s="85"/>
      <c r="G183" s="85"/>
      <c r="H183" s="85"/>
      <c r="I183" s="108"/>
      <c r="J183" s="108"/>
      <c r="K183" s="85"/>
      <c r="L183" s="85"/>
      <c r="M183" s="85"/>
      <c r="N183" s="108"/>
      <c r="O183" s="121"/>
      <c r="P183" s="85"/>
      <c r="Q183" s="108"/>
      <c r="R183" s="108"/>
      <c r="S183" s="108"/>
      <c r="T183" s="109"/>
      <c r="U183" s="109"/>
      <c r="V183" s="109"/>
      <c r="W183" s="109"/>
      <c r="X183" s="109"/>
      <c r="Y183" s="109"/>
      <c r="Z183" s="109"/>
      <c r="AA183" s="122"/>
      <c r="AB183" s="111"/>
      <c r="AC183" s="112"/>
      <c r="AD183" s="85"/>
      <c r="AE183"/>
      <c r="AF183" s="129"/>
    </row>
    <row r="184" spans="1:33" ht="13">
      <c r="A184" s="123"/>
      <c r="B184" s="124"/>
      <c r="C184" s="114"/>
      <c r="D184" s="115"/>
      <c r="E184" s="115"/>
      <c r="F184" s="115"/>
      <c r="G184" s="115"/>
      <c r="H184" s="115"/>
      <c r="I184" s="114"/>
      <c r="J184" s="114"/>
      <c r="K184" s="115"/>
      <c r="L184" s="115"/>
      <c r="M184" s="115"/>
      <c r="N184" s="114"/>
      <c r="O184" s="116"/>
      <c r="P184" s="115"/>
      <c r="Q184" s="114"/>
      <c r="R184" s="114"/>
      <c r="S184" s="114"/>
      <c r="T184" s="117"/>
      <c r="U184" s="117"/>
      <c r="V184" s="117"/>
      <c r="W184" s="117"/>
      <c r="X184" s="117"/>
      <c r="Y184" s="117"/>
      <c r="Z184" s="117"/>
      <c r="AA184" s="118"/>
      <c r="AB184" s="111"/>
      <c r="AC184" s="112"/>
      <c r="AD184" s="115"/>
      <c r="AE184"/>
      <c r="AF184" s="130"/>
      <c r="AG184" s="127"/>
    </row>
    <row r="185" spans="1:33" ht="13">
      <c r="A185" s="104"/>
      <c r="B185" s="92"/>
      <c r="C185" s="86"/>
      <c r="D185" s="80"/>
      <c r="E185" s="80"/>
      <c r="F185" s="80"/>
      <c r="G185" s="80"/>
      <c r="H185" s="80"/>
      <c r="I185" s="86"/>
      <c r="J185" s="86"/>
      <c r="K185" s="80"/>
      <c r="L185" s="80"/>
      <c r="M185" s="80"/>
      <c r="N185" s="86"/>
      <c r="O185" s="86"/>
      <c r="P185" s="80"/>
      <c r="Q185" s="86"/>
      <c r="R185" s="86"/>
      <c r="S185" s="86"/>
      <c r="T185" s="88"/>
      <c r="U185" s="88"/>
      <c r="V185" s="88"/>
      <c r="W185" s="88"/>
      <c r="X185" s="88"/>
      <c r="Y185" s="88"/>
      <c r="Z185" s="88"/>
      <c r="AA185" s="105"/>
      <c r="AB185" s="90"/>
      <c r="AC185" s="91"/>
      <c r="AD185" s="85"/>
      <c r="AE185"/>
    </row>
    <row r="186" spans="1:33" ht="13">
      <c r="A186" s="106"/>
      <c r="B186" s="107"/>
      <c r="C186" s="108"/>
      <c r="D186" s="85"/>
      <c r="E186" s="85"/>
      <c r="F186" s="85"/>
      <c r="G186" s="85"/>
      <c r="H186" s="85"/>
      <c r="I186" s="108"/>
      <c r="J186" s="108"/>
      <c r="K186" s="85"/>
      <c r="L186" s="85"/>
      <c r="M186" s="85"/>
      <c r="N186" s="108"/>
      <c r="O186" s="108"/>
      <c r="P186" s="85"/>
      <c r="Q186" s="108"/>
      <c r="R186" s="108"/>
      <c r="S186" s="108"/>
      <c r="T186" s="109"/>
      <c r="U186" s="109"/>
      <c r="V186" s="109"/>
      <c r="W186" s="109"/>
      <c r="X186" s="109"/>
      <c r="Y186" s="109"/>
      <c r="Z186" s="109"/>
      <c r="AA186" s="110"/>
      <c r="AB186" s="111"/>
      <c r="AC186" s="112"/>
      <c r="AD186" s="85"/>
      <c r="AE186"/>
    </row>
    <row r="187" spans="1:33" ht="13">
      <c r="A187" s="106"/>
      <c r="B187" s="113"/>
      <c r="C187" s="114"/>
      <c r="D187" s="115"/>
      <c r="E187" s="115"/>
      <c r="F187" s="115"/>
      <c r="G187" s="115"/>
      <c r="H187" s="115"/>
      <c r="I187" s="114"/>
      <c r="J187" s="114"/>
      <c r="K187" s="115"/>
      <c r="L187" s="115"/>
      <c r="M187" s="115"/>
      <c r="N187" s="114"/>
      <c r="O187" s="116"/>
      <c r="P187" s="115"/>
      <c r="Q187" s="114"/>
      <c r="R187" s="114"/>
      <c r="S187" s="114"/>
      <c r="T187" s="117"/>
      <c r="U187" s="117"/>
      <c r="V187" s="117"/>
      <c r="W187" s="117"/>
      <c r="X187" s="117"/>
      <c r="Y187" s="117"/>
      <c r="Z187" s="117"/>
      <c r="AA187" s="118"/>
      <c r="AB187" s="119"/>
      <c r="AC187" s="120"/>
      <c r="AD187" s="115"/>
      <c r="AE187"/>
    </row>
    <row r="188" spans="1:33" ht="13">
      <c r="A188" s="106"/>
      <c r="B188" s="107"/>
      <c r="C188" s="108"/>
      <c r="D188" s="85"/>
      <c r="E188" s="85"/>
      <c r="F188" s="85"/>
      <c r="G188" s="85"/>
      <c r="H188" s="85"/>
      <c r="I188" s="108"/>
      <c r="J188" s="108"/>
      <c r="K188" s="85"/>
      <c r="L188" s="85"/>
      <c r="M188" s="85"/>
      <c r="N188" s="108"/>
      <c r="O188" s="121"/>
      <c r="P188" s="85"/>
      <c r="Q188" s="108"/>
      <c r="R188" s="108"/>
      <c r="S188" s="108"/>
      <c r="T188" s="109"/>
      <c r="U188" s="109"/>
      <c r="V188" s="109"/>
      <c r="W188" s="109"/>
      <c r="X188" s="109"/>
      <c r="Y188" s="109"/>
      <c r="Z188" s="109"/>
      <c r="AA188" s="122"/>
      <c r="AB188" s="111"/>
      <c r="AC188" s="112"/>
      <c r="AD188" s="85"/>
      <c r="AE188"/>
    </row>
    <row r="189" spans="1:33" ht="13">
      <c r="A189" s="106"/>
      <c r="B189" s="107"/>
      <c r="C189" s="108"/>
      <c r="D189" s="85"/>
      <c r="E189" s="85"/>
      <c r="F189" s="85"/>
      <c r="G189" s="85"/>
      <c r="H189" s="85"/>
      <c r="I189" s="108"/>
      <c r="J189" s="108"/>
      <c r="K189" s="85"/>
      <c r="L189" s="85"/>
      <c r="M189" s="85"/>
      <c r="N189" s="108"/>
      <c r="O189" s="121"/>
      <c r="P189" s="85"/>
      <c r="Q189" s="108"/>
      <c r="R189" s="108"/>
      <c r="S189" s="108"/>
      <c r="T189" s="109"/>
      <c r="U189" s="109"/>
      <c r="V189" s="109"/>
      <c r="W189" s="109"/>
      <c r="X189" s="109"/>
      <c r="Y189" s="109"/>
      <c r="Z189" s="109"/>
      <c r="AA189" s="122"/>
      <c r="AB189" s="111"/>
      <c r="AC189" s="112"/>
      <c r="AD189" s="85"/>
      <c r="AE189"/>
    </row>
    <row r="190" spans="1:33" ht="13">
      <c r="A190" s="106"/>
      <c r="B190" s="113"/>
      <c r="C190" s="114"/>
      <c r="D190" s="115"/>
      <c r="E190" s="115"/>
      <c r="F190" s="115"/>
      <c r="G190" s="115"/>
      <c r="H190" s="115"/>
      <c r="I190" s="114"/>
      <c r="J190" s="114"/>
      <c r="K190" s="115"/>
      <c r="L190" s="115"/>
      <c r="M190" s="115"/>
      <c r="N190" s="114"/>
      <c r="O190" s="116"/>
      <c r="P190" s="115"/>
      <c r="Q190" s="114"/>
      <c r="R190" s="114"/>
      <c r="S190" s="114"/>
      <c r="T190" s="117"/>
      <c r="U190" s="117"/>
      <c r="V190" s="117"/>
      <c r="W190" s="117"/>
      <c r="X190" s="117"/>
      <c r="Y190" s="117"/>
      <c r="Z190" s="117"/>
      <c r="AA190" s="118"/>
      <c r="AB190" s="119"/>
      <c r="AC190" s="120"/>
      <c r="AD190" s="115"/>
      <c r="AE190"/>
    </row>
    <row r="191" spans="1:33" ht="13">
      <c r="A191" s="106"/>
      <c r="B191" s="107"/>
      <c r="C191" s="108"/>
      <c r="D191" s="85"/>
      <c r="E191" s="85"/>
      <c r="F191" s="85"/>
      <c r="G191" s="85"/>
      <c r="H191" s="85"/>
      <c r="I191" s="108"/>
      <c r="J191" s="108"/>
      <c r="K191" s="85"/>
      <c r="L191" s="85"/>
      <c r="M191" s="85"/>
      <c r="N191" s="108"/>
      <c r="O191" s="121"/>
      <c r="P191" s="85"/>
      <c r="Q191" s="108"/>
      <c r="R191" s="108"/>
      <c r="S191" s="108"/>
      <c r="T191" s="109"/>
      <c r="U191" s="109"/>
      <c r="V191" s="109"/>
      <c r="W191" s="109"/>
      <c r="X191" s="109"/>
      <c r="Y191" s="109"/>
      <c r="Z191" s="109"/>
      <c r="AA191" s="122"/>
      <c r="AB191" s="111"/>
      <c r="AC191" s="112"/>
      <c r="AD191" s="85"/>
      <c r="AE191"/>
    </row>
    <row r="192" spans="1:33" ht="13">
      <c r="A192" s="106"/>
      <c r="B192" s="107"/>
      <c r="C192" s="108"/>
      <c r="D192" s="85"/>
      <c r="E192" s="85"/>
      <c r="F192" s="85"/>
      <c r="G192" s="85"/>
      <c r="H192" s="85"/>
      <c r="I192" s="108"/>
      <c r="J192" s="108"/>
      <c r="K192" s="85"/>
      <c r="L192" s="85"/>
      <c r="M192" s="85"/>
      <c r="N192" s="108"/>
      <c r="O192" s="121"/>
      <c r="P192" s="85"/>
      <c r="Q192" s="108"/>
      <c r="R192" s="108"/>
      <c r="S192" s="108"/>
      <c r="T192" s="109"/>
      <c r="U192" s="109"/>
      <c r="V192" s="109"/>
      <c r="W192" s="109"/>
      <c r="X192" s="109"/>
      <c r="Y192" s="109"/>
      <c r="Z192" s="109"/>
      <c r="AA192" s="122"/>
      <c r="AB192" s="111"/>
      <c r="AC192" s="112"/>
      <c r="AD192" s="85"/>
      <c r="AE192"/>
    </row>
    <row r="193" spans="1:33" ht="13">
      <c r="A193" s="106"/>
      <c r="B193" s="113"/>
      <c r="C193" s="114"/>
      <c r="D193" s="115"/>
      <c r="E193" s="115"/>
      <c r="F193" s="115"/>
      <c r="G193" s="115"/>
      <c r="H193" s="115"/>
      <c r="I193" s="114"/>
      <c r="J193" s="114"/>
      <c r="K193" s="115"/>
      <c r="L193" s="115"/>
      <c r="M193" s="115"/>
      <c r="N193" s="114"/>
      <c r="O193" s="116"/>
      <c r="P193" s="115"/>
      <c r="Q193" s="114"/>
      <c r="R193" s="114"/>
      <c r="S193" s="114"/>
      <c r="T193" s="117"/>
      <c r="U193" s="117"/>
      <c r="V193" s="117"/>
      <c r="W193" s="117"/>
      <c r="X193" s="117"/>
      <c r="Y193" s="117"/>
      <c r="Z193" s="117"/>
      <c r="AA193" s="118"/>
      <c r="AB193" s="119"/>
      <c r="AC193" s="120"/>
      <c r="AD193" s="115"/>
      <c r="AE193"/>
      <c r="AF193" s="127"/>
      <c r="AG193" s="128"/>
    </row>
    <row r="194" spans="1:33" ht="13">
      <c r="A194" s="106"/>
      <c r="B194" s="107"/>
      <c r="C194" s="108"/>
      <c r="D194" s="85"/>
      <c r="E194" s="85"/>
      <c r="F194" s="85"/>
      <c r="G194" s="85"/>
      <c r="H194" s="85"/>
      <c r="I194" s="108"/>
      <c r="J194" s="108"/>
      <c r="K194" s="85"/>
      <c r="L194" s="85"/>
      <c r="M194" s="85"/>
      <c r="N194" s="108"/>
      <c r="O194" s="121"/>
      <c r="P194" s="85"/>
      <c r="Q194" s="108"/>
      <c r="R194" s="108"/>
      <c r="S194" s="108"/>
      <c r="T194" s="109"/>
      <c r="U194" s="109"/>
      <c r="V194" s="109"/>
      <c r="W194" s="109"/>
      <c r="X194" s="109"/>
      <c r="Y194" s="109"/>
      <c r="Z194" s="109"/>
      <c r="AA194" s="122"/>
      <c r="AB194" s="111"/>
      <c r="AC194" s="112"/>
      <c r="AD194" s="85"/>
      <c r="AE194"/>
      <c r="AF194" s="129"/>
    </row>
    <row r="195" spans="1:33" ht="13">
      <c r="A195" s="106"/>
      <c r="B195" s="107"/>
      <c r="C195" s="108"/>
      <c r="D195" s="85"/>
      <c r="E195" s="85"/>
      <c r="F195" s="85"/>
      <c r="G195" s="85"/>
      <c r="H195" s="85"/>
      <c r="I195" s="108"/>
      <c r="J195" s="108"/>
      <c r="K195" s="85"/>
      <c r="L195" s="85"/>
      <c r="M195" s="85"/>
      <c r="N195" s="108"/>
      <c r="O195" s="121"/>
      <c r="P195" s="85"/>
      <c r="Q195" s="108"/>
      <c r="R195" s="108"/>
      <c r="S195" s="108"/>
      <c r="T195" s="109"/>
      <c r="U195" s="109"/>
      <c r="V195" s="109"/>
      <c r="W195" s="109"/>
      <c r="X195" s="109"/>
      <c r="Y195" s="109"/>
      <c r="Z195" s="109"/>
      <c r="AA195" s="122"/>
      <c r="AB195" s="111"/>
      <c r="AC195" s="112"/>
      <c r="AD195" s="85"/>
      <c r="AE195"/>
      <c r="AF195" s="129"/>
    </row>
    <row r="196" spans="1:33" ht="13">
      <c r="A196" s="123"/>
      <c r="B196" s="124"/>
      <c r="C196" s="114"/>
      <c r="D196" s="115"/>
      <c r="E196" s="115"/>
      <c r="F196" s="115"/>
      <c r="G196" s="115"/>
      <c r="H196" s="115"/>
      <c r="I196" s="114"/>
      <c r="J196" s="114"/>
      <c r="K196" s="115"/>
      <c r="L196" s="115"/>
      <c r="M196" s="115"/>
      <c r="N196" s="114"/>
      <c r="O196" s="116"/>
      <c r="P196" s="115"/>
      <c r="Q196" s="114"/>
      <c r="R196" s="114"/>
      <c r="S196" s="114"/>
      <c r="T196" s="117"/>
      <c r="U196" s="117"/>
      <c r="V196" s="117"/>
      <c r="W196" s="117"/>
      <c r="X196" s="117"/>
      <c r="Y196" s="117"/>
      <c r="Z196" s="117"/>
      <c r="AA196" s="118"/>
      <c r="AB196" s="111"/>
      <c r="AC196" s="112"/>
      <c r="AD196" s="115"/>
      <c r="AE196"/>
      <c r="AF196" s="130"/>
      <c r="AG196" s="127"/>
    </row>
    <row r="197" spans="1:33" ht="13">
      <c r="A197" s="104"/>
      <c r="B197" s="92"/>
      <c r="C197" s="86"/>
      <c r="D197" s="80"/>
      <c r="E197" s="80"/>
      <c r="F197" s="80"/>
      <c r="G197" s="80"/>
      <c r="H197" s="80"/>
      <c r="I197" s="86"/>
      <c r="J197" s="86"/>
      <c r="K197" s="80"/>
      <c r="L197" s="80"/>
      <c r="M197" s="80"/>
      <c r="N197" s="86"/>
      <c r="O197" s="86"/>
      <c r="P197" s="80"/>
      <c r="Q197" s="86"/>
      <c r="R197" s="86"/>
      <c r="S197" s="86"/>
      <c r="T197" s="86"/>
      <c r="U197" s="86"/>
      <c r="V197" s="86"/>
      <c r="W197" s="86"/>
      <c r="X197" s="86"/>
      <c r="Y197" s="86"/>
      <c r="Z197" s="86"/>
      <c r="AA197" s="131"/>
      <c r="AB197" s="90"/>
      <c r="AC197" s="91"/>
      <c r="AD197" s="85"/>
      <c r="AE197"/>
    </row>
    <row r="198" spans="1:33" ht="13">
      <c r="A198" s="106"/>
      <c r="B198" s="107"/>
      <c r="C198" s="108"/>
      <c r="D198" s="85"/>
      <c r="E198" s="85"/>
      <c r="F198" s="85"/>
      <c r="G198" s="85"/>
      <c r="H198" s="85"/>
      <c r="I198" s="108"/>
      <c r="J198" s="108"/>
      <c r="K198" s="85"/>
      <c r="L198" s="85"/>
      <c r="M198" s="85"/>
      <c r="N198" s="108"/>
      <c r="O198" s="108"/>
      <c r="P198" s="85"/>
      <c r="Q198" s="108"/>
      <c r="R198" s="108"/>
      <c r="S198" s="108"/>
      <c r="T198" s="108"/>
      <c r="U198" s="108"/>
      <c r="V198" s="108"/>
      <c r="W198" s="108"/>
      <c r="X198" s="108"/>
      <c r="Y198" s="108"/>
      <c r="Z198" s="108"/>
      <c r="AA198" s="132"/>
      <c r="AB198" s="90"/>
      <c r="AC198" s="91"/>
      <c r="AD198" s="85"/>
      <c r="AE198"/>
    </row>
    <row r="199" spans="1:33" ht="13">
      <c r="A199" s="106"/>
      <c r="B199" s="113"/>
      <c r="C199" s="114"/>
      <c r="D199" s="115"/>
      <c r="E199" s="115"/>
      <c r="F199" s="115"/>
      <c r="G199" s="115"/>
      <c r="H199" s="115"/>
      <c r="I199" s="114"/>
      <c r="J199" s="114"/>
      <c r="K199" s="115"/>
      <c r="L199" s="115"/>
      <c r="M199" s="115"/>
      <c r="N199" s="114"/>
      <c r="O199" s="116"/>
      <c r="P199" s="115"/>
      <c r="Q199" s="114"/>
      <c r="R199" s="114"/>
      <c r="S199" s="114"/>
      <c r="T199" s="114"/>
      <c r="U199" s="114"/>
      <c r="V199" s="114"/>
      <c r="W199" s="114"/>
      <c r="X199" s="114"/>
      <c r="Y199" s="114"/>
      <c r="Z199" s="114"/>
      <c r="AA199" s="133"/>
      <c r="AB199" s="134"/>
      <c r="AC199" s="135"/>
      <c r="AD199" s="115"/>
      <c r="AE199"/>
    </row>
    <row r="200" spans="1:33" ht="13">
      <c r="A200" s="106"/>
      <c r="B200" s="107"/>
      <c r="C200" s="108"/>
      <c r="D200" s="85"/>
      <c r="E200" s="85"/>
      <c r="F200" s="85"/>
      <c r="G200" s="85"/>
      <c r="H200" s="85"/>
      <c r="I200" s="108"/>
      <c r="J200" s="108"/>
      <c r="K200" s="85"/>
      <c r="L200" s="85"/>
      <c r="M200" s="85"/>
      <c r="N200" s="108"/>
      <c r="O200" s="121"/>
      <c r="P200" s="85"/>
      <c r="Q200" s="108"/>
      <c r="R200" s="108"/>
      <c r="S200" s="108"/>
      <c r="T200" s="108"/>
      <c r="U200" s="108"/>
      <c r="V200" s="108"/>
      <c r="W200" s="108"/>
      <c r="X200" s="108"/>
      <c r="Y200" s="108"/>
      <c r="Z200" s="108"/>
      <c r="AA200" s="107"/>
      <c r="AB200" s="90"/>
      <c r="AC200" s="91"/>
      <c r="AD200" s="85"/>
      <c r="AE200"/>
    </row>
    <row r="201" spans="1:33" ht="13">
      <c r="A201" s="106"/>
      <c r="B201" s="107"/>
      <c r="C201" s="108"/>
      <c r="D201" s="85"/>
      <c r="E201" s="85"/>
      <c r="F201" s="85"/>
      <c r="G201" s="85"/>
      <c r="H201" s="85"/>
      <c r="I201" s="108"/>
      <c r="J201" s="108"/>
      <c r="K201" s="85"/>
      <c r="L201" s="85"/>
      <c r="M201" s="85"/>
      <c r="N201" s="108"/>
      <c r="O201" s="121"/>
      <c r="P201" s="85"/>
      <c r="Q201" s="108"/>
      <c r="R201" s="108"/>
      <c r="S201" s="108"/>
      <c r="T201" s="108"/>
      <c r="U201" s="108"/>
      <c r="V201" s="108"/>
      <c r="W201" s="108"/>
      <c r="X201" s="108"/>
      <c r="Y201" s="108"/>
      <c r="Z201" s="108"/>
      <c r="AA201" s="107"/>
      <c r="AB201" s="90"/>
      <c r="AC201" s="91"/>
      <c r="AD201" s="85"/>
      <c r="AE201"/>
    </row>
    <row r="202" spans="1:33" ht="13">
      <c r="A202" s="106"/>
      <c r="B202" s="113"/>
      <c r="C202" s="114"/>
      <c r="D202" s="115"/>
      <c r="E202" s="115"/>
      <c r="F202" s="115"/>
      <c r="G202" s="115"/>
      <c r="H202" s="115"/>
      <c r="I202" s="114"/>
      <c r="J202" s="114"/>
      <c r="K202" s="115"/>
      <c r="L202" s="115"/>
      <c r="M202" s="115"/>
      <c r="N202" s="114"/>
      <c r="O202" s="116"/>
      <c r="P202" s="115"/>
      <c r="Q202" s="114"/>
      <c r="R202" s="114"/>
      <c r="S202" s="114"/>
      <c r="T202" s="114"/>
      <c r="U202" s="114"/>
      <c r="V202" s="114"/>
      <c r="W202" s="114"/>
      <c r="X202" s="114"/>
      <c r="Y202" s="114"/>
      <c r="Z202" s="114"/>
      <c r="AA202" s="133"/>
      <c r="AB202" s="136"/>
      <c r="AC202" s="137"/>
      <c r="AD202" s="115"/>
      <c r="AE202"/>
    </row>
    <row r="203" spans="1:33" ht="13">
      <c r="A203" s="106"/>
      <c r="B203" s="107"/>
      <c r="C203" s="108"/>
      <c r="D203" s="85"/>
      <c r="E203" s="85"/>
      <c r="F203" s="85"/>
      <c r="G203" s="85"/>
      <c r="H203" s="85"/>
      <c r="I203" s="108"/>
      <c r="J203" s="108"/>
      <c r="K203" s="85"/>
      <c r="L203" s="85"/>
      <c r="M203" s="85"/>
      <c r="N203" s="108"/>
      <c r="O203" s="121"/>
      <c r="P203" s="85"/>
      <c r="Q203" s="108"/>
      <c r="R203" s="108"/>
      <c r="S203" s="108"/>
      <c r="T203" s="108"/>
      <c r="U203" s="108"/>
      <c r="V203" s="108"/>
      <c r="W203" s="108"/>
      <c r="X203" s="108"/>
      <c r="Y203" s="108"/>
      <c r="Z203" s="108"/>
      <c r="AA203" s="107"/>
      <c r="AB203" s="90"/>
      <c r="AC203" s="91"/>
      <c r="AD203" s="85"/>
      <c r="AE203"/>
    </row>
    <row r="204" spans="1:33" ht="13">
      <c r="A204" s="106"/>
      <c r="B204" s="107"/>
      <c r="C204" s="108"/>
      <c r="D204" s="85"/>
      <c r="E204" s="85"/>
      <c r="F204" s="85"/>
      <c r="G204" s="85"/>
      <c r="H204" s="85"/>
      <c r="I204" s="108"/>
      <c r="J204" s="108"/>
      <c r="K204" s="85"/>
      <c r="L204" s="85"/>
      <c r="M204" s="85"/>
      <c r="N204" s="108"/>
      <c r="O204" s="121"/>
      <c r="P204" s="85"/>
      <c r="Q204" s="108"/>
      <c r="R204" s="108"/>
      <c r="S204" s="108"/>
      <c r="T204" s="108"/>
      <c r="U204" s="108"/>
      <c r="V204" s="108"/>
      <c r="W204" s="108"/>
      <c r="X204" s="108"/>
      <c r="Y204" s="108"/>
      <c r="Z204" s="108"/>
      <c r="AA204" s="107"/>
      <c r="AB204" s="90"/>
      <c r="AC204" s="91"/>
      <c r="AD204" s="85"/>
      <c r="AE204"/>
    </row>
    <row r="205" spans="1:33" ht="13">
      <c r="A205" s="106"/>
      <c r="B205" s="113"/>
      <c r="C205" s="114"/>
      <c r="D205" s="115"/>
      <c r="E205" s="115"/>
      <c r="F205" s="115"/>
      <c r="G205" s="115"/>
      <c r="H205" s="115"/>
      <c r="I205" s="114"/>
      <c r="J205" s="114"/>
      <c r="K205" s="115"/>
      <c r="L205" s="115"/>
      <c r="M205" s="115"/>
      <c r="N205" s="114"/>
      <c r="O205" s="116"/>
      <c r="P205" s="115"/>
      <c r="Q205" s="114"/>
      <c r="R205" s="114"/>
      <c r="S205" s="114"/>
      <c r="T205" s="114"/>
      <c r="U205" s="114"/>
      <c r="V205" s="114"/>
      <c r="W205" s="114"/>
      <c r="X205" s="114"/>
      <c r="Y205" s="114"/>
      <c r="Z205" s="114"/>
      <c r="AA205" s="133"/>
      <c r="AB205" s="136"/>
      <c r="AC205" s="137"/>
      <c r="AD205" s="115"/>
      <c r="AE205"/>
      <c r="AF205" s="127"/>
      <c r="AG205" s="128"/>
    </row>
    <row r="206" spans="1:33" ht="13">
      <c r="A206" s="106"/>
      <c r="B206" s="107"/>
      <c r="C206" s="108"/>
      <c r="D206" s="85"/>
      <c r="E206" s="85"/>
      <c r="F206" s="85"/>
      <c r="G206" s="85"/>
      <c r="H206" s="85"/>
      <c r="I206" s="108"/>
      <c r="J206" s="108"/>
      <c r="K206" s="85"/>
      <c r="L206" s="85"/>
      <c r="M206" s="85"/>
      <c r="N206" s="108"/>
      <c r="O206" s="121"/>
      <c r="P206" s="85"/>
      <c r="Q206" s="108"/>
      <c r="R206" s="108"/>
      <c r="S206" s="108"/>
      <c r="T206" s="108"/>
      <c r="U206" s="108"/>
      <c r="V206" s="108"/>
      <c r="W206" s="108"/>
      <c r="X206" s="108"/>
      <c r="Y206" s="108"/>
      <c r="Z206" s="108"/>
      <c r="AA206" s="107"/>
      <c r="AB206" s="90"/>
      <c r="AC206" s="91"/>
      <c r="AD206" s="85"/>
      <c r="AE206"/>
      <c r="AF206" s="129"/>
    </row>
    <row r="207" spans="1:33" ht="13">
      <c r="A207" s="106"/>
      <c r="B207" s="107"/>
      <c r="C207" s="108"/>
      <c r="D207" s="85"/>
      <c r="E207" s="85"/>
      <c r="F207" s="85"/>
      <c r="G207" s="85"/>
      <c r="H207" s="85"/>
      <c r="I207" s="108"/>
      <c r="J207" s="108"/>
      <c r="K207" s="85"/>
      <c r="L207" s="85"/>
      <c r="M207" s="85"/>
      <c r="N207" s="108"/>
      <c r="O207" s="121"/>
      <c r="P207" s="85"/>
      <c r="Q207" s="108"/>
      <c r="R207" s="108"/>
      <c r="S207" s="108"/>
      <c r="T207" s="108"/>
      <c r="U207" s="108"/>
      <c r="V207" s="108"/>
      <c r="W207" s="108"/>
      <c r="X207" s="108"/>
      <c r="Y207" s="108"/>
      <c r="Z207" s="108"/>
      <c r="AA207" s="107"/>
      <c r="AB207" s="90"/>
      <c r="AC207" s="91"/>
      <c r="AD207" s="85"/>
      <c r="AE207"/>
      <c r="AF207" s="129"/>
    </row>
    <row r="208" spans="1:33" ht="13">
      <c r="A208" s="123"/>
      <c r="B208" s="124"/>
      <c r="C208" s="114"/>
      <c r="D208" s="115"/>
      <c r="E208" s="115"/>
      <c r="F208" s="115"/>
      <c r="G208" s="115"/>
      <c r="H208" s="115"/>
      <c r="I208" s="114"/>
      <c r="J208" s="114"/>
      <c r="K208" s="115"/>
      <c r="L208" s="115"/>
      <c r="M208" s="115"/>
      <c r="N208" s="114"/>
      <c r="O208" s="116"/>
      <c r="P208" s="115"/>
      <c r="Q208" s="114"/>
      <c r="R208" s="114"/>
      <c r="S208" s="114"/>
      <c r="T208" s="114"/>
      <c r="U208" s="114"/>
      <c r="V208" s="114"/>
      <c r="W208" s="114"/>
      <c r="X208" s="114"/>
      <c r="Y208" s="114"/>
      <c r="Z208" s="114"/>
      <c r="AA208" s="133"/>
      <c r="AB208" s="138"/>
      <c r="AC208" s="139"/>
      <c r="AD208" s="115"/>
      <c r="AE208"/>
      <c r="AF208" s="130"/>
      <c r="AG208" s="127"/>
    </row>
    <row r="209" spans="3:27">
      <c r="C209" s="140"/>
      <c r="D209" s="140"/>
      <c r="E209" s="140"/>
      <c r="F209" s="140"/>
      <c r="G209" s="140"/>
      <c r="H209" s="140"/>
      <c r="I209" s="140"/>
      <c r="J209" s="140"/>
      <c r="K209" s="140"/>
      <c r="L209" s="140"/>
      <c r="M209" s="140"/>
      <c r="N209" s="140"/>
      <c r="O209" s="140"/>
      <c r="P209" s="140"/>
      <c r="Q209" s="140"/>
      <c r="R209" s="140"/>
      <c r="S209" s="140"/>
      <c r="T209" s="140"/>
      <c r="U209" s="140"/>
      <c r="V209" s="140"/>
      <c r="W209" s="140"/>
      <c r="X209" s="140"/>
      <c r="Y209" s="140"/>
      <c r="Z209" s="140"/>
      <c r="AA209" s="140"/>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C141"/>
  <sheetViews>
    <sheetView workbookViewId="0">
      <selection sqref="A1:XFD1048576"/>
    </sheetView>
  </sheetViews>
  <sheetFormatPr defaultColWidth="9.33203125" defaultRowHeight="12.5"/>
  <cols>
    <col min="1" max="1" width="5" style="15" customWidth="1"/>
    <col min="2" max="2" width="32" style="15" customWidth="1"/>
    <col min="3" max="8" width="15.109375" style="15" customWidth="1"/>
    <col min="9" max="9" width="17.44140625" style="15" customWidth="1"/>
    <col min="10" max="13" width="13.6640625" style="15" customWidth="1"/>
    <col min="14" max="14" width="17.44140625" style="15" customWidth="1"/>
    <col min="15" max="16" width="11.44140625" style="15" customWidth="1"/>
    <col min="17" max="18" width="12.77734375" style="15" customWidth="1"/>
    <col min="19" max="19" width="16.6640625" style="15" customWidth="1"/>
    <col min="20" max="20" width="6.44140625" style="15" customWidth="1"/>
    <col min="21" max="21" width="9.33203125" style="15"/>
    <col min="22" max="25" width="11.44140625" style="15" customWidth="1"/>
    <col min="26" max="26" width="9.44140625" style="15" customWidth="1"/>
    <col min="27" max="27" width="10.6640625" style="15" customWidth="1"/>
    <col min="28" max="28" width="10.109375" style="15" customWidth="1"/>
    <col min="29" max="29" width="13.6640625" style="15" customWidth="1"/>
    <col min="30" max="16384" width="9.33203125" style="15"/>
  </cols>
  <sheetData>
    <row r="1" spans="1:29" ht="13">
      <c r="E1" s="141"/>
      <c r="L1" s="142"/>
    </row>
    <row r="3" spans="1:29">
      <c r="A3" s="143"/>
      <c r="B3" s="144"/>
      <c r="C3" s="143"/>
      <c r="D3" s="144"/>
      <c r="E3" s="144"/>
      <c r="F3" s="144"/>
      <c r="G3" s="144"/>
      <c r="H3" s="144"/>
      <c r="I3" s="144"/>
      <c r="J3" s="144"/>
      <c r="K3" s="144"/>
      <c r="L3" s="144"/>
      <c r="M3" s="144"/>
      <c r="N3" s="144"/>
      <c r="O3" s="144"/>
      <c r="P3" s="144"/>
      <c r="Q3" s="144"/>
      <c r="R3" s="144"/>
      <c r="S3" s="144"/>
      <c r="T3" s="145"/>
      <c r="U3" s="145"/>
      <c r="V3" s="145"/>
      <c r="W3" s="146"/>
      <c r="X3" s="145"/>
      <c r="Y3" s="145"/>
      <c r="Z3" s="145"/>
      <c r="AA3" s="146"/>
      <c r="AB3" s="147"/>
      <c r="AC3" s="148"/>
    </row>
    <row r="4" spans="1:29">
      <c r="A4" s="149"/>
      <c r="B4" s="150"/>
      <c r="C4" s="143"/>
      <c r="D4" s="144"/>
      <c r="E4" s="144"/>
      <c r="F4" s="144"/>
      <c r="G4" s="144"/>
      <c r="H4" s="144"/>
      <c r="I4" s="143"/>
      <c r="J4" s="143"/>
      <c r="K4" s="144"/>
      <c r="L4" s="144"/>
      <c r="M4" s="144"/>
      <c r="N4" s="143"/>
      <c r="O4" s="143"/>
      <c r="P4" s="144"/>
      <c r="Q4" s="143"/>
      <c r="R4" s="143"/>
      <c r="S4" s="143"/>
      <c r="T4" s="151"/>
      <c r="U4" s="151"/>
      <c r="V4" s="151"/>
      <c r="W4" s="152"/>
      <c r="X4" s="151"/>
      <c r="Y4" s="151"/>
      <c r="Z4" s="151"/>
      <c r="AA4" s="152"/>
      <c r="AB4" s="153"/>
      <c r="AC4" s="154"/>
    </row>
    <row r="5" spans="1:29">
      <c r="A5" s="143"/>
      <c r="B5" s="143"/>
      <c r="C5" s="143"/>
      <c r="D5" s="155"/>
      <c r="E5" s="155"/>
      <c r="F5" s="155"/>
      <c r="G5" s="155"/>
      <c r="H5" s="155"/>
      <c r="I5" s="149"/>
      <c r="J5" s="143"/>
      <c r="K5" s="155"/>
      <c r="L5" s="155"/>
      <c r="M5" s="155"/>
      <c r="N5" s="149"/>
      <c r="O5" s="143"/>
      <c r="P5" s="155"/>
      <c r="Q5" s="149"/>
      <c r="R5" s="143"/>
      <c r="S5" s="149"/>
      <c r="T5" s="151"/>
      <c r="U5" s="156"/>
      <c r="V5" s="151"/>
      <c r="W5" s="157"/>
      <c r="X5" s="151"/>
      <c r="Y5" s="156"/>
      <c r="Z5" s="151"/>
      <c r="AA5" s="157"/>
      <c r="AB5" s="153"/>
      <c r="AC5" s="158"/>
    </row>
    <row r="6" spans="1:29" ht="13">
      <c r="A6" s="159"/>
      <c r="B6" s="143"/>
      <c r="C6" s="143"/>
      <c r="D6" s="155"/>
      <c r="E6" s="155"/>
      <c r="F6" s="155"/>
      <c r="G6" s="155"/>
      <c r="H6" s="155"/>
      <c r="I6" s="143"/>
      <c r="J6" s="143"/>
      <c r="K6" s="155"/>
      <c r="L6" s="155"/>
      <c r="M6" s="155"/>
      <c r="N6" s="143"/>
      <c r="O6" s="143"/>
      <c r="P6" s="155"/>
      <c r="Q6" s="143"/>
      <c r="R6" s="143"/>
      <c r="S6" s="143"/>
      <c r="T6" s="151"/>
      <c r="U6" s="151"/>
      <c r="V6" s="151"/>
      <c r="W6" s="152"/>
      <c r="X6" s="151"/>
      <c r="Y6" s="151"/>
      <c r="Z6" s="151"/>
      <c r="AA6" s="152"/>
      <c r="AB6" s="153"/>
      <c r="AC6" s="154"/>
    </row>
    <row r="7" spans="1:29" ht="13">
      <c r="A7" s="160"/>
      <c r="B7" s="161"/>
      <c r="C7" s="161"/>
      <c r="I7" s="161"/>
      <c r="J7" s="161"/>
      <c r="N7" s="161"/>
      <c r="O7" s="161"/>
      <c r="Q7" s="161"/>
      <c r="R7" s="161"/>
      <c r="S7" s="161"/>
      <c r="T7" s="162"/>
      <c r="U7" s="162"/>
      <c r="V7" s="162"/>
      <c r="W7" s="163"/>
      <c r="X7" s="162"/>
      <c r="Y7" s="162"/>
      <c r="Z7" s="162"/>
      <c r="AA7" s="163"/>
      <c r="AB7" s="164"/>
      <c r="AC7" s="165"/>
    </row>
    <row r="8" spans="1:29" ht="13">
      <c r="A8" s="160"/>
      <c r="B8" s="166"/>
      <c r="C8" s="166"/>
      <c r="D8" s="167"/>
      <c r="E8" s="167"/>
      <c r="F8" s="167"/>
      <c r="G8" s="167"/>
      <c r="H8" s="167"/>
      <c r="I8" s="166"/>
      <c r="J8" s="166"/>
      <c r="K8" s="167"/>
      <c r="L8" s="167"/>
      <c r="M8" s="167"/>
      <c r="N8" s="166"/>
      <c r="O8" s="166"/>
      <c r="P8" s="167"/>
      <c r="Q8" s="166"/>
      <c r="R8" s="166"/>
      <c r="S8" s="166"/>
      <c r="T8" s="168"/>
      <c r="U8" s="168"/>
      <c r="V8" s="168"/>
      <c r="W8" s="169"/>
      <c r="X8" s="168"/>
      <c r="Y8" s="168"/>
      <c r="Z8" s="168"/>
      <c r="AA8" s="169"/>
      <c r="AB8" s="164"/>
      <c r="AC8" s="165"/>
    </row>
    <row r="9" spans="1:29" ht="13">
      <c r="A9" s="160"/>
      <c r="B9" s="161"/>
      <c r="C9" s="161"/>
      <c r="I9" s="161"/>
      <c r="J9" s="161"/>
      <c r="N9" s="161"/>
      <c r="O9" s="161"/>
      <c r="Q9" s="161"/>
      <c r="R9" s="161"/>
      <c r="S9" s="161"/>
      <c r="T9" s="162"/>
      <c r="U9" s="162"/>
      <c r="V9" s="162"/>
      <c r="W9" s="163"/>
      <c r="X9" s="162"/>
      <c r="Y9" s="162"/>
      <c r="Z9" s="162"/>
      <c r="AA9" s="163"/>
      <c r="AB9" s="164"/>
      <c r="AC9" s="165"/>
    </row>
    <row r="10" spans="1:29" ht="13">
      <c r="A10" s="160"/>
      <c r="B10" s="161"/>
      <c r="C10" s="161"/>
      <c r="I10" s="161"/>
      <c r="J10" s="161"/>
      <c r="N10" s="161"/>
      <c r="O10" s="161"/>
      <c r="Q10" s="161"/>
      <c r="R10" s="161"/>
      <c r="S10" s="161"/>
      <c r="T10" s="162"/>
      <c r="U10" s="162"/>
      <c r="V10" s="162"/>
      <c r="W10" s="163"/>
      <c r="X10" s="162"/>
      <c r="Y10" s="162"/>
      <c r="Z10" s="162"/>
      <c r="AA10" s="163"/>
      <c r="AB10" s="164"/>
      <c r="AC10" s="165"/>
    </row>
    <row r="11" spans="1:29" ht="13">
      <c r="A11" s="160"/>
      <c r="B11" s="170"/>
      <c r="C11" s="166"/>
      <c r="D11" s="167"/>
      <c r="E11" s="167"/>
      <c r="F11" s="167"/>
      <c r="G11" s="167"/>
      <c r="H11" s="167"/>
      <c r="I11" s="166"/>
      <c r="J11" s="166"/>
      <c r="K11" s="167"/>
      <c r="L11" s="167"/>
      <c r="M11" s="167"/>
      <c r="N11" s="166"/>
      <c r="O11" s="166"/>
      <c r="P11" s="167"/>
      <c r="Q11" s="166"/>
      <c r="R11" s="170"/>
      <c r="S11" s="170"/>
      <c r="T11" s="171"/>
      <c r="U11" s="171"/>
      <c r="V11" s="171"/>
      <c r="W11" s="172"/>
      <c r="X11" s="171"/>
      <c r="Y11" s="171"/>
      <c r="Z11" s="171"/>
      <c r="AA11" s="172"/>
      <c r="AB11" s="164"/>
      <c r="AC11" s="165"/>
    </row>
    <row r="12" spans="1:29" ht="13">
      <c r="A12" s="173"/>
      <c r="B12" s="174"/>
      <c r="C12" s="175"/>
      <c r="D12" s="176"/>
      <c r="E12" s="176"/>
      <c r="F12" s="176"/>
      <c r="G12" s="176"/>
      <c r="H12" s="176"/>
      <c r="I12" s="175"/>
      <c r="J12" s="175"/>
      <c r="K12" s="176"/>
      <c r="L12" s="176"/>
      <c r="M12" s="176"/>
      <c r="N12" s="175"/>
      <c r="O12" s="175"/>
      <c r="P12" s="176"/>
      <c r="Q12" s="175"/>
      <c r="R12" s="175"/>
      <c r="S12" s="175"/>
      <c r="T12" s="177"/>
      <c r="U12" s="177"/>
      <c r="V12" s="177"/>
      <c r="W12" s="178"/>
      <c r="X12" s="177"/>
      <c r="Y12" s="177"/>
      <c r="Z12" s="177"/>
      <c r="AA12" s="178"/>
      <c r="AB12" s="164"/>
      <c r="AC12" s="165"/>
    </row>
    <row r="13" spans="1:29" ht="13">
      <c r="A13" s="159"/>
      <c r="B13" s="143"/>
      <c r="C13" s="143"/>
      <c r="D13" s="155"/>
      <c r="E13" s="155"/>
      <c r="F13" s="155"/>
      <c r="G13" s="155"/>
      <c r="H13" s="155"/>
      <c r="I13" s="143"/>
      <c r="J13" s="143"/>
      <c r="K13" s="155"/>
      <c r="L13" s="155"/>
      <c r="M13" s="155"/>
      <c r="N13" s="143"/>
      <c r="O13" s="143"/>
      <c r="P13" s="155"/>
      <c r="Q13" s="143"/>
      <c r="R13" s="143"/>
      <c r="S13" s="143"/>
      <c r="T13" s="151"/>
      <c r="U13" s="151"/>
      <c r="V13" s="151"/>
      <c r="W13" s="152"/>
      <c r="X13" s="151"/>
      <c r="Y13" s="151"/>
      <c r="Z13" s="151"/>
      <c r="AA13" s="152"/>
      <c r="AB13" s="153"/>
      <c r="AC13" s="154"/>
    </row>
    <row r="14" spans="1:29" ht="13">
      <c r="A14" s="160"/>
      <c r="B14" s="161"/>
      <c r="C14" s="161"/>
      <c r="I14" s="161"/>
      <c r="J14" s="161"/>
      <c r="N14" s="161"/>
      <c r="O14" s="161"/>
      <c r="Q14" s="161"/>
      <c r="R14" s="161"/>
      <c r="S14" s="161"/>
      <c r="T14" s="162"/>
      <c r="U14" s="162"/>
      <c r="V14" s="162"/>
      <c r="W14" s="163"/>
      <c r="X14" s="162"/>
      <c r="Y14" s="162"/>
      <c r="Z14" s="162"/>
      <c r="AA14" s="163"/>
      <c r="AB14" s="164"/>
      <c r="AC14" s="165"/>
    </row>
    <row r="15" spans="1:29" ht="13">
      <c r="A15" s="160"/>
      <c r="B15" s="166"/>
      <c r="C15" s="166"/>
      <c r="D15" s="167"/>
      <c r="E15" s="167"/>
      <c r="F15" s="167"/>
      <c r="G15" s="167"/>
      <c r="H15" s="167"/>
      <c r="I15" s="166"/>
      <c r="J15" s="166"/>
      <c r="K15" s="167"/>
      <c r="L15" s="167"/>
      <c r="M15" s="167"/>
      <c r="N15" s="166"/>
      <c r="O15" s="166"/>
      <c r="P15" s="167"/>
      <c r="Q15" s="166"/>
      <c r="R15" s="166"/>
      <c r="S15" s="166"/>
      <c r="T15" s="168"/>
      <c r="U15" s="168"/>
      <c r="V15" s="168"/>
      <c r="W15" s="169"/>
      <c r="X15" s="168"/>
      <c r="Y15" s="168"/>
      <c r="Z15" s="168"/>
      <c r="AA15" s="169"/>
      <c r="AB15" s="164"/>
      <c r="AC15" s="165"/>
    </row>
    <row r="16" spans="1:29" ht="13">
      <c r="A16" s="160"/>
      <c r="B16" s="161"/>
      <c r="C16" s="161"/>
      <c r="I16" s="161"/>
      <c r="J16" s="161"/>
      <c r="N16" s="161"/>
      <c r="O16" s="161"/>
      <c r="Q16" s="161"/>
      <c r="R16" s="161"/>
      <c r="S16" s="161"/>
      <c r="T16" s="162"/>
      <c r="U16" s="162"/>
      <c r="V16" s="162"/>
      <c r="W16" s="163"/>
      <c r="X16" s="162"/>
      <c r="Y16" s="162"/>
      <c r="Z16" s="162"/>
      <c r="AA16" s="163"/>
      <c r="AB16" s="164"/>
      <c r="AC16" s="165"/>
    </row>
    <row r="17" spans="1:29" ht="13">
      <c r="A17" s="160"/>
      <c r="B17" s="161"/>
      <c r="C17" s="161"/>
      <c r="I17" s="161"/>
      <c r="J17" s="161"/>
      <c r="N17" s="161"/>
      <c r="O17" s="161"/>
      <c r="Q17" s="161"/>
      <c r="R17" s="161"/>
      <c r="S17" s="161"/>
      <c r="T17" s="162"/>
      <c r="U17" s="162"/>
      <c r="V17" s="162"/>
      <c r="W17" s="163"/>
      <c r="X17" s="162"/>
      <c r="Y17" s="162"/>
      <c r="Z17" s="162"/>
      <c r="AA17" s="163"/>
      <c r="AB17" s="164"/>
      <c r="AC17" s="165"/>
    </row>
    <row r="18" spans="1:29" ht="13">
      <c r="A18" s="160"/>
      <c r="B18" s="170"/>
      <c r="C18" s="166"/>
      <c r="D18" s="167"/>
      <c r="E18" s="167"/>
      <c r="F18" s="167"/>
      <c r="G18" s="167"/>
      <c r="H18" s="167"/>
      <c r="I18" s="166"/>
      <c r="J18" s="166"/>
      <c r="K18" s="167"/>
      <c r="L18" s="167"/>
      <c r="M18" s="167"/>
      <c r="N18" s="166"/>
      <c r="O18" s="166"/>
      <c r="P18" s="167"/>
      <c r="Q18" s="166"/>
      <c r="R18" s="170"/>
      <c r="S18" s="170"/>
      <c r="T18" s="171"/>
      <c r="U18" s="171"/>
      <c r="V18" s="171"/>
      <c r="W18" s="172"/>
      <c r="X18" s="171"/>
      <c r="Y18" s="171"/>
      <c r="Z18" s="171"/>
      <c r="AA18" s="172"/>
      <c r="AB18" s="164"/>
      <c r="AC18" s="165"/>
    </row>
    <row r="19" spans="1:29" ht="13">
      <c r="A19" s="173"/>
      <c r="B19" s="174"/>
      <c r="C19" s="175"/>
      <c r="D19" s="176"/>
      <c r="E19" s="176"/>
      <c r="F19" s="176"/>
      <c r="G19" s="176"/>
      <c r="H19" s="176"/>
      <c r="I19" s="175"/>
      <c r="J19" s="175"/>
      <c r="K19" s="176"/>
      <c r="L19" s="176"/>
      <c r="M19" s="176"/>
      <c r="N19" s="175"/>
      <c r="O19" s="175"/>
      <c r="P19" s="176"/>
      <c r="Q19" s="175"/>
      <c r="R19" s="175"/>
      <c r="S19" s="175"/>
      <c r="T19" s="177"/>
      <c r="U19" s="177"/>
      <c r="V19" s="177"/>
      <c r="W19" s="178"/>
      <c r="X19" s="177"/>
      <c r="Y19" s="177"/>
      <c r="Z19" s="177"/>
      <c r="AA19" s="178"/>
      <c r="AB19" s="164"/>
      <c r="AC19" s="165"/>
    </row>
    <row r="20" spans="1:29" ht="13">
      <c r="A20" s="159"/>
      <c r="B20" s="143"/>
      <c r="C20" s="143"/>
      <c r="D20" s="155"/>
      <c r="E20" s="155"/>
      <c r="F20" s="155"/>
      <c r="G20" s="155"/>
      <c r="H20" s="155"/>
      <c r="I20" s="143"/>
      <c r="J20" s="143"/>
      <c r="K20" s="155"/>
      <c r="L20" s="155"/>
      <c r="M20" s="155"/>
      <c r="N20" s="143"/>
      <c r="O20" s="143"/>
      <c r="P20" s="155"/>
      <c r="Q20" s="143"/>
      <c r="R20" s="143"/>
      <c r="S20" s="143"/>
      <c r="T20" s="151"/>
      <c r="U20" s="151"/>
      <c r="V20" s="151"/>
      <c r="W20" s="152"/>
      <c r="X20" s="151"/>
      <c r="Y20" s="151"/>
      <c r="Z20" s="151"/>
      <c r="AA20" s="152"/>
      <c r="AB20" s="153"/>
      <c r="AC20" s="154"/>
    </row>
    <row r="21" spans="1:29" ht="13">
      <c r="A21" s="160"/>
      <c r="B21" s="161"/>
      <c r="C21" s="161"/>
      <c r="I21" s="161"/>
      <c r="J21" s="161"/>
      <c r="N21" s="161"/>
      <c r="O21" s="161"/>
      <c r="Q21" s="161"/>
      <c r="R21" s="161"/>
      <c r="S21" s="161"/>
      <c r="T21" s="162"/>
      <c r="U21" s="162"/>
      <c r="V21" s="162"/>
      <c r="W21" s="163"/>
      <c r="X21" s="162"/>
      <c r="Y21" s="162"/>
      <c r="Z21" s="162"/>
      <c r="AA21" s="163"/>
      <c r="AB21" s="164"/>
      <c r="AC21" s="165"/>
    </row>
    <row r="22" spans="1:29" ht="13">
      <c r="A22" s="160"/>
      <c r="B22" s="166"/>
      <c r="C22" s="166"/>
      <c r="D22" s="167"/>
      <c r="E22" s="167"/>
      <c r="F22" s="167"/>
      <c r="G22" s="167"/>
      <c r="H22" s="167"/>
      <c r="I22" s="166"/>
      <c r="J22" s="166"/>
      <c r="K22" s="167"/>
      <c r="L22" s="167"/>
      <c r="M22" s="167"/>
      <c r="N22" s="166"/>
      <c r="O22" s="166"/>
      <c r="P22" s="167"/>
      <c r="Q22" s="166"/>
      <c r="R22" s="166"/>
      <c r="S22" s="166"/>
      <c r="T22" s="168"/>
      <c r="U22" s="168"/>
      <c r="V22" s="168"/>
      <c r="W22" s="169"/>
      <c r="X22" s="168"/>
      <c r="Y22" s="168"/>
      <c r="Z22" s="168"/>
      <c r="AA22" s="169"/>
      <c r="AB22" s="164"/>
      <c r="AC22" s="165"/>
    </row>
    <row r="23" spans="1:29" ht="13">
      <c r="A23" s="160"/>
      <c r="B23" s="161"/>
      <c r="C23" s="161"/>
      <c r="I23" s="161"/>
      <c r="J23" s="161"/>
      <c r="N23" s="161"/>
      <c r="O23" s="161"/>
      <c r="Q23" s="161"/>
      <c r="R23" s="161"/>
      <c r="S23" s="161"/>
      <c r="T23" s="162"/>
      <c r="U23" s="162"/>
      <c r="V23" s="162"/>
      <c r="W23" s="163"/>
      <c r="X23" s="162"/>
      <c r="Y23" s="162"/>
      <c r="Z23" s="162"/>
      <c r="AA23" s="163"/>
      <c r="AB23" s="164"/>
      <c r="AC23" s="165"/>
    </row>
    <row r="24" spans="1:29" ht="13">
      <c r="A24" s="160"/>
      <c r="B24" s="161"/>
      <c r="C24" s="161"/>
      <c r="I24" s="161"/>
      <c r="J24" s="161"/>
      <c r="N24" s="161"/>
      <c r="O24" s="161"/>
      <c r="Q24" s="161"/>
      <c r="R24" s="161"/>
      <c r="S24" s="161"/>
      <c r="T24" s="162"/>
      <c r="U24" s="162"/>
      <c r="V24" s="162"/>
      <c r="W24" s="163"/>
      <c r="X24" s="162"/>
      <c r="Y24" s="162"/>
      <c r="Z24" s="162"/>
      <c r="AA24" s="163"/>
      <c r="AB24" s="164"/>
      <c r="AC24" s="165"/>
    </row>
    <row r="25" spans="1:29" ht="13">
      <c r="A25" s="160"/>
      <c r="B25" s="170"/>
      <c r="C25" s="166"/>
      <c r="D25" s="167"/>
      <c r="E25" s="167"/>
      <c r="F25" s="167"/>
      <c r="G25" s="167"/>
      <c r="H25" s="167"/>
      <c r="I25" s="166"/>
      <c r="J25" s="166"/>
      <c r="K25" s="167"/>
      <c r="L25" s="167"/>
      <c r="M25" s="167"/>
      <c r="N25" s="166"/>
      <c r="O25" s="166"/>
      <c r="P25" s="167"/>
      <c r="Q25" s="166"/>
      <c r="R25" s="170"/>
      <c r="S25" s="170"/>
      <c r="T25" s="171"/>
      <c r="U25" s="171"/>
      <c r="V25" s="171"/>
      <c r="W25" s="172"/>
      <c r="X25" s="171"/>
      <c r="Y25" s="171"/>
      <c r="Z25" s="171"/>
      <c r="AA25" s="172"/>
      <c r="AB25" s="164"/>
      <c r="AC25" s="165"/>
    </row>
    <row r="26" spans="1:29" ht="13">
      <c r="A26" s="173"/>
      <c r="B26" s="174"/>
      <c r="C26" s="175"/>
      <c r="D26" s="176"/>
      <c r="E26" s="176"/>
      <c r="F26" s="176"/>
      <c r="G26" s="176"/>
      <c r="H26" s="176"/>
      <c r="I26" s="175"/>
      <c r="J26" s="175"/>
      <c r="K26" s="176"/>
      <c r="L26" s="176"/>
      <c r="M26" s="176"/>
      <c r="N26" s="175"/>
      <c r="O26" s="175"/>
      <c r="P26" s="176"/>
      <c r="Q26" s="175"/>
      <c r="R26" s="175"/>
      <c r="S26" s="175"/>
      <c r="T26" s="177"/>
      <c r="U26" s="177"/>
      <c r="V26" s="177"/>
      <c r="W26" s="178"/>
      <c r="X26" s="177"/>
      <c r="Y26" s="177"/>
      <c r="Z26" s="177"/>
      <c r="AA26" s="178"/>
      <c r="AB26" s="164"/>
      <c r="AC26" s="165"/>
    </row>
    <row r="27" spans="1:29" ht="13">
      <c r="A27" s="159"/>
      <c r="B27" s="143"/>
      <c r="C27" s="143"/>
      <c r="D27" s="155"/>
      <c r="E27" s="155"/>
      <c r="F27" s="155"/>
      <c r="G27" s="155"/>
      <c r="H27" s="155"/>
      <c r="I27" s="143"/>
      <c r="J27" s="143"/>
      <c r="K27" s="155"/>
      <c r="L27" s="155"/>
      <c r="M27" s="155"/>
      <c r="N27" s="143"/>
      <c r="O27" s="143"/>
      <c r="P27" s="155"/>
      <c r="Q27" s="143"/>
      <c r="R27" s="143"/>
      <c r="S27" s="143"/>
      <c r="T27" s="151"/>
      <c r="U27" s="151"/>
      <c r="V27" s="151"/>
      <c r="W27" s="152"/>
      <c r="X27" s="151"/>
      <c r="Y27" s="151"/>
      <c r="Z27" s="151"/>
      <c r="AA27" s="152"/>
      <c r="AB27" s="153"/>
      <c r="AC27" s="154"/>
    </row>
    <row r="28" spans="1:29" ht="13">
      <c r="A28" s="160"/>
      <c r="B28" s="161"/>
      <c r="C28" s="161"/>
      <c r="I28" s="161"/>
      <c r="J28" s="161"/>
      <c r="N28" s="161"/>
      <c r="O28" s="161"/>
      <c r="Q28" s="161"/>
      <c r="R28" s="161"/>
      <c r="S28" s="161"/>
      <c r="T28" s="162"/>
      <c r="U28" s="162"/>
      <c r="V28" s="162"/>
      <c r="W28" s="163"/>
      <c r="X28" s="162"/>
      <c r="Y28" s="162"/>
      <c r="Z28" s="162"/>
      <c r="AA28" s="163"/>
      <c r="AB28" s="164"/>
      <c r="AC28" s="165"/>
    </row>
    <row r="29" spans="1:29" ht="13">
      <c r="A29" s="160"/>
      <c r="B29" s="166"/>
      <c r="C29" s="166"/>
      <c r="D29" s="167"/>
      <c r="E29" s="167"/>
      <c r="F29" s="167"/>
      <c r="G29" s="167"/>
      <c r="H29" s="167"/>
      <c r="I29" s="166"/>
      <c r="J29" s="166"/>
      <c r="K29" s="167"/>
      <c r="L29" s="167"/>
      <c r="M29" s="167"/>
      <c r="N29" s="166"/>
      <c r="O29" s="166"/>
      <c r="P29" s="167"/>
      <c r="Q29" s="166"/>
      <c r="R29" s="166"/>
      <c r="S29" s="166"/>
      <c r="T29" s="168"/>
      <c r="U29" s="168"/>
      <c r="V29" s="168"/>
      <c r="W29" s="169"/>
      <c r="X29" s="168"/>
      <c r="Y29" s="168"/>
      <c r="Z29" s="168"/>
      <c r="AA29" s="169"/>
      <c r="AB29" s="164"/>
      <c r="AC29" s="165"/>
    </row>
    <row r="30" spans="1:29" ht="13">
      <c r="A30" s="160"/>
      <c r="B30" s="161"/>
      <c r="C30" s="161"/>
      <c r="I30" s="161"/>
      <c r="J30" s="161"/>
      <c r="N30" s="161"/>
      <c r="O30" s="161"/>
      <c r="Q30" s="161"/>
      <c r="R30" s="161"/>
      <c r="S30" s="161"/>
      <c r="T30" s="162"/>
      <c r="U30" s="162"/>
      <c r="V30" s="162"/>
      <c r="W30" s="163"/>
      <c r="X30" s="162"/>
      <c r="Y30" s="162"/>
      <c r="Z30" s="162"/>
      <c r="AA30" s="163"/>
      <c r="AB30" s="164"/>
      <c r="AC30" s="165"/>
    </row>
    <row r="31" spans="1:29" ht="13">
      <c r="A31" s="160"/>
      <c r="B31" s="161"/>
      <c r="C31" s="161"/>
      <c r="I31" s="161"/>
      <c r="J31" s="161"/>
      <c r="N31" s="161"/>
      <c r="O31" s="161"/>
      <c r="Q31" s="161"/>
      <c r="R31" s="161"/>
      <c r="S31" s="161"/>
      <c r="T31" s="162"/>
      <c r="U31" s="162"/>
      <c r="V31" s="162"/>
      <c r="W31" s="163"/>
      <c r="X31" s="162"/>
      <c r="Y31" s="162"/>
      <c r="Z31" s="162"/>
      <c r="AA31" s="163"/>
      <c r="AB31" s="164"/>
      <c r="AC31" s="165"/>
    </row>
    <row r="32" spans="1:29" ht="13">
      <c r="A32" s="160"/>
      <c r="B32" s="170"/>
      <c r="C32" s="166"/>
      <c r="D32" s="167"/>
      <c r="E32" s="167"/>
      <c r="F32" s="167"/>
      <c r="G32" s="167"/>
      <c r="H32" s="167"/>
      <c r="I32" s="166"/>
      <c r="J32" s="166"/>
      <c r="K32" s="167"/>
      <c r="L32" s="167"/>
      <c r="M32" s="167"/>
      <c r="N32" s="166"/>
      <c r="O32" s="166"/>
      <c r="P32" s="167"/>
      <c r="Q32" s="166"/>
      <c r="R32" s="170"/>
      <c r="S32" s="170"/>
      <c r="T32" s="171"/>
      <c r="U32" s="171"/>
      <c r="V32" s="171"/>
      <c r="W32" s="172"/>
      <c r="X32" s="171"/>
      <c r="Y32" s="171"/>
      <c r="Z32" s="171"/>
      <c r="AA32" s="172"/>
      <c r="AB32" s="164"/>
      <c r="AC32" s="165"/>
    </row>
    <row r="33" spans="1:29" ht="13">
      <c r="A33" s="173"/>
      <c r="B33" s="174"/>
      <c r="C33" s="175"/>
      <c r="D33" s="176"/>
      <c r="E33" s="176"/>
      <c r="F33" s="176"/>
      <c r="G33" s="176"/>
      <c r="H33" s="176"/>
      <c r="I33" s="175"/>
      <c r="J33" s="175"/>
      <c r="K33" s="176"/>
      <c r="L33" s="176"/>
      <c r="M33" s="176"/>
      <c r="N33" s="175"/>
      <c r="O33" s="175"/>
      <c r="P33" s="176"/>
      <c r="Q33" s="175"/>
      <c r="R33" s="175"/>
      <c r="S33" s="175"/>
      <c r="T33" s="177"/>
      <c r="U33" s="177"/>
      <c r="V33" s="177"/>
      <c r="W33" s="178"/>
      <c r="X33" s="177"/>
      <c r="Y33" s="177"/>
      <c r="Z33" s="177"/>
      <c r="AA33" s="178"/>
      <c r="AB33" s="164"/>
      <c r="AC33" s="165"/>
    </row>
    <row r="34" spans="1:29" ht="13">
      <c r="A34" s="159"/>
      <c r="B34" s="143"/>
      <c r="C34" s="143"/>
      <c r="D34" s="155"/>
      <c r="E34" s="155"/>
      <c r="F34" s="155"/>
      <c r="G34" s="155"/>
      <c r="H34" s="155"/>
      <c r="I34" s="143"/>
      <c r="J34" s="143"/>
      <c r="K34" s="155"/>
      <c r="L34" s="155"/>
      <c r="M34" s="155"/>
      <c r="N34" s="143"/>
      <c r="O34" s="143"/>
      <c r="P34" s="155"/>
      <c r="Q34" s="143"/>
      <c r="R34" s="143"/>
      <c r="S34" s="143"/>
      <c r="T34" s="151"/>
      <c r="U34" s="151"/>
      <c r="V34" s="151"/>
      <c r="W34" s="152"/>
      <c r="X34" s="151"/>
      <c r="Y34" s="151"/>
      <c r="Z34" s="151"/>
      <c r="AA34" s="152"/>
      <c r="AB34" s="153"/>
      <c r="AC34" s="154"/>
    </row>
    <row r="35" spans="1:29" ht="13">
      <c r="A35" s="160"/>
      <c r="B35" s="161"/>
      <c r="C35" s="161"/>
      <c r="I35" s="161"/>
      <c r="J35" s="161"/>
      <c r="N35" s="161"/>
      <c r="O35" s="161"/>
      <c r="Q35" s="161"/>
      <c r="R35" s="161"/>
      <c r="S35" s="161"/>
      <c r="T35" s="162"/>
      <c r="U35" s="162"/>
      <c r="V35" s="162"/>
      <c r="W35" s="163"/>
      <c r="X35" s="162"/>
      <c r="Y35" s="162"/>
      <c r="Z35" s="162"/>
      <c r="AA35" s="163"/>
      <c r="AB35" s="164"/>
      <c r="AC35" s="165"/>
    </row>
    <row r="36" spans="1:29" ht="13">
      <c r="A36" s="160"/>
      <c r="B36" s="166"/>
      <c r="C36" s="166"/>
      <c r="D36" s="167"/>
      <c r="E36" s="167"/>
      <c r="F36" s="167"/>
      <c r="G36" s="167"/>
      <c r="H36" s="167"/>
      <c r="I36" s="166"/>
      <c r="J36" s="166"/>
      <c r="K36" s="167"/>
      <c r="L36" s="167"/>
      <c r="M36" s="167"/>
      <c r="N36" s="166"/>
      <c r="O36" s="166"/>
      <c r="P36" s="167"/>
      <c r="Q36" s="166"/>
      <c r="R36" s="166"/>
      <c r="S36" s="166"/>
      <c r="T36" s="168"/>
      <c r="U36" s="168"/>
      <c r="V36" s="168"/>
      <c r="W36" s="169"/>
      <c r="X36" s="168"/>
      <c r="Y36" s="168"/>
      <c r="Z36" s="168"/>
      <c r="AA36" s="169"/>
      <c r="AB36" s="164"/>
      <c r="AC36" s="165"/>
    </row>
    <row r="37" spans="1:29" ht="13">
      <c r="A37" s="160"/>
      <c r="B37" s="161"/>
      <c r="C37" s="161"/>
      <c r="I37" s="161"/>
      <c r="J37" s="161"/>
      <c r="N37" s="161"/>
      <c r="O37" s="161"/>
      <c r="Q37" s="161"/>
      <c r="R37" s="161"/>
      <c r="S37" s="161"/>
      <c r="T37" s="162"/>
      <c r="U37" s="162"/>
      <c r="V37" s="162"/>
      <c r="W37" s="163"/>
      <c r="X37" s="162"/>
      <c r="Y37" s="162"/>
      <c r="Z37" s="162"/>
      <c r="AA37" s="163"/>
      <c r="AB37" s="164"/>
      <c r="AC37" s="165"/>
    </row>
    <row r="38" spans="1:29" ht="13">
      <c r="A38" s="160"/>
      <c r="B38" s="161"/>
      <c r="C38" s="161"/>
      <c r="I38" s="161"/>
      <c r="J38" s="161"/>
      <c r="N38" s="161"/>
      <c r="O38" s="161"/>
      <c r="Q38" s="161"/>
      <c r="R38" s="161"/>
      <c r="S38" s="161"/>
      <c r="T38" s="162"/>
      <c r="U38" s="162"/>
      <c r="V38" s="162"/>
      <c r="W38" s="163"/>
      <c r="X38" s="162"/>
      <c r="Y38" s="162"/>
      <c r="Z38" s="162"/>
      <c r="AA38" s="163"/>
      <c r="AB38" s="164"/>
      <c r="AC38" s="165"/>
    </row>
    <row r="39" spans="1:29" ht="13">
      <c r="A39" s="160"/>
      <c r="B39" s="170"/>
      <c r="C39" s="166"/>
      <c r="D39" s="167"/>
      <c r="E39" s="167"/>
      <c r="F39" s="167"/>
      <c r="G39" s="167"/>
      <c r="H39" s="167"/>
      <c r="I39" s="166"/>
      <c r="J39" s="166"/>
      <c r="K39" s="167"/>
      <c r="L39" s="167"/>
      <c r="M39" s="167"/>
      <c r="N39" s="166"/>
      <c r="O39" s="166"/>
      <c r="P39" s="167"/>
      <c r="Q39" s="166"/>
      <c r="R39" s="170"/>
      <c r="S39" s="170"/>
      <c r="T39" s="171"/>
      <c r="U39" s="171"/>
      <c r="V39" s="171"/>
      <c r="W39" s="172"/>
      <c r="X39" s="171"/>
      <c r="Y39" s="171"/>
      <c r="Z39" s="171"/>
      <c r="AA39" s="172"/>
      <c r="AB39" s="164"/>
      <c r="AC39" s="165"/>
    </row>
    <row r="40" spans="1:29" ht="13">
      <c r="A40" s="173"/>
      <c r="B40" s="174"/>
      <c r="C40" s="175"/>
      <c r="D40" s="176"/>
      <c r="E40" s="176"/>
      <c r="F40" s="176"/>
      <c r="G40" s="176"/>
      <c r="H40" s="176"/>
      <c r="I40" s="175"/>
      <c r="J40" s="175"/>
      <c r="K40" s="176"/>
      <c r="L40" s="176"/>
      <c r="M40" s="176"/>
      <c r="N40" s="175"/>
      <c r="O40" s="175"/>
      <c r="P40" s="176"/>
      <c r="Q40" s="175"/>
      <c r="R40" s="175"/>
      <c r="S40" s="175"/>
      <c r="T40" s="177"/>
      <c r="U40" s="177"/>
      <c r="V40" s="177"/>
      <c r="W40" s="178"/>
      <c r="X40" s="177"/>
      <c r="Y40" s="177"/>
      <c r="Z40" s="177"/>
      <c r="AA40" s="178"/>
      <c r="AB40" s="164"/>
      <c r="AC40" s="165"/>
    </row>
    <row r="41" spans="1:29" ht="13">
      <c r="A41" s="159"/>
      <c r="B41" s="143"/>
      <c r="C41" s="143"/>
      <c r="D41" s="155"/>
      <c r="E41" s="155"/>
      <c r="F41" s="155"/>
      <c r="G41" s="155"/>
      <c r="H41" s="155"/>
      <c r="I41" s="143"/>
      <c r="J41" s="143"/>
      <c r="K41" s="155"/>
      <c r="L41" s="155"/>
      <c r="M41" s="155"/>
      <c r="N41" s="143"/>
      <c r="O41" s="143"/>
      <c r="P41" s="155"/>
      <c r="Q41" s="143"/>
      <c r="R41" s="143"/>
      <c r="S41" s="143"/>
      <c r="T41" s="151"/>
      <c r="U41" s="151"/>
      <c r="V41" s="151"/>
      <c r="W41" s="152"/>
      <c r="X41" s="151"/>
      <c r="Y41" s="151"/>
      <c r="Z41" s="151"/>
      <c r="AA41" s="152"/>
      <c r="AB41" s="153"/>
      <c r="AC41" s="154"/>
    </row>
    <row r="42" spans="1:29" ht="13">
      <c r="A42" s="160"/>
      <c r="B42" s="161"/>
      <c r="C42" s="161"/>
      <c r="I42" s="161"/>
      <c r="J42" s="161"/>
      <c r="N42" s="161"/>
      <c r="O42" s="161"/>
      <c r="Q42" s="161"/>
      <c r="R42" s="161"/>
      <c r="S42" s="161"/>
      <c r="T42" s="162"/>
      <c r="U42" s="162"/>
      <c r="V42" s="162"/>
      <c r="W42" s="163"/>
      <c r="X42" s="162"/>
      <c r="Y42" s="162"/>
      <c r="Z42" s="162"/>
      <c r="AA42" s="163"/>
      <c r="AB42" s="164"/>
      <c r="AC42" s="165"/>
    </row>
    <row r="43" spans="1:29" ht="13">
      <c r="A43" s="160"/>
      <c r="B43" s="166"/>
      <c r="C43" s="166"/>
      <c r="D43" s="167"/>
      <c r="E43" s="167"/>
      <c r="F43" s="167"/>
      <c r="G43" s="167"/>
      <c r="H43" s="167"/>
      <c r="I43" s="166"/>
      <c r="J43" s="166"/>
      <c r="K43" s="167"/>
      <c r="L43" s="167"/>
      <c r="M43" s="167"/>
      <c r="N43" s="166"/>
      <c r="O43" s="166"/>
      <c r="P43" s="167"/>
      <c r="Q43" s="166"/>
      <c r="R43" s="166"/>
      <c r="S43" s="166"/>
      <c r="T43" s="168"/>
      <c r="U43" s="168"/>
      <c r="V43" s="168"/>
      <c r="W43" s="169"/>
      <c r="X43" s="168"/>
      <c r="Y43" s="168"/>
      <c r="Z43" s="168"/>
      <c r="AA43" s="169"/>
      <c r="AB43" s="164"/>
      <c r="AC43" s="165"/>
    </row>
    <row r="44" spans="1:29" ht="13">
      <c r="A44" s="160"/>
      <c r="B44" s="161"/>
      <c r="C44" s="161"/>
      <c r="I44" s="161"/>
      <c r="J44" s="161"/>
      <c r="N44" s="161"/>
      <c r="O44" s="161"/>
      <c r="Q44" s="161"/>
      <c r="R44" s="161"/>
      <c r="S44" s="161"/>
      <c r="T44" s="162"/>
      <c r="U44" s="162"/>
      <c r="V44" s="162"/>
      <c r="W44" s="163"/>
      <c r="X44" s="162"/>
      <c r="Y44" s="162"/>
      <c r="Z44" s="162"/>
      <c r="AA44" s="163"/>
      <c r="AB44" s="164"/>
      <c r="AC44" s="165"/>
    </row>
    <row r="45" spans="1:29" ht="13">
      <c r="A45" s="160"/>
      <c r="B45" s="161"/>
      <c r="C45" s="161"/>
      <c r="I45" s="161"/>
      <c r="J45" s="161"/>
      <c r="N45" s="161"/>
      <c r="O45" s="161"/>
      <c r="Q45" s="161"/>
      <c r="R45" s="161"/>
      <c r="S45" s="161"/>
      <c r="T45" s="162"/>
      <c r="U45" s="162"/>
      <c r="V45" s="162"/>
      <c r="W45" s="163"/>
      <c r="X45" s="162"/>
      <c r="Y45" s="162"/>
      <c r="Z45" s="162"/>
      <c r="AA45" s="163"/>
      <c r="AB45" s="164"/>
      <c r="AC45" s="165"/>
    </row>
    <row r="46" spans="1:29" ht="13">
      <c r="A46" s="160"/>
      <c r="B46" s="170"/>
      <c r="C46" s="166"/>
      <c r="D46" s="167"/>
      <c r="E46" s="167"/>
      <c r="F46" s="167"/>
      <c r="G46" s="167"/>
      <c r="H46" s="167"/>
      <c r="I46" s="166"/>
      <c r="J46" s="166"/>
      <c r="K46" s="167"/>
      <c r="L46" s="167"/>
      <c r="M46" s="167"/>
      <c r="N46" s="166"/>
      <c r="O46" s="166"/>
      <c r="P46" s="167"/>
      <c r="Q46" s="166"/>
      <c r="R46" s="170"/>
      <c r="S46" s="170"/>
      <c r="T46" s="171"/>
      <c r="U46" s="171"/>
      <c r="V46" s="171"/>
      <c r="W46" s="172"/>
      <c r="X46" s="171"/>
      <c r="Y46" s="171"/>
      <c r="Z46" s="171"/>
      <c r="AA46" s="172"/>
      <c r="AB46" s="164"/>
      <c r="AC46" s="165"/>
    </row>
    <row r="47" spans="1:29" ht="13">
      <c r="A47" s="173"/>
      <c r="B47" s="174"/>
      <c r="C47" s="175"/>
      <c r="D47" s="176"/>
      <c r="E47" s="176"/>
      <c r="F47" s="176"/>
      <c r="G47" s="176"/>
      <c r="H47" s="176"/>
      <c r="I47" s="175"/>
      <c r="J47" s="175"/>
      <c r="K47" s="176"/>
      <c r="L47" s="176"/>
      <c r="M47" s="176"/>
      <c r="N47" s="175"/>
      <c r="O47" s="175"/>
      <c r="P47" s="176"/>
      <c r="Q47" s="175"/>
      <c r="R47" s="175"/>
      <c r="S47" s="175"/>
      <c r="T47" s="177"/>
      <c r="U47" s="177"/>
      <c r="V47" s="177"/>
      <c r="W47" s="178"/>
      <c r="X47" s="177"/>
      <c r="Y47" s="177"/>
      <c r="Z47" s="177"/>
      <c r="AA47" s="178"/>
      <c r="AB47" s="164"/>
      <c r="AC47" s="165"/>
    </row>
    <row r="48" spans="1:29" ht="13">
      <c r="A48" s="159"/>
      <c r="B48" s="143"/>
      <c r="C48" s="143"/>
      <c r="D48" s="155"/>
      <c r="E48" s="155"/>
      <c r="F48" s="155"/>
      <c r="G48" s="155"/>
      <c r="H48" s="155"/>
      <c r="I48" s="143"/>
      <c r="J48" s="143"/>
      <c r="K48" s="155"/>
      <c r="L48" s="155"/>
      <c r="M48" s="155"/>
      <c r="N48" s="143"/>
      <c r="O48" s="143"/>
      <c r="P48" s="155"/>
      <c r="Q48" s="143"/>
      <c r="R48" s="143"/>
      <c r="S48" s="143"/>
      <c r="T48" s="151"/>
      <c r="U48" s="151"/>
      <c r="V48" s="151"/>
      <c r="W48" s="152"/>
      <c r="X48" s="151"/>
      <c r="Y48" s="151"/>
      <c r="Z48" s="151"/>
      <c r="AA48" s="152"/>
      <c r="AB48" s="153"/>
      <c r="AC48" s="154"/>
    </row>
    <row r="49" spans="1:29" ht="13">
      <c r="A49" s="160"/>
      <c r="B49" s="161"/>
      <c r="C49" s="161"/>
      <c r="I49" s="161"/>
      <c r="J49" s="161"/>
      <c r="N49" s="161"/>
      <c r="O49" s="161"/>
      <c r="Q49" s="161"/>
      <c r="R49" s="161"/>
      <c r="S49" s="161"/>
      <c r="T49" s="162"/>
      <c r="U49" s="162"/>
      <c r="V49" s="162"/>
      <c r="W49" s="163"/>
      <c r="X49" s="162"/>
      <c r="Y49" s="162"/>
      <c r="Z49" s="162"/>
      <c r="AA49" s="163"/>
      <c r="AB49" s="164"/>
      <c r="AC49" s="165"/>
    </row>
    <row r="50" spans="1:29" ht="13">
      <c r="A50" s="160"/>
      <c r="B50" s="166"/>
      <c r="C50" s="166"/>
      <c r="D50" s="167"/>
      <c r="E50" s="167"/>
      <c r="F50" s="167"/>
      <c r="G50" s="167"/>
      <c r="H50" s="167"/>
      <c r="I50" s="166"/>
      <c r="J50" s="166"/>
      <c r="K50" s="167"/>
      <c r="L50" s="167"/>
      <c r="M50" s="167"/>
      <c r="N50" s="166"/>
      <c r="O50" s="166"/>
      <c r="P50" s="167"/>
      <c r="Q50" s="166"/>
      <c r="R50" s="166"/>
      <c r="S50" s="166"/>
      <c r="T50" s="168"/>
      <c r="U50" s="168"/>
      <c r="V50" s="168"/>
      <c r="W50" s="169"/>
      <c r="X50" s="168"/>
      <c r="Y50" s="168"/>
      <c r="Z50" s="168"/>
      <c r="AA50" s="169"/>
      <c r="AB50" s="164"/>
      <c r="AC50" s="165"/>
    </row>
    <row r="51" spans="1:29" ht="13">
      <c r="A51" s="160"/>
      <c r="B51" s="161"/>
      <c r="C51" s="161"/>
      <c r="I51" s="161"/>
      <c r="J51" s="161"/>
      <c r="N51" s="161"/>
      <c r="O51" s="161"/>
      <c r="Q51" s="161"/>
      <c r="R51" s="161"/>
      <c r="S51" s="161"/>
      <c r="T51" s="162"/>
      <c r="U51" s="162"/>
      <c r="V51" s="162"/>
      <c r="W51" s="163"/>
      <c r="X51" s="162"/>
      <c r="Y51" s="162"/>
      <c r="Z51" s="162"/>
      <c r="AA51" s="163"/>
      <c r="AB51" s="164"/>
      <c r="AC51" s="165"/>
    </row>
    <row r="52" spans="1:29" ht="13">
      <c r="A52" s="160"/>
      <c r="B52" s="161"/>
      <c r="C52" s="161"/>
      <c r="I52" s="161"/>
      <c r="J52" s="161"/>
      <c r="N52" s="161"/>
      <c r="O52" s="161"/>
      <c r="Q52" s="161"/>
      <c r="R52" s="161"/>
      <c r="S52" s="161"/>
      <c r="T52" s="162"/>
      <c r="U52" s="162"/>
      <c r="V52" s="162"/>
      <c r="W52" s="163"/>
      <c r="X52" s="162"/>
      <c r="Y52" s="162"/>
      <c r="Z52" s="162"/>
      <c r="AA52" s="163"/>
      <c r="AB52" s="164"/>
      <c r="AC52" s="165"/>
    </row>
    <row r="53" spans="1:29" ht="13">
      <c r="A53" s="160"/>
      <c r="B53" s="170"/>
      <c r="C53" s="166"/>
      <c r="D53" s="167"/>
      <c r="E53" s="167"/>
      <c r="F53" s="167"/>
      <c r="G53" s="167"/>
      <c r="H53" s="167"/>
      <c r="I53" s="166"/>
      <c r="J53" s="166"/>
      <c r="K53" s="167"/>
      <c r="L53" s="167"/>
      <c r="M53" s="167"/>
      <c r="N53" s="166"/>
      <c r="O53" s="166"/>
      <c r="P53" s="167"/>
      <c r="Q53" s="166"/>
      <c r="R53" s="170"/>
      <c r="S53" s="170"/>
      <c r="T53" s="171"/>
      <c r="U53" s="171"/>
      <c r="V53" s="171"/>
      <c r="W53" s="172"/>
      <c r="X53" s="171"/>
      <c r="Y53" s="171"/>
      <c r="Z53" s="171"/>
      <c r="AA53" s="172"/>
      <c r="AB53" s="164"/>
      <c r="AC53" s="165"/>
    </row>
    <row r="54" spans="1:29" ht="13">
      <c r="A54" s="173"/>
      <c r="B54" s="174"/>
      <c r="C54" s="175"/>
      <c r="D54" s="176"/>
      <c r="E54" s="176"/>
      <c r="F54" s="176"/>
      <c r="G54" s="176"/>
      <c r="H54" s="176"/>
      <c r="I54" s="175"/>
      <c r="J54" s="175"/>
      <c r="K54" s="176"/>
      <c r="L54" s="176"/>
      <c r="M54" s="176"/>
      <c r="N54" s="175"/>
      <c r="O54" s="175"/>
      <c r="P54" s="176"/>
      <c r="Q54" s="175"/>
      <c r="R54" s="175"/>
      <c r="S54" s="175"/>
      <c r="T54" s="177"/>
      <c r="U54" s="177"/>
      <c r="V54" s="177"/>
      <c r="W54" s="178"/>
      <c r="X54" s="177"/>
      <c r="Y54" s="177"/>
      <c r="Z54" s="177"/>
      <c r="AA54" s="178"/>
      <c r="AB54" s="164"/>
      <c r="AC54" s="165"/>
    </row>
    <row r="55" spans="1:29" ht="13">
      <c r="A55" s="159"/>
      <c r="B55" s="143"/>
      <c r="C55" s="143"/>
      <c r="D55" s="155"/>
      <c r="E55" s="155"/>
      <c r="F55" s="155"/>
      <c r="G55" s="155"/>
      <c r="H55" s="155"/>
      <c r="I55" s="143"/>
      <c r="J55" s="143"/>
      <c r="K55" s="155"/>
      <c r="L55" s="155"/>
      <c r="M55" s="155"/>
      <c r="N55" s="143"/>
      <c r="O55" s="143"/>
      <c r="P55" s="155"/>
      <c r="Q55" s="143"/>
      <c r="R55" s="143"/>
      <c r="S55" s="143"/>
      <c r="T55" s="151"/>
      <c r="U55" s="151"/>
      <c r="V55" s="151"/>
      <c r="W55" s="152"/>
      <c r="X55" s="151"/>
      <c r="Y55" s="151"/>
      <c r="Z55" s="151"/>
      <c r="AA55" s="152"/>
      <c r="AB55" s="153"/>
      <c r="AC55" s="154"/>
    </row>
    <row r="56" spans="1:29" ht="13">
      <c r="A56" s="160"/>
      <c r="B56" s="161"/>
      <c r="C56" s="161"/>
      <c r="I56" s="161"/>
      <c r="J56" s="161"/>
      <c r="N56" s="161"/>
      <c r="O56" s="161"/>
      <c r="Q56" s="161"/>
      <c r="R56" s="161"/>
      <c r="S56" s="161"/>
      <c r="T56" s="162"/>
      <c r="U56" s="162"/>
      <c r="V56" s="162"/>
      <c r="W56" s="163"/>
      <c r="X56" s="162"/>
      <c r="Y56" s="162"/>
      <c r="Z56" s="162"/>
      <c r="AA56" s="163"/>
      <c r="AB56" s="164"/>
      <c r="AC56" s="165"/>
    </row>
    <row r="57" spans="1:29" ht="13">
      <c r="A57" s="160"/>
      <c r="B57" s="166"/>
      <c r="C57" s="166"/>
      <c r="D57" s="167"/>
      <c r="E57" s="167"/>
      <c r="F57" s="167"/>
      <c r="G57" s="167"/>
      <c r="H57" s="167"/>
      <c r="I57" s="166"/>
      <c r="J57" s="166"/>
      <c r="K57" s="167"/>
      <c r="L57" s="167"/>
      <c r="M57" s="167"/>
      <c r="N57" s="166"/>
      <c r="O57" s="166"/>
      <c r="P57" s="167"/>
      <c r="Q57" s="166"/>
      <c r="R57" s="166"/>
      <c r="S57" s="166"/>
      <c r="T57" s="168"/>
      <c r="U57" s="168"/>
      <c r="V57" s="168"/>
      <c r="W57" s="169"/>
      <c r="X57" s="168"/>
      <c r="Y57" s="168"/>
      <c r="Z57" s="168"/>
      <c r="AA57" s="169"/>
      <c r="AB57" s="164"/>
      <c r="AC57" s="165"/>
    </row>
    <row r="58" spans="1:29" ht="13">
      <c r="A58" s="160"/>
      <c r="B58" s="161"/>
      <c r="C58" s="161"/>
      <c r="I58" s="161"/>
      <c r="J58" s="161"/>
      <c r="N58" s="161"/>
      <c r="O58" s="161"/>
      <c r="Q58" s="161"/>
      <c r="R58" s="161"/>
      <c r="S58" s="161"/>
      <c r="T58" s="162"/>
      <c r="U58" s="162"/>
      <c r="V58" s="162"/>
      <c r="W58" s="163"/>
      <c r="X58" s="162"/>
      <c r="Y58" s="162"/>
      <c r="Z58" s="162"/>
      <c r="AA58" s="163"/>
      <c r="AB58" s="164"/>
      <c r="AC58" s="165"/>
    </row>
    <row r="59" spans="1:29" ht="13">
      <c r="A59" s="160"/>
      <c r="B59" s="161"/>
      <c r="C59" s="161"/>
      <c r="I59" s="161"/>
      <c r="J59" s="161"/>
      <c r="N59" s="161"/>
      <c r="O59" s="161"/>
      <c r="Q59" s="161"/>
      <c r="R59" s="161"/>
      <c r="S59" s="161"/>
      <c r="T59" s="162"/>
      <c r="U59" s="162"/>
      <c r="V59" s="162"/>
      <c r="W59" s="163"/>
      <c r="X59" s="162"/>
      <c r="Y59" s="162"/>
      <c r="Z59" s="162"/>
      <c r="AA59" s="163"/>
      <c r="AB59" s="164"/>
      <c r="AC59" s="165"/>
    </row>
    <row r="60" spans="1:29" ht="13">
      <c r="A60" s="160"/>
      <c r="B60" s="170"/>
      <c r="C60" s="166"/>
      <c r="D60" s="167"/>
      <c r="E60" s="167"/>
      <c r="F60" s="167"/>
      <c r="G60" s="167"/>
      <c r="H60" s="167"/>
      <c r="I60" s="166"/>
      <c r="J60" s="166"/>
      <c r="K60" s="167"/>
      <c r="L60" s="167"/>
      <c r="M60" s="167"/>
      <c r="N60" s="166"/>
      <c r="O60" s="166"/>
      <c r="P60" s="167"/>
      <c r="Q60" s="166"/>
      <c r="R60" s="170"/>
      <c r="S60" s="170"/>
      <c r="T60" s="171"/>
      <c r="U60" s="171"/>
      <c r="V60" s="171"/>
      <c r="W60" s="172"/>
      <c r="X60" s="171"/>
      <c r="Y60" s="171"/>
      <c r="Z60" s="171"/>
      <c r="AA60" s="172"/>
      <c r="AB60" s="164"/>
      <c r="AC60" s="165"/>
    </row>
    <row r="61" spans="1:29" ht="13">
      <c r="A61" s="173"/>
      <c r="B61" s="174"/>
      <c r="C61" s="175"/>
      <c r="D61" s="176"/>
      <c r="E61" s="176"/>
      <c r="F61" s="176"/>
      <c r="G61" s="176"/>
      <c r="H61" s="176"/>
      <c r="I61" s="175"/>
      <c r="J61" s="175"/>
      <c r="K61" s="176"/>
      <c r="L61" s="176"/>
      <c r="M61" s="176"/>
      <c r="N61" s="175"/>
      <c r="O61" s="175"/>
      <c r="P61" s="176"/>
      <c r="Q61" s="175"/>
      <c r="R61" s="175"/>
      <c r="S61" s="175"/>
      <c r="T61" s="177"/>
      <c r="U61" s="177"/>
      <c r="V61" s="177"/>
      <c r="W61" s="178"/>
      <c r="X61" s="177"/>
      <c r="Y61" s="177"/>
      <c r="Z61" s="177"/>
      <c r="AA61" s="178"/>
      <c r="AB61" s="164"/>
      <c r="AC61" s="165"/>
    </row>
    <row r="62" spans="1:29" ht="13">
      <c r="A62" s="159"/>
      <c r="B62" s="143"/>
      <c r="C62" s="143"/>
      <c r="D62" s="155"/>
      <c r="E62" s="155"/>
      <c r="F62" s="155"/>
      <c r="G62" s="155"/>
      <c r="H62" s="155"/>
      <c r="I62" s="143"/>
      <c r="J62" s="143"/>
      <c r="K62" s="155"/>
      <c r="L62" s="155"/>
      <c r="M62" s="155"/>
      <c r="N62" s="143"/>
      <c r="O62" s="143"/>
      <c r="P62" s="155"/>
      <c r="Q62" s="143"/>
      <c r="R62" s="143"/>
      <c r="S62" s="143"/>
      <c r="T62" s="151"/>
      <c r="U62" s="151"/>
      <c r="V62" s="151"/>
      <c r="W62" s="152"/>
      <c r="X62" s="151"/>
      <c r="Y62" s="151"/>
      <c r="Z62" s="151"/>
      <c r="AA62" s="152"/>
      <c r="AB62" s="153"/>
      <c r="AC62" s="154"/>
    </row>
    <row r="63" spans="1:29" ht="13">
      <c r="A63" s="160"/>
      <c r="B63" s="161"/>
      <c r="C63" s="161"/>
      <c r="I63" s="161"/>
      <c r="J63" s="161"/>
      <c r="N63" s="161"/>
      <c r="O63" s="161"/>
      <c r="Q63" s="161"/>
      <c r="R63" s="161"/>
      <c r="S63" s="161"/>
      <c r="T63" s="162"/>
      <c r="U63" s="162"/>
      <c r="V63" s="162"/>
      <c r="W63" s="163"/>
      <c r="X63" s="162"/>
      <c r="Y63" s="162"/>
      <c r="Z63" s="162"/>
      <c r="AA63" s="163"/>
      <c r="AB63" s="164"/>
      <c r="AC63" s="165"/>
    </row>
    <row r="64" spans="1:29" ht="13">
      <c r="A64" s="160"/>
      <c r="B64" s="166"/>
      <c r="C64" s="166"/>
      <c r="D64" s="167"/>
      <c r="E64" s="167"/>
      <c r="F64" s="167"/>
      <c r="G64" s="167"/>
      <c r="H64" s="167"/>
      <c r="I64" s="166"/>
      <c r="J64" s="166"/>
      <c r="K64" s="167"/>
      <c r="L64" s="167"/>
      <c r="M64" s="167"/>
      <c r="N64" s="166"/>
      <c r="O64" s="166"/>
      <c r="P64" s="167"/>
      <c r="Q64" s="166"/>
      <c r="R64" s="166"/>
      <c r="S64" s="166"/>
      <c r="T64" s="168"/>
      <c r="U64" s="168"/>
      <c r="V64" s="168"/>
      <c r="W64" s="169"/>
      <c r="X64" s="168"/>
      <c r="Y64" s="168"/>
      <c r="Z64" s="168"/>
      <c r="AA64" s="169"/>
      <c r="AB64" s="164"/>
      <c r="AC64" s="165"/>
    </row>
    <row r="65" spans="1:29" ht="13">
      <c r="A65" s="160"/>
      <c r="B65" s="161"/>
      <c r="C65" s="161"/>
      <c r="I65" s="161"/>
      <c r="J65" s="161"/>
      <c r="N65" s="161"/>
      <c r="O65" s="161"/>
      <c r="Q65" s="161"/>
      <c r="R65" s="161"/>
      <c r="S65" s="161"/>
      <c r="T65" s="162"/>
      <c r="U65" s="162"/>
      <c r="V65" s="162"/>
      <c r="W65" s="163"/>
      <c r="X65" s="162"/>
      <c r="Y65" s="162"/>
      <c r="Z65" s="162"/>
      <c r="AA65" s="163"/>
      <c r="AB65" s="164"/>
      <c r="AC65" s="165"/>
    </row>
    <row r="66" spans="1:29" ht="13">
      <c r="A66" s="160"/>
      <c r="B66" s="161"/>
      <c r="C66" s="161"/>
      <c r="I66" s="161"/>
      <c r="J66" s="161"/>
      <c r="N66" s="161"/>
      <c r="O66" s="161"/>
      <c r="Q66" s="161"/>
      <c r="R66" s="161"/>
      <c r="S66" s="161"/>
      <c r="T66" s="162"/>
      <c r="U66" s="162"/>
      <c r="V66" s="162"/>
      <c r="W66" s="163"/>
      <c r="X66" s="162"/>
      <c r="Y66" s="162"/>
      <c r="Z66" s="162"/>
      <c r="AA66" s="163"/>
      <c r="AB66" s="164"/>
      <c r="AC66" s="165"/>
    </row>
    <row r="67" spans="1:29" ht="13">
      <c r="A67" s="160"/>
      <c r="B67" s="170"/>
      <c r="C67" s="166"/>
      <c r="D67" s="167"/>
      <c r="E67" s="167"/>
      <c r="F67" s="167"/>
      <c r="G67" s="167"/>
      <c r="H67" s="167"/>
      <c r="I67" s="166"/>
      <c r="J67" s="166"/>
      <c r="K67" s="167"/>
      <c r="L67" s="167"/>
      <c r="M67" s="167"/>
      <c r="N67" s="166"/>
      <c r="O67" s="166"/>
      <c r="P67" s="167"/>
      <c r="Q67" s="166"/>
      <c r="R67" s="170"/>
      <c r="S67" s="170"/>
      <c r="T67" s="171"/>
      <c r="U67" s="171"/>
      <c r="V67" s="171"/>
      <c r="W67" s="172"/>
      <c r="X67" s="171"/>
      <c r="Y67" s="171"/>
      <c r="Z67" s="171"/>
      <c r="AA67" s="172"/>
      <c r="AB67" s="164"/>
      <c r="AC67" s="165"/>
    </row>
    <row r="68" spans="1:29" ht="13">
      <c r="A68" s="160"/>
      <c r="B68" s="174"/>
      <c r="C68" s="175"/>
      <c r="D68" s="176"/>
      <c r="E68" s="176"/>
      <c r="F68" s="176"/>
      <c r="G68" s="176"/>
      <c r="H68" s="176"/>
      <c r="I68" s="175"/>
      <c r="J68" s="175"/>
      <c r="K68" s="176"/>
      <c r="L68" s="176"/>
      <c r="M68" s="176"/>
      <c r="N68" s="175"/>
      <c r="O68" s="175"/>
      <c r="P68" s="176"/>
      <c r="Q68" s="175"/>
      <c r="R68" s="175"/>
      <c r="S68" s="175"/>
      <c r="T68" s="177"/>
      <c r="U68" s="177"/>
      <c r="V68" s="177"/>
      <c r="W68" s="178"/>
      <c r="X68" s="177"/>
      <c r="Y68" s="177"/>
      <c r="Z68" s="177"/>
      <c r="AA68" s="178"/>
      <c r="AB68" s="164"/>
      <c r="AC68" s="165"/>
    </row>
    <row r="69" spans="1:29" ht="13">
      <c r="A69" s="159"/>
      <c r="B69" s="143"/>
      <c r="C69" s="143"/>
      <c r="D69" s="155"/>
      <c r="E69" s="155"/>
      <c r="F69" s="155"/>
      <c r="G69" s="155"/>
      <c r="H69" s="155"/>
      <c r="I69" s="143"/>
      <c r="J69" s="143"/>
      <c r="K69" s="155"/>
      <c r="L69" s="155"/>
      <c r="M69" s="155"/>
      <c r="N69" s="143"/>
      <c r="O69" s="143"/>
      <c r="P69" s="155"/>
      <c r="Q69" s="143"/>
      <c r="R69" s="143"/>
      <c r="S69" s="143"/>
      <c r="T69" s="151"/>
      <c r="U69" s="151"/>
      <c r="V69" s="151"/>
      <c r="W69" s="152"/>
      <c r="X69" s="151"/>
      <c r="Y69" s="151"/>
      <c r="Z69" s="151"/>
      <c r="AA69" s="152"/>
      <c r="AB69" s="153"/>
      <c r="AC69" s="154"/>
    </row>
    <row r="70" spans="1:29" ht="13">
      <c r="A70" s="160"/>
      <c r="B70" s="161"/>
      <c r="C70" s="161"/>
      <c r="I70" s="161"/>
      <c r="J70" s="161"/>
      <c r="N70" s="161"/>
      <c r="O70" s="161"/>
      <c r="Q70" s="161"/>
      <c r="R70" s="161"/>
      <c r="S70" s="161"/>
      <c r="T70" s="162"/>
      <c r="U70" s="162"/>
      <c r="V70" s="162"/>
      <c r="W70" s="163"/>
      <c r="X70" s="162"/>
      <c r="Y70" s="162"/>
      <c r="Z70" s="162"/>
      <c r="AA70" s="163"/>
      <c r="AB70" s="164"/>
      <c r="AC70" s="165"/>
    </row>
    <row r="71" spans="1:29" ht="13">
      <c r="A71" s="160"/>
      <c r="B71" s="166"/>
      <c r="C71" s="166"/>
      <c r="D71" s="167"/>
      <c r="E71" s="167"/>
      <c r="F71" s="167"/>
      <c r="G71" s="167"/>
      <c r="H71" s="167"/>
      <c r="I71" s="166"/>
      <c r="J71" s="166"/>
      <c r="K71" s="167"/>
      <c r="L71" s="167"/>
      <c r="M71" s="167"/>
      <c r="N71" s="166"/>
      <c r="O71" s="166"/>
      <c r="P71" s="167"/>
      <c r="Q71" s="166"/>
      <c r="R71" s="166"/>
      <c r="S71" s="166"/>
      <c r="T71" s="168"/>
      <c r="U71" s="168"/>
      <c r="V71" s="168"/>
      <c r="W71" s="169"/>
      <c r="X71" s="168"/>
      <c r="Y71" s="168"/>
      <c r="Z71" s="168"/>
      <c r="AA71" s="169"/>
      <c r="AB71" s="164"/>
      <c r="AC71" s="165"/>
    </row>
    <row r="72" spans="1:29" ht="13">
      <c r="A72" s="160"/>
      <c r="B72" s="161"/>
      <c r="C72" s="161"/>
      <c r="I72" s="161"/>
      <c r="J72" s="161"/>
      <c r="N72" s="161"/>
      <c r="O72" s="161"/>
      <c r="Q72" s="161"/>
      <c r="R72" s="161"/>
      <c r="S72" s="161"/>
      <c r="T72" s="162"/>
      <c r="U72" s="162"/>
      <c r="V72" s="162"/>
      <c r="W72" s="163"/>
      <c r="X72" s="162"/>
      <c r="Y72" s="162"/>
      <c r="Z72" s="162"/>
      <c r="AA72" s="163"/>
      <c r="AB72" s="164"/>
      <c r="AC72" s="165"/>
    </row>
    <row r="73" spans="1:29" ht="13">
      <c r="A73" s="160"/>
      <c r="B73" s="161"/>
      <c r="C73" s="161"/>
      <c r="I73" s="161"/>
      <c r="J73" s="161"/>
      <c r="N73" s="161"/>
      <c r="O73" s="161"/>
      <c r="Q73" s="161"/>
      <c r="R73" s="161"/>
      <c r="S73" s="161"/>
      <c r="T73" s="162"/>
      <c r="U73" s="162"/>
      <c r="V73" s="162"/>
      <c r="W73" s="163"/>
      <c r="X73" s="162"/>
      <c r="Y73" s="162"/>
      <c r="Z73" s="162"/>
      <c r="AA73" s="163"/>
      <c r="AB73" s="164"/>
      <c r="AC73" s="165"/>
    </row>
    <row r="74" spans="1:29" ht="13">
      <c r="A74" s="160"/>
      <c r="B74" s="170"/>
      <c r="C74" s="166"/>
      <c r="D74" s="167"/>
      <c r="E74" s="167"/>
      <c r="F74" s="167"/>
      <c r="G74" s="167"/>
      <c r="H74" s="167"/>
      <c r="I74" s="166"/>
      <c r="J74" s="166"/>
      <c r="K74" s="167"/>
      <c r="L74" s="167"/>
      <c r="M74" s="167"/>
      <c r="N74" s="166"/>
      <c r="O74" s="166"/>
      <c r="P74" s="167"/>
      <c r="Q74" s="166"/>
      <c r="R74" s="170"/>
      <c r="S74" s="170"/>
      <c r="T74" s="171"/>
      <c r="U74" s="171"/>
      <c r="V74" s="171"/>
      <c r="W74" s="172"/>
      <c r="X74" s="171"/>
      <c r="Y74" s="171"/>
      <c r="Z74" s="171"/>
      <c r="AA74" s="172"/>
      <c r="AB74" s="164"/>
      <c r="AC74" s="165"/>
    </row>
    <row r="75" spans="1:29" ht="13">
      <c r="A75" s="160"/>
      <c r="B75" s="174"/>
      <c r="C75" s="175"/>
      <c r="D75" s="176"/>
      <c r="E75" s="176"/>
      <c r="F75" s="176"/>
      <c r="G75" s="176"/>
      <c r="H75" s="176"/>
      <c r="I75" s="175"/>
      <c r="J75" s="175"/>
      <c r="K75" s="176"/>
      <c r="L75" s="176"/>
      <c r="M75" s="176"/>
      <c r="N75" s="175"/>
      <c r="O75" s="175"/>
      <c r="P75" s="176"/>
      <c r="Q75" s="175"/>
      <c r="R75" s="175"/>
      <c r="S75" s="175"/>
      <c r="T75" s="177"/>
      <c r="U75" s="177"/>
      <c r="V75" s="177"/>
      <c r="W75" s="178"/>
      <c r="X75" s="177"/>
      <c r="Y75" s="177"/>
      <c r="Z75" s="177"/>
      <c r="AA75" s="178"/>
      <c r="AB75" s="164"/>
      <c r="AC75" s="165"/>
    </row>
    <row r="76" spans="1:29" ht="13">
      <c r="A76" s="159"/>
      <c r="B76" s="143"/>
      <c r="C76" s="143"/>
      <c r="D76" s="155"/>
      <c r="E76" s="155"/>
      <c r="F76" s="155"/>
      <c r="G76" s="155"/>
      <c r="H76" s="155"/>
      <c r="I76" s="143"/>
      <c r="J76" s="143"/>
      <c r="K76" s="155"/>
      <c r="L76" s="155"/>
      <c r="M76" s="155"/>
      <c r="N76" s="143"/>
      <c r="O76" s="143"/>
      <c r="P76" s="155"/>
      <c r="Q76" s="143"/>
      <c r="R76" s="143"/>
      <c r="S76" s="143"/>
      <c r="T76" s="151"/>
      <c r="U76" s="151"/>
      <c r="V76" s="151"/>
      <c r="W76" s="152"/>
      <c r="X76" s="151"/>
      <c r="Y76" s="151"/>
      <c r="Z76" s="151"/>
      <c r="AA76" s="152"/>
      <c r="AB76" s="153"/>
      <c r="AC76" s="154"/>
    </row>
    <row r="77" spans="1:29" ht="13">
      <c r="A77" s="160"/>
      <c r="B77" s="161"/>
      <c r="C77" s="161"/>
      <c r="I77" s="161"/>
      <c r="J77" s="161"/>
      <c r="N77" s="161"/>
      <c r="O77" s="161"/>
      <c r="Q77" s="161"/>
      <c r="R77" s="161"/>
      <c r="S77" s="161"/>
      <c r="T77" s="162"/>
      <c r="U77" s="162"/>
      <c r="V77" s="162"/>
      <c r="W77" s="163"/>
      <c r="X77" s="162"/>
      <c r="Y77" s="162"/>
      <c r="Z77" s="162"/>
      <c r="AA77" s="163"/>
      <c r="AB77" s="164"/>
      <c r="AC77" s="165"/>
    </row>
    <row r="78" spans="1:29" ht="13">
      <c r="A78" s="160"/>
      <c r="B78" s="166"/>
      <c r="C78" s="166"/>
      <c r="D78" s="167"/>
      <c r="E78" s="167"/>
      <c r="F78" s="167"/>
      <c r="G78" s="167"/>
      <c r="H78" s="167"/>
      <c r="I78" s="166"/>
      <c r="J78" s="166"/>
      <c r="K78" s="167"/>
      <c r="L78" s="167"/>
      <c r="M78" s="167"/>
      <c r="N78" s="166"/>
      <c r="O78" s="166"/>
      <c r="P78" s="167"/>
      <c r="Q78" s="166"/>
      <c r="R78" s="166"/>
      <c r="S78" s="166"/>
      <c r="T78" s="168"/>
      <c r="U78" s="168"/>
      <c r="V78" s="168"/>
      <c r="W78" s="169"/>
      <c r="X78" s="168"/>
      <c r="Y78" s="168"/>
      <c r="Z78" s="168"/>
      <c r="AA78" s="169"/>
      <c r="AB78" s="164"/>
      <c r="AC78" s="165"/>
    </row>
    <row r="79" spans="1:29" ht="13">
      <c r="A79" s="160"/>
      <c r="B79" s="161"/>
      <c r="C79" s="161"/>
      <c r="I79" s="161"/>
      <c r="J79" s="161"/>
      <c r="N79" s="161"/>
      <c r="O79" s="161"/>
      <c r="Q79" s="161"/>
      <c r="R79" s="161"/>
      <c r="S79" s="161"/>
      <c r="T79" s="162"/>
      <c r="U79" s="162"/>
      <c r="V79" s="162"/>
      <c r="W79" s="163"/>
      <c r="X79" s="162"/>
      <c r="Y79" s="162"/>
      <c r="Z79" s="162"/>
      <c r="AA79" s="163"/>
      <c r="AB79" s="164"/>
      <c r="AC79" s="165"/>
    </row>
    <row r="80" spans="1:29" ht="13">
      <c r="A80" s="160"/>
      <c r="B80" s="161"/>
      <c r="C80" s="161"/>
      <c r="I80" s="161"/>
      <c r="J80" s="161"/>
      <c r="N80" s="161"/>
      <c r="O80" s="161"/>
      <c r="Q80" s="161"/>
      <c r="R80" s="161"/>
      <c r="S80" s="161"/>
      <c r="T80" s="162"/>
      <c r="U80" s="162"/>
      <c r="V80" s="162"/>
      <c r="W80" s="163"/>
      <c r="X80" s="162"/>
      <c r="Y80" s="162"/>
      <c r="Z80" s="162"/>
      <c r="AA80" s="163"/>
      <c r="AB80" s="164"/>
      <c r="AC80" s="165"/>
    </row>
    <row r="81" spans="1:29" ht="13">
      <c r="A81" s="160"/>
      <c r="B81" s="170"/>
      <c r="C81" s="166"/>
      <c r="D81" s="167"/>
      <c r="E81" s="167"/>
      <c r="F81" s="167"/>
      <c r="G81" s="167"/>
      <c r="H81" s="167"/>
      <c r="I81" s="166"/>
      <c r="J81" s="166"/>
      <c r="K81" s="167"/>
      <c r="L81" s="167"/>
      <c r="M81" s="167"/>
      <c r="N81" s="166"/>
      <c r="O81" s="166"/>
      <c r="P81" s="167"/>
      <c r="Q81" s="166"/>
      <c r="R81" s="170"/>
      <c r="S81" s="170"/>
      <c r="T81" s="171"/>
      <c r="U81" s="171"/>
      <c r="V81" s="171"/>
      <c r="W81" s="172"/>
      <c r="X81" s="171"/>
      <c r="Y81" s="171"/>
      <c r="Z81" s="171"/>
      <c r="AA81" s="172"/>
      <c r="AB81" s="164"/>
      <c r="AC81" s="165"/>
    </row>
    <row r="82" spans="1:29" ht="13">
      <c r="A82" s="160"/>
      <c r="B82" s="174"/>
      <c r="C82" s="175"/>
      <c r="D82" s="176"/>
      <c r="E82" s="176"/>
      <c r="F82" s="176"/>
      <c r="G82" s="176"/>
      <c r="H82" s="176"/>
      <c r="I82" s="175"/>
      <c r="J82" s="175"/>
      <c r="K82" s="176"/>
      <c r="L82" s="176"/>
      <c r="M82" s="176"/>
      <c r="N82" s="175"/>
      <c r="O82" s="175"/>
      <c r="P82" s="176"/>
      <c r="Q82" s="175"/>
      <c r="R82" s="175"/>
      <c r="S82" s="175"/>
      <c r="T82" s="177"/>
      <c r="U82" s="177"/>
      <c r="V82" s="177"/>
      <c r="W82" s="178"/>
      <c r="X82" s="177"/>
      <c r="Y82" s="177"/>
      <c r="Z82" s="177"/>
      <c r="AA82" s="178"/>
      <c r="AB82" s="164"/>
      <c r="AC82" s="165"/>
    </row>
    <row r="83" spans="1:29" ht="13">
      <c r="A83" s="159"/>
      <c r="B83" s="143"/>
      <c r="C83" s="143"/>
      <c r="D83" s="155"/>
      <c r="E83" s="155"/>
      <c r="F83" s="155"/>
      <c r="G83" s="155"/>
      <c r="H83" s="155"/>
      <c r="I83" s="143"/>
      <c r="J83" s="143"/>
      <c r="K83" s="155"/>
      <c r="L83" s="155"/>
      <c r="M83" s="155"/>
      <c r="N83" s="143"/>
      <c r="O83" s="143"/>
      <c r="P83" s="155"/>
      <c r="Q83" s="143"/>
      <c r="R83" s="143"/>
      <c r="S83" s="143"/>
      <c r="T83" s="151"/>
      <c r="U83" s="151"/>
      <c r="V83" s="151"/>
      <c r="W83" s="152"/>
      <c r="X83" s="151"/>
      <c r="Y83" s="151"/>
      <c r="Z83" s="151"/>
      <c r="AA83" s="152"/>
      <c r="AB83" s="153"/>
      <c r="AC83" s="154"/>
    </row>
    <row r="84" spans="1:29" ht="13">
      <c r="A84" s="160"/>
      <c r="B84" s="161"/>
      <c r="C84" s="161"/>
      <c r="I84" s="161"/>
      <c r="J84" s="161"/>
      <c r="N84" s="161"/>
      <c r="O84" s="161"/>
      <c r="Q84" s="161"/>
      <c r="R84" s="161"/>
      <c r="S84" s="161"/>
      <c r="T84" s="162"/>
      <c r="U84" s="162"/>
      <c r="V84" s="162"/>
      <c r="W84" s="163"/>
      <c r="X84" s="162"/>
      <c r="Y84" s="162"/>
      <c r="Z84" s="162"/>
      <c r="AA84" s="163"/>
      <c r="AB84" s="164"/>
      <c r="AC84" s="165"/>
    </row>
    <row r="85" spans="1:29" ht="13">
      <c r="A85" s="160"/>
      <c r="B85" s="166"/>
      <c r="C85" s="166"/>
      <c r="D85" s="167"/>
      <c r="E85" s="167"/>
      <c r="F85" s="167"/>
      <c r="G85" s="167"/>
      <c r="H85" s="167"/>
      <c r="I85" s="166"/>
      <c r="J85" s="166"/>
      <c r="K85" s="167"/>
      <c r="L85" s="167"/>
      <c r="M85" s="167"/>
      <c r="N85" s="166"/>
      <c r="O85" s="166"/>
      <c r="P85" s="167"/>
      <c r="Q85" s="166"/>
      <c r="R85" s="166"/>
      <c r="S85" s="166"/>
      <c r="T85" s="168"/>
      <c r="U85" s="168"/>
      <c r="V85" s="168"/>
      <c r="W85" s="169"/>
      <c r="X85" s="168"/>
      <c r="Y85" s="168"/>
      <c r="Z85" s="168"/>
      <c r="AA85" s="169"/>
      <c r="AB85" s="164"/>
      <c r="AC85" s="165"/>
    </row>
    <row r="86" spans="1:29" ht="13">
      <c r="A86" s="160"/>
      <c r="B86" s="161"/>
      <c r="C86" s="161"/>
      <c r="I86" s="161"/>
      <c r="J86" s="161"/>
      <c r="N86" s="161"/>
      <c r="O86" s="161"/>
      <c r="Q86" s="161"/>
      <c r="R86" s="161"/>
      <c r="S86" s="161"/>
      <c r="T86" s="162"/>
      <c r="U86" s="162"/>
      <c r="V86" s="162"/>
      <c r="W86" s="163"/>
      <c r="X86" s="162"/>
      <c r="Y86" s="162"/>
      <c r="Z86" s="162"/>
      <c r="AA86" s="163"/>
      <c r="AB86" s="164"/>
      <c r="AC86" s="165"/>
    </row>
    <row r="87" spans="1:29" ht="13">
      <c r="A87" s="160"/>
      <c r="B87" s="161"/>
      <c r="C87" s="161"/>
      <c r="I87" s="161"/>
      <c r="J87" s="161"/>
      <c r="N87" s="161"/>
      <c r="O87" s="161"/>
      <c r="Q87" s="161"/>
      <c r="R87" s="161"/>
      <c r="S87" s="161"/>
      <c r="T87" s="162"/>
      <c r="U87" s="162"/>
      <c r="V87" s="162"/>
      <c r="W87" s="163"/>
      <c r="X87" s="162"/>
      <c r="Y87" s="162"/>
      <c r="Z87" s="162"/>
      <c r="AA87" s="163"/>
      <c r="AB87" s="164"/>
      <c r="AC87" s="165"/>
    </row>
    <row r="88" spans="1:29" ht="13">
      <c r="A88" s="160"/>
      <c r="B88" s="170"/>
      <c r="C88" s="166"/>
      <c r="D88" s="167"/>
      <c r="E88" s="167"/>
      <c r="F88" s="167"/>
      <c r="G88" s="167"/>
      <c r="H88" s="167"/>
      <c r="I88" s="166"/>
      <c r="J88" s="166"/>
      <c r="K88" s="167"/>
      <c r="L88" s="167"/>
      <c r="M88" s="167"/>
      <c r="N88" s="166"/>
      <c r="O88" s="166"/>
      <c r="P88" s="167"/>
      <c r="Q88" s="166"/>
      <c r="R88" s="170"/>
      <c r="S88" s="170"/>
      <c r="T88" s="171"/>
      <c r="U88" s="171"/>
      <c r="V88" s="171"/>
      <c r="W88" s="172"/>
      <c r="X88" s="171"/>
      <c r="Y88" s="171"/>
      <c r="Z88" s="171"/>
      <c r="AA88" s="172"/>
      <c r="AB88" s="164"/>
      <c r="AC88" s="165"/>
    </row>
    <row r="89" spans="1:29" ht="13">
      <c r="A89" s="160"/>
      <c r="B89" s="174"/>
      <c r="C89" s="175"/>
      <c r="D89" s="176"/>
      <c r="E89" s="176"/>
      <c r="F89" s="176"/>
      <c r="G89" s="176"/>
      <c r="H89" s="176"/>
      <c r="I89" s="175"/>
      <c r="J89" s="175"/>
      <c r="K89" s="176"/>
      <c r="L89" s="176"/>
      <c r="M89" s="176"/>
      <c r="N89" s="175"/>
      <c r="O89" s="175"/>
      <c r="P89" s="176"/>
      <c r="Q89" s="175"/>
      <c r="R89" s="175"/>
      <c r="S89" s="175"/>
      <c r="T89" s="177"/>
      <c r="U89" s="177"/>
      <c r="V89" s="177"/>
      <c r="W89" s="178"/>
      <c r="X89" s="177"/>
      <c r="Y89" s="177"/>
      <c r="Z89" s="177"/>
      <c r="AA89" s="178"/>
      <c r="AB89" s="164"/>
      <c r="AC89" s="165"/>
    </row>
    <row r="90" spans="1:29" ht="13">
      <c r="A90" s="159"/>
      <c r="B90" s="143"/>
      <c r="C90" s="143"/>
      <c r="D90" s="155"/>
      <c r="E90" s="155"/>
      <c r="F90" s="155"/>
      <c r="G90" s="155"/>
      <c r="H90" s="155"/>
      <c r="I90" s="143"/>
      <c r="J90" s="143"/>
      <c r="K90" s="155"/>
      <c r="L90" s="155"/>
      <c r="M90" s="155"/>
      <c r="N90" s="143"/>
      <c r="O90" s="143"/>
      <c r="P90" s="155"/>
      <c r="Q90" s="143"/>
      <c r="R90" s="143"/>
      <c r="S90" s="143"/>
      <c r="T90" s="151"/>
      <c r="U90" s="151"/>
      <c r="V90" s="151"/>
      <c r="W90" s="152"/>
      <c r="X90" s="151"/>
      <c r="Y90" s="151"/>
      <c r="Z90" s="151"/>
      <c r="AA90" s="152"/>
      <c r="AB90" s="153"/>
      <c r="AC90" s="154"/>
    </row>
    <row r="91" spans="1:29" ht="13">
      <c r="A91" s="160"/>
      <c r="B91" s="161"/>
      <c r="C91" s="161"/>
      <c r="I91" s="161"/>
      <c r="J91" s="161"/>
      <c r="N91" s="161"/>
      <c r="O91" s="161"/>
      <c r="Q91" s="161"/>
      <c r="R91" s="161"/>
      <c r="S91" s="161"/>
      <c r="T91" s="162"/>
      <c r="U91" s="162"/>
      <c r="V91" s="162"/>
      <c r="W91" s="163"/>
      <c r="X91" s="162"/>
      <c r="Y91" s="162"/>
      <c r="Z91" s="162"/>
      <c r="AA91" s="163"/>
      <c r="AB91" s="164"/>
      <c r="AC91" s="165"/>
    </row>
    <row r="92" spans="1:29" ht="13">
      <c r="A92" s="160"/>
      <c r="B92" s="166"/>
      <c r="C92" s="166"/>
      <c r="D92" s="167"/>
      <c r="E92" s="167"/>
      <c r="F92" s="167"/>
      <c r="G92" s="167"/>
      <c r="H92" s="167"/>
      <c r="I92" s="166"/>
      <c r="J92" s="166"/>
      <c r="K92" s="167"/>
      <c r="L92" s="167"/>
      <c r="M92" s="167"/>
      <c r="N92" s="166"/>
      <c r="O92" s="166"/>
      <c r="P92" s="167"/>
      <c r="Q92" s="166"/>
      <c r="R92" s="166"/>
      <c r="S92" s="166"/>
      <c r="T92" s="168"/>
      <c r="U92" s="168"/>
      <c r="V92" s="168"/>
      <c r="W92" s="169"/>
      <c r="X92" s="168"/>
      <c r="Y92" s="168"/>
      <c r="Z92" s="168"/>
      <c r="AA92" s="169"/>
      <c r="AB92" s="164"/>
      <c r="AC92" s="165"/>
    </row>
    <row r="93" spans="1:29" ht="13">
      <c r="A93" s="160"/>
      <c r="B93" s="161"/>
      <c r="C93" s="161"/>
      <c r="I93" s="161"/>
      <c r="J93" s="161"/>
      <c r="N93" s="161"/>
      <c r="O93" s="161"/>
      <c r="Q93" s="161"/>
      <c r="R93" s="161"/>
      <c r="S93" s="161"/>
      <c r="T93" s="162"/>
      <c r="U93" s="162"/>
      <c r="V93" s="162"/>
      <c r="W93" s="163"/>
      <c r="X93" s="162"/>
      <c r="Y93" s="162"/>
      <c r="Z93" s="162"/>
      <c r="AA93" s="163"/>
      <c r="AB93" s="164"/>
      <c r="AC93" s="165"/>
    </row>
    <row r="94" spans="1:29" ht="13">
      <c r="A94" s="160"/>
      <c r="B94" s="161"/>
      <c r="C94" s="161"/>
      <c r="I94" s="161"/>
      <c r="J94" s="161"/>
      <c r="N94" s="161"/>
      <c r="O94" s="161"/>
      <c r="Q94" s="161"/>
      <c r="R94" s="161"/>
      <c r="S94" s="161"/>
      <c r="T94" s="162"/>
      <c r="U94" s="162"/>
      <c r="V94" s="162"/>
      <c r="W94" s="163"/>
      <c r="X94" s="162"/>
      <c r="Y94" s="162"/>
      <c r="Z94" s="162"/>
      <c r="AA94" s="163"/>
      <c r="AB94" s="164"/>
      <c r="AC94" s="165"/>
    </row>
    <row r="95" spans="1:29" ht="13">
      <c r="A95" s="160"/>
      <c r="B95" s="170"/>
      <c r="C95" s="166"/>
      <c r="D95" s="167"/>
      <c r="E95" s="167"/>
      <c r="F95" s="167"/>
      <c r="G95" s="167"/>
      <c r="H95" s="167"/>
      <c r="I95" s="166"/>
      <c r="J95" s="166"/>
      <c r="K95" s="167"/>
      <c r="L95" s="167"/>
      <c r="M95" s="167"/>
      <c r="N95" s="166"/>
      <c r="O95" s="166"/>
      <c r="P95" s="167"/>
      <c r="Q95" s="166"/>
      <c r="R95" s="170"/>
      <c r="S95" s="170"/>
      <c r="T95" s="171"/>
      <c r="U95" s="171"/>
      <c r="V95" s="171"/>
      <c r="W95" s="172"/>
      <c r="X95" s="171"/>
      <c r="Y95" s="171"/>
      <c r="Z95" s="171"/>
      <c r="AA95" s="172"/>
      <c r="AB95" s="164"/>
      <c r="AC95" s="165"/>
    </row>
    <row r="96" spans="1:29" ht="13">
      <c r="A96" s="160"/>
      <c r="B96" s="174"/>
      <c r="C96" s="175"/>
      <c r="D96" s="176"/>
      <c r="E96" s="176"/>
      <c r="F96" s="176"/>
      <c r="G96" s="176"/>
      <c r="H96" s="176"/>
      <c r="I96" s="175"/>
      <c r="J96" s="175"/>
      <c r="K96" s="176"/>
      <c r="L96" s="176"/>
      <c r="M96" s="176"/>
      <c r="N96" s="175"/>
      <c r="O96" s="175"/>
      <c r="P96" s="176"/>
      <c r="Q96" s="175"/>
      <c r="R96" s="175"/>
      <c r="S96" s="175"/>
      <c r="T96" s="177"/>
      <c r="U96" s="177"/>
      <c r="V96" s="177"/>
      <c r="W96" s="178"/>
      <c r="X96" s="177"/>
      <c r="Y96" s="177"/>
      <c r="Z96" s="177"/>
      <c r="AA96" s="178"/>
      <c r="AB96" s="164"/>
      <c r="AC96" s="165"/>
    </row>
    <row r="97" spans="1:29" ht="13">
      <c r="A97" s="159"/>
      <c r="B97" s="143"/>
      <c r="C97" s="143"/>
      <c r="D97" s="155"/>
      <c r="E97" s="155"/>
      <c r="F97" s="155"/>
      <c r="G97" s="155"/>
      <c r="H97" s="155"/>
      <c r="I97" s="143"/>
      <c r="J97" s="143"/>
      <c r="K97" s="155"/>
      <c r="L97" s="155"/>
      <c r="M97" s="155"/>
      <c r="N97" s="143"/>
      <c r="O97" s="143"/>
      <c r="P97" s="155"/>
      <c r="Q97" s="143"/>
      <c r="R97" s="143"/>
      <c r="S97" s="143"/>
      <c r="T97" s="151"/>
      <c r="U97" s="151"/>
      <c r="V97" s="151"/>
      <c r="W97" s="152"/>
      <c r="X97" s="151"/>
      <c r="Y97" s="151"/>
      <c r="Z97" s="151"/>
      <c r="AA97" s="152"/>
      <c r="AB97" s="153"/>
      <c r="AC97" s="154"/>
    </row>
    <row r="98" spans="1:29" ht="13">
      <c r="A98" s="160"/>
      <c r="B98" s="161"/>
      <c r="C98" s="161"/>
      <c r="I98" s="161"/>
      <c r="J98" s="161"/>
      <c r="N98" s="161"/>
      <c r="O98" s="161"/>
      <c r="Q98" s="161"/>
      <c r="R98" s="161"/>
      <c r="S98" s="161"/>
      <c r="T98" s="162"/>
      <c r="U98" s="162"/>
      <c r="V98" s="162"/>
      <c r="W98" s="163"/>
      <c r="X98" s="162"/>
      <c r="Y98" s="162"/>
      <c r="Z98" s="162"/>
      <c r="AA98" s="163"/>
      <c r="AB98" s="164"/>
      <c r="AC98" s="165"/>
    </row>
    <row r="99" spans="1:29" ht="13">
      <c r="A99" s="160"/>
      <c r="B99" s="166"/>
      <c r="C99" s="166"/>
      <c r="D99" s="167"/>
      <c r="E99" s="167"/>
      <c r="F99" s="167"/>
      <c r="G99" s="167"/>
      <c r="H99" s="167"/>
      <c r="I99" s="166"/>
      <c r="J99" s="166"/>
      <c r="K99" s="167"/>
      <c r="L99" s="167"/>
      <c r="M99" s="167"/>
      <c r="N99" s="166"/>
      <c r="O99" s="166"/>
      <c r="P99" s="167"/>
      <c r="Q99" s="166"/>
      <c r="R99" s="166"/>
      <c r="S99" s="166"/>
      <c r="T99" s="168"/>
      <c r="U99" s="168"/>
      <c r="V99" s="168"/>
      <c r="W99" s="169"/>
      <c r="X99" s="168"/>
      <c r="Y99" s="168"/>
      <c r="Z99" s="168"/>
      <c r="AA99" s="169"/>
      <c r="AB99" s="164"/>
      <c r="AC99" s="165"/>
    </row>
    <row r="100" spans="1:29" ht="13">
      <c r="A100" s="160"/>
      <c r="B100" s="161"/>
      <c r="C100" s="161"/>
      <c r="I100" s="161"/>
      <c r="J100" s="161"/>
      <c r="N100" s="161"/>
      <c r="O100" s="161"/>
      <c r="Q100" s="161"/>
      <c r="R100" s="161"/>
      <c r="S100" s="161"/>
      <c r="T100" s="162"/>
      <c r="U100" s="162"/>
      <c r="V100" s="162"/>
      <c r="W100" s="163"/>
      <c r="X100" s="162"/>
      <c r="Y100" s="162"/>
      <c r="Z100" s="162"/>
      <c r="AA100" s="163"/>
      <c r="AB100" s="164"/>
      <c r="AC100" s="165"/>
    </row>
    <row r="101" spans="1:29" ht="13">
      <c r="A101" s="160"/>
      <c r="B101" s="161"/>
      <c r="C101" s="161"/>
      <c r="I101" s="161"/>
      <c r="J101" s="161"/>
      <c r="N101" s="161"/>
      <c r="O101" s="161"/>
      <c r="Q101" s="161"/>
      <c r="R101" s="161"/>
      <c r="S101" s="161"/>
      <c r="T101" s="162"/>
      <c r="U101" s="162"/>
      <c r="V101" s="162"/>
      <c r="W101" s="163"/>
      <c r="X101" s="162"/>
      <c r="Y101" s="162"/>
      <c r="Z101" s="162"/>
      <c r="AA101" s="163"/>
      <c r="AB101" s="164"/>
      <c r="AC101" s="165"/>
    </row>
    <row r="102" spans="1:29" ht="13">
      <c r="A102" s="160"/>
      <c r="B102" s="170"/>
      <c r="C102" s="166"/>
      <c r="D102" s="167"/>
      <c r="E102" s="167"/>
      <c r="F102" s="167"/>
      <c r="G102" s="167"/>
      <c r="H102" s="167"/>
      <c r="I102" s="166"/>
      <c r="J102" s="166"/>
      <c r="K102" s="167"/>
      <c r="L102" s="167"/>
      <c r="M102" s="167"/>
      <c r="N102" s="166"/>
      <c r="O102" s="166"/>
      <c r="P102" s="167"/>
      <c r="Q102" s="166"/>
      <c r="R102" s="170"/>
      <c r="S102" s="170"/>
      <c r="T102" s="171"/>
      <c r="U102" s="171"/>
      <c r="V102" s="171"/>
      <c r="W102" s="172"/>
      <c r="X102" s="171"/>
      <c r="Y102" s="171"/>
      <c r="Z102" s="171"/>
      <c r="AA102" s="172"/>
      <c r="AB102" s="164"/>
      <c r="AC102" s="165"/>
    </row>
    <row r="103" spans="1:29" ht="13">
      <c r="A103" s="160"/>
      <c r="B103" s="174"/>
      <c r="C103" s="175"/>
      <c r="D103" s="176"/>
      <c r="E103" s="176"/>
      <c r="F103" s="176"/>
      <c r="G103" s="176"/>
      <c r="H103" s="176"/>
      <c r="I103" s="175"/>
      <c r="J103" s="175"/>
      <c r="K103" s="176"/>
      <c r="L103" s="176"/>
      <c r="M103" s="176"/>
      <c r="N103" s="175"/>
      <c r="O103" s="175"/>
      <c r="P103" s="176"/>
      <c r="Q103" s="175"/>
      <c r="R103" s="175"/>
      <c r="S103" s="175"/>
      <c r="T103" s="177"/>
      <c r="U103" s="177"/>
      <c r="V103" s="177"/>
      <c r="W103" s="178"/>
      <c r="X103" s="177"/>
      <c r="Y103" s="177"/>
      <c r="Z103" s="177"/>
      <c r="AA103" s="178"/>
      <c r="AB103" s="164"/>
      <c r="AC103" s="165"/>
    </row>
    <row r="104" spans="1:29" ht="13">
      <c r="A104" s="159"/>
      <c r="B104" s="143"/>
      <c r="C104" s="143"/>
      <c r="D104" s="155"/>
      <c r="E104" s="155"/>
      <c r="F104" s="155"/>
      <c r="G104" s="155"/>
      <c r="H104" s="155"/>
      <c r="I104" s="143"/>
      <c r="J104" s="143"/>
      <c r="K104" s="155"/>
      <c r="L104" s="155"/>
      <c r="M104" s="155"/>
      <c r="N104" s="143"/>
      <c r="O104" s="143"/>
      <c r="P104" s="155"/>
      <c r="Q104" s="143"/>
      <c r="R104" s="143"/>
      <c r="S104" s="143"/>
      <c r="T104" s="151"/>
      <c r="U104" s="151"/>
      <c r="V104" s="151"/>
      <c r="W104" s="152"/>
      <c r="X104" s="151"/>
      <c r="Y104" s="151"/>
      <c r="Z104" s="151"/>
      <c r="AA104" s="152"/>
      <c r="AB104" s="153"/>
      <c r="AC104" s="154"/>
    </row>
    <row r="105" spans="1:29" ht="13">
      <c r="A105" s="160"/>
      <c r="B105" s="161"/>
      <c r="C105" s="161"/>
      <c r="I105" s="161"/>
      <c r="J105" s="161"/>
      <c r="N105" s="161"/>
      <c r="O105" s="161"/>
      <c r="Q105" s="161"/>
      <c r="R105" s="161"/>
      <c r="S105" s="161"/>
      <c r="T105" s="162"/>
      <c r="U105" s="162"/>
      <c r="V105" s="162"/>
      <c r="W105" s="163"/>
      <c r="X105" s="162"/>
      <c r="Y105" s="162"/>
      <c r="Z105" s="162"/>
      <c r="AA105" s="163"/>
      <c r="AB105" s="164"/>
      <c r="AC105" s="165"/>
    </row>
    <row r="106" spans="1:29" ht="13">
      <c r="A106" s="160"/>
      <c r="B106" s="166"/>
      <c r="C106" s="166"/>
      <c r="D106" s="167"/>
      <c r="E106" s="167"/>
      <c r="F106" s="167"/>
      <c r="G106" s="167"/>
      <c r="H106" s="167"/>
      <c r="I106" s="166"/>
      <c r="J106" s="166"/>
      <c r="K106" s="167"/>
      <c r="L106" s="167"/>
      <c r="M106" s="167"/>
      <c r="N106" s="166"/>
      <c r="O106" s="166"/>
      <c r="P106" s="167"/>
      <c r="Q106" s="166"/>
      <c r="R106" s="166"/>
      <c r="S106" s="166"/>
      <c r="T106" s="168"/>
      <c r="U106" s="168"/>
      <c r="V106" s="168"/>
      <c r="W106" s="169"/>
      <c r="X106" s="168"/>
      <c r="Y106" s="168"/>
      <c r="Z106" s="168"/>
      <c r="AA106" s="169"/>
      <c r="AB106" s="164"/>
      <c r="AC106" s="165"/>
    </row>
    <row r="107" spans="1:29" ht="13">
      <c r="A107" s="160"/>
      <c r="B107" s="161"/>
      <c r="C107" s="161"/>
      <c r="I107" s="161"/>
      <c r="J107" s="161"/>
      <c r="N107" s="161"/>
      <c r="O107" s="161"/>
      <c r="Q107" s="161"/>
      <c r="R107" s="161"/>
      <c r="S107" s="161"/>
      <c r="T107" s="162"/>
      <c r="U107" s="162"/>
      <c r="V107" s="162"/>
      <c r="W107" s="163"/>
      <c r="X107" s="162"/>
      <c r="Y107" s="162"/>
      <c r="Z107" s="162"/>
      <c r="AA107" s="163"/>
      <c r="AB107" s="164"/>
      <c r="AC107" s="165"/>
    </row>
    <row r="108" spans="1:29" ht="13">
      <c r="A108" s="160"/>
      <c r="B108" s="161"/>
      <c r="C108" s="161"/>
      <c r="I108" s="161"/>
      <c r="J108" s="161"/>
      <c r="N108" s="161"/>
      <c r="O108" s="161"/>
      <c r="Q108" s="161"/>
      <c r="R108" s="161"/>
      <c r="S108" s="161"/>
      <c r="T108" s="162"/>
      <c r="U108" s="162"/>
      <c r="V108" s="162"/>
      <c r="W108" s="163"/>
      <c r="X108" s="162"/>
      <c r="Y108" s="162"/>
      <c r="Z108" s="162"/>
      <c r="AA108" s="163"/>
      <c r="AB108" s="164"/>
      <c r="AC108" s="165"/>
    </row>
    <row r="109" spans="1:29" ht="13">
      <c r="A109" s="160"/>
      <c r="B109" s="170"/>
      <c r="C109" s="166"/>
      <c r="D109" s="167"/>
      <c r="E109" s="167"/>
      <c r="F109" s="167"/>
      <c r="G109" s="167"/>
      <c r="H109" s="167"/>
      <c r="I109" s="166"/>
      <c r="J109" s="166"/>
      <c r="K109" s="167"/>
      <c r="L109" s="167"/>
      <c r="M109" s="167"/>
      <c r="N109" s="166"/>
      <c r="O109" s="166"/>
      <c r="P109" s="167"/>
      <c r="Q109" s="166"/>
      <c r="R109" s="170"/>
      <c r="S109" s="170"/>
      <c r="T109" s="171"/>
      <c r="U109" s="171"/>
      <c r="V109" s="171"/>
      <c r="W109" s="172"/>
      <c r="X109" s="171"/>
      <c r="Y109" s="171"/>
      <c r="Z109" s="171"/>
      <c r="AA109" s="172"/>
      <c r="AB109" s="164"/>
      <c r="AC109" s="165"/>
    </row>
    <row r="110" spans="1:29" ht="13">
      <c r="A110" s="160"/>
      <c r="B110" s="174"/>
      <c r="C110" s="175"/>
      <c r="D110" s="176"/>
      <c r="E110" s="176"/>
      <c r="F110" s="176"/>
      <c r="G110" s="176"/>
      <c r="H110" s="176"/>
      <c r="I110" s="175"/>
      <c r="J110" s="175"/>
      <c r="K110" s="176"/>
      <c r="L110" s="176"/>
      <c r="M110" s="176"/>
      <c r="N110" s="175"/>
      <c r="O110" s="175"/>
      <c r="P110" s="176"/>
      <c r="Q110" s="175"/>
      <c r="R110" s="175"/>
      <c r="S110" s="175"/>
      <c r="T110" s="177"/>
      <c r="U110" s="177"/>
      <c r="V110" s="177"/>
      <c r="W110" s="178"/>
      <c r="X110" s="177"/>
      <c r="Y110" s="177"/>
      <c r="Z110" s="177"/>
      <c r="AA110" s="178"/>
      <c r="AB110" s="164"/>
      <c r="AC110" s="165"/>
    </row>
    <row r="111" spans="1:29" ht="13">
      <c r="A111" s="159"/>
      <c r="B111" s="143"/>
      <c r="C111" s="143"/>
      <c r="D111" s="155"/>
      <c r="E111" s="155"/>
      <c r="F111" s="155"/>
      <c r="G111" s="155"/>
      <c r="H111" s="155"/>
      <c r="I111" s="143"/>
      <c r="J111" s="143"/>
      <c r="K111" s="155"/>
      <c r="L111" s="155"/>
      <c r="M111" s="155"/>
      <c r="N111" s="143"/>
      <c r="O111" s="143"/>
      <c r="P111" s="155"/>
      <c r="Q111" s="143"/>
      <c r="R111" s="143"/>
      <c r="S111" s="143"/>
      <c r="T111" s="151"/>
      <c r="U111" s="151"/>
      <c r="V111" s="151"/>
      <c r="W111" s="152"/>
      <c r="X111" s="151"/>
      <c r="Y111" s="151"/>
      <c r="Z111" s="151"/>
      <c r="AA111" s="152"/>
      <c r="AB111" s="153"/>
      <c r="AC111" s="154"/>
    </row>
    <row r="112" spans="1:29" ht="13">
      <c r="A112" s="160"/>
      <c r="B112" s="161"/>
      <c r="C112" s="161"/>
      <c r="I112" s="161"/>
      <c r="J112" s="161"/>
      <c r="N112" s="161"/>
      <c r="O112" s="161"/>
      <c r="Q112" s="161"/>
      <c r="R112" s="161"/>
      <c r="S112" s="161"/>
      <c r="T112" s="162"/>
      <c r="U112" s="162"/>
      <c r="V112" s="162"/>
      <c r="W112" s="163"/>
      <c r="X112" s="162"/>
      <c r="Y112" s="162"/>
      <c r="Z112" s="162"/>
      <c r="AA112" s="163"/>
      <c r="AB112" s="164"/>
      <c r="AC112" s="165"/>
    </row>
    <row r="113" spans="1:29" ht="13">
      <c r="A113" s="160"/>
      <c r="B113" s="166"/>
      <c r="C113" s="166"/>
      <c r="D113" s="167"/>
      <c r="E113" s="167"/>
      <c r="F113" s="167"/>
      <c r="G113" s="167"/>
      <c r="H113" s="167"/>
      <c r="I113" s="166"/>
      <c r="J113" s="166"/>
      <c r="K113" s="167"/>
      <c r="L113" s="167"/>
      <c r="M113" s="167"/>
      <c r="N113" s="166"/>
      <c r="O113" s="166"/>
      <c r="P113" s="167"/>
      <c r="Q113" s="166"/>
      <c r="R113" s="166"/>
      <c r="S113" s="166"/>
      <c r="T113" s="168"/>
      <c r="U113" s="168"/>
      <c r="V113" s="168"/>
      <c r="W113" s="169"/>
      <c r="X113" s="168"/>
      <c r="Y113" s="168"/>
      <c r="Z113" s="168"/>
      <c r="AA113" s="169"/>
      <c r="AB113" s="164"/>
      <c r="AC113" s="165"/>
    </row>
    <row r="114" spans="1:29" ht="13">
      <c r="A114" s="160"/>
      <c r="B114" s="161"/>
      <c r="C114" s="161"/>
      <c r="I114" s="161"/>
      <c r="J114" s="161"/>
      <c r="N114" s="161"/>
      <c r="O114" s="161"/>
      <c r="Q114" s="161"/>
      <c r="R114" s="161"/>
      <c r="S114" s="161"/>
      <c r="T114" s="162"/>
      <c r="U114" s="162"/>
      <c r="V114" s="162"/>
      <c r="W114" s="163"/>
      <c r="X114" s="162"/>
      <c r="Y114" s="162"/>
      <c r="Z114" s="162"/>
      <c r="AA114" s="163"/>
      <c r="AB114" s="164"/>
      <c r="AC114" s="165"/>
    </row>
    <row r="115" spans="1:29" ht="13">
      <c r="A115" s="160"/>
      <c r="B115" s="161"/>
      <c r="C115" s="161"/>
      <c r="I115" s="161"/>
      <c r="J115" s="161"/>
      <c r="N115" s="161"/>
      <c r="O115" s="161"/>
      <c r="Q115" s="161"/>
      <c r="R115" s="161"/>
      <c r="S115" s="161"/>
      <c r="T115" s="162"/>
      <c r="U115" s="162"/>
      <c r="V115" s="162"/>
      <c r="W115" s="163"/>
      <c r="X115" s="162"/>
      <c r="Y115" s="162"/>
      <c r="Z115" s="162"/>
      <c r="AA115" s="163"/>
      <c r="AB115" s="164"/>
      <c r="AC115" s="165"/>
    </row>
    <row r="116" spans="1:29" ht="13">
      <c r="A116" s="160"/>
      <c r="B116" s="170"/>
      <c r="C116" s="166"/>
      <c r="D116" s="167"/>
      <c r="E116" s="167"/>
      <c r="F116" s="167"/>
      <c r="G116" s="167"/>
      <c r="H116" s="167"/>
      <c r="I116" s="166"/>
      <c r="J116" s="166"/>
      <c r="K116" s="167"/>
      <c r="L116" s="167"/>
      <c r="M116" s="167"/>
      <c r="N116" s="166"/>
      <c r="O116" s="166"/>
      <c r="P116" s="167"/>
      <c r="Q116" s="166"/>
      <c r="R116" s="170"/>
      <c r="S116" s="170"/>
      <c r="T116" s="171"/>
      <c r="U116" s="171"/>
      <c r="V116" s="171"/>
      <c r="W116" s="172"/>
      <c r="X116" s="171"/>
      <c r="Y116" s="171"/>
      <c r="Z116" s="171"/>
      <c r="AA116" s="172"/>
      <c r="AB116" s="164"/>
      <c r="AC116" s="165"/>
    </row>
    <row r="117" spans="1:29" ht="13">
      <c r="A117" s="160"/>
      <c r="B117" s="174"/>
      <c r="C117" s="175"/>
      <c r="D117" s="176"/>
      <c r="E117" s="176"/>
      <c r="F117" s="176"/>
      <c r="G117" s="176"/>
      <c r="H117" s="176"/>
      <c r="I117" s="175"/>
      <c r="J117" s="175"/>
      <c r="K117" s="176"/>
      <c r="L117" s="176"/>
      <c r="M117" s="176"/>
      <c r="N117" s="175"/>
      <c r="O117" s="175"/>
      <c r="P117" s="176"/>
      <c r="Q117" s="175"/>
      <c r="R117" s="175"/>
      <c r="S117" s="175"/>
      <c r="T117" s="177"/>
      <c r="U117" s="177"/>
      <c r="V117" s="177"/>
      <c r="W117" s="178"/>
      <c r="X117" s="177"/>
      <c r="Y117" s="177"/>
      <c r="Z117" s="177"/>
      <c r="AA117" s="178"/>
      <c r="AB117" s="164"/>
      <c r="AC117" s="165"/>
    </row>
    <row r="118" spans="1:29" ht="13">
      <c r="A118" s="159"/>
      <c r="B118" s="143"/>
      <c r="C118" s="143"/>
      <c r="D118" s="155"/>
      <c r="E118" s="155"/>
      <c r="F118" s="155"/>
      <c r="G118" s="155"/>
      <c r="H118" s="155"/>
      <c r="I118" s="143"/>
      <c r="J118" s="143"/>
      <c r="K118" s="155"/>
      <c r="L118" s="155"/>
      <c r="M118" s="155"/>
      <c r="N118" s="143"/>
      <c r="O118" s="143"/>
      <c r="P118" s="155"/>
      <c r="Q118" s="143"/>
      <c r="R118" s="143"/>
      <c r="S118" s="143"/>
      <c r="T118" s="151"/>
      <c r="U118" s="151"/>
      <c r="V118" s="151"/>
      <c r="W118" s="152"/>
      <c r="X118" s="151"/>
      <c r="Y118" s="151"/>
      <c r="Z118" s="151"/>
      <c r="AA118" s="152"/>
      <c r="AB118" s="153"/>
      <c r="AC118" s="154"/>
    </row>
    <row r="119" spans="1:29" ht="13">
      <c r="A119" s="160"/>
      <c r="B119" s="161"/>
      <c r="C119" s="161"/>
      <c r="I119" s="161"/>
      <c r="J119" s="161"/>
      <c r="N119" s="161"/>
      <c r="O119" s="161"/>
      <c r="Q119" s="161"/>
      <c r="R119" s="161"/>
      <c r="S119" s="161"/>
      <c r="T119" s="162"/>
      <c r="U119" s="162"/>
      <c r="V119" s="162"/>
      <c r="W119" s="163"/>
      <c r="X119" s="162"/>
      <c r="Y119" s="162"/>
      <c r="Z119" s="162"/>
      <c r="AA119" s="163"/>
      <c r="AB119" s="153"/>
      <c r="AC119" s="154"/>
    </row>
    <row r="120" spans="1:29" ht="13">
      <c r="A120" s="160"/>
      <c r="B120" s="166"/>
      <c r="C120" s="166"/>
      <c r="D120" s="167"/>
      <c r="E120" s="167"/>
      <c r="F120" s="167"/>
      <c r="G120" s="167"/>
      <c r="H120" s="167"/>
      <c r="I120" s="166"/>
      <c r="J120" s="166"/>
      <c r="K120" s="167"/>
      <c r="L120" s="167"/>
      <c r="M120" s="167"/>
      <c r="N120" s="166"/>
      <c r="O120" s="166"/>
      <c r="P120" s="167"/>
      <c r="Q120" s="166"/>
      <c r="R120" s="166"/>
      <c r="S120" s="166"/>
      <c r="T120" s="168"/>
      <c r="U120" s="168"/>
      <c r="V120" s="168"/>
      <c r="W120" s="169"/>
      <c r="X120" s="168"/>
      <c r="Y120" s="168"/>
      <c r="Z120" s="168"/>
      <c r="AA120" s="169"/>
      <c r="AB120" s="179"/>
      <c r="AC120" s="180"/>
    </row>
    <row r="121" spans="1:29" ht="13">
      <c r="A121" s="160"/>
      <c r="B121" s="161"/>
      <c r="C121" s="161"/>
      <c r="I121" s="161"/>
      <c r="J121" s="161"/>
      <c r="N121" s="161"/>
      <c r="O121" s="161"/>
      <c r="Q121" s="161"/>
      <c r="R121" s="161"/>
      <c r="S121" s="161"/>
      <c r="T121" s="162"/>
      <c r="U121" s="162"/>
      <c r="V121" s="162"/>
      <c r="W121" s="163"/>
      <c r="X121" s="162"/>
      <c r="Y121" s="162"/>
      <c r="Z121" s="162"/>
      <c r="AA121" s="163"/>
      <c r="AB121" s="153"/>
      <c r="AC121" s="154"/>
    </row>
    <row r="122" spans="1:29" ht="13">
      <c r="A122" s="160"/>
      <c r="B122" s="161"/>
      <c r="C122" s="161"/>
      <c r="I122" s="161"/>
      <c r="J122" s="161"/>
      <c r="N122" s="161"/>
      <c r="O122" s="161"/>
      <c r="Q122" s="161"/>
      <c r="R122" s="161"/>
      <c r="S122" s="161"/>
      <c r="T122" s="162"/>
      <c r="U122" s="162"/>
      <c r="V122" s="162"/>
      <c r="W122" s="163"/>
      <c r="X122" s="162"/>
      <c r="Y122" s="162"/>
      <c r="Z122" s="162"/>
      <c r="AA122" s="163"/>
      <c r="AB122" s="153"/>
      <c r="AC122" s="154"/>
    </row>
    <row r="123" spans="1:29" ht="13">
      <c r="A123" s="160"/>
      <c r="B123" s="170"/>
      <c r="C123" s="166"/>
      <c r="D123" s="167"/>
      <c r="E123" s="167"/>
      <c r="F123" s="167"/>
      <c r="G123" s="167"/>
      <c r="H123" s="167"/>
      <c r="I123" s="166"/>
      <c r="J123" s="166"/>
      <c r="K123" s="167"/>
      <c r="L123" s="167"/>
      <c r="M123" s="167"/>
      <c r="N123" s="166"/>
      <c r="O123" s="166"/>
      <c r="P123" s="167"/>
      <c r="Q123" s="166"/>
      <c r="R123" s="170"/>
      <c r="S123" s="170"/>
      <c r="T123" s="171"/>
      <c r="U123" s="171"/>
      <c r="V123" s="171"/>
      <c r="W123" s="172"/>
      <c r="X123" s="171"/>
      <c r="Y123" s="171"/>
      <c r="Z123" s="171"/>
      <c r="AA123" s="172"/>
      <c r="AB123" s="153"/>
      <c r="AC123" s="154"/>
    </row>
    <row r="124" spans="1:29" ht="13">
      <c r="A124" s="160"/>
      <c r="B124" s="174"/>
      <c r="C124" s="175"/>
      <c r="D124" s="176"/>
      <c r="E124" s="176"/>
      <c r="F124" s="176"/>
      <c r="G124" s="176"/>
      <c r="H124" s="176"/>
      <c r="I124" s="175"/>
      <c r="J124" s="175"/>
      <c r="K124" s="176"/>
      <c r="L124" s="176"/>
      <c r="M124" s="176"/>
      <c r="N124" s="175"/>
      <c r="O124" s="175"/>
      <c r="P124" s="176"/>
      <c r="Q124" s="175"/>
      <c r="R124" s="175"/>
      <c r="S124" s="175"/>
      <c r="T124" s="177"/>
      <c r="U124" s="177"/>
      <c r="V124" s="177"/>
      <c r="W124" s="178"/>
      <c r="X124" s="177"/>
      <c r="Y124" s="177"/>
      <c r="Z124" s="177"/>
      <c r="AA124" s="178"/>
      <c r="AB124" s="181"/>
      <c r="AC124" s="182"/>
    </row>
    <row r="125" spans="1:29" ht="13">
      <c r="A125" s="183"/>
      <c r="B125"/>
      <c r="C125"/>
      <c r="D125"/>
      <c r="E125"/>
      <c r="F125"/>
      <c r="G125"/>
      <c r="H125"/>
      <c r="I125"/>
      <c r="J125"/>
      <c r="K125"/>
      <c r="L125"/>
      <c r="M125"/>
      <c r="N125"/>
      <c r="O125"/>
      <c r="P125"/>
      <c r="Q125"/>
      <c r="R125"/>
      <c r="S125"/>
      <c r="T125"/>
      <c r="U125"/>
      <c r="V125"/>
      <c r="W125"/>
      <c r="X125"/>
      <c r="Y125"/>
      <c r="Z125"/>
      <c r="AA125"/>
    </row>
    <row r="126" spans="1:29">
      <c r="A126"/>
      <c r="B126"/>
      <c r="C126"/>
      <c r="D126"/>
      <c r="E126"/>
      <c r="F126"/>
      <c r="G126"/>
      <c r="H126"/>
      <c r="I126"/>
      <c r="J126"/>
      <c r="K126"/>
      <c r="L126"/>
      <c r="M126"/>
      <c r="N126"/>
      <c r="O126"/>
      <c r="P126"/>
      <c r="Q126"/>
      <c r="R126"/>
      <c r="S126"/>
      <c r="T126"/>
      <c r="U126"/>
      <c r="V126"/>
      <c r="W126"/>
      <c r="X126"/>
      <c r="Y126"/>
      <c r="Z126"/>
      <c r="AA126"/>
    </row>
    <row r="127" spans="1:29">
      <c r="A127"/>
      <c r="B127"/>
      <c r="C127"/>
      <c r="D127"/>
      <c r="E127"/>
      <c r="F127"/>
      <c r="G127"/>
      <c r="H127"/>
      <c r="I127"/>
      <c r="J127"/>
      <c r="K127"/>
      <c r="L127"/>
      <c r="M127"/>
      <c r="N127"/>
      <c r="O127"/>
      <c r="P127"/>
      <c r="Q127"/>
      <c r="R127"/>
      <c r="S127"/>
      <c r="T127"/>
      <c r="U127"/>
      <c r="V127"/>
      <c r="W127"/>
      <c r="X127"/>
      <c r="Y127"/>
      <c r="Z127"/>
      <c r="AA127"/>
    </row>
    <row r="128" spans="1:29">
      <c r="A128"/>
      <c r="B128"/>
      <c r="C128"/>
      <c r="D128"/>
      <c r="E128"/>
      <c r="F128"/>
      <c r="G128"/>
      <c r="H128"/>
      <c r="I128"/>
      <c r="J128"/>
      <c r="K128"/>
      <c r="L128"/>
      <c r="M128"/>
      <c r="N128"/>
      <c r="O128"/>
      <c r="P128"/>
      <c r="Q128"/>
      <c r="R128"/>
      <c r="S128"/>
      <c r="T128"/>
      <c r="U128"/>
      <c r="V128"/>
      <c r="W128"/>
      <c r="X128"/>
      <c r="Y128"/>
      <c r="Z128"/>
      <c r="AA128"/>
    </row>
    <row r="129" spans="1:27">
      <c r="A129"/>
      <c r="B129"/>
      <c r="C129"/>
      <c r="D129"/>
      <c r="E129"/>
      <c r="F129"/>
      <c r="G129"/>
      <c r="H129"/>
      <c r="I129"/>
      <c r="J129"/>
      <c r="K129"/>
      <c r="L129"/>
      <c r="M129"/>
      <c r="N129"/>
      <c r="O129"/>
      <c r="P129"/>
      <c r="Q129"/>
      <c r="R129"/>
      <c r="S129"/>
      <c r="T129"/>
      <c r="U129"/>
      <c r="V129"/>
      <c r="W129"/>
      <c r="X129"/>
      <c r="Y129"/>
      <c r="Z129"/>
      <c r="AA129"/>
    </row>
    <row r="130" spans="1:27">
      <c r="A130"/>
      <c r="B130"/>
      <c r="C130"/>
      <c r="D130"/>
      <c r="E130"/>
      <c r="F130"/>
      <c r="G130"/>
      <c r="H130"/>
      <c r="I130"/>
      <c r="J130"/>
      <c r="K130"/>
      <c r="L130"/>
      <c r="M130"/>
      <c r="N130"/>
      <c r="O130"/>
      <c r="P130"/>
      <c r="Q130"/>
      <c r="R130"/>
      <c r="S130"/>
      <c r="T130"/>
      <c r="U130"/>
      <c r="V130"/>
      <c r="W130"/>
      <c r="X130"/>
      <c r="Y130"/>
      <c r="Z130"/>
      <c r="AA130"/>
    </row>
    <row r="131" spans="1:27">
      <c r="A131"/>
      <c r="B131"/>
      <c r="C131"/>
      <c r="D131"/>
      <c r="E131"/>
      <c r="F131"/>
      <c r="G131"/>
      <c r="H131"/>
      <c r="I131"/>
      <c r="J131"/>
      <c r="K131"/>
      <c r="L131"/>
      <c r="M131"/>
      <c r="N131"/>
      <c r="O131"/>
      <c r="P131"/>
      <c r="Q131"/>
      <c r="R131"/>
      <c r="S131"/>
      <c r="T131"/>
      <c r="U131"/>
      <c r="V131"/>
      <c r="W131"/>
      <c r="X131"/>
      <c r="Y131"/>
      <c r="Z131"/>
      <c r="AA131"/>
    </row>
    <row r="132" spans="1:27">
      <c r="A132"/>
      <c r="B132"/>
      <c r="C132"/>
      <c r="D132"/>
      <c r="E132"/>
      <c r="F132"/>
      <c r="G132"/>
      <c r="H132"/>
      <c r="I132"/>
      <c r="J132"/>
      <c r="K132"/>
      <c r="L132"/>
      <c r="M132"/>
      <c r="N132"/>
      <c r="O132"/>
      <c r="P132"/>
      <c r="Q132"/>
      <c r="R132"/>
      <c r="S132"/>
      <c r="T132"/>
      <c r="X132"/>
    </row>
    <row r="133" spans="1:27">
      <c r="A133"/>
      <c r="B133"/>
      <c r="C133"/>
      <c r="D133"/>
      <c r="E133"/>
      <c r="F133"/>
      <c r="G133"/>
      <c r="H133"/>
      <c r="I133"/>
      <c r="J133"/>
      <c r="K133"/>
      <c r="L133"/>
      <c r="M133"/>
      <c r="N133"/>
      <c r="O133"/>
      <c r="P133"/>
      <c r="Q133"/>
      <c r="R133"/>
      <c r="S133"/>
      <c r="T133"/>
      <c r="X133"/>
    </row>
    <row r="134" spans="1:27">
      <c r="A134"/>
      <c r="B134"/>
      <c r="C134"/>
      <c r="D134"/>
      <c r="E134"/>
      <c r="F134"/>
      <c r="G134"/>
      <c r="H134"/>
      <c r="I134"/>
      <c r="J134"/>
      <c r="K134"/>
      <c r="L134"/>
      <c r="M134"/>
      <c r="N134"/>
      <c r="O134"/>
      <c r="P134"/>
      <c r="Q134"/>
      <c r="R134"/>
      <c r="S134"/>
      <c r="T134"/>
      <c r="X134"/>
    </row>
    <row r="135" spans="1:27">
      <c r="A135"/>
      <c r="B135"/>
      <c r="C135"/>
      <c r="D135"/>
      <c r="E135"/>
      <c r="F135"/>
      <c r="G135"/>
      <c r="H135"/>
      <c r="I135"/>
      <c r="J135"/>
      <c r="K135"/>
      <c r="L135"/>
      <c r="M135"/>
      <c r="N135"/>
      <c r="O135"/>
      <c r="P135"/>
      <c r="Q135"/>
      <c r="R135"/>
      <c r="S135"/>
      <c r="T135"/>
      <c r="X135"/>
    </row>
    <row r="136" spans="1:27">
      <c r="A136"/>
      <c r="B136"/>
      <c r="C136"/>
      <c r="D136"/>
      <c r="E136"/>
      <c r="F136"/>
      <c r="G136"/>
      <c r="H136"/>
      <c r="I136"/>
      <c r="J136"/>
      <c r="K136"/>
      <c r="L136"/>
      <c r="M136"/>
      <c r="N136"/>
      <c r="O136"/>
      <c r="P136"/>
      <c r="Q136"/>
      <c r="R136"/>
      <c r="S136"/>
      <c r="T136"/>
      <c r="X136"/>
    </row>
    <row r="137" spans="1:27">
      <c r="A137"/>
      <c r="B137"/>
      <c r="C137"/>
      <c r="D137"/>
      <c r="E137"/>
      <c r="F137"/>
      <c r="G137"/>
      <c r="H137"/>
      <c r="I137"/>
      <c r="J137"/>
      <c r="K137"/>
      <c r="L137"/>
      <c r="M137"/>
      <c r="N137"/>
      <c r="O137"/>
      <c r="P137"/>
      <c r="Q137"/>
      <c r="R137"/>
      <c r="S137"/>
      <c r="T137"/>
      <c r="X137"/>
    </row>
    <row r="138" spans="1:27">
      <c r="A138"/>
      <c r="B138"/>
      <c r="C138"/>
      <c r="D138"/>
      <c r="E138"/>
      <c r="F138"/>
      <c r="G138"/>
      <c r="H138"/>
      <c r="I138"/>
      <c r="J138"/>
      <c r="K138"/>
      <c r="L138"/>
      <c r="M138"/>
      <c r="N138"/>
      <c r="O138"/>
      <c r="P138"/>
      <c r="Q138"/>
      <c r="R138"/>
      <c r="S138"/>
      <c r="T138"/>
      <c r="X138"/>
    </row>
    <row r="139" spans="1:27">
      <c r="A139"/>
      <c r="B139"/>
      <c r="C139"/>
      <c r="D139"/>
      <c r="E139"/>
      <c r="F139"/>
      <c r="G139"/>
      <c r="H139"/>
      <c r="I139"/>
      <c r="J139"/>
      <c r="K139"/>
      <c r="L139"/>
      <c r="M139"/>
      <c r="N139"/>
      <c r="O139"/>
      <c r="P139"/>
      <c r="Q139"/>
      <c r="R139"/>
      <c r="S139"/>
      <c r="T139"/>
      <c r="X139"/>
    </row>
    <row r="140" spans="1:27">
      <c r="A140"/>
      <c r="B140"/>
      <c r="C140"/>
      <c r="D140"/>
      <c r="E140"/>
      <c r="F140"/>
      <c r="G140"/>
      <c r="H140"/>
      <c r="I140"/>
      <c r="J140"/>
      <c r="K140"/>
      <c r="L140"/>
      <c r="M140"/>
      <c r="N140"/>
      <c r="O140"/>
      <c r="P140"/>
      <c r="Q140"/>
      <c r="R140"/>
      <c r="S140"/>
      <c r="T140"/>
      <c r="X140"/>
    </row>
    <row r="141" spans="1:27">
      <c r="A141"/>
      <c r="B141"/>
      <c r="C141"/>
      <c r="D141"/>
      <c r="E141"/>
      <c r="F141"/>
      <c r="G141"/>
      <c r="H141"/>
      <c r="I141"/>
      <c r="J141"/>
      <c r="K141"/>
      <c r="L141"/>
      <c r="M141"/>
      <c r="N141"/>
      <c r="O141"/>
      <c r="P141"/>
      <c r="Q141"/>
      <c r="R141"/>
      <c r="S141"/>
      <c r="T141"/>
      <c r="X14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9207C4D8AB6E4A9864D320D8693611" ma:contentTypeVersion="11" ma:contentTypeDescription="Create a new document." ma:contentTypeScope="" ma:versionID="1ae8a50db7085f5ae1dcf34ff77a61f1">
  <xsd:schema xmlns:xsd="http://www.w3.org/2001/XMLSchema" xmlns:xs="http://www.w3.org/2001/XMLSchema" xmlns:p="http://schemas.microsoft.com/office/2006/metadata/properties" xmlns:ns2="d3553cee-4ecc-4eb5-80d8-f24f98131822" xmlns:ns3="fc2f2499-f938-4cc0-a2cd-f3e7b3a200ae" targetNamespace="http://schemas.microsoft.com/office/2006/metadata/properties" ma:root="true" ma:fieldsID="17b6e3ff09c248479d51477e5c5657c0" ns2:_="" ns3:_="">
    <xsd:import namespace="d3553cee-4ecc-4eb5-80d8-f24f98131822"/>
    <xsd:import namespace="fc2f2499-f938-4cc0-a2cd-f3e7b3a200a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553cee-4ecc-4eb5-80d8-f24f981318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c2f2499-f938-4cc0-a2cd-f3e7b3a200ae"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359ADFD-0402-4D99-AC8D-69362C2C90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3553cee-4ecc-4eb5-80d8-f24f98131822"/>
    <ds:schemaRef ds:uri="fc2f2499-f938-4cc0-a2cd-f3e7b3a200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487697B-056F-45C0-97AF-5A5D36EFA56B}">
  <ds:schemaRefs>
    <ds:schemaRef ds:uri="fc2f2499-f938-4cc0-a2cd-f3e7b3a200ae"/>
    <ds:schemaRef ds:uri="http://www.w3.org/XML/1998/namespace"/>
    <ds:schemaRef ds:uri="http://schemas.microsoft.com/office/2006/documentManagement/types"/>
    <ds:schemaRef ds:uri="http://schemas.microsoft.com/office/infopath/2007/PartnerControls"/>
    <ds:schemaRef ds:uri="http://purl.org/dc/dcmitype/"/>
    <ds:schemaRef ds:uri="http://schemas.microsoft.com/office/2006/metadata/properties"/>
    <ds:schemaRef ds:uri="http://purl.org/dc/elements/1.1/"/>
    <ds:schemaRef ds:uri="http://schemas.openxmlformats.org/package/2006/metadata/core-properties"/>
    <ds:schemaRef ds:uri="d3553cee-4ecc-4eb5-80d8-f24f98131822"/>
    <ds:schemaRef ds:uri="http://purl.org/dc/terms/"/>
  </ds:schemaRefs>
</ds:datastoreItem>
</file>

<file path=customXml/itemProps3.xml><?xml version="1.0" encoding="utf-8"?>
<ds:datastoreItem xmlns:ds="http://schemas.openxmlformats.org/officeDocument/2006/customXml" ds:itemID="{5027BC8B-41BF-4624-A0BF-E64460E617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9</vt:i4>
      </vt:variant>
    </vt:vector>
  </HeadingPairs>
  <TitlesOfParts>
    <vt:vector size="16" baseType="lpstr">
      <vt:lpstr>NEW-Tables 80-86</vt:lpstr>
      <vt:lpstr>OLD Tables</vt:lpstr>
      <vt:lpstr>FTE Pivot for regular counts</vt:lpstr>
      <vt:lpstr>Pivot-HS Student % of Undergrad</vt:lpstr>
      <vt:lpstr>04SCH_FTE</vt:lpstr>
      <vt:lpstr>Format for FTE</vt:lpstr>
      <vt:lpstr>Format for HS%</vt:lpstr>
      <vt:lpstr>'04SCH_FTE'!Dual07_1</vt:lpstr>
      <vt:lpstr>'04SCH_FTE'!Dual07_3</vt:lpstr>
      <vt:lpstr>'04SCH_FTE'!Print_Area</vt:lpstr>
      <vt:lpstr>'NEW-Tables 80-86'!Print_Area</vt:lpstr>
      <vt:lpstr>'OLD Tables'!Print_Area</vt:lpstr>
      <vt:lpstr>'Pivot-HS Student % of Undergrad'!Print_Area</vt:lpstr>
      <vt:lpstr>'04SCH_FTE'!Print_Titles</vt:lpstr>
      <vt:lpstr>'Pivot-HS Student % of Undergrad'!Print_Titles</vt:lpstr>
      <vt:lpstr>'04SCH_FTE'!SCH15ug1</vt:lpstr>
    </vt:vector>
  </TitlesOfParts>
  <Company>SREB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Lisa Cowan</dc:creator>
  <cp:keywords/>
  <dc:description/>
  <cp:lastModifiedBy>Christiana Datubo-Brown</cp:lastModifiedBy>
  <cp:lastPrinted>2016-03-17T19:39:44Z</cp:lastPrinted>
  <dcterms:created xsi:type="dcterms:W3CDTF">1999-02-24T13:58:47Z</dcterms:created>
  <dcterms:modified xsi:type="dcterms:W3CDTF">2021-02-10T17:31:11Z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0x0101008C9207C4D8AB6E4A9864D320D8693611</vt:lpwstr>
  </property>
  <property fmtid="{D5CDD505-2E9C-101B-9397-08002B2CF9AE}" pid="3" name="WorkflowChangePath">
    <vt:lpwstr>d414d66f-4701-430f-b564-e4006377633d,2;d414d66f-4701-430f-b564-e4006377633d,2;f6e3247f-53d7-4c4b-9444-023ca256227c,3;f6e3247f-53d7-4c4b-9444-023ca256227c,3;f6e3247f-53d7-4c4b-9444-023ca256227c,3;d414d66f-4701-430f-b564-e4006377633d,2;d414d66f-4701-430f-b5</vt:lpwstr>
  </property>
  <property fmtid="{D5CDD505-2E9C-101B-9397-08002B2CF9AE}" pid="4" name="Agency Code">
    <vt:lpwstr>ACHE</vt:lpwstr>
  </property>
  <property fmtid="{D5CDD505-2E9C-101B-9397-08002B2CF9AE}" pid="5" name="State">
    <vt:lpwstr>AL</vt:lpwstr>
  </property>
  <property fmtid="{D5CDD505-2E9C-101B-9397-08002B2CF9AE}" pid="6" name="Notes to SREB">
    <vt:lpwstr/>
  </property>
  <property fmtid="{D5CDD505-2E9C-101B-9397-08002B2CF9AE}" pid="7" name="Survey Type">
    <vt:lpwstr>04: Student Credit Hours</vt:lpwstr>
  </property>
  <property fmtid="{D5CDD505-2E9C-101B-9397-08002B2CF9AE}" pid="8" name="Notes0">
    <vt:lpwstr/>
  </property>
  <property fmtid="{D5CDD505-2E9C-101B-9397-08002B2CF9AE}" pid="9" name="Status">
    <vt:lpwstr>Validated-2</vt:lpwstr>
  </property>
  <property fmtid="{D5CDD505-2E9C-101B-9397-08002B2CF9AE}" pid="10" name="Done">
    <vt:lpwstr>false</vt:lpwstr>
  </property>
  <property fmtid="{D5CDD505-2E9C-101B-9397-08002B2CF9AE}" pid="11" name="Order">
    <vt:r8>16500</vt:r8>
  </property>
  <property fmtid="{D5CDD505-2E9C-101B-9397-08002B2CF9AE}" pid="12" name="xd_ProgID">
    <vt:lpwstr/>
  </property>
  <property fmtid="{D5CDD505-2E9C-101B-9397-08002B2CF9AE}" pid="13" name="TemplateUrl">
    <vt:lpwstr/>
  </property>
</Properties>
</file>